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s - Start Here!" sheetId="1" r:id="rId5"/>
    <sheet state="visible" name="Crew - Does it work" sheetId="2" r:id="rId6"/>
    <sheet state="visible" name="Officers - Search " sheetId="3" r:id="rId7"/>
    <sheet state="visible" name="CT&amp;FT - Search " sheetId="4" r:id="rId8"/>
    <sheet state="visible" name="Officers Compact" sheetId="5" r:id="rId9"/>
    <sheet state="visible" name="Tech Compact" sheetId="6" r:id="rId10"/>
    <sheet state="visible" name="Glossary" sheetId="7" r:id="rId11"/>
    <sheet state="visible" name="Sourcing Guide" sheetId="8" r:id="rId12"/>
    <sheet state="visible" name="MasterTech" sheetId="9" r:id="rId13"/>
    <sheet state="visible" name="MasterOfficers" sheetId="10" r:id="rId14"/>
    <sheet state="hidden" name="Settings" sheetId="11" r:id="rId15"/>
    <sheet state="visible" name="RawOfficers" sheetId="12" r:id="rId16"/>
    <sheet state="visible" name="RawTech" sheetId="13" r:id="rId17"/>
    <sheet state="hidden" name="quasel GFX" sheetId="14" r:id="rId18"/>
  </sheets>
  <definedNames>
    <definedName name="Utility">MasterOfficers!$S$3:$S$552</definedName>
    <definedName name="Minimum">Settings!$E$4:$E$39</definedName>
    <definedName localSheetId="8" name="Utility">MasterTech!$T$3:$T$200</definedName>
    <definedName name="Short">Settings!$D$4:$D$39</definedName>
    <definedName hidden="1" localSheetId="4" name="Z_65CC8D0F_A12D_4FB2_8C14_C0DB53EBE7F6_.wvu.FilterData">'Officers Compact'!$D$2:$L$556</definedName>
    <definedName hidden="1" localSheetId="5" name="Z_65CC8D0F_A12D_4FB2_8C14_C0DB53EBE7F6_.wvu.FilterData">'Tech Compact'!$D$2:$L$8</definedName>
    <definedName hidden="1" localSheetId="8" name="Z_65CC8D0F_A12D_4FB2_8C14_C0DB53EBE7F6_.wvu.FilterData">MasterTech!$A$3:$AJ$214</definedName>
    <definedName hidden="1" localSheetId="9" name="Z_65CC8D0F_A12D_4FB2_8C14_C0DB53EBE7F6_.wvu.FilterData">MasterOfficers!$A$3:$AM$558</definedName>
    <definedName hidden="1" localSheetId="8" name="Z_9EDD1754_C8CD_4622_90D2_071A41A4C6F7_.wvu.FilterData">MasterTech!$A$3:$AJ$214</definedName>
    <definedName hidden="1" localSheetId="9" name="Z_9EDD1754_C8CD_4622_90D2_071A41A4C6F7_.wvu.FilterData">MasterOfficers!$A$3:$AM$558</definedName>
    <definedName hidden="1" localSheetId="4" name="Z_CA8E02A4_DCF3_4B76_92B6_B7CC83783927_.wvu.FilterData">'Officers Compact'!$D$2:$L$556</definedName>
    <definedName hidden="1" localSheetId="5" name="Z_CA8E02A4_DCF3_4B76_92B6_B7CC83783927_.wvu.FilterData">'Tech Compact'!$D$2:$L$8</definedName>
    <definedName hidden="1" localSheetId="8" name="Z_CA8E02A4_DCF3_4B76_92B6_B7CC83783927_.wvu.FilterData">MasterTech!$A$3:$AJ$214</definedName>
    <definedName hidden="1" localSheetId="9" name="Z_CA8E02A4_DCF3_4B76_92B6_B7CC83783927_.wvu.FilterData">MasterOfficers!$A$3:$AM$558</definedName>
    <definedName hidden="1" localSheetId="8" name="Z_08196EC6_4ED8_4974_AD2F_406CFCF5981A_.wvu.FilterData">MasterTech!$A$3:$AJ$214</definedName>
    <definedName hidden="1" localSheetId="9" name="Z_08196EC6_4ED8_4974_AD2F_406CFCF5981A_.wvu.FilterData">MasterOfficers!$A$3:$AM$558</definedName>
  </definedNames>
  <calcPr/>
  <customWorkbookViews>
    <customWorkbookView activeSheetId="0" maximized="1" windowHeight="0" windowWidth="0" guid="{CA8E02A4-DCF3-4B76-92B6-B7CC83783927}" name="&quot;Hit&quot;"/>
    <customWorkbookView activeSheetId="0" maximized="1" windowHeight="0" windowWidth="0" guid="{9EDD1754-C8CD-4622-90D2-071A41A4C6F7}" name="Outposts"/>
    <customWorkbookView activeSheetId="0" maximized="1" windowHeight="0" windowWidth="0" guid="{08196EC6-4ED8-4974-AD2F-406CFCF5981A}" name="AbilityModifier"/>
    <customWorkbookView activeSheetId="0" maximized="1" windowHeight="0" windowWidth="0" guid="{65CC8D0F-A12D-4FB2-8C14-C0DB53EBE7F6}" name="Loot"/>
  </customWorkbookViews>
</workbook>
</file>

<file path=xl/sharedStrings.xml><?xml version="1.0" encoding="utf-8"?>
<sst xmlns="http://schemas.openxmlformats.org/spreadsheetml/2006/main" count="29659" uniqueCount="2904">
  <si>
    <t>1.4-RC M86</t>
  </si>
  <si>
    <t>This spreadsheet attempts to tell you
where officer &amp; tech abilities work and where they don't.</t>
  </si>
  <si>
    <t>➤  The titles are links to the correct tab.</t>
  </si>
  <si>
    <t>Join us</t>
  </si>
  <si>
    <t>➤   Crew - Does it work?</t>
  </si>
  <si>
    <t>Build a crew from the captain through below decks to see where those abilities work</t>
  </si>
  <si>
    <t>➤   officers search</t>
  </si>
  <si>
    <t>Select your target, and get a compact list with only applicable officer abilities.</t>
  </si>
  <si>
    <t>➤   Sourcing Guide</t>
  </si>
  <si>
    <t>Imported from Officer Sourcing &amp; Tiering Guide. Available sourcing fixed at ops 70 for simplicity</t>
  </si>
  <si>
    <t>Try it Yourself</t>
  </si>
  <si>
    <t>Make A Copy</t>
  </si>
  <si>
    <t>➤   FT &amp; CT  search</t>
  </si>
  <si>
    <t>➤   Glossary</t>
  </si>
  <si>
    <t>Definitions for game code text</t>
  </si>
  <si>
    <t>➤   Spocks.club</t>
  </si>
  <si>
    <t>Powerful tools and calculators that use your game's inventory and buffs to show accurate read outs.</t>
  </si>
  <si>
    <t>➤   Officers Compact view</t>
  </si>
  <si>
    <t>List of ALL officers &amp; all potential targets. Use CTRL+F to check a specific officer</t>
  </si>
  <si>
    <t>➤   Officer Tool &amp; Discord</t>
  </si>
  <si>
    <t>Officer tool combines pre-set crews, ATA planning, buff calculations, and a battle log parcer.</t>
  </si>
  <si>
    <t xml:space="preserve">➤   Officers Master Table </t>
  </si>
  <si>
    <t>Lists all known and exported information about abilities, their values, triggers, conditions, etc.</t>
  </si>
  <si>
    <t>➤   Tech Master Table</t>
  </si>
  <si>
    <t>➤   Charts Index</t>
  </si>
  <si>
    <t>List of all spreadsheets and charts made by JulesVern, Quasel and BlueMandalorian</t>
  </si>
  <si>
    <t>Want to dive even deeper?</t>
  </si>
  <si>
    <t>Create a copy of this sheets to use the tools.</t>
  </si>
  <si>
    <r>
      <rPr>
        <rFont val="Overpass"/>
        <color rgb="FF45A063"/>
      </rPr>
      <t>If the definition isn't here, try the ➤</t>
    </r>
    <r>
      <rPr>
        <rFont val="Bebas Neue"/>
        <color rgb="FF45A063"/>
        <sz val="12.0"/>
      </rPr>
      <t xml:space="preserve"> GLOSSARY</t>
    </r>
  </si>
  <si>
    <t>➤   Hidden Tabs</t>
  </si>
  <si>
    <t>Many tabs are hidden as they serve as intermediate tables or calculations. Others are half-baked ideas. Manipulate @ your own risk.</t>
  </si>
  <si>
    <t>✅ Ability works</t>
  </si>
  <si>
    <r>
      <rPr>
        <rFont val="Bebas Neue"/>
        <color rgb="FF45A063"/>
        <sz val="14.0"/>
      </rPr>
      <t xml:space="preserve">  </t>
    </r>
    <r>
      <rPr>
        <rFont val="Bebas Neue"/>
        <color rgb="FF46BDC6"/>
        <sz val="14.0"/>
      </rPr>
      <t>OA</t>
    </r>
    <r>
      <rPr>
        <rFont val="Overpass"/>
        <color rgb="FFF6F8F9"/>
      </rPr>
      <t xml:space="preserve">     Officer Ability</t>
    </r>
  </si>
  <si>
    <t>✴️ Ability works,
       if all conditions are met</t>
  </si>
  <si>
    <r>
      <rPr>
        <rFont val="Bebas Neue"/>
        <color rgb="FF45A063"/>
        <sz val="14.0"/>
      </rPr>
      <t xml:space="preserve">  </t>
    </r>
    <r>
      <rPr>
        <rFont val="Bebas Neue"/>
        <color rgb="FFBF9000"/>
        <sz val="14.0"/>
      </rPr>
      <t>CM</t>
    </r>
    <r>
      <rPr>
        <rFont val="Overpass"/>
        <color rgb="FFF6F8F9"/>
      </rPr>
      <t xml:space="preserve">    Captain's Manuever</t>
    </r>
  </si>
  <si>
    <t>➖ Ability doesn't work</t>
  </si>
  <si>
    <t>Caveats / Trick</t>
  </si>
  <si>
    <t>Quick Legend</t>
  </si>
  <si>
    <r>
      <rPr>
        <rFont val="Bebas Neue"/>
        <color rgb="FF45A063"/>
        <sz val="14.0"/>
      </rPr>
      <t xml:space="preserve">  BDA</t>
    </r>
    <r>
      <rPr>
        <rFont val="Overpass"/>
        <color rgb="FFF6F8F9"/>
      </rPr>
      <t xml:space="preserve">   Below Deck ability</t>
    </r>
  </si>
  <si>
    <t>➤   Mission Boss</t>
  </si>
  <si>
    <t>Can have a Faction ID, might affect some officers</t>
  </si>
  <si>
    <t>Common</t>
  </si>
  <si>
    <t xml:space="preserve">  Rarty of Officer</t>
  </si>
  <si>
    <t>➤   Distraction FREE Editor</t>
  </si>
  <si>
    <t>Link to view the sheet in a minimal Interface</t>
  </si>
  <si>
    <t>Uncommon</t>
  </si>
  <si>
    <t>Rare</t>
  </si>
  <si>
    <t>Epic</t>
  </si>
  <si>
    <t xml:space="preserve"> </t>
  </si>
  <si>
    <t>Does this crew &amp; tech work?</t>
  </si>
  <si>
    <t>Try it Yourself
Make a Copy</t>
  </si>
  <si>
    <t>ᐅ</t>
  </si>
  <si>
    <t>1 - Choose your Target</t>
  </si>
  <si>
    <t>PvP Station</t>
  </si>
  <si>
    <t>Select your tech:</t>
  </si>
  <si>
    <t>[PRO] M-5 Multitronic Unit</t>
  </si>
  <si>
    <t>Mark VI Photon Torpedo</t>
  </si>
  <si>
    <t>Ability  1</t>
  </si>
  <si>
    <t>Select your bridge crew:</t>
  </si>
  <si>
    <t>SESKA</t>
  </si>
  <si>
    <t>NAGA DELVOS</t>
  </si>
  <si>
    <t>WOK SCOTTY</t>
  </si>
  <si>
    <t>Ability  2</t>
  </si>
  <si>
    <t>Captain Maneuver "CM"</t>
  </si>
  <si>
    <t>Ability  3</t>
  </si>
  <si>
    <t>Officer Ability "OA"</t>
  </si>
  <si>
    <t>Ability  4</t>
  </si>
  <si>
    <t>Select your lower deckers:</t>
  </si>
  <si>
    <t>SCOTTY</t>
  </si>
  <si>
    <t>B'ELANNA TORRES</t>
  </si>
  <si>
    <t>TMP NYOTA UHURA</t>
  </si>
  <si>
    <r>
      <rPr>
        <rFont val="Overpass"/>
        <color rgb="FFC7C9CD"/>
        <sz val="10.0"/>
      </rPr>
      <t>Below Deck Ability "</t>
    </r>
    <r>
      <rPr>
        <rFont val="Overpass"/>
        <color rgb="FFF6F8F9"/>
        <sz val="10.0"/>
      </rPr>
      <t>BDA</t>
    </r>
    <r>
      <rPr>
        <rFont val="Overpass"/>
        <color rgb="FFC7C9CD"/>
        <sz val="10.0"/>
      </rPr>
      <t>"</t>
    </r>
  </si>
  <si>
    <t>Ability Description</t>
  </si>
  <si>
    <t>✅</t>
  </si>
  <si>
    <t>Ability works</t>
  </si>
  <si>
    <t>✴️</t>
  </si>
  <si>
    <t>Ability works, if all conditions are met</t>
  </si>
  <si>
    <t>⃠</t>
  </si>
  <si>
    <r>
      <rPr>
        <rFont val="Overpass"/>
        <color rgb="FFC7C9CD"/>
        <sz val="10.0"/>
      </rPr>
      <t xml:space="preserve">No </t>
    </r>
    <r>
      <rPr>
        <rFont val="Overpass"/>
        <color rgb="FFBF9000"/>
        <sz val="10.0"/>
      </rPr>
      <t>CM</t>
    </r>
    <r>
      <rPr>
        <rFont val="Overpass"/>
        <color rgb="FFC7C9CD"/>
        <sz val="10.0"/>
      </rPr>
      <t xml:space="preserve"> or </t>
    </r>
    <r>
      <rPr>
        <rFont val="Overpass"/>
        <color rgb="FFF6F8F9"/>
        <sz val="10.0"/>
      </rPr>
      <t>BDA</t>
    </r>
    <r>
      <rPr>
        <rFont val="Overpass"/>
        <color rgb="FFC7C9CD"/>
        <sz val="10.0"/>
      </rPr>
      <t xml:space="preserve"> </t>
    </r>
  </si>
  <si>
    <t>➖</t>
  </si>
  <si>
    <t>Does not work against the target</t>
  </si>
  <si>
    <t>Below Deck Ability "BDA"</t>
  </si>
  <si>
    <t>OA</t>
  </si>
  <si>
    <t>Officer Ability</t>
  </si>
  <si>
    <t>CM</t>
  </si>
  <si>
    <t>Captain's Manuever</t>
  </si>
  <si>
    <t>BDA</t>
  </si>
  <si>
    <t>Below Deck Ability</t>
  </si>
  <si>
    <t>If the definition isn't here, try the Glossary.</t>
  </si>
  <si>
    <t>Forbidden Tech "FT"</t>
  </si>
  <si>
    <t>Make a Copy</t>
  </si>
  <si>
    <t>Join us on the official Discord Channel</t>
  </si>
  <si>
    <t>Official Tool Discord Server</t>
  </si>
  <si>
    <t>Chaos Tech "CT"</t>
  </si>
  <si>
    <t xml:space="preserve">Select the Target </t>
  </si>
  <si>
    <t>Sort Order:  Works, Conditional, Name ASC</t>
  </si>
  <si>
    <t>BDA, CM, OA</t>
  </si>
  <si>
    <t>Select  the Ability Type(s)</t>
  </si>
  <si>
    <t>Search term e.g Hull Breach, Attack, State,… </t>
  </si>
  <si>
    <t>Outpost Retaliation Attackers</t>
  </si>
  <si>
    <t xml:space="preserve">Sort Order:  Works, Name, Ability # </t>
  </si>
  <si>
    <t>CT - Chaos Tech</t>
  </si>
  <si>
    <t>Switch between FT or CT</t>
  </si>
  <si>
    <t>Ability Coding Explained</t>
  </si>
  <si>
    <r>
      <rPr>
        <rFont val="Overpass"/>
        <color rgb="FFF6F8F9"/>
      </rPr>
      <t>When shot while on an Interceptor fighting a player ship with Hull Breach, Gul Dukat</t>
    </r>
    <r>
      <rPr>
        <rFont val="Overpass"/>
        <b/>
        <color rgb="FFF6F8F9"/>
        <u/>
      </rPr>
      <t xml:space="preserve"> increases the number of shots</t>
    </r>
    <r>
      <rPr>
        <rFont val="Overpass"/>
        <color rgb="FFF6F8F9"/>
      </rPr>
      <t xml:space="preserve"> by X once per Weapon for 5 rounds.</t>
    </r>
  </si>
  <si>
    <r>
      <rPr>
        <rFont val="Overpass"/>
        <color rgb="FFF6F8F9"/>
      </rPr>
      <t>When shot while on an Interceptor fighting a player ship with Hull Breach, Gul Dukat increases the number of shots by X once per Weapon</t>
    </r>
    <r>
      <rPr>
        <rFont val="Overpass"/>
        <b/>
        <color rgb="FFF6F8F9"/>
        <u/>
      </rPr>
      <t xml:space="preserve"> for 5 rounds</t>
    </r>
    <r>
      <rPr>
        <rFont val="Overpass"/>
        <color rgb="FFF6F8F9"/>
      </rPr>
      <t>.</t>
    </r>
  </si>
  <si>
    <r>
      <rPr>
        <rFont val="Overpass"/>
        <color rgb="FFF6F8F9"/>
      </rPr>
      <t xml:space="preserve">When shot </t>
    </r>
    <r>
      <rPr>
        <rFont val="Overpass"/>
        <b/>
        <color rgb="FFF6F8F9"/>
        <u/>
      </rPr>
      <t>while on an Interceptor(1)</t>
    </r>
    <r>
      <rPr>
        <rFont val="Overpass"/>
        <color rgb="FFF6F8F9"/>
      </rPr>
      <t xml:space="preserve"> </t>
    </r>
    <r>
      <rPr>
        <rFont val="Overpass"/>
        <b/>
        <color rgb="FFF6F8F9"/>
        <u/>
      </rPr>
      <t>fighting a player ship(2)</t>
    </r>
    <r>
      <rPr>
        <rFont val="Overpass"/>
        <color rgb="FFF6F8F9"/>
      </rPr>
      <t xml:space="preserve"> </t>
    </r>
    <r>
      <rPr>
        <rFont val="Overpass"/>
        <b/>
        <color rgb="FFF6F8F9"/>
        <u/>
      </rPr>
      <t>with Hull Breach(3)</t>
    </r>
    <r>
      <rPr>
        <rFont val="Overpass"/>
        <color rgb="FFF6F8F9"/>
      </rPr>
      <t>, Gul Dukat increases the number of shots by X once per Weapon for 5 rounds.</t>
    </r>
  </si>
  <si>
    <r>
      <rPr>
        <rFont val="Overpass"/>
        <b/>
        <color rgb="FFF6F8F9"/>
        <u/>
      </rPr>
      <t xml:space="preserve">When shot </t>
    </r>
    <r>
      <rPr>
        <rFont val="Overpass"/>
        <color rgb="FFF6F8F9"/>
      </rPr>
      <t>while on an Interceptor fighting a player ship with Hull Breach, Gul Dukat increases the number of shots by X once per Weapon for 5 rounds.</t>
    </r>
  </si>
  <si>
    <r>
      <rPr>
        <rFont val="Overpass"/>
        <color rgb="FFF6F8F9"/>
      </rPr>
      <t xml:space="preserve">When shot while </t>
    </r>
    <r>
      <rPr>
        <rFont val="Overpass"/>
        <b/>
        <color rgb="FFF6F8F9"/>
        <u/>
      </rPr>
      <t xml:space="preserve">on </t>
    </r>
    <r>
      <rPr>
        <rFont val="Overpass"/>
        <color rgb="FFF6F8F9"/>
      </rPr>
      <t>an Interceptor fighting a player ship with Hull Breach, Gul Dukat increases the number of shots by X once per Weapon for 5 rounds.</t>
    </r>
  </si>
  <si>
    <r>
      <rPr>
        <rFont val="Overpass"/>
        <color rgb="FFF6F8F9"/>
      </rPr>
      <t>When shot while on an Interceptor fighting a player ship with Hull Breach, Gul Dukat</t>
    </r>
    <r>
      <rPr>
        <rFont val="Overpass"/>
        <b/>
        <color rgb="FFF6F8F9"/>
        <u/>
      </rPr>
      <t xml:space="preserve"> increases</t>
    </r>
    <r>
      <rPr>
        <rFont val="Overpass"/>
        <color rgb="FFF6F8F9"/>
      </rPr>
      <t xml:space="preserve"> the number of shots by X once per Weapon for 5 rounds.</t>
    </r>
  </si>
  <si>
    <t>GUL DUKAT</t>
  </si>
  <si>
    <t>AbilityModifier</t>
  </si>
  <si>
    <t>ShotsPerAttack</t>
  </si>
  <si>
    <t>AbilityAttributes</t>
  </si>
  <si>
    <t>num_rounds=5</t>
  </si>
  <si>
    <t>AbilityCondition 1</t>
  </si>
  <si>
    <t xml:space="preserve">SelfInterceptor, </t>
  </si>
  <si>
    <t>AbilityTrigger</t>
  </si>
  <si>
    <t>HitTaken</t>
  </si>
  <si>
    <t>AbilityTarget</t>
  </si>
  <si>
    <t>SelfShip*</t>
  </si>
  <si>
    <t>AbilityOperation</t>
  </si>
  <si>
    <t>MultiplyAdd</t>
  </si>
  <si>
    <t>AbilityCondition 2</t>
  </si>
  <si>
    <t xml:space="preserve">EnemyPlayer, </t>
  </si>
  <si>
    <t>EXAMPLE</t>
  </si>
  <si>
    <t>AbilityCondition 3</t>
  </si>
  <si>
    <t>TargetHasHullBreach</t>
  </si>
  <si>
    <t>*SelfShip is a semi-default, and rarely included in description text.</t>
  </si>
  <si>
    <t>Simple Terminology</t>
  </si>
  <si>
    <t>Ability Modifier</t>
  </si>
  <si>
    <t>Ability Attributes</t>
  </si>
  <si>
    <t>Ability Conditions</t>
  </si>
  <si>
    <t>Ability Trigger</t>
  </si>
  <si>
    <t>Ability Target</t>
  </si>
  <si>
    <t>Ability Operation</t>
  </si>
  <si>
    <t>This describes what the ability actually modifies in a general sense.</t>
  </si>
  <si>
    <t>Attributes will add specificity to the modifier, including target resource for CE ability or loot gain, faction ID for specifying which targets it works on, or even limits on rounds, target level, duration or other fixed values.</t>
  </si>
  <si>
    <t>Conditions tell when a modifier can or cannot work. ALL conditions must be met for an ability to work.</t>
  </si>
  <si>
    <t>This tells when the ability will start working or "trigger". All abilities must have a trigger, therefore "ShipLaunched" is used as a default for most generic abilities.</t>
  </si>
  <si>
    <t>Who is affected by the ability. "SelfShip" and "EnemyShip" are the most common.</t>
  </si>
  <si>
    <t>How the ability applies to the actual formula.</t>
  </si>
  <si>
    <t>Common Syntax:</t>
  </si>
  <si>
    <t>TEXT STRING</t>
  </si>
  <si>
    <t>ACTUAL MEANING</t>
  </si>
  <si>
    <t>xxxLoot or xxxReward</t>
  </si>
  <si>
    <t>Loot bonus</t>
  </si>
  <si>
    <t>num_rounds</t>
  </si>
  <si>
    <t>limited to # number of rounds</t>
  </si>
  <si>
    <t>CombatBattleType</t>
  </si>
  <si>
    <t>different way of identifying target</t>
  </si>
  <si>
    <t>ShipLaunched</t>
  </si>
  <si>
    <t>Generic, always on</t>
  </si>
  <si>
    <t>EnemyAllShips</t>
  </si>
  <si>
    <t>Station Combat</t>
  </si>
  <si>
    <t>Add</t>
  </si>
  <si>
    <t xml:space="preserve">Base + Add </t>
  </si>
  <si>
    <t>OfficerStatxxx</t>
  </si>
  <si>
    <t>modifies officers stat</t>
  </si>
  <si>
    <t>Officer_stat</t>
  </si>
  <si>
    <t>Specify which stat (accuracy, etc)</t>
  </si>
  <si>
    <t>CombatGameContext</t>
  </si>
  <si>
    <t>mining or capture node</t>
  </si>
  <si>
    <t>CombatStart</t>
  </si>
  <si>
    <t>Combat only</t>
  </si>
  <si>
    <t>SelfAllShips</t>
  </si>
  <si>
    <t>TOS Spock only</t>
  </si>
  <si>
    <t>Base + (Base * MultiplyAdd)</t>
  </si>
  <si>
    <t>state</t>
  </si>
  <si>
    <t>Specify which state (morale, etc)</t>
  </si>
  <si>
    <t>Enemy__</t>
  </si>
  <si>
    <t>your opponent's condition</t>
  </si>
  <si>
    <t>RoundStart**</t>
  </si>
  <si>
    <t>Many abilities, order of abilities that trigger can affect other abilities!</t>
  </si>
  <si>
    <t>EnemyAll</t>
  </si>
  <si>
    <t>All officer stats</t>
  </si>
  <si>
    <t>MultiplyBaseAdd</t>
  </si>
  <si>
    <t>Base + (Officer stat * MultiplyBaseAdd)</t>
  </si>
  <si>
    <t>faction_id</t>
  </si>
  <si>
    <t>Specifies hostile group</t>
  </si>
  <si>
    <t>Self__</t>
  </si>
  <si>
    <t>your ship's condition</t>
  </si>
  <si>
    <t>SelfAll</t>
  </si>
  <si>
    <t>MultiplyBaseSub</t>
  </si>
  <si>
    <t>Base - (Officer stat * MultiplyBaseAdd)</t>
  </si>
  <si>
    <t>max_level</t>
  </si>
  <si>
    <t>limits to level of target or below</t>
  </si>
  <si>
    <t>__Has__</t>
  </si>
  <si>
    <t>State</t>
  </si>
  <si>
    <t>MultiplySub</t>
  </si>
  <si>
    <t>Base - (Base * MultiplySub)</t>
  </si>
  <si>
    <t>resources</t>
  </si>
  <si>
    <t>Gives an actual ID for resource</t>
  </si>
  <si>
    <t>_Is_ or _not_</t>
  </si>
  <si>
    <t xml:space="preserve">includes/excludes </t>
  </si>
  <si>
    <t>BattleWon</t>
  </si>
  <si>
    <t>Post-combat buff</t>
  </si>
  <si>
    <t>Set</t>
  </si>
  <si>
    <t>Applying a state</t>
  </si>
  <si>
    <t>percentage</t>
  </si>
  <si>
    <t>fixed percentage</t>
  </si>
  <si>
    <t>Sub</t>
  </si>
  <si>
    <t xml:space="preserve">Base - Sub </t>
  </si>
  <si>
    <t>FUll Text</t>
  </si>
  <si>
    <t>Accuracy</t>
  </si>
  <si>
    <t>battle_types=[2, 3, 5, 6, 7, 8, 9]</t>
  </si>
  <si>
    <t>CargoEmpty</t>
  </si>
  <si>
    <t>ActianVenomAndNanoprobeLoot</t>
  </si>
  <si>
    <t>battle_types=[3]</t>
  </si>
  <si>
    <t>CargoFull</t>
  </si>
  <si>
    <t>AddRandomState</t>
  </si>
  <si>
    <t>battle_types=[4]</t>
  </si>
  <si>
    <t>CriticalShotFired</t>
  </si>
  <si>
    <t>EnemyBridge</t>
  </si>
  <si>
    <t>AddState</t>
  </si>
  <si>
    <t>battle_types=[4], game_context=capture_node</t>
  </si>
  <si>
    <t>CriticalShotTaken</t>
  </si>
  <si>
    <t>EnemyCaptain</t>
  </si>
  <si>
    <t>AllDamage</t>
  </si>
  <si>
    <t>battle_types=[4], game_context=capture_node, num_rounds=1, state=2</t>
  </si>
  <si>
    <t>EnemyBattleship</t>
  </si>
  <si>
    <t>EnemyTakesHit</t>
  </si>
  <si>
    <t>EnemyShip</t>
  </si>
  <si>
    <t>AllDefenses</t>
  </si>
  <si>
    <t>battle_types=[4], game_context=capture_node, officer_stat=2</t>
  </si>
  <si>
    <t>EnemyExplorer</t>
  </si>
  <si>
    <t>AllLoadSpeed</t>
  </si>
  <si>
    <t>battle_types=[4], game_context=capture_node, officer_stat=3</t>
  </si>
  <si>
    <t>EnemyHostile</t>
  </si>
  <si>
    <t>Red Moving Space, Waves, QTrial</t>
  </si>
  <si>
    <t>HullDamageTaken</t>
  </si>
  <si>
    <t>AllPiercing</t>
  </si>
  <si>
    <t>battle_types=[4], game_context=mining_node</t>
  </si>
  <si>
    <t>EnemyHullFaction</t>
  </si>
  <si>
    <t>RoundEnd</t>
  </si>
  <si>
    <t>SelfBridge</t>
  </si>
  <si>
    <t>AllReloadSpeed</t>
  </si>
  <si>
    <t>duration_seconds=30</t>
  </si>
  <si>
    <t>EnemyInterceptor</t>
  </si>
  <si>
    <t>RoundStart</t>
  </si>
  <si>
    <t>SelfCaptain</t>
  </si>
  <si>
    <t>ApexBarrier</t>
  </si>
  <si>
    <t>duration_seconds=60</t>
  </si>
  <si>
    <t>EnemyNotToaTrialHostile</t>
  </si>
  <si>
    <t>ShieldDamageTaken</t>
  </si>
  <si>
    <t>SelfOfficer</t>
  </si>
  <si>
    <t>ApexShred</t>
  </si>
  <si>
    <t>faction_id=1750120904</t>
  </si>
  <si>
    <t>EnemyPlayer</t>
  </si>
  <si>
    <t>ShieldsDepleted</t>
  </si>
  <si>
    <t>SelfShip</t>
  </si>
  <si>
    <t>ArmadaLoot</t>
  </si>
  <si>
    <t>faction_id=1750120904, num_rounds=3</t>
  </si>
  <si>
    <t>EnemySentinel</t>
  </si>
  <si>
    <t>ArmorPiercing</t>
  </si>
  <si>
    <t>faction_id=2064723306</t>
  </si>
  <si>
    <t>EnemyStronger</t>
  </si>
  <si>
    <t>ShipRecalled</t>
  </si>
  <si>
    <t>ArtifactTokenLoot</t>
  </si>
  <si>
    <t>faction_id=2064723306, officer_stat=2</t>
  </si>
  <si>
    <t>EnemySurvey</t>
  </si>
  <si>
    <t>TargetShieldsDepleted</t>
  </si>
  <si>
    <t>BrokenShipPartsLoot</t>
  </si>
  <si>
    <t>faction_id=2489857622</t>
  </si>
  <si>
    <t>HitEnemyWithEnergy</t>
  </si>
  <si>
    <t>CargoCapacity</t>
  </si>
  <si>
    <t>faction_id=2943562711</t>
  </si>
  <si>
    <t>HitEnemyWithKinetic</t>
  </si>
  <si>
    <t>CargoProtection</t>
  </si>
  <si>
    <t>faction_id=2943562711, num_rounds=1</t>
  </si>
  <si>
    <t>HullHealthAbove</t>
  </si>
  <si>
    <t>CombatDilithiumReward</t>
  </si>
  <si>
    <t>faction_id=3292196998</t>
  </si>
  <si>
    <t>HullHealthBelow</t>
  </si>
  <si>
    <t>CombatParsteelReward</t>
  </si>
  <si>
    <t>faction_id=3536012672</t>
  </si>
  <si>
    <t>HullHealthBelowStartOfCombat</t>
  </si>
  <si>
    <t>CombatPveRewards</t>
  </si>
  <si>
    <t>faction_id=4153667145</t>
  </si>
  <si>
    <t>ModuleEnergy</t>
  </si>
  <si>
    <t>CombatScavenger</t>
  </si>
  <si>
    <t>faction_id=4153667145, officer_stat=1</t>
  </si>
  <si>
    <t>ModuleKinetic</t>
  </si>
  <si>
    <t>CombatTritaniumReward</t>
  </si>
  <si>
    <t>faction_id=669838839</t>
  </si>
  <si>
    <t>SelfAtAssault2</t>
  </si>
  <si>
    <t>CombatXPReward</t>
  </si>
  <si>
    <t>faction_id=669838839, officer_stat=3</t>
  </si>
  <si>
    <t>SelfAtSoloArmada</t>
  </si>
  <si>
    <t>CptManeuverEffect</t>
  </si>
  <si>
    <t>game_context=mining_node</t>
  </si>
  <si>
    <t>SelfAtStation</t>
  </si>
  <si>
    <t>CritChance</t>
  </si>
  <si>
    <t>game_context=takeover</t>
  </si>
  <si>
    <t>SelfAttacking</t>
  </si>
  <si>
    <t>CritDamage</t>
  </si>
  <si>
    <t>max_level=35</t>
  </si>
  <si>
    <t>SelfAtWaveDefenseChallenge</t>
  </si>
  <si>
    <t>FactionPointsGain</t>
  </si>
  <si>
    <t>max_level=51</t>
  </si>
  <si>
    <t>SelfBattleship</t>
  </si>
  <si>
    <t>GornHostileVolatileLoot</t>
  </si>
  <si>
    <t>max_level=60</t>
  </si>
  <si>
    <t>SelfCloaked</t>
  </si>
  <si>
    <t>HirogenRelicAndBiotoxinLoot</t>
  </si>
  <si>
    <t>max_level=70</t>
  </si>
  <si>
    <t>SelfDefending</t>
  </si>
  <si>
    <t>HostileLoot</t>
  </si>
  <si>
    <t>max_level=70, num_rounds=1</t>
  </si>
  <si>
    <t>SelfExplorer</t>
  </si>
  <si>
    <t>HullHPMax</t>
  </si>
  <si>
    <t>max_level=70, num_rounds=2</t>
  </si>
  <si>
    <t>SelfHasBurning</t>
  </si>
  <si>
    <t>HullHPRepair</t>
  </si>
  <si>
    <t>multi_state=[4, 2, 64], num_rounds=2</t>
  </si>
  <si>
    <t>SelfHasHullBreach</t>
  </si>
  <si>
    <t>HullRepair</t>
  </si>
  <si>
    <t>multi_state=[8, 4, 2], num_rounds=3</t>
  </si>
  <si>
    <t>SelfHasMorale</t>
  </si>
  <si>
    <t>ImpulseSpeed</t>
  </si>
  <si>
    <t>num_rounds=1</t>
  </si>
  <si>
    <t>SelfHullAmalgam</t>
  </si>
  <si>
    <t>IsolyticDamage</t>
  </si>
  <si>
    <t>num_rounds=1, officer_stat=1</t>
  </si>
  <si>
    <t>SelfHullBorgCube</t>
  </si>
  <si>
    <t>IsolyticDefense</t>
  </si>
  <si>
    <t>num_rounds=1, officer_stat=2</t>
  </si>
  <si>
    <t>SelfHullDiscovery</t>
  </si>
  <si>
    <t>JumpAndTowCostEff</t>
  </si>
  <si>
    <t>num_rounds=1, officer_stat=3</t>
  </si>
  <si>
    <t>SelfHullFranklins</t>
  </si>
  <si>
    <t>MiningRate</t>
  </si>
  <si>
    <t>num_rounds=1, percentage=0.3, state=8</t>
  </si>
  <si>
    <t>SelfHullJunker</t>
  </si>
  <si>
    <t>MiningReward</t>
  </si>
  <si>
    <t>num_rounds=1, percentage=0.5</t>
  </si>
  <si>
    <t>SelfHullNseaProtector</t>
  </si>
  <si>
    <t>OffAbilityEffect</t>
  </si>
  <si>
    <t>num_rounds=1, percentage=0.6</t>
  </si>
  <si>
    <t>SelfHullVoyager</t>
  </si>
  <si>
    <t>OfficerStatAll</t>
  </si>
  <si>
    <t>num_rounds=1, state=2</t>
  </si>
  <si>
    <t>SelfInterceptor</t>
  </si>
  <si>
    <t>OfficerStatAttack</t>
  </si>
  <si>
    <t>num_rounds=1, state=4</t>
  </si>
  <si>
    <t>SelfMining</t>
  </si>
  <si>
    <t>OfficerStatDefense</t>
  </si>
  <si>
    <t>num_rounds=1, state=8</t>
  </si>
  <si>
    <t>SelfOfficerTalNotOnBridge</t>
  </si>
  <si>
    <t>OfficerStatHealth</t>
  </si>
  <si>
    <t>num_rounds=2</t>
  </si>
  <si>
    <t>SelfStateNone</t>
  </si>
  <si>
    <t>Omega13Cooldown</t>
  </si>
  <si>
    <t>num_rounds=2, officer_stat=3</t>
  </si>
  <si>
    <t>SelfSurveyor</t>
  </si>
  <si>
    <t>PveChestLootMultiplierLimitedResources</t>
  </si>
  <si>
    <t>num_rounds=2, state=2</t>
  </si>
  <si>
    <t>TargetHasAssimilated</t>
  </si>
  <si>
    <t>RepairCostsPost</t>
  </si>
  <si>
    <t>num_rounds=2, state=4</t>
  </si>
  <si>
    <t>TargetHasBurning</t>
  </si>
  <si>
    <t>RepairTime</t>
  </si>
  <si>
    <t>num_rounds=2, state=64</t>
  </si>
  <si>
    <t>ShieldHPMax</t>
  </si>
  <si>
    <t>num_rounds=2, state=8</t>
  </si>
  <si>
    <t>TargetIsArmada</t>
  </si>
  <si>
    <t>ShieldHPRepair</t>
  </si>
  <si>
    <t>num_rounds=3</t>
  </si>
  <si>
    <t>TargetIsArmadaOrInvadingEntity</t>
  </si>
  <si>
    <t>ShieldMitigation</t>
  </si>
  <si>
    <t>num_rounds=3, percentage=0.8, state=2</t>
  </si>
  <si>
    <t>TargetIsInvadingEntity</t>
  </si>
  <si>
    <t>ShieldPiercing</t>
  </si>
  <si>
    <t>num_rounds=3, percentage=0.8, state=8</t>
  </si>
  <si>
    <t>TargetMaxLevel</t>
  </si>
  <si>
    <t>Shields</t>
  </si>
  <si>
    <t>num_rounds=3, state=2</t>
  </si>
  <si>
    <t>TargetNotArmada</t>
  </si>
  <si>
    <t>ShipArmor</t>
  </si>
  <si>
    <t>num_rounds=3, state=4</t>
  </si>
  <si>
    <t>TargetNotASB</t>
  </si>
  <si>
    <t>ShipDodge</t>
  </si>
  <si>
    <t>num_rounds=3, state=8</t>
  </si>
  <si>
    <t>TargetNotInvadingEntity</t>
  </si>
  <si>
    <t>num_rounds=4</t>
  </si>
  <si>
    <t>TargetNotPlayerStation</t>
  </si>
  <si>
    <t>SkillCloakingCooldown</t>
  </si>
  <si>
    <t>num_rounds=4, percentage=0.95, state=64</t>
  </si>
  <si>
    <t>TargetStateAny</t>
  </si>
  <si>
    <t>SkillCloakingDuration</t>
  </si>
  <si>
    <t>SkillCuttingBeamAbilityCost</t>
  </si>
  <si>
    <t>num_rounds=8</t>
  </si>
  <si>
    <t>SkillCuttingBeamPvPBaseDamagePercentage</t>
  </si>
  <si>
    <t>officer_stat=1</t>
  </si>
  <si>
    <t>TrelliumRewards</t>
  </si>
  <si>
    <t>officer_stat=2</t>
  </si>
  <si>
    <t>VoyagerAsaCE</t>
  </si>
  <si>
    <t>officer_stat=3</t>
  </si>
  <si>
    <t>WarpDistance</t>
  </si>
  <si>
    <t>percentage=0.35</t>
  </si>
  <si>
    <t>WarpSpeed</t>
  </si>
  <si>
    <t>percentage=0.7</t>
  </si>
  <si>
    <t>WokAugmentAllLootRewards</t>
  </si>
  <si>
    <t>resources=[1371898528, 680796905, 3735331456, 3598797204, 3739531165, 2285412015]</t>
  </si>
  <si>
    <t>XindiHostileLoot</t>
  </si>
  <si>
    <t>resources=[1371898528, 680796905, 3735331456, 3598797204, 3739531165, 96209859, 1779416627, 2964093937, 1349464922, 2002611017, 1908242242, 84292608, 802509572, 2905009151, 3842158911, 1586478890, 296474010, 2285412015]</t>
  </si>
  <si>
    <t>resources=[1371898528, 96209859, 1908242242, 680796905, 1779416627, 84292608, 3735331456, 2964093937, 802509572, 3598797204, 1349464922, 2905009151, 3842158911, 2002611017, 3739531165, 1586478890, 296474010, 2285412015]</t>
  </si>
  <si>
    <t>resources=[1495067766, 2431214132, 3342042571, 819663825]</t>
  </si>
  <si>
    <t>resources=[1600760006, 2166628666]</t>
  </si>
  <si>
    <t>resources=[1908242242, 84292608, 802509572, 2905009151, 3842158911, 1586478890]</t>
  </si>
  <si>
    <t>resources=[2164745208]</t>
  </si>
  <si>
    <t>resources=[2325683920, 4275314946, 999782265]</t>
  </si>
  <si>
    <t>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t>
  </si>
  <si>
    <t>resources=[2325683920, 743985951, 2614028847, 999782265, 580616659, 3043859351]</t>
  </si>
  <si>
    <t>resources=[2614028847, 733419347]</t>
  </si>
  <si>
    <t>resources=[2991010408, 2705205969, 563579678]</t>
  </si>
  <si>
    <t>resources=[680796905, 1779416627, 84292608]</t>
  </si>
  <si>
    <t>resources=[680796905, 3735331456, 3598797204, 3739531165, 1779416627, 2964093937, 1349464922, 2002611017, 84292608, 802509572, 2905009151, 3842158911]</t>
  </si>
  <si>
    <t>resources=[743985951, 1734940706, 580616659]</t>
  </si>
  <si>
    <t>resources=[96209859, 1779416627, 2964093937, 1349464922, 2002611017, 296474010]</t>
  </si>
  <si>
    <t>Codes</t>
  </si>
  <si>
    <t>Buff Target</t>
  </si>
  <si>
    <t>BuffTrigger</t>
  </si>
  <si>
    <t>battle_types</t>
  </si>
  <si>
    <t>officer_stat</t>
  </si>
  <si>
    <t>TargSelfOfficer = 0</t>
  </si>
  <si>
    <t>TrigTargetDefeated = 0</t>
  </si>
  <si>
    <t xml:space="preserve">Burning </t>
  </si>
  <si>
    <t>Fleet</t>
  </si>
  <si>
    <t>attack</t>
  </si>
  <si>
    <t>TargSelfShip = 1</t>
  </si>
  <si>
    <t>TrigSelfDefeated = 1</t>
  </si>
  <si>
    <t>Moral</t>
  </si>
  <si>
    <t>Base</t>
  </si>
  <si>
    <t>defense</t>
  </si>
  <si>
    <t>TargSelfAllships = 2</t>
  </si>
  <si>
    <t>TrigTargetShieldsDeplete = 2</t>
  </si>
  <si>
    <t>Hull Breach</t>
  </si>
  <si>
    <t>Passive_Marauder</t>
  </si>
  <si>
    <t>health</t>
  </si>
  <si>
    <t>TargSelfCaptain = 3</t>
  </si>
  <si>
    <t>TrigSelfShieldsDeplete = 3</t>
  </si>
  <si>
    <t>assimilate</t>
  </si>
  <si>
    <t>Npc_Instantiated</t>
  </si>
  <si>
    <t>TargSelfBridge = 4</t>
  </si>
  <si>
    <t>TrigSelfHhpDamage = 6</t>
  </si>
  <si>
    <t>Docking_Point</t>
  </si>
  <si>
    <t>TargSelfAll = 5</t>
  </si>
  <si>
    <t>TrigSelfShpDamage = 7</t>
  </si>
  <si>
    <t>Active_Marauder_Marauder_Initiator</t>
  </si>
  <si>
    <t>TargEnemyShip = 6</t>
  </si>
  <si>
    <t>TrigTargetHitAny = 10</t>
  </si>
  <si>
    <t>Active_Marauder_Player_Initiator</t>
  </si>
  <si>
    <t>TargEnemyCaptain = 7</t>
  </si>
  <si>
    <t>TrigSelfHitAny = 13</t>
  </si>
  <si>
    <t>Armada_Base</t>
  </si>
  <si>
    <t>TargEnemyBridge = 8</t>
  </si>
  <si>
    <t>TrigTargetHhpBelow = 14</t>
  </si>
  <si>
    <t>Armada_Marauder</t>
  </si>
  <si>
    <t>TargEnemyAll = 9</t>
  </si>
  <si>
    <t>TrigSelfHhpBelow = 15</t>
  </si>
  <si>
    <t>PvE_Docking_Point</t>
  </si>
  <si>
    <t>TargEnemyAllships = 10</t>
  </si>
  <si>
    <t>TrigSelfShotACrit = 16</t>
  </si>
  <si>
    <t>Armada_ASB</t>
  </si>
  <si>
    <t>TargSelfBelowDeck = 11</t>
  </si>
  <si>
    <t>TrigSelfStruckByCrit = 17</t>
  </si>
  <si>
    <t>Armada_MTA</t>
  </si>
  <si>
    <t>TargSelfShipAll = 100</t>
  </si>
  <si>
    <t>TrigRoundStart = 18</t>
  </si>
  <si>
    <t>Hazard</t>
  </si>
  <si>
    <t>TargSelfOfficerAll = 101</t>
  </si>
  <si>
    <t>TrigRoundEnd = 19</t>
  </si>
  <si>
    <t>PvE_Cutting_Beam</t>
  </si>
  <si>
    <t>TargSelfCaptainAll = 102</t>
  </si>
  <si>
    <t>TrigCombatWon = 20</t>
  </si>
  <si>
    <t>PvP_Cutting_Beam</t>
  </si>
  <si>
    <t>TargEnemyStation = 103</t>
  </si>
  <si>
    <t>TrigCombatLost = 21</t>
  </si>
  <si>
    <t>PvE_Chain_Shot</t>
  </si>
  <si>
    <t>TargStation = 104</t>
  </si>
  <si>
    <t>TrigMissionComplete = 22</t>
  </si>
  <si>
    <t>PvP_Chain_Shot</t>
  </si>
  <si>
    <t>TargToaTrial = 105</t>
  </si>
  <si>
    <t>TrigMiningComplete = 23</t>
  </si>
  <si>
    <t>Outpost_Armada</t>
  </si>
  <si>
    <t>TargSysUserShipAll = 201</t>
  </si>
  <si>
    <t>TrigSelfLaunch = 24</t>
  </si>
  <si>
    <t>Outpost_Retaliation</t>
  </si>
  <si>
    <t>TargSysAllianceShipAll = 202</t>
  </si>
  <si>
    <t>TrigCombatStart = 25</t>
  </si>
  <si>
    <t>TargHostileShip = 203</t>
  </si>
  <si>
    <t>TrigSelfRecall = 26</t>
  </si>
  <si>
    <t>TargAnyEnemyShip = 204</t>
  </si>
  <si>
    <t>TrigCombatComplete = 27</t>
  </si>
  <si>
    <t>TrigTotaldefeat = 101</t>
  </si>
  <si>
    <t>TrigTakeCapobj = 102</t>
  </si>
  <si>
    <t>TrigLoseCapobj = 103</t>
  </si>
  <si>
    <t>TrigStationDefeat = 104</t>
  </si>
  <si>
    <t>TrigAllyDefeat = 105</t>
  </si>
  <si>
    <t>TrigRallyStart = 106</t>
  </si>
  <si>
    <t>TrigRallyComplete = 107</t>
  </si>
  <si>
    <t>TrigModuleComplete = 108</t>
  </si>
  <si>
    <t>TrigResearchComplete = 109</t>
  </si>
  <si>
    <t>TrigShipComplete = 110</t>
  </si>
  <si>
    <t>TrigTierupComplete = 111</t>
  </si>
  <si>
    <t>TrigCmpntUpgrade = 112</t>
  </si>
  <si>
    <t>TrigOffPromo = 113</t>
  </si>
  <si>
    <t>TrigOffLevel = 114</t>
  </si>
  <si>
    <t>TrigEvntStart = 115</t>
  </si>
  <si>
    <t>TrigEvntComplete = 116</t>
  </si>
  <si>
    <t>TrigMssnStart = 117</t>
  </si>
  <si>
    <t>TrigPassive = 118</t>
  </si>
  <si>
    <t xml:space="preserve">Officer Sourcing Guide                                        </t>
  </si>
  <si>
    <t>This sourcing guide is pulled directly 
from this linked spreadsheet.</t>
  </si>
  <si>
    <t>Rarity</t>
  </si>
  <si>
    <t>Art</t>
  </si>
  <si>
    <t>TechName</t>
  </si>
  <si>
    <t>Buff#</t>
  </si>
  <si>
    <t>TechType</t>
  </si>
  <si>
    <t>PvP Space</t>
  </si>
  <si>
    <t>Red Moving Space</t>
  </si>
  <si>
    <t>Waves</t>
  </si>
  <si>
    <t>QTrial</t>
  </si>
  <si>
    <t>Mission Bosses</t>
  </si>
  <si>
    <t>Group Armadas</t>
  </si>
  <si>
    <t>Solo Armadas</t>
  </si>
  <si>
    <t>Invading Entities</t>
  </si>
  <si>
    <t>Assaults</t>
  </si>
  <si>
    <t>Outpost Armadas</t>
  </si>
  <si>
    <t>Reason</t>
  </si>
  <si>
    <t>Loot</t>
  </si>
  <si>
    <t>Utility</t>
  </si>
  <si>
    <t>Ability Description Different</t>
  </si>
  <si>
    <t>Explanation</t>
  </si>
  <si>
    <t>Suggested Description</t>
  </si>
  <si>
    <t>ArtID</t>
  </si>
  <si>
    <t>BuffID</t>
  </si>
  <si>
    <t>Column 32</t>
  </si>
  <si>
    <t>Column 33</t>
  </si>
  <si>
    <t>Column 34</t>
  </si>
  <si>
    <t>Column 35</t>
  </si>
  <si>
    <t>Effects all Loot gained in PvE</t>
  </si>
  <si>
    <t>Increase base Loot gained by X</t>
  </si>
  <si>
    <t>only red moving space, waves, QTrial,</t>
  </si>
  <si>
    <t xml:space="preserve">all PvE except Missions, Assaults, and Outpost </t>
  </si>
  <si>
    <t>Incorrect Ability Modifier. Actually adds to your Iso defense.</t>
  </si>
  <si>
    <t>Increases Isolytic Defense by X against Hostiles and Armadas.</t>
  </si>
  <si>
    <t>all PvE except Missions, Assaults, and Outpost</t>
  </si>
  <si>
    <t>only red moving space, waves, QTrial, does not work with TAL</t>
  </si>
  <si>
    <t>Increase base Loot gained when using Serene Squall by X.</t>
  </si>
  <si>
    <t>OfficerName</t>
  </si>
  <si>
    <t>AbilityType</t>
  </si>
  <si>
    <t>Officer Synergy</t>
  </si>
  <si>
    <t>Ability Description Short</t>
  </si>
  <si>
    <t>Ability Short Different</t>
  </si>
  <si>
    <t>Ability Chances</t>
  </si>
  <si>
    <t>Ability Values</t>
  </si>
  <si>
    <t>Ability Has Chance</t>
  </si>
  <si>
    <t>Ability Show Percentage</t>
  </si>
  <si>
    <t>ID</t>
  </si>
  <si>
    <t>AbilityID</t>
  </si>
  <si>
    <t>Order</t>
  </si>
  <si>
    <t>BROKEN - doesn't work</t>
  </si>
  <si>
    <t>Will continue to work after HHP has repaired more than 35% of its value at the beginning of combat.</t>
  </si>
  <si>
    <t>Trigger: When you take hull damage (like HUGH)</t>
  </si>
  <si>
    <t>Every time the Ship takes hull damage, Khan increases the Critical Hit Chances by X (cumulative). -- (Weapons with multiple shots will only trigger this ability once per attack.)</t>
  </si>
  <si>
    <t>adds 10M base stats, one could argue not that "greatly" these days for higher generation</t>
  </si>
  <si>
    <t>Effects all Loot gained in PvE if on a Franklin</t>
  </si>
  <si>
    <t>Increase base Loot gained by X, while on the Franklin and Franklin-A.</t>
  </si>
  <si>
    <t>Stacks with other players' Six of Eleven in an armada attack.</t>
  </si>
  <si>
    <t>Works on all Armadas, IE, Outpost, not on Outpost Retaliation Attackers</t>
  </si>
  <si>
    <t>Stacks with other players' Changeling Kira in an armada attack.</t>
  </si>
  <si>
    <t>Trigger: When you take hull damage (like DOC)</t>
  </si>
  <si>
    <t>Hugh has X chance to increase Critical Hit Chance by 25% for 2 rounds after being taking hull damage from a Hostile. (This ability can stack) (Weapons with multiple shots will only trigger this ability once per attack)</t>
  </si>
  <si>
    <t xml:space="preserve">armadas missing, only positive, see kim </t>
  </si>
  <si>
    <t>Increases all positive Reputation gains by X (X at rank X).</t>
  </si>
  <si>
    <t xml:space="preserve">Correct , streamlined version </t>
  </si>
  <si>
    <t>armadas missing, see kim</t>
  </si>
  <si>
    <t xml:space="preserve">armadas missing, all hostiles, see kim </t>
  </si>
  <si>
    <t>works against everything</t>
  </si>
  <si>
    <t>WOK Joachim increases your Isolytic Defense by X (X at rank X) against opponents</t>
  </si>
  <si>
    <t>Unique CT</t>
  </si>
  <si>
    <t>Unique FT</t>
  </si>
  <si>
    <t>Target Category</t>
  </si>
  <si>
    <t>All Headers Officers</t>
  </si>
  <si>
    <t>All Headers Tech</t>
  </si>
  <si>
    <t>Core</t>
  </si>
  <si>
    <t>All</t>
  </si>
  <si>
    <t>Short</t>
  </si>
  <si>
    <t>Minimum</t>
  </si>
  <si>
    <t>Spalte 2</t>
  </si>
  <si>
    <t>Outpost</t>
  </si>
  <si>
    <t>PvP</t>
  </si>
  <si>
    <t>Target</t>
  </si>
  <si>
    <t>DoesItWork</t>
  </si>
  <si>
    <t>CT</t>
  </si>
  <si>
    <t>FT</t>
  </si>
  <si>
    <t>FilteredTarget</t>
  </si>
  <si>
    <t>Spalte 3</t>
  </si>
  <si>
    <t>Array:</t>
  </si>
  <si>
    <t>PvP
Space</t>
  </si>
  <si>
    <t>!</t>
  </si>
  <si>
    <t>OfficerSynergy</t>
  </si>
  <si>
    <t>Outpost Both</t>
  </si>
  <si>
    <t>Default Order</t>
  </si>
  <si>
    <t>AbilityConditions</t>
  </si>
  <si>
    <t>AbilityDescription</t>
  </si>
  <si>
    <t>AbilityDescriptionShort</t>
  </si>
  <si>
    <t>AbilityChances</t>
  </si>
  <si>
    <t>AbilityValues</t>
  </si>
  <si>
    <t>AbilityHasChance</t>
  </si>
  <si>
    <t>AbilityShowPercentage</t>
  </si>
  <si>
    <t>Tag_PvPinSpace</t>
  </si>
  <si>
    <t>Tag_PvPinSpace_Reason</t>
  </si>
  <si>
    <t>Tag_PvPStation</t>
  </si>
  <si>
    <t>Tag_PvPStation_Reason</t>
  </si>
  <si>
    <t>Tag_NonArmadaHostiles</t>
  </si>
  <si>
    <t>Tag_NonArmadaHostiles_Reason</t>
  </si>
  <si>
    <t>Tag_WaveDefense</t>
  </si>
  <si>
    <t>Tag_WaveDefense_Reason</t>
  </si>
  <si>
    <t>Tag_MissionBosses</t>
  </si>
  <si>
    <t>Tag_MissionBosses_Reason</t>
  </si>
  <si>
    <t>Tag_QTrial</t>
  </si>
  <si>
    <t>Tag_QTrial_Reason</t>
  </si>
  <si>
    <t>Tag_SoloArmadas</t>
  </si>
  <si>
    <t>Tag_SoloArmadas_Reason</t>
  </si>
  <si>
    <t>Tag_GroupArmadas</t>
  </si>
  <si>
    <t>Tag_GroupArmadas_Reason</t>
  </si>
  <si>
    <t>Tag_Assaults</t>
  </si>
  <si>
    <t>Tag_Assaults_Reason</t>
  </si>
  <si>
    <t>Tag_InvadingEntities</t>
  </si>
  <si>
    <t>Tag_InvadingEntities_Reason</t>
  </si>
  <si>
    <t>Tag_OutpostArmadas</t>
  </si>
  <si>
    <t>Tag_OutpostArmadas_Reason</t>
  </si>
  <si>
    <t>Tag_OutpostRetaliators</t>
  </si>
  <si>
    <t>Tag_OutpostRetaliators_Reason</t>
  </si>
  <si>
    <t>Tag_Loot</t>
  </si>
  <si>
    <t>Tag_Loot_Reason</t>
  </si>
  <si>
    <t>Tag_Utility</t>
  </si>
  <si>
    <t>Tag_Utility_Reason</t>
  </si>
  <si>
    <t>OfficerId</t>
  </si>
  <si>
    <t>OfficerArt</t>
  </si>
  <si>
    <t>OfficerRarity</t>
  </si>
  <si>
    <t>Requires_StateSelf</t>
  </si>
  <si>
    <t>Requires_StateTarget</t>
  </si>
  <si>
    <t>Conditional_Reason</t>
  </si>
  <si>
    <t>AbilityChance_1</t>
  </si>
  <si>
    <t>AbilityChance_2</t>
  </si>
  <si>
    <t>AbilityChance_3</t>
  </si>
  <si>
    <t>AbilityChance_4</t>
  </si>
  <si>
    <t>AbilityChance_5</t>
  </si>
  <si>
    <t>AbilityValue_1</t>
  </si>
  <si>
    <t>AbilityValue_2</t>
  </si>
  <si>
    <t>AbilityValue_3</t>
  </si>
  <si>
    <t>AbilityValue_4</t>
  </si>
  <si>
    <t>AbilityValue_5</t>
  </si>
  <si>
    <t>KIRK</t>
  </si>
  <si>
    <t>ENTERPRISE CREW</t>
  </si>
  <si>
    <t>As long as the ship has Morale, Kirk gives all Officers on the ship a bonus of X to all their stats.</t>
  </si>
  <si>
    <t>X to all Officer stats when the ship has Morale</t>
  </si>
  <si>
    <t>1.0, 1.0, 1.0</t>
  </si>
  <si>
    <t>0.4, 0.1, 0.2</t>
  </si>
  <si>
    <t>Morale</t>
  </si>
  <si>
    <t>At the beginning of each round, Kirk has a X chance of inspiring Morale to the ship for 2 rounds.</t>
  </si>
  <si>
    <t>X chance to inspire Morale to his ship each round for 2 rounds</t>
  </si>
  <si>
    <t>0.5, 0.6, 0.7, 0.75, 0.8</t>
  </si>
  <si>
    <t>SPOCK</t>
  </si>
  <si>
    <t>Spock increases the Accuracy of the ship by X at the beginning of each Round in combat.</t>
  </si>
  <si>
    <t>+X to the ship's Accuracy at the start of each Round</t>
  </si>
  <si>
    <t>0.15, 0.05, 0.1</t>
  </si>
  <si>
    <t>While the ship has Morale, Spock restores Shield Health to an amount equal to X of the Defense of the Officers on the ship.</t>
  </si>
  <si>
    <t>X of total Officer Defense on the ship restored to the Shield when having Morale</t>
  </si>
  <si>
    <t>1.0, 1.0, 1.0, 1.0, 1.0</t>
  </si>
  <si>
    <t>0.25, 0.5, 1.0, 4.0, 7.5</t>
  </si>
  <si>
    <t>BONES</t>
  </si>
  <si>
    <t>McCoy gives a bonus of X to all the Officer Abilities of the Officers on the bridge during combat. Works against Hostiles of level 70 and under.</t>
  </si>
  <si>
    <t>+X bonus to Officer Abilities during combat</t>
  </si>
  <si>
    <t>0.2, 0.07, 0.15</t>
  </si>
  <si>
    <t>target level 70 or under</t>
  </si>
  <si>
    <t>Every time the ship gets hit by a weapon attack, McCoy increases the Defense of all the officers on the Bridge by X. Works against Hostiles of level 70 and under. -- (Weapons with multiple shots will only trigger this ability once per attack.)</t>
  </si>
  <si>
    <t>+X to the Defense of the Bridge Officers when hit</t>
  </si>
  <si>
    <t>0.1, 0.15, 0.2, 0.25, 0.3</t>
  </si>
  <si>
    <t>Scotty reduces the time needed to repair the ship by X.</t>
  </si>
  <si>
    <t>+X to this ship's repair speed</t>
  </si>
  <si>
    <t>0.1, 0.05, 0.1</t>
  </si>
  <si>
    <t>Scotty increases the total Hull Health of the ship by X of its original Hull Health.</t>
  </si>
  <si>
    <t>+X to this ship's Hull Health</t>
  </si>
  <si>
    <t>0.1, 0.12, 0.14, 0.16, 0.2</t>
  </si>
  <si>
    <t>SULU</t>
  </si>
  <si>
    <t>When the ship is getting hit by a Critical Hit, Sulu has a X chance of inspiring Morale to the ship for one round.</t>
  </si>
  <si>
    <t>X chance to Inspire Morale after being hit by a critical hit</t>
  </si>
  <si>
    <t>SelfHasMorale, ModuleEnergy</t>
  </si>
  <si>
    <t>When the ship has Morale, Sulu increases the total damage made by Energy Weapons by X.</t>
  </si>
  <si>
    <t>+X to Energy Damage when the ship has Morale</t>
  </si>
  <si>
    <t>0.15, 0.2, 0.25, 0.3, 0.4</t>
  </si>
  <si>
    <t>ARKADY</t>
  </si>
  <si>
    <t>When the shield is depleted, Arkady has a X chance of inspiring Morale to the ship for 3 rounds.</t>
  </si>
  <si>
    <t>X chance to inspire Morale for 3 rounds when the Shield is depleted</t>
  </si>
  <si>
    <t>0.5, 0.1, 0.2</t>
  </si>
  <si>
    <t>Arkady increases the Shield Health of the ship by X.</t>
  </si>
  <si>
    <t>+X to the Shield Health of the Ship</t>
  </si>
  <si>
    <t>UHURA</t>
  </si>
  <si>
    <t>When the shield is depleted, Uhura has a X chance of delaying the next opponent weapon fire by one Round.</t>
  </si>
  <si>
    <t>X chance to delay opponent's fire by 1 round when the Shield is depleted</t>
  </si>
  <si>
    <t>1.0, 0.0, 0.0</t>
  </si>
  <si>
    <t>Uhura increases the Accuracy of the ship she's in by X.</t>
  </si>
  <si>
    <t>+X to this ship's Accuracy</t>
  </si>
  <si>
    <t>0.4, 0.5, 0.6, 0.7, 0.8</t>
  </si>
  <si>
    <t>GORKON</t>
  </si>
  <si>
    <t>KLINGON PATRIOTS</t>
  </si>
  <si>
    <t>Gorkon increases the chances of dealing a Critical Hit by  X for the first 2 Rounds.</t>
  </si>
  <si>
    <t>+X bonus to Critical Hit Chances for the first 2 Rounds</t>
  </si>
  <si>
    <t>When the ship hits the opponent with a Critical Hit, Gorkon has a X chance of causing a Hull Breach for three rounds on the opponent's ship.</t>
  </si>
  <si>
    <t>X chance to cause a Hull Breach for 3 Rounds when hitting with a Critical Hit</t>
  </si>
  <si>
    <t>0.7, 0.75, 0.8, 0.85, 0.9</t>
  </si>
  <si>
    <t>CHANG</t>
  </si>
  <si>
    <t>As long as the opponent's ship Hull Health is under 60%, Chang increases the Damage of the weapons by X.</t>
  </si>
  <si>
    <t>+X to Damage if the opponent's Hull Health under 60%</t>
  </si>
  <si>
    <t>0.1, 0.1, 0.2</t>
  </si>
  <si>
    <t>TargetNotArmada, TargetNotASB, TargetHasHullBreach</t>
  </si>
  <si>
    <t>If the ship deals a Critical Hit to the opponent's ship while it has a Hull Breach, Chang has a X chance of delaying its next weapon attack by 1 round.</t>
  </si>
  <si>
    <t>X chance to delay opponent's weapon fire for 1 round with a Critical Hit on a Hull Breach</t>
  </si>
  <si>
    <t>0.3, 0.35, 0.4, 0.45, 0.5</t>
  </si>
  <si>
    <t>KERLA</t>
  </si>
  <si>
    <t>When the shields are depleted during battle, Kerla increases the Dodge of the ship by X.</t>
  </si>
  <si>
    <t>+X to Dodge when the Shields are depleted</t>
  </si>
  <si>
    <t>0.5, 0.1, 0.25</t>
  </si>
  <si>
    <t>Kerla increases the Critical Hit Damage by X when firing with a Kinetic Weapon.</t>
  </si>
  <si>
    <t>+X to Critical Damage with Kinetic weapons</t>
  </si>
  <si>
    <t>0.2, 0.25, 0.3, 0.4, 0.5</t>
  </si>
  <si>
    <t>AZETBUR</t>
  </si>
  <si>
    <t>When hitting the enemy with a Kinetic weapon attack, Azetbur has a X chance of causing a Hull Breach for 2 rounds on the opponent's ship. -- (Weapons with multiple shots will only trigger this ability once per attack.)</t>
  </si>
  <si>
    <t>X to cause a Hull Breach for 2 rounds after hitting with a kinetic weapon</t>
  </si>
  <si>
    <t>0.2, 0.05, 0.15</t>
  </si>
  <si>
    <t>Every time the ship hits the opponent with a weapon attack, Azetbur increases the Armor Piercing of the ship by X. -- (Weapons with multiple shots will only trigger this ability once per attack.)</t>
  </si>
  <si>
    <t>+X To Armor Piercing every time the ship hits</t>
  </si>
  <si>
    <t>0.1, 0.15, 0.2, 0.3, 0.4</t>
  </si>
  <si>
    <t>KOTH</t>
  </si>
  <si>
    <t>Koth decreases the time needed to repair the ship by X if it is an Interceptor.</t>
  </si>
  <si>
    <t>+X to Repair speed on this ship if it is an Interceptor</t>
  </si>
  <si>
    <t>0.2, 0.05, 0.1</t>
  </si>
  <si>
    <t>ModuleKinetic, TargetHasHullBreach</t>
  </si>
  <si>
    <t>As long as the opponent's ship has a Hull Breach, Koth increases the damage dealt by Kinetic Weapons by X.</t>
  </si>
  <si>
    <t>+X to Kinetic damage while the opponent has a Hull Breach</t>
  </si>
  <si>
    <t>0.05, 0.1, 0.15, 0.2, 0.25</t>
  </si>
  <si>
    <t>WOTELN</t>
  </si>
  <si>
    <t>If the opponent's ship is a Battleship, Woteln increases the Damage of the weapons by X.</t>
  </si>
  <si>
    <t>+X to Damage if the opponent is a Battleship</t>
  </si>
  <si>
    <t>If the ship is an Interceptor, Woteln increases its Dodge value by X.</t>
  </si>
  <si>
    <t>+X to Dodge when aboard an Interceptor</t>
  </si>
  <si>
    <t>M'RAL</t>
  </si>
  <si>
    <t>M'ral increases the Armor Piercing of the ship by X.</t>
  </si>
  <si>
    <t>+X to Armor Piercing</t>
  </si>
  <si>
    <t>M'ral increases the total Attack of all Officers on the bridge by X.</t>
  </si>
  <si>
    <t>+X bonus to the Attack of the bridge Officers</t>
  </si>
  <si>
    <t>NERO</t>
  </si>
  <si>
    <t>NERO'S CREW</t>
  </si>
  <si>
    <t>At the beginning of each round, if the opponent's ship is Burning, Nero increases the Damage of the weapons by X.</t>
  </si>
  <si>
    <t>+X to Damage when the enemy ship is Burning</t>
  </si>
  <si>
    <t>Burning</t>
  </si>
  <si>
    <t>Every time the ship strikes the opponent with a weapon attack, Nero has a X chance of Burning it for two rounds.</t>
  </si>
  <si>
    <t>X chance to cause Burning to the enemy when hitting it</t>
  </si>
  <si>
    <t>0.25, 0.3, 0.35, 0.4, 0.5</t>
  </si>
  <si>
    <t>VEMET</t>
  </si>
  <si>
    <t>If the ship survives an attack that depletes its shields and is destroyed in one of the following attacks during the same battle, the battle is lost but Vemet heals X of the Hull Health and the ship survives. This takes precedence over the NSEA Protector’s Omega-13 Ship Ability and does not stack.</t>
  </si>
  <si>
    <t>The ship can resurrect with X of the ship's hull health. This takes precedence over the NSEA Protector’s Omega-13 Ship Ability and does not stack.</t>
  </si>
  <si>
    <t>0.05, 0.02, 0.05</t>
  </si>
  <si>
    <t>At the beginning of each round, if the opponent's ship is Burning, Vemet decreases its Shield Health by an amount equal to X of the Health of all Officers on the ship.</t>
  </si>
  <si>
    <t>X of total Officer Health deducted from the Shield Health of a Burning ship each round</t>
  </si>
  <si>
    <t>KUMAK</t>
  </si>
  <si>
    <t>At the beginning of each round, Kumak increases the stats of all Officers on the ship by X.</t>
  </si>
  <si>
    <t>+X to all Officer Stats each round</t>
  </si>
  <si>
    <t>As long as the enemy ship is Burning, Kumak increases the Armor, Shield Deflection and Dodge of the ship by X.</t>
  </si>
  <si>
    <t>+X To Armor, Shield Deflection and Dodge when the opponent is Burning</t>
  </si>
  <si>
    <t>0.4, 0.5, 0.6, 0.8, 1.0</t>
  </si>
  <si>
    <t>LIVIS</t>
  </si>
  <si>
    <t>Livis decreases the time needed to repair the ship by X if it is a Battleship.</t>
  </si>
  <si>
    <t>+X to Repair speed on this ship if it is a Battleship</t>
  </si>
  <si>
    <t>If the ship is a Battleship, Livis increases its maximum Hull Health by X.</t>
  </si>
  <si>
    <t>+X to this ship's max Hull Health if it is a Battleship</t>
  </si>
  <si>
    <t>0.2, 0.3, 0.4, 0.5, 0.6</t>
  </si>
  <si>
    <t>ARIX</t>
  </si>
  <si>
    <t>Every time the opponent is hit by an energy weapon attack, Arix has a X chance of Burning it. -- (Weapons with multiple shots will only trigger this maneuver once per attack.)</t>
  </si>
  <si>
    <t>X chance to cause Burning to the opponent after hitting it with an energy weapon</t>
  </si>
  <si>
    <t>0.1, 0.02, 0.05</t>
  </si>
  <si>
    <t>As long as the ship's Hull Health is under 70% of its value at the start of combat, Arix increases its Armor by X</t>
  </si>
  <si>
    <t>+X to Armor when the ship has less than 70% Hull Health</t>
  </si>
  <si>
    <t>0.15, 0.2, 0.3, 0.4, 0.5</t>
  </si>
  <si>
    <t>VELLA</t>
  </si>
  <si>
    <t>If the opponent's ship is an Explorer, Vella increases the damage of weapons by X.</t>
  </si>
  <si>
    <t>+X Damage if the opponent is an Explorer</t>
  </si>
  <si>
    <t>Vella increases the total Health of all Officers on the ship by X.</t>
  </si>
  <si>
    <t>+X to Health for all Officers on this ship</t>
  </si>
  <si>
    <t>0.05, 0.07, 0.09, 0.12, 0.15</t>
  </si>
  <si>
    <t>JAVAID</t>
  </si>
  <si>
    <t>Javaid increases the Shield Piercing of the ship by X.</t>
  </si>
  <si>
    <t>+X to Shield Piercing</t>
  </si>
  <si>
    <t>If the ship is a Battleship, Javaid increases its Armor by X.</t>
  </si>
  <si>
    <t>+X to Armor if the ship is a Battleship</t>
  </si>
  <si>
    <t>T'PRING</t>
  </si>
  <si>
    <t>SURVEYORS &amp; MINERS</t>
  </si>
  <si>
    <t>T'pring increases the Mining Rate of the ship by X when mining Gas.</t>
  </si>
  <si>
    <t>+X to Gas mining rate</t>
  </si>
  <si>
    <t>0.4, 0.2, 0.3</t>
  </si>
  <si>
    <t>T'Pring increases the Protected Cargo by X.</t>
  </si>
  <si>
    <t>+X to Protected Cargo</t>
  </si>
  <si>
    <t>0.5, 1.0, 1.5, 2.0, 3.0</t>
  </si>
  <si>
    <t>STONN</t>
  </si>
  <si>
    <t>Stonn increases the Mining Rate of the ship by X when mining Ore.</t>
  </si>
  <si>
    <t>+X to Ore mining rate</t>
  </si>
  <si>
    <t>Stonn increases the Cargo size of the ship by X.</t>
  </si>
  <si>
    <t>+X to Cargo size</t>
  </si>
  <si>
    <t>0.2, 0.25, 0.3, 0.35, 0.4</t>
  </si>
  <si>
    <t>BAROT</t>
  </si>
  <si>
    <t>Barot increases the rate of Crystal Mining by X.</t>
  </si>
  <si>
    <t>+X to Crystal Mining rate</t>
  </si>
  <si>
    <t>SelfMining, SelfDefending</t>
  </si>
  <si>
    <t>When the ship becomes attacked while mining, at the beginning of combat, Barot decreases the opponent's Hull Health by X.</t>
  </si>
  <si>
    <t>-X to the opponent's Hull Health at the start of combat if attacked while mining</t>
  </si>
  <si>
    <t>when mining</t>
  </si>
  <si>
    <t>DOMITIA</t>
  </si>
  <si>
    <t>Domitia increases the Mining Rate of the ship by X when mining Dilithium.</t>
  </si>
  <si>
    <t>+X to Dilithium mining rate</t>
  </si>
  <si>
    <t>As long as the Cargo of the ship is full, Domitia increases its Warp speed by X.</t>
  </si>
  <si>
    <t>+X to Warp speed when the Cargo is full</t>
  </si>
  <si>
    <t>0.25, 0.5, 0.75, 1.0, 1.3</t>
  </si>
  <si>
    <t>K'BISCH</t>
  </si>
  <si>
    <t>K'Bisch increases the Mining Rate of the ship by X when mining Tritanium.</t>
  </si>
  <si>
    <t>+X to Tritanium mining rate</t>
  </si>
  <si>
    <t>CombatBattleType, CombatGameContext, SelfDefending</t>
  </si>
  <si>
    <t>As long as the ship is mining, K'Bisch reduces the damage dealt by attacking opponents by X.</t>
  </si>
  <si>
    <t>-X to Damage taken when mining</t>
  </si>
  <si>
    <t>docked on a node, on a Mining Node</t>
  </si>
  <si>
    <t>CombatBattleType, CombatGameContext</t>
  </si>
  <si>
    <t>HELVIA</t>
  </si>
  <si>
    <t>Helvia increases the Mining Rate of the ship by X when mining Parsteel.</t>
  </si>
  <si>
    <t>+X to Parsteel mining rate</t>
  </si>
  <si>
    <t>As long as the Cargo of the ship is empty, Helvia increases its Warp speed by X.</t>
  </si>
  <si>
    <t>+X to Warp speed when the Cargo is empty</t>
  </si>
  <si>
    <t>0.25, 0.5, 0.75, 1.0, 1.25</t>
  </si>
  <si>
    <t>GONZALES</t>
  </si>
  <si>
    <t>STARFLEET ACADEMY</t>
  </si>
  <si>
    <t>If the opponent is a Hostile, Gonzales increases the chances of dealing a Critical Hit by X.</t>
  </si>
  <si>
    <t>+X to Critical chance against Hostiles</t>
  </si>
  <si>
    <t>0.08, 0.01, 0.02</t>
  </si>
  <si>
    <t>If the opponent is a Hostile, Gonzales increases the damage of Critical Hits by X.</t>
  </si>
  <si>
    <t>+X to Critical Hit Damage against Hostiles</t>
  </si>
  <si>
    <t>0.05, 0.1, 0.15, 0.2, 0.3</t>
  </si>
  <si>
    <t>CHEN</t>
  </si>
  <si>
    <t>TargetMaxLevel, EnemyHostile</t>
  </si>
  <si>
    <t>Chen increases the Dodge, Shield Deflection and Armor of the ship by X against Hostiles. Works against Hostiles of level 51 and under.</t>
  </si>
  <si>
    <t>+X to the Dodge, Shield Deflection and Armor of the ship against Hostiles</t>
  </si>
  <si>
    <t>0.2, 0.1, 0.15</t>
  </si>
  <si>
    <t>target level 51 or under</t>
  </si>
  <si>
    <t>TargetMaxLevel, EnemyHostile, TargetNotArmada, ModuleEnergy</t>
  </si>
  <si>
    <t>If the opponent is a Hostile, Chen decreases the damage done by its Energy Weapons by X. Works against Hostiles of level 51 and under.</t>
  </si>
  <si>
    <t>-X To energy damage dealt by enemy Hostiles</t>
  </si>
  <si>
    <t>EnemyHostile, ModuleEnergy</t>
  </si>
  <si>
    <t>TargetMaxLevel, ModuleEnergy</t>
  </si>
  <si>
    <t>GAILA</t>
  </si>
  <si>
    <t>Gaila increases the Parsteel rewards for defeating a Hostile by X.</t>
  </si>
  <si>
    <t>+X to Parsteel rewards from Hostiles</t>
  </si>
  <si>
    <t>0.25, 0.05, 0.1</t>
  </si>
  <si>
    <t>If the opponent is a Hostile, Gaila decreases the damage from its Critical Hits by X. Works against Hostiles of level 70 and under.</t>
  </si>
  <si>
    <t>-X to Critical Damage from Hostiles</t>
  </si>
  <si>
    <t>0.1, 0.2, 0.3, 0.4, 0.5</t>
  </si>
  <si>
    <t>SHEV</t>
  </si>
  <si>
    <t>Shev increases the Tritanium rewards for defeating a Hostile by X.</t>
  </si>
  <si>
    <t>+X to Tritanium rewards from Hostiles</t>
  </si>
  <si>
    <t>If the opponent is a Hostile, Shev increases the damage of the Energy weapons of the ship by X.</t>
  </si>
  <si>
    <t>+X to Energy damage against Hostiles</t>
  </si>
  <si>
    <t>0.05, 0.07, 0.1, 0.15, 0.2</t>
  </si>
  <si>
    <t>T'LAAN</t>
  </si>
  <si>
    <t>T'Laan increases the Ship Experience gained by X.</t>
  </si>
  <si>
    <t>+X more Ship XP from battles</t>
  </si>
  <si>
    <t>0.15, 0.03, 0.05</t>
  </si>
  <si>
    <t>ModuleKinetic, TargetMaxLevel, EnemyHostile, TargetNotArmada</t>
  </si>
  <si>
    <t>If the opponent is a Hostile, T'Laan decreases the Damage done by its Kinetic Weapons by X. Works against Hostiles of level 51 and under.</t>
  </si>
  <si>
    <t>-X to Kinetic Damage dealt by enemy Hostiles</t>
  </si>
  <si>
    <t>ModuleKinetic, EnemyHostile</t>
  </si>
  <si>
    <t>TargetMaxLevel, ModuleKinetic</t>
  </si>
  <si>
    <t>VEL</t>
  </si>
  <si>
    <t>Vel increases the Dilithium rewards for defeating a Hostile by X.</t>
  </si>
  <si>
    <t>+X to Dilithium rewards from Hostiles</t>
  </si>
  <si>
    <t>If the opponent is a Hostile, Vel increases the damage made by the Kinetic Weapons of the ship by X.</t>
  </si>
  <si>
    <t>+X to Kinetic damage against Hostiles</t>
  </si>
  <si>
    <t>M'BENGA</t>
  </si>
  <si>
    <t>AUXILIARY CONTROLS</t>
  </si>
  <si>
    <t>When defending the Station, M'Benga increases the Armor Piercing, Shield Piercing and Accuracy of the ship by X.</t>
  </si>
  <si>
    <t>+X to Armor Piercing, Shield Piercing and Accuracy when defending the Station</t>
  </si>
  <si>
    <t>When defending the station, M'Benga increases Dodge, Armor and Shield Deflection by X.</t>
  </si>
  <si>
    <t>+X to Dodge, Armor and Shield when defending the Station</t>
  </si>
  <si>
    <t>0.1, 0.16, 0.22, 0.3, 0.4</t>
  </si>
  <si>
    <t>KURON</t>
  </si>
  <si>
    <t>BLOOD &amp; HONOR</t>
  </si>
  <si>
    <t>Kuron has a X chance to automatically recharge all kinetic weapons on the first turn.</t>
  </si>
  <si>
    <t>X chance to automatically recharge all kinetic weapons on the first turn</t>
  </si>
  <si>
    <t>100.0, 0.0, 0.0</t>
  </si>
  <si>
    <t>After destroying a ship, Kuron increases the Impulse Speed by X until his ship's next battle or its return to the Station.</t>
  </si>
  <si>
    <t>+X to Impulse Speed after destroying a ship.</t>
  </si>
  <si>
    <t>YAN'AGH</t>
  </si>
  <si>
    <t>When the opponent's ship Shield Health is depleted, Yan'agh increases the Weapon Damage by X.</t>
  </si>
  <si>
    <t>X to damage after depleting the opponent's Shield Health</t>
  </si>
  <si>
    <t>Yan'agh increases the Damage against Romulan ships by X of the crew's Health.</t>
  </si>
  <si>
    <t>X of the crew's Health bonus in Damage against Romulan ships</t>
  </si>
  <si>
    <t>0.25, 0.35, 0.75, 1.75, 5.0</t>
  </si>
  <si>
    <t>Romulan</t>
  </si>
  <si>
    <t>TAL</t>
  </si>
  <si>
    <t>ROMULAN PATRIOTS</t>
  </si>
  <si>
    <t>When fighting Battleships, Tal increases the Weapon damage of the ship by X</t>
  </si>
  <si>
    <t>+X Damage against battleships</t>
  </si>
  <si>
    <t>0.2, 0.1, 0.2</t>
  </si>
  <si>
    <t>TargetNotArmada, TargetHasBurning, TargetNotInvadingEntity, TargetNotASB, TargetMaxLevel, EnemyNotToaTrialHostile</t>
  </si>
  <si>
    <t>Tal decreases the opponent ship's Hull Health by a cumulative X each round while it is Burning versus players, and Hostiles level 60 and under.</t>
  </si>
  <si>
    <t>-X to the opponent's Hull Health each turn while it is Burning vs players, and Hostiles under level 60.</t>
  </si>
  <si>
    <t>0.05, 0.06, 0.07, 0.08, 0.1</t>
  </si>
  <si>
    <t>TargetMaxLevel, TargetHasBurning</t>
  </si>
  <si>
    <t>D'JAOKI</t>
  </si>
  <si>
    <t>After winning a combat, D'jaoki increases the Health of all officers on the ship by X for 1 minute.</t>
  </si>
  <si>
    <t>+X to the Officers Health for 1 min after winning</t>
  </si>
  <si>
    <t>TargetNotArmada, TargetNotASB, TargetHasBurning</t>
  </si>
  <si>
    <t>At the beginning of each round, if the opponent is  Burning, D'jaoki increases the Armor, Shield Deflection, and Dodge of the ship by X of the Health of all Officers on the ship.</t>
  </si>
  <si>
    <t>-X of the crew's Health malus to the opponent's Armor, Shield Deflection and Dodge while Burning</t>
  </si>
  <si>
    <t>0.2, 0.4, 1.0, 2.5, 5.0</t>
  </si>
  <si>
    <t>KEENSER</t>
  </si>
  <si>
    <t>As long as it is in the Station, Keenser increases the Hull Health of the ship by  X.</t>
  </si>
  <si>
    <t>+X to Hull Health as long as the ship is in the station.</t>
  </si>
  <si>
    <t>As long as it is in the station, Keenser increases the Shield Health of the ship by X.</t>
  </si>
  <si>
    <t>+X to Shield Health as long as the ship is in the station.</t>
  </si>
  <si>
    <t>0718 Increases the Critical Hit Chances by X when defending the Station.</t>
  </si>
  <si>
    <t>+X to Critical Hit chances when defending the station</t>
  </si>
  <si>
    <t>0.04, 0.02, 0.04</t>
  </si>
  <si>
    <t>0718 increases the Defense of all Officers on the ship by X.</t>
  </si>
  <si>
    <t>+X to the Defense of all Officers on the ship</t>
  </si>
  <si>
    <t>MITCHELL</t>
  </si>
  <si>
    <t>Mitchell increases the Stats of all Officers on Board by X when defending the Station.</t>
  </si>
  <si>
    <t>+X to all Officer Stats on Board when defending the station</t>
  </si>
  <si>
    <t>When getting hit by a Critical Hit, Mitchell increases the ship Weapon Damage by X for one round.</t>
  </si>
  <si>
    <t>+X to Damage for one round when hit by a Critical Hit</t>
  </si>
  <si>
    <t>0.3, 0.4, 0.5, 0.6, 0.7</t>
  </si>
  <si>
    <t>KOMAL</t>
  </si>
  <si>
    <t>GLORY IN THE KILL</t>
  </si>
  <si>
    <t>SelfBattleship, EnemyPlayer</t>
  </si>
  <si>
    <t>When inside a Battleship, Komal increases Weapon Damage against players by X.</t>
  </si>
  <si>
    <t>+X to Weapon Damage of Battleships against players</t>
  </si>
  <si>
    <t>ModuleKinetic, EnemyPlayer</t>
  </si>
  <si>
    <t>If the opponent is a player, Komal decreases the damage made by its Kinetic Weapons by X.</t>
  </si>
  <si>
    <t>-X to Kinetic Weapon Damage from enemy player's ships</t>
  </si>
  <si>
    <t>VARTOQ</t>
  </si>
  <si>
    <t>SelfInterceptor, EnemyPlayer</t>
  </si>
  <si>
    <t>When inside an Interceptor, Vartoq increases the Weapon Damage against players by X.</t>
  </si>
  <si>
    <t>+X to Weapon Damage of Interceptors against players</t>
  </si>
  <si>
    <t>If the opponent is a player, Vartoq increases the damage made by the Kinetic Weapons of the ship by X.</t>
  </si>
  <si>
    <t>+X to Kinetic Weapon Damage against other player's ships</t>
  </si>
  <si>
    <t>RUKOR</t>
  </si>
  <si>
    <t>SelfExplorer, EnemyPlayer</t>
  </si>
  <si>
    <t>When inside an Explorer, Rukor increases the Weapon Damage against players by X.</t>
  </si>
  <si>
    <t>+X to Weapon Damage of Explorers against players</t>
  </si>
  <si>
    <t>EnemyPlayer, ModuleEnergy</t>
  </si>
  <si>
    <t>If the opponent is a player, Rukor increases the damage made by the Energy Weapons of the ship by X.</t>
  </si>
  <si>
    <t>+X to Energy Weapon Damage against other player ships</t>
  </si>
  <si>
    <t>DARWIN</t>
  </si>
  <si>
    <t>SHAKEDOWN CRUISE</t>
  </si>
  <si>
    <t>EnemyPlayer, SelfDefending</t>
  </si>
  <si>
    <t>When the ship is attacked by a player, Darwin increases the Weapon Damage by X.</t>
  </si>
  <si>
    <t>+X to Weapon Damage when attacked by a player</t>
  </si>
  <si>
    <t>Darwin increases the Ship Experience gained on Interceptors by X.</t>
  </si>
  <si>
    <t>+X to Ship XP earned on Interceptors</t>
  </si>
  <si>
    <t>LESLIE</t>
  </si>
  <si>
    <t>As long as the ship's Hull Health is under 35% of its value at the beginning of combat, Leslie restores it by X  at the end of each round.</t>
  </si>
  <si>
    <t>X Restored to Hull Health when it is under 35%</t>
  </si>
  <si>
    <t>Frank Leslie increases the Ship Experience gained on Battleships by X each turn.</t>
  </si>
  <si>
    <t>+X to Ship XP earned on Battleships</t>
  </si>
  <si>
    <t>DECIUS</t>
  </si>
  <si>
    <t>When fighting a ship with a bigger Strength, Decius increases Accuracy, Armor Piercing and Shield Piercing of the ship by X.</t>
  </si>
  <si>
    <t>+X to Accuracy and Armor Piercing and Shield Piercing against stronger ships</t>
  </si>
  <si>
    <t>0.1, 0.2, 0.3</t>
  </si>
  <si>
    <t>Every time the ship gets hit by a weapon attack, Decius increases its Weapon Damage by X. -- (Weapons with multiple shots will only trigger this ability once per attack.)</t>
  </si>
  <si>
    <t>+X to Damage each time the ship gets hit</t>
  </si>
  <si>
    <t>0.06, 0.07, 0.08, 0.09, 0.1</t>
  </si>
  <si>
    <t>KANG</t>
  </si>
  <si>
    <t>At the start of battle, Kang has a X chance of dealing a Hull Breach to the opponent for 3 rounds.</t>
  </si>
  <si>
    <t>X chance to cause Hull Breach for 3 rounds at start of Combat</t>
  </si>
  <si>
    <t>0.8, 0.05, 0.1</t>
  </si>
  <si>
    <t>At the start of battle, Kang increases the Accuracy of the ship by X of the Attack of the crew on the ship.</t>
  </si>
  <si>
    <t>X of the crew's Attack bonus to Accuracy</t>
  </si>
  <si>
    <t>1.0, 2.0, 4.0, 8.0, 16.0</t>
  </si>
  <si>
    <t>MARA</t>
  </si>
  <si>
    <t>When fighting Interceptors, Mara increases the Weapon damage of the ship by X.</t>
  </si>
  <si>
    <t>+X to Damage against Interceptors</t>
  </si>
  <si>
    <t>As long as the opponent ship has a Hull Breach, Mara decreases its Dodge by X at the end of each round.</t>
  </si>
  <si>
    <t>-Xevery round to opponent's Dodge when it has a Hull Breach</t>
  </si>
  <si>
    <t>KRELL</t>
  </si>
  <si>
    <t>Every time the ship loses Shield Health from a weapon attack, Krell has a X chance of dealing a Hull Breach to the opponent for 1 round. -- (Weapons with multiple shots will only trigger this maneuver once per attack.)</t>
  </si>
  <si>
    <t>X chance of dealing Hull Breach for 1 round when receiving Shield HP damage</t>
  </si>
  <si>
    <t>0.3, 0.07, 0.15</t>
  </si>
  <si>
    <t>Krell increases the Damage against Federation ships by X of the crew's Defense.</t>
  </si>
  <si>
    <t>+X of the crew's Defense bonus to Damage against Federation ships</t>
  </si>
  <si>
    <t>Federation</t>
  </si>
  <si>
    <t>QA'UG</t>
  </si>
  <si>
    <t>SelfHasHullBreach, TargetNotArmada, TargetNotASB</t>
  </si>
  <si>
    <t>When the ship gets a Hull Breach from the opponent, Qa'ug decreases all the stats of the officers on the opponent's ship by X.</t>
  </si>
  <si>
    <t>-X to all the opponent Officer stats if the player's ship receives a Hull Breach</t>
  </si>
  <si>
    <t>0.35, 0.1, 0.2</t>
  </si>
  <si>
    <t>When the ship gets a Hull Breach from the opponent, Qa'ug increases Accuracy by X.</t>
  </si>
  <si>
    <t>+X to accuracy when the player's ship receives a Hull Breach</t>
  </si>
  <si>
    <t>LINKASA</t>
  </si>
  <si>
    <t>After winning a battle, Linkasa increases the Defense of all the Officers on the ship by X.</t>
  </si>
  <si>
    <t>X to the Officers Defense for 1 min after winning</t>
  </si>
  <si>
    <t>At the start of combat, Linkasa increases the Armor of the ship by X of the total Attack of the crew.</t>
  </si>
  <si>
    <t>X of the crew's attack bonus to Armor</t>
  </si>
  <si>
    <t>CHARVANEK</t>
  </si>
  <si>
    <t>When the ship's Hull Health goes under 80% of its value at the start of combat, Charvanek has a X chance of Burning the opponent for 3 rounds.</t>
  </si>
  <si>
    <t>X chance to cause Burning for 3 rounds when Hull Health is lower than 80%</t>
  </si>
  <si>
    <t>At the start of combat, Charvanek increases the Armor Piercing of the ship by X of the Health of the crew on the ship.</t>
  </si>
  <si>
    <t>X of the crew's Health bonus to Armor Piercing</t>
  </si>
  <si>
    <t>MIREK</t>
  </si>
  <si>
    <t>Every time the ship gets hit by a weapon attack, Mirek has a X chance of Burning the opponent's ship for 1 round. -- (Weapons with multiple shots will only trigger this maneuver once per attack.)</t>
  </si>
  <si>
    <t>X chance to cause Burning for 1 round when the ship is hit</t>
  </si>
  <si>
    <t>Mirek increases the Damage against Federation ships by X of the crew's Defense.</t>
  </si>
  <si>
    <t>X of the crew's defense bonus to Damage against Federation ships</t>
  </si>
  <si>
    <t>L'NAR</t>
  </si>
  <si>
    <t>L'Nar increases the Health of the Officers on the Bridge by X.</t>
  </si>
  <si>
    <t>+X to the Health of the Bridge Officers</t>
  </si>
  <si>
    <t>L'Nar increases the Damage against Klingon ships by X of the crew's Attack.</t>
  </si>
  <si>
    <t>X of the crew's attack bonus to Damage against Klingon ships</t>
  </si>
  <si>
    <t>Klingon</t>
  </si>
  <si>
    <t>SEVERUS</t>
  </si>
  <si>
    <t>SelfHasBurning, TargetNotArmada, TargetNotASB</t>
  </si>
  <si>
    <t>When the ship is Burning from the opponent, Severus decreases the opponent's Hull Health by X each round.</t>
  </si>
  <si>
    <t>-X to the opponent's Hull Health each round if the player's ship is Burning</t>
  </si>
  <si>
    <t>When the ship is Burning from the opponent, Severus increases the Damage of the ship by X.</t>
  </si>
  <si>
    <t>+X to Damage if the player's ship is Burning</t>
  </si>
  <si>
    <t>MARCUS</t>
  </si>
  <si>
    <t>SECTION 31</t>
  </si>
  <si>
    <t>At the start of each round, if the opponent's Hull Health is under 80% of its starting total, Alexander Marcus has X chance of inspiring Morale to the ship for 3 rounds.</t>
  </si>
  <si>
    <t>X chance to inspire Morale for 3 rounds when the opponent's Hull Health is under 80%.</t>
  </si>
  <si>
    <t>At the start of battle, Alexander Marcus increases the Shield Piercing of the ship by X of the Defense of the crew on the ship.</t>
  </si>
  <si>
    <t>X of the crew's Defense bonus to Shield Piercing</t>
  </si>
  <si>
    <t>YUKI</t>
  </si>
  <si>
    <t>TargetNotArmada, TargetNotASB</t>
  </si>
  <si>
    <t>Yuki Sulu decreases the Shield Health of the opponent's ship by X each round.</t>
  </si>
  <si>
    <t>-X to the Shield Health of the opponent's ship each round</t>
  </si>
  <si>
    <t>Yuki Sulu increases the Weapon Damage against Romulan ships by X of the Health of the crew on the ship.</t>
  </si>
  <si>
    <t>X of the crew's Health bonus to Damage against Romulans</t>
  </si>
  <si>
    <t>HARRISON</t>
  </si>
  <si>
    <t>TargetMaxLevel, EnemyExplorer</t>
  </si>
  <si>
    <t>When fighting Explorers, John Harrison increases the Weapon damage of the ship by X. Works against Hostiles of level 70 and under.</t>
  </si>
  <si>
    <t>+X to Damage against Explorers</t>
  </si>
  <si>
    <t>TargetMaxLevel, TargetNotArmada, TargetNotASB</t>
  </si>
  <si>
    <t>For the first round of combat, John Harrison ignores X of the opponent's shield. Works against Hostiles and Players of level 70 and under.</t>
  </si>
  <si>
    <t>X of the opponent's Shield ignored for the first round of combat.</t>
  </si>
  <si>
    <t>0.6, 0.7, 0.8, 0.9, 1.0</t>
  </si>
  <si>
    <t>DUPONT</t>
  </si>
  <si>
    <t>Raphaël DuPont increases the rate of G3 Crystal, Gas and Ore Mining by X.</t>
  </si>
  <si>
    <t>+X to G3 Crystal, Gas and Ore Mining Speed</t>
  </si>
  <si>
    <t>Raphaël DuPont increases the Protected Cargo by X.</t>
  </si>
  <si>
    <t>+X to this ship's Protected Cargo</t>
  </si>
  <si>
    <t>ZHOU</t>
  </si>
  <si>
    <t>Paul Zhou increases the Defense of all Officers on the bridge of the ship by X</t>
  </si>
  <si>
    <t>+X to Officer Defense on the bridge of the ship</t>
  </si>
  <si>
    <t>0.15, 0.06, 0.1</t>
  </si>
  <si>
    <t>As long as the ship has Morale, Paul Zhou increases the Shield deflection, Armor and Dodge of the ship by X of the crew's Defense.</t>
  </si>
  <si>
    <t>X of the crew's Defense bonus to Dodge, Armor and Shield Deflection while having Morale</t>
  </si>
  <si>
    <t>0.3, 0.4, 0.8, 1.6, 3.0</t>
  </si>
  <si>
    <t>MÄKINEN</t>
  </si>
  <si>
    <t>Elea Mäkinen increases the Mining Speed of the ship by X.</t>
  </si>
  <si>
    <t>+X to base Mining Speed</t>
  </si>
  <si>
    <t>Elea Mäkinen increases the rate of Isogen Mining by X.</t>
  </si>
  <si>
    <t>+X to Isogen Mining Speed</t>
  </si>
  <si>
    <t>0.2, 0.4, 0.6, 0.8, 1.0</t>
  </si>
  <si>
    <t>PIKE</t>
  </si>
  <si>
    <t>Christopher Pike increases the effectiveness of all Officer Abilities that trigger in combat by X. Works against Hostiles of level 70 and under.</t>
  </si>
  <si>
    <t>X increased effectiveness to Officer Abilities that activate in combat</t>
  </si>
  <si>
    <t>0.4, 0.4, 0.8</t>
  </si>
  <si>
    <t>Christopher Pike increases the Ship XP earned by combat by X. Works against Hostiles of level 70 and under.</t>
  </si>
  <si>
    <t>+X to Ship XP earned with this ship</t>
  </si>
  <si>
    <t>MOREAU</t>
  </si>
  <si>
    <t>After winning a battle, Moreau heals the Shield Health by X.</t>
  </si>
  <si>
    <t>X Shield Health healed after winning</t>
  </si>
  <si>
    <t>TargetMaxLevel, EnemyHostile, TargetNotArmada</t>
  </si>
  <si>
    <t>Moreau decreases the Armor Piercing, Shield Piercing and Accuracy of Hostiles by X. Works against Hostiles of level 70 and under.</t>
  </si>
  <si>
    <t>-X to Hostiles Penetration.</t>
  </si>
  <si>
    <t>HENDORFF</t>
  </si>
  <si>
    <t>As long as Hull Health is below 60% of its value at the start of combat, Hendorff increases Dodge, Armor and Shield Deflection by X.</t>
  </si>
  <si>
    <t>+X to Dodge, Armor and Shield Deflection when Hull Health is below 60% of its Hull health at the start of the battle.</t>
  </si>
  <si>
    <t>Hendorff increases the Ship Experience gained on Explorers by X</t>
  </si>
  <si>
    <t>+X to Ship XP on Explorers</t>
  </si>
  <si>
    <t>HADLEY</t>
  </si>
  <si>
    <t>Hadley increases the Warp Speed of the ship by X.</t>
  </si>
  <si>
    <t>+X Officer XP gained from combat</t>
  </si>
  <si>
    <t>0.15, 0.1, 0.15</t>
  </si>
  <si>
    <t>Hadley increases Ship Experience gained on Survey ships by X.</t>
  </si>
  <si>
    <t>+X to Experience gained on Survey ships</t>
  </si>
  <si>
    <t>CAROL</t>
  </si>
  <si>
    <t>When defending in battle against a player, Carol decreases the Weapon Damage from opponents by X.</t>
  </si>
  <si>
    <t>-X To Opponent Damage when defending in battle</t>
  </si>
  <si>
    <t>0.4, 0.05, 0.1</t>
  </si>
  <si>
    <t>Carol increases the Weapon Damage by X.</t>
  </si>
  <si>
    <t>+X to Weapon Damage</t>
  </si>
  <si>
    <t>ZAHRA</t>
  </si>
  <si>
    <t>When defending the Station, Zahra increases the ship's Hull Health by X.</t>
  </si>
  <si>
    <t>+X to ship Hull Health when defending the Station</t>
  </si>
  <si>
    <t>When defending the Station, Zahra increases the Weapon Damage by X.</t>
  </si>
  <si>
    <t>+X to Damage dealt when defending the Station</t>
  </si>
  <si>
    <t>0.05, 0.08, 0.1, 0.15, 0.2</t>
  </si>
  <si>
    <t>KHAN</t>
  </si>
  <si>
    <t>KHAN'S CREW</t>
  </si>
  <si>
    <t>TargetNotASB, EnemySentinel</t>
  </si>
  <si>
    <t>When attacking a Station, Khan has X chances of drastically reducing the mitigation of all opponent's ships and defense platforms for two rounds.</t>
  </si>
  <si>
    <t>X chances to drastically reduce the opponent's station and ships Mitigation for 2 rounds</t>
  </si>
  <si>
    <t>10.0, 0.0, 0.0</t>
  </si>
  <si>
    <t>Every time the Ship is hit by a Ship or Defense Platform weapon attack, Khan increases the Critical Hit Chances by X (cumulative). -- (Weapons with multiple shots will only trigger this ability once per attack.)</t>
  </si>
  <si>
    <t>+X to Critical Hit chances every time the ship gets hit</t>
  </si>
  <si>
    <t>0.01, 0.02, 0.03, 0.04, 0.05</t>
  </si>
  <si>
    <t>JOACHIM</t>
  </si>
  <si>
    <t>When attacking a Station, Joachim has X chances of greatly increasing the mitigation of the ship for the first round of combat.</t>
  </si>
  <si>
    <t>X chances to drastically increase the ship's mitigation against a Station for the first round.</t>
  </si>
  <si>
    <t>10000000.0, 0.0, 0.0</t>
  </si>
  <si>
    <t>When attacking a Station, Joachim decreases the Weapon Damage of all opponent's Ships and Defense Platforms by X</t>
  </si>
  <si>
    <t>-X to all opponent's ships and defense platforms damage in Station Combat</t>
  </si>
  <si>
    <t>MARLA</t>
  </si>
  <si>
    <t>Marla increases the Repair Speed of the ship by X.</t>
  </si>
  <si>
    <t>+X to this ship's Repair Speed</t>
  </si>
  <si>
    <t>Marla increases the Attack, Defense and Health of the captain by X</t>
  </si>
  <si>
    <t>+X to this ship's Captain stats</t>
  </si>
  <si>
    <t>0.5, 0.6, 0.7, 0.8, 0.9</t>
  </si>
  <si>
    <t>JOAQUIN</t>
  </si>
  <si>
    <t>Joaquin increases the Protected Cargo of the ship by X</t>
  </si>
  <si>
    <t>0.5, 0.15, 0.25</t>
  </si>
  <si>
    <t>Joaquin increases the Mining Rate of the ship by  X when mining Corrupted Data and Decoded Data.</t>
  </si>
  <si>
    <t>+X to Corrupted and Decoded Data Mining Speed</t>
  </si>
  <si>
    <t>0.4, 0.6, 0.8, 1.0, 1.25</t>
  </si>
  <si>
    <t>OTTO</t>
  </si>
  <si>
    <t>EnemySentinel, TargetNotASB</t>
  </si>
  <si>
    <t>At the start of each round, if the target of the ship is a Defense Platform, Otto increases the damage of the ship by X for that round.</t>
  </si>
  <si>
    <t>+X damage to Defense Platforms</t>
  </si>
  <si>
    <t>Otto increases the Attack of each officer on the Bridge of the ship by X.</t>
  </si>
  <si>
    <t>+X Attack to every Officer on the Bridge of the ship</t>
  </si>
  <si>
    <t>KATI</t>
  </si>
  <si>
    <t>At the start of each round, if the target of the ship is a Defense Platform, Kati increases the Chances of a Critical Hit by X for that round.</t>
  </si>
  <si>
    <t>+X Critical Hit Chances against Defense Platforms</t>
  </si>
  <si>
    <t>0.04, 0.02, 0.03</t>
  </si>
  <si>
    <t>When attacking a Station, Kati increases the Critical Hit Damage by X.</t>
  </si>
  <si>
    <t>+X Critical Hit Damage in Station Combat</t>
  </si>
  <si>
    <t>NAVI</t>
  </si>
  <si>
    <t>At the start of each round, if the ship has a Hull Breach, Navi increases the Critical Hit damage bonus by X for this round.</t>
  </si>
  <si>
    <t>+X to Critical Hit Damage when the ship has a Hull Breach.</t>
  </si>
  <si>
    <t>At the start of each round, if the ship has a Hull Breach, Navi increases the Armor, Shield Deflection and Dodge of the ship by X for this round.</t>
  </si>
  <si>
    <t>+X to Armor, Shield Deflection and Dodge when the ship has a Hull Breach</t>
  </si>
  <si>
    <t>0.5, 0.65, 0.85, 1.1, 1.4</t>
  </si>
  <si>
    <t>PAN</t>
  </si>
  <si>
    <t>Pan increases the Impulse Speed of the ship by X.</t>
  </si>
  <si>
    <t>+X to Impulse Speed</t>
  </si>
  <si>
    <t>At the start of each round, Pan has a X chance of applying a Hull Breach to his own ship for 3 rounds.</t>
  </si>
  <si>
    <t>X chance to apply a Hull Breach on your own ship for three rounds</t>
  </si>
  <si>
    <t>0.25, 0.35, 0.45, 0.55, 0.65</t>
  </si>
  <si>
    <t>RIMA</t>
  </si>
  <si>
    <t>At the start of each round, if the ship has a Hull Breach, Rima increases the Damage of the ship by X for this round.</t>
  </si>
  <si>
    <t>+X to Damage when the ship has a Hull Breach</t>
  </si>
  <si>
    <t>At the start of each round, if the ship has a Hull Breach, Rima adds X to Critical Hit chances</t>
  </si>
  <si>
    <t>+X to Critical Hit chances when the ship has a Hull Breach</t>
  </si>
  <si>
    <t>MUDD</t>
  </si>
  <si>
    <t>MUDD'S COMPANY</t>
  </si>
  <si>
    <t>TargetIsArmada, TargetMaxLevel</t>
  </si>
  <si>
    <t>When the ship takes damage from an Armada Target weapon attack, Harry Mudd decreases the Weapon Damage of that Armada Target by X for this round. Works against Hostiles of level 70 and under. -- (Weapons with multiple shots will only trigger this maneuver once per attack.)</t>
  </si>
  <si>
    <t>-X to Armada Targets Weapon Damage when taking damage.</t>
  </si>
  <si>
    <t>0.1, 0.03, 0.05</t>
  </si>
  <si>
    <t>When the ship's Shield Health is depleted, Harry Mudd increases the Weapon Damage of the ship by X for the rest of the combat. Works against Hostiles of level 70 and under.</t>
  </si>
  <si>
    <t>+X to Damage when the shields are depleted.</t>
  </si>
  <si>
    <t>2.0, 2.5, 3.0, 3.5, 4.0</t>
  </si>
  <si>
    <t>EURYDICE</t>
  </si>
  <si>
    <t>When the ship loses Shield Health from a weapon attack, Eurydice increases the damage of the weapons by X (cumulative). Works against Hostiles of level 70 and under. -- (Weapons with multiple shots will only trigger this maneuver once per attack.)</t>
  </si>
  <si>
    <t>+X to Damage when taking SHP damage</t>
  </si>
  <si>
    <t>When the shields are depleted, Eurydice has a X chance to heal the Shield Health by 5%. Works against Hostiles of level 70 and under.</t>
  </si>
  <si>
    <t>X chance to heal 5% shields when they're depleted.</t>
  </si>
  <si>
    <t>0.35, 0.45, 0.55, 0.65, 0.75</t>
  </si>
  <si>
    <t>0.05, 0.05, 0.05, 0.05, 0.05</t>
  </si>
  <si>
    <t>SESHA</t>
  </si>
  <si>
    <t>If the opponent is an Eclipse hostile (including Armada Targets), Sesha has a X chance to reduce the opponent's Critical Hit Chance by 15%</t>
  </si>
  <si>
    <t>X chance to decrease Eclipse's hostile Critical Hit Chance by 15%</t>
  </si>
  <si>
    <t>0.15, 0.0, 0.0</t>
  </si>
  <si>
    <t>Eclipse</t>
  </si>
  <si>
    <t>For the first three rounds of combat, when fighting Eclipse hostiles (including Armada Targets), Sesha increases the Critical Damage Bonus of the ship by X.</t>
  </si>
  <si>
    <t>+X to Critical Hit Damage against Eclipse hostiles</t>
  </si>
  <si>
    <t>0.2, 0.3, 0.5, 0.7, 0.9</t>
  </si>
  <si>
    <t>RO MUDD</t>
  </si>
  <si>
    <t>Ro Mudd increases her stats by X when she is the captain.</t>
  </si>
  <si>
    <t>+X to the Captain's Stats</t>
  </si>
  <si>
    <t>0.5, 0.25, 0.5</t>
  </si>
  <si>
    <t>At the start of combat, Ro Mudd has a X chance of increasing the Damage dealt by the ship by 300% of the total Attack of all officers on the ship for the whole combat.</t>
  </si>
  <si>
    <t>X chance to increase damage by 300% of Officers Attack</t>
  </si>
  <si>
    <t>3.0, 3.0, 3.0, 3.0, 3.0</t>
  </si>
  <si>
    <t>GOON</t>
  </si>
  <si>
    <t>When fighting Hostiles, Goon increases the chances of dealing a Critical Hit by  X for the first round of combat.</t>
  </si>
  <si>
    <t>+X to Critical Hit Chance against hostiles for the first round</t>
  </si>
  <si>
    <t>0.2, 0.15, 0.2</t>
  </si>
  <si>
    <t>Goon increases the Ship XP gained by the ship from fighting by X.</t>
  </si>
  <si>
    <t>+X to Ship XP gained while fighting</t>
  </si>
  <si>
    <t>0.15, 0.2, 0.25, 0.35, 0.5</t>
  </si>
  <si>
    <t>AHVIX</t>
  </si>
  <si>
    <t>When fighting Eclipse hostiles (including Armada Targets), for the first three rounds of combat, Ahvix increases the chances of a Critical Hit by X</t>
  </si>
  <si>
    <t>+X to Critical Hit Chance for the first three rounds against Eclipse hostiles.</t>
  </si>
  <si>
    <t>When fighting Eclipse hostiles (including Armadas), Ahvix has a X chance to decrease the Shield Deflection, Armor and Dodge of the opponent by 40% .</t>
  </si>
  <si>
    <t>X chance to reduce Eclipse hostiles's mitigation by 40%</t>
  </si>
  <si>
    <t>0.4, 0.4, 0.4, 0.4, 0.4</t>
  </si>
  <si>
    <t>TIZA</t>
  </si>
  <si>
    <t>When fighting Eclipse hostiles (including Armada Targets), for the first three rounds of combat, Tiza decreases the Shield Mitigation of the opponent by X</t>
  </si>
  <si>
    <t>-X to Eclipse hostile's Shield Mitigation for the first round</t>
  </si>
  <si>
    <t>0.04, 0.01, 0.02</t>
  </si>
  <si>
    <t>When fighting Eclipse hostiles (including Armadas), Tiza has a X chance to increase Shield Deflection, Armor and Dodge by 100% for the whole combat.</t>
  </si>
  <si>
    <t>X chance to increase mitigation by 100% against Eclipse hostiles</t>
  </si>
  <si>
    <t>HARRY MUDD</t>
  </si>
  <si>
    <t>Harcourt Fenton Mudd has a X chance to raise shield mitigation to 98% for the first two rounds of combat. Works against Hostiles of level 70 and under.</t>
  </si>
  <si>
    <t>X chance to have 98% shield mitigation for the first two rounds of combat</t>
  </si>
  <si>
    <t>0.18, 0.0, 0.0</t>
  </si>
  <si>
    <t>Harcourt Fenton Mudd has a X chance to double the shots of all the weapons of the ship for the first round of combat. Works against Hostiles of level 70 and under.</t>
  </si>
  <si>
    <t>X chance to double shots for the first round</t>
  </si>
  <si>
    <t>KRAS</t>
  </si>
  <si>
    <t>Kras decreases the effectiveness of the opponent's Captain's Maneuver by X.</t>
  </si>
  <si>
    <t>-X to opponent's Captain's Maneuver effectiveness</t>
  </si>
  <si>
    <t>Kras decreases the Attack, Defense and Health of all the Officers on the Bridge of the opponent's ship by X.</t>
  </si>
  <si>
    <t>-X To all the stats of the opponent's Bridge Officers</t>
  </si>
  <si>
    <t>KLAA</t>
  </si>
  <si>
    <t>Klaa increases the Impulse Speed of the ship by X.</t>
  </si>
  <si>
    <t>0.25, 0.03, 0.05</t>
  </si>
  <si>
    <t>Klaa increases the Critical Hit Damage of the ship by X.</t>
  </si>
  <si>
    <t>+X to Critical Hit Damage</t>
  </si>
  <si>
    <t>0.08, 0.1, 0.13, 0.17, 0.2</t>
  </si>
  <si>
    <t>VIXIS</t>
  </si>
  <si>
    <t>At the beginning of each round, Vixis has a X chance of delaying the opponent Weapon Fire by one round.</t>
  </si>
  <si>
    <t>X chance to delay opponent's Weapons each round for 1 round</t>
  </si>
  <si>
    <t>0.06, 0.01, 0.02</t>
  </si>
  <si>
    <t>Vixis decreases the Energy Weapon Damage of opponent players by X.</t>
  </si>
  <si>
    <t>-X less Energy Damage from player enemies</t>
  </si>
  <si>
    <t>0.1, 0.12, 0.15, 0.2, 0.3</t>
  </si>
  <si>
    <t>CADET KIRK</t>
  </si>
  <si>
    <t>ANOTHER TIME</t>
  </si>
  <si>
    <t>Cadet Kirk increases the Attack, Defense and Health of all Officers on the Bridge by X.</t>
  </si>
  <si>
    <t>+X to all Officer stats on the Bridge</t>
  </si>
  <si>
    <t>0.08, 0.03, 0.06</t>
  </si>
  <si>
    <t>Kirk increases the Weapon damage of the ship by X.</t>
  </si>
  <si>
    <t>0.05, 0.08, 0.12, 0.15, 0.2</t>
  </si>
  <si>
    <t>INSTR. SPOCK</t>
  </si>
  <si>
    <t>Instructor Spock increases the Weapon Damage of the ship by X.</t>
  </si>
  <si>
    <t>+X to Damage</t>
  </si>
  <si>
    <t>Instructor Spock increases the Shield Deflection, Armor and Dodge of the ship by X.</t>
  </si>
  <si>
    <t>+X to Dodge, Shield Deflection and Armor</t>
  </si>
  <si>
    <t>CADET MCCOY</t>
  </si>
  <si>
    <t>Cadet McCoy increases the Health of all Officers on the ship by X.</t>
  </si>
  <si>
    <t>+X to Officers Health on the ship</t>
  </si>
  <si>
    <t>During combat, Cadet McCoy increases the effectiveness of the Captain Maneuver by X.</t>
  </si>
  <si>
    <t>+X to the effectiveness of the Captain Maneuver</t>
  </si>
  <si>
    <t>0.04, 0.06, 0.08, 0.1, 0.12</t>
  </si>
  <si>
    <t>CADET SCOTTY</t>
  </si>
  <si>
    <t>Cadet Scotty increases the Ship Hull Health by X.</t>
  </si>
  <si>
    <t>+X to Hull Health</t>
  </si>
  <si>
    <t>Cadet Scotty increases the Warp Distance of the ship by X.</t>
  </si>
  <si>
    <t>+X Warp Distance</t>
  </si>
  <si>
    <t>1.0, 2.0, 3.0, 4.0, 5.0</t>
  </si>
  <si>
    <t>CADET UHURA</t>
  </si>
  <si>
    <t>Cadet Uhura decreases the Weapon Damage of the opponent's ship by X.</t>
  </si>
  <si>
    <t>-X to the opponent's ship Weapon Damage</t>
  </si>
  <si>
    <t>Cadet Uhura increases the Shield Health of the ship by X.</t>
  </si>
  <si>
    <t>+X to Shield Health</t>
  </si>
  <si>
    <t>0.05, 0.07, 0.09, 0.11, 0.14</t>
  </si>
  <si>
    <t>CADET SULU</t>
  </si>
  <si>
    <t>Cadet Sulu increases the damage of the first shots of the ship by X for the first round.</t>
  </si>
  <si>
    <t>+X to Damage for the first round</t>
  </si>
  <si>
    <t>0.05, 0.05, 0.1</t>
  </si>
  <si>
    <t>Cadet Sulu increases the Attack of all the Officers on the ship by X.</t>
  </si>
  <si>
    <t>+X to the Attack of all the officers in the ship</t>
  </si>
  <si>
    <t>0.05, 0.08, 0.1, 0.12, 0.15</t>
  </si>
  <si>
    <t>JAYLAH</t>
  </si>
  <si>
    <t>Jaylah increases the amount of resources you get from killing hostiles and Outposts by X while on the Franklin and Franklin-A.</t>
  </si>
  <si>
    <t>+X to resources dropped by hostiles and Outposts when on either Franklin or Franklin-A.</t>
  </si>
  <si>
    <t>on USS Franklin(-A)</t>
  </si>
  <si>
    <t>CombatPveRewards (on USS-Franklin(-A))</t>
  </si>
  <si>
    <t>EnemyHullFaction, SelfHullFranklins</t>
  </si>
  <si>
    <t>When Jaylah is on the Franklin and fighting Swarm hostiles, Jaylah increases the number of shots of the Franklin and Franklin-A by X.</t>
  </si>
  <si>
    <t>+X shots against Swarms on either Franklin.</t>
  </si>
  <si>
    <t>ONE OF ELEVEN</t>
  </si>
  <si>
    <t>UNIMATRIX TWELVE</t>
  </si>
  <si>
    <t>The ship mitigates X more damage to the Shield Health instead of the Hull Health.</t>
  </si>
  <si>
    <t>+X damage mitigated by the shields.</t>
  </si>
  <si>
    <t>0.05, 0.01, 0.02</t>
  </si>
  <si>
    <t>The Protected Cargo is increased by X</t>
  </si>
  <si>
    <t>+X to the Protected Cargo of the ship</t>
  </si>
  <si>
    <t>TWO OF ELEVEN</t>
  </si>
  <si>
    <t>Two of Eleven increases the Cargo size of the ship by X.</t>
  </si>
  <si>
    <t>Two of Eleven increases the rate of Crystal, Gas, and Ore Mining by X.</t>
  </si>
  <si>
    <t>+X to Crystal, Gas, and Ore Mining Speed.</t>
  </si>
  <si>
    <t>0.5, 0.55, 0.6, 0.65, 0.75</t>
  </si>
  <si>
    <t>THREE OF ELEVEN</t>
  </si>
  <si>
    <t>Three Of Eleven increases Gas mining speed by X.</t>
  </si>
  <si>
    <t>+X to Gas mining speed.</t>
  </si>
  <si>
    <t>0.6, 0.3, 0.45</t>
  </si>
  <si>
    <t>Three Of Eleven increases Protected Cargo by X.</t>
  </si>
  <si>
    <t>+X to Protected Cargo.</t>
  </si>
  <si>
    <t>3.0, 3.5, 4.0, 4.5, 5.0</t>
  </si>
  <si>
    <t>FOUR OF ELEVEN</t>
  </si>
  <si>
    <t>Four of Eleven increases Ore mining speed by X.</t>
  </si>
  <si>
    <t>+X to Ore mining speed.</t>
  </si>
  <si>
    <t>Four of Eleven increases Cargo size by X.</t>
  </si>
  <si>
    <t>+X to Cargo size.</t>
  </si>
  <si>
    <t>0.4, 0.45, 0.5, 0.55, 0.6</t>
  </si>
  <si>
    <t>FIVE OF ELEVEN</t>
  </si>
  <si>
    <t>Five of Eleven Increases the Shield deflection, Armor and Dodge by X of the total Health of all Officers on the ship.</t>
  </si>
  <si>
    <t>X of the crew's Health bonus to Mitigation</t>
  </si>
  <si>
    <t>2.0, 2.0, 4.0</t>
  </si>
  <si>
    <t>Five of Eleven increases the amount of resources your ship receives from hostiles by X.</t>
  </si>
  <si>
    <t>+X to resources that your ship receives from hostiles</t>
  </si>
  <si>
    <t>SIX OF ELEVEN</t>
  </si>
  <si>
    <t>Every time the ship hits an opponent with a weapon attack, Six of Eleven decreases the opponent's Shield Health by X of the total Defense of all officers on the ship. -- (Weapons with multiple shots will only trigger this maneuver once per attack.)</t>
  </si>
  <si>
    <t>X of Defense removed from opponent's SHP when hitting the opponent</t>
  </si>
  <si>
    <t>0.2, 0.1, 0.4</t>
  </si>
  <si>
    <t>When attacking an Armada Target, every time the ship hits the opponent with a weapon attack, Six of Eleven increases the Accuracy, Armor Piercing and Shield Piercing of the ship by X of the total Attack of all officers on the ship. -- (Weapons with multiple shots will only trigger this ability once per attack.)</t>
  </si>
  <si>
    <t>X of Attack added to Penetration values when firing at Armada Targets</t>
  </si>
  <si>
    <t>0.05, 0.1, 0.2, 0.3, 0.4</t>
  </si>
  <si>
    <t>SEVEN OF ELEVEN</t>
  </si>
  <si>
    <t>EnemyHullFaction, TargetNotArmada</t>
  </si>
  <si>
    <t>When fighting a Borg Tactical Probe, Seven of Eleven has a X chance of increasing the number of shots of each weapon by 2.</t>
  </si>
  <si>
    <t>X chance of adding 2 shots to each weapon when fighting Borg Tactical Probes</t>
  </si>
  <si>
    <t>0.2, 0.15, 0.35</t>
  </si>
  <si>
    <t>2.0, 0.0, 0.0</t>
  </si>
  <si>
    <t>Borg</t>
  </si>
  <si>
    <t>Seven of Eleven increases the Health of every Officer on the ship by X.</t>
  </si>
  <si>
    <t>+X to the Health of all Officers on the ship</t>
  </si>
  <si>
    <t>EIGHT OF ELEVEN</t>
  </si>
  <si>
    <t>When fighting a Borg ship, Eight of Eleven increases the Chance of dealing a critical hit by X.</t>
  </si>
  <si>
    <t>+X to Critical Hit Chance against Borg ships</t>
  </si>
  <si>
    <t>0.1, 0.05, 0.2</t>
  </si>
  <si>
    <t>Eight of Eleven increases the Attack of every Officer on the ship by X.</t>
  </si>
  <si>
    <t>+X to the Attack of all Officers on the Ship</t>
  </si>
  <si>
    <t>0.45, 0.55, 0.65, 0.75, 0.85</t>
  </si>
  <si>
    <t>NINE OF ELEVEN</t>
  </si>
  <si>
    <t>When fighting a Borg ship, Nine of Eleven decreases the Chance of dealing a critical hit of the opponent by X.</t>
  </si>
  <si>
    <t>-X to opponent Borg Critical Hit Chance</t>
  </si>
  <si>
    <t>Nine of Eleven increases the Defense of every Officer on the ship by X.</t>
  </si>
  <si>
    <t>+X to the Defense of all Officers on the Ship</t>
  </si>
  <si>
    <t>TEN OF ELEVEN</t>
  </si>
  <si>
    <t>Ten of Eleven increases the speed of Parsteel, Tritanium and Dilithium Mining by X.</t>
  </si>
  <si>
    <t>+X to Parsteel, Tritanium and Dilithium Mining Speed</t>
  </si>
  <si>
    <t>0.5, 0.25, 0.75</t>
  </si>
  <si>
    <t>Ten of Eleven increases the Mining Speed of the ship by X.</t>
  </si>
  <si>
    <t>+X to Mining Speed</t>
  </si>
  <si>
    <t>0.8, 1.0, 1.2, 1.4, 1.6</t>
  </si>
  <si>
    <t>ORIGINS BURNHAM</t>
  </si>
  <si>
    <t>DISCOVERY ORIGINS</t>
  </si>
  <si>
    <t>Origins Burnham increases the Attack of all the Officers on the ship by X.</t>
  </si>
  <si>
    <t>+X to all Officer Attack</t>
  </si>
  <si>
    <t>15.0, 2.0, 5.0</t>
  </si>
  <si>
    <t>Origins Burnham increases the Weapon Damage of the ship by X.</t>
  </si>
  <si>
    <t>0.07, 0.11, 0.16, 0.2, 0.25</t>
  </si>
  <si>
    <t>ORIGINS SARU</t>
  </si>
  <si>
    <t>Origins Saru increases the Defense of all the Officers on the ship by X.</t>
  </si>
  <si>
    <t>+X to all Officer Defense</t>
  </si>
  <si>
    <t>10.0, 2.0, 5.0</t>
  </si>
  <si>
    <t>Origins Saru increases the Hull Health of the ship by X.</t>
  </si>
  <si>
    <t>0.05, 0.07, 0.1, 0.12, 0.15</t>
  </si>
  <si>
    <t>ORIGINS STAMETS</t>
  </si>
  <si>
    <t>Origins Stamets increases the Health of all the Officers on the ship by X.</t>
  </si>
  <si>
    <t>+X to all Officer Health</t>
  </si>
  <si>
    <t>Origins Stamets increases the Warp Speed of the ship by X.</t>
  </si>
  <si>
    <t>+X to Warp Speed</t>
  </si>
  <si>
    <t>0.3, 0.34, 0.38, 0.42, 0.45</t>
  </si>
  <si>
    <t>MICHAEL BURNHAM</t>
  </si>
  <si>
    <t>DISCOVERY CREW</t>
  </si>
  <si>
    <t>Michael Burnham increases the Impulse Speed of the ship by X.</t>
  </si>
  <si>
    <t>15.0, 5.0, 10.0</t>
  </si>
  <si>
    <t>When fighting players, for each weapon attack that hits the opponent, Michael Burnham removes X of the total Attack of all Officers on your Ship from the opponent's Shield Health. -- (Weapons with multiple shots will only trigger this ability once per attack.)</t>
  </si>
  <si>
    <t>X of Attack removed from opponent's SHP</t>
  </si>
  <si>
    <t>0.3, 0.55, 0.85, 3.0, 4.5</t>
  </si>
  <si>
    <t>SARU</t>
  </si>
  <si>
    <t>When fighting players, every time your ship is hit by a Critical Hit, Saru decreases the Critical Hit Chance of the opponent's ship by X.</t>
  </si>
  <si>
    <t>-X to opponent's Critical Hit Chance when receiving a Critical Hit.</t>
  </si>
  <si>
    <t>When fighting players, Saru decreases the opponent's weapon damage by X.</t>
  </si>
  <si>
    <t>-X to opponent's weapon damage</t>
  </si>
  <si>
    <t>PAUL STAMETS</t>
  </si>
  <si>
    <t>Stamets increases the Cost Efficiency of Jumping and Summoning with the Discovery by X.</t>
  </si>
  <si>
    <t>+X to Jumping and Summoning Cost Efficiency</t>
  </si>
  <si>
    <t>0.2, 0.02, 0.03</t>
  </si>
  <si>
    <t>When defending against a Player, Stamets decreases the opponent's Armor Piercing by X.</t>
  </si>
  <si>
    <t>-X to opponent's Armor Piercing when defending from a player</t>
  </si>
  <si>
    <t>0.4, 0.8, 1.2, 1.6, 2.0</t>
  </si>
  <si>
    <t>GEORGIOU</t>
  </si>
  <si>
    <t>At the start of each round, if the opponent is Burning , Captain Georgiou decreases the Attack of all Officers on the opponent's ship by X for that round. -- Decreasing Attack may result in a decrease in Damage</t>
  </si>
  <si>
    <t>-X to opponent's Officer Attack when the opponent's ship is Burning</t>
  </si>
  <si>
    <t>1.0, 0.15, 0.25</t>
  </si>
  <si>
    <t>At the beginning of each round, Georgiou has a X chance of Burning the opponent's ship for 2 rounds.</t>
  </si>
  <si>
    <t>X chance to deal Burning for two rounds at the start of each round</t>
  </si>
  <si>
    <t>TILLY</t>
  </si>
  <si>
    <t>At the start of combat, when defending from a player attack, Tilly decreases the opponent's Shield Health by X of its starting Shield Health.</t>
  </si>
  <si>
    <t>-X to opponent's Shield Health when defending from a player</t>
  </si>
  <si>
    <t>Every time the ship is hit by an opponent's weapon attack, Tilly has a X chance to decrease the opponent's officers Attack by 15% (cumulative) -- Decreasing Attack may result in a decrease in Damage</t>
  </si>
  <si>
    <t>X chance to decrease opponent's Officer Attack by 15% when hit</t>
  </si>
  <si>
    <t>0.15, 0.15, 0.15, 0.15, 0.15</t>
  </si>
  <si>
    <t>TYLER</t>
  </si>
  <si>
    <t>When defending on a Capture Node, Ash Tyler gives all Officers on the ship a bonus of X to their Attack. -- Increasing Attack may result in an increase in Damage</t>
  </si>
  <si>
    <t>+X to all Officers Attack when the ship defends a Capture Node</t>
  </si>
  <si>
    <t>0.6, 0.15, 0.3</t>
  </si>
  <si>
    <t>docked on a node, on a Capture Node</t>
  </si>
  <si>
    <t>At the start of each round, if the opponent is Burning, Ash Tyler increases the damage of the ship by X of the total Attack of all officers on the ship (cumulative).</t>
  </si>
  <si>
    <t>X of Officer Attack to damage when the opponent's ship is Burning</t>
  </si>
  <si>
    <t>0.5, 0.6, 0.7, 0.8, 1.0</t>
  </si>
  <si>
    <t>CULBER</t>
  </si>
  <si>
    <t>When defending on a Capture Node, Hugh Culber increases Armor by X of the total Health of the Officers on the ship.</t>
  </si>
  <si>
    <t>X of Health to Armor when defending on a Capture Node</t>
  </si>
  <si>
    <t>Hugh increases the Cost Efficiency of Jumping and Summoning with the Discovery by X.</t>
  </si>
  <si>
    <t>AIRIAM</t>
  </si>
  <si>
    <t>Airiam increases the mining speed of Isogen by X.</t>
  </si>
  <si>
    <t>When defending on a Capture Node, at the start of each round, Airiam has a X chance of Burning the opponent for this round.</t>
  </si>
  <si>
    <t>+X chance to inflict Burning when defending on a Node</t>
  </si>
  <si>
    <t>0.6, 0.7, 0.8, 0.9, 0.95</t>
  </si>
  <si>
    <t>EMP. GEORGIOU</t>
  </si>
  <si>
    <t>TERRAN EMPIRE</t>
  </si>
  <si>
    <t>CombatGameContext, SelfAttacking</t>
  </si>
  <si>
    <t>Decreases the opponent crew's Defense by a stacking X of base each round when attacking a player during a Takeover.</t>
  </si>
  <si>
    <t>-X to the opponent crew's Defense each round when attacking a player during a Takeover.</t>
  </si>
  <si>
    <t>during Takeover</t>
  </si>
  <si>
    <t>CombatBattleType, CombatGameContext, SelfAttacking</t>
  </si>
  <si>
    <t>When attacking a player on a capture node, at the start of each round, Emperor Georgiou increases the number of shots of each weapon by X. (cumulative) -- Weapon shots are rounded to the nearest whole number</t>
  </si>
  <si>
    <t>+X to shots</t>
  </si>
  <si>
    <t>0.17, 0.25, 0.34, 0.4, 0.5</t>
  </si>
  <si>
    <t>CAP. TILLY</t>
  </si>
  <si>
    <t>CombatBattleType, SelfAttacking, CombatGameContext, TargetHasHullBreach</t>
  </si>
  <si>
    <t>When attacking on a capture node, at the start of each turn, as long as the opponent's ship has a Hull Breach, Captain Tilly increases the Armor Piercing, Shield Piercing and Accuracy of the ship by X of the total Defense of all Officers on the ship (cumulative).</t>
  </si>
  <si>
    <t>X of Defense to Piercing values</t>
  </si>
  <si>
    <t>CombatBattleType, CombatGameContext, TargetHasHullBreach</t>
  </si>
  <si>
    <t>At the start of each round, if the opponent has a Hull Breach, Captain Tilly increases the Armor, Shield deflection and Dodge by X of the total Health of all Officers on the ship (cumulative).</t>
  </si>
  <si>
    <t>X of Health to Mitigation values</t>
  </si>
  <si>
    <t>LORCA</t>
  </si>
  <si>
    <t>EnemyPlayer, TargetHasHullBreach</t>
  </si>
  <si>
    <t>When fighting players, at the start of each round, if the opponent has Hull Breach, Lorca decreases the opponent's Weapon damage by X for this turn.</t>
  </si>
  <si>
    <t>-X to opponent's Damage</t>
  </si>
  <si>
    <t>1.0, 0.25, 0.5</t>
  </si>
  <si>
    <t>At the beginning of each round, Lorca has a X chance of dealing Hull Breach to the opponent's ship for 2 rounds.</t>
  </si>
  <si>
    <t>X chance to inflict Hull Breach</t>
  </si>
  <si>
    <t>TOS KIRK</t>
  </si>
  <si>
    <t>TOS ENTERPRISE CREW</t>
  </si>
  <si>
    <t>SelfHasMorale, EnemyPlayer, ModuleEnergy</t>
  </si>
  <si>
    <t>When fighting players, at the start of each turn, as long as the ship has Morale, TOS James T. Kirk increases the damage of energy weapons by X of the total Defense of all Officers on the ship (cumulative).</t>
  </si>
  <si>
    <t>X of Defense to energy damage</t>
  </si>
  <si>
    <t>At the start of each round, if the ship's Health is above 30% of its starting value, TOS James T. Kirk has a X chance to inspire Morale to the ship for this round.</t>
  </si>
  <si>
    <t>X chance to give Morale</t>
  </si>
  <si>
    <t>0.75, 0.8, 0.85, 0.9, 0.95</t>
  </si>
  <si>
    <t>TOS SPOCK</t>
  </si>
  <si>
    <t>When defending, at the start of each turn, TOS Spock restores Shield Health to an amount equal to X of the Defense of the Officers on the ship (restores the Shield Health of all your ships if the ship is defending the station).</t>
  </si>
  <si>
    <t>X of Defense to SHP of all ships</t>
  </si>
  <si>
    <t>1.0, 0.5, 1.0</t>
  </si>
  <si>
    <t>SelfHasMorale, EnemyPlayer</t>
  </si>
  <si>
    <t>When fighting players, as long as the ship has Morale, TOS Spock decreases the Critical Hit Damage bonus of the opponent's ship by X.</t>
  </si>
  <si>
    <t>-X to opponent's Critical damage</t>
  </si>
  <si>
    <t>0.5, 0.75, 1.0, 1.25, 1.5</t>
  </si>
  <si>
    <t>TOS UHURA</t>
  </si>
  <si>
    <t>When fighting players, as long as the ship has Morale, TOS Nyota Uhura decreases the opponent's Critical Hit Chance by X.</t>
  </si>
  <si>
    <t>-X to opponent's critical hit chance</t>
  </si>
  <si>
    <t>0.1, 0.25, 1.0</t>
  </si>
  <si>
    <t>When fighting players, as long as the ship has Morale, TOS Nyota Uhura removes X from the Shield Mitigation of the opponent's ship. -- Shield Mitigation determines the amount of damage dealt to the shield health</t>
  </si>
  <si>
    <t>-X to opponent's Shield Mitigation</t>
  </si>
  <si>
    <t>0.08, 0.1, 0.12, 0.16, 0.2</t>
  </si>
  <si>
    <t>TOS MCCOY</t>
  </si>
  <si>
    <t>When defending, TOS Leonard McCoy increases the Shield Deflection, Armor, and Dodge of the ship by X of the Health of all Officers on the ship.</t>
  </si>
  <si>
    <t>X to Dodge, Shield Deflection, and Armor when defending</t>
  </si>
  <si>
    <t>3.0, 0.5, 1.0</t>
  </si>
  <si>
    <t>If the ship is an Explorer, TOS Leonard McCoy increases the Attack, Defense, and Health of all Officers on the ship by X.</t>
  </si>
  <si>
    <t>X to Attack, Defense, and Health of all Officers when aboard an Explorer</t>
  </si>
  <si>
    <t>TOS SULU</t>
  </si>
  <si>
    <t>At the start of each round, TOS Hikaru Sulu has a X chance of inspiring Morale for one round.</t>
  </si>
  <si>
    <t>X chance to inspire Morale for 1 round</t>
  </si>
  <si>
    <t>0.55, 0.05, 0.1</t>
  </si>
  <si>
    <t>0.0, 0.0, 0.0</t>
  </si>
  <si>
    <t>SelfExplorer, SelfHasMorale</t>
  </si>
  <si>
    <t>If the ship is an Explorer, at the start of each turn, if the ship has Morale, TOS Hikaru Sulu increases its Critical Hit Chance by X for that round.</t>
  </si>
  <si>
    <t>X increase to Critical Hit Chance when aboard an Explorer that has  Morale</t>
  </si>
  <si>
    <t>0.06, 0.08, 0.1, 0.12, 0.15</t>
  </si>
  <si>
    <t>TOS SCOTTY</t>
  </si>
  <si>
    <t>TOS Scotty increases the Warp Range of Explorers by X.</t>
  </si>
  <si>
    <t>+X to Warp Range for Explorers</t>
  </si>
  <si>
    <t>4.0, 2.0, 3.0</t>
  </si>
  <si>
    <t>TOS Scotty increases the Repair Cost Efficiency of the ship by X. -- This ability is applied after all other bonuses from research and/or your station and stacked on top.</t>
  </si>
  <si>
    <t>+X to Repair Cost Efficiency</t>
  </si>
  <si>
    <t>TOS CHEKOV</t>
  </si>
  <si>
    <t>TOS Chekov increases the Impulse Speed of Explorers by X.</t>
  </si>
  <si>
    <t>+X to Impulse Speed on Explorers</t>
  </si>
  <si>
    <t>10.0, 5.0, 10.0</t>
  </si>
  <si>
    <t>CombatBattleType, EnemyPlayer, SelfDefending</t>
  </si>
  <si>
    <t>When attacked while on a Capture or Mining Node by a player, TOS Chekov decreases the opponent's damage by X.</t>
  </si>
  <si>
    <t>-X to opponent's damage when attacked on nodes</t>
  </si>
  <si>
    <t>0.3, 0.5, 0.75, 1.0, 1.5</t>
  </si>
  <si>
    <t>docked on a node</t>
  </si>
  <si>
    <t>NEXT GEN DATA</t>
  </si>
  <si>
    <t>NEXT GEN</t>
  </si>
  <si>
    <t>Next Gen Data increases the Attack, Defense and Health of all Officers on the Bridge by X.</t>
  </si>
  <si>
    <t>Next Gen Data increases the Weapon damage of the ship by X.</t>
  </si>
  <si>
    <t>NEXT GEN TROI</t>
  </si>
  <si>
    <t>Next Gen Troi increases the Weapon Damage of the ship by X.</t>
  </si>
  <si>
    <t>Next Gen Troi increases the Shield Deflection, Armor and Dodge of the ship by X.</t>
  </si>
  <si>
    <t>NEXT GEN CRUSHER</t>
  </si>
  <si>
    <t>Next Gen Crusher increases the Health of all Officers on the ship by X.</t>
  </si>
  <si>
    <t>During combat, Next Gen Crusher increases the effectiveness of the Captain Maneuver by X.</t>
  </si>
  <si>
    <t>NEXT GEN LA FORGE</t>
  </si>
  <si>
    <t>Next Gen La Forge decreases the Weapon Damage of the opponent's ship by X.</t>
  </si>
  <si>
    <t>Next Gen La Forge increases the Shield Health of the ship by X.</t>
  </si>
  <si>
    <t>NEXT GEN RIKER</t>
  </si>
  <si>
    <t>Next Gen Riker increases the damage of the first shots of the ship by X for the first round.</t>
  </si>
  <si>
    <t>Next Gen Riker increases the Attack of all the Officers on the ship by X.</t>
  </si>
  <si>
    <t>DATA</t>
  </si>
  <si>
    <t>TNG CREW</t>
  </si>
  <si>
    <t>When fighting Hostiles and Armadas, Data increases the Critical Hit Chance by X.</t>
  </si>
  <si>
    <t>+X to Critical Hit Chance against Hostiles/Armadas</t>
  </si>
  <si>
    <t>0.17, 0.03, 0.04</t>
  </si>
  <si>
    <t>When fighting non-player targets (including Mission Hostiles), Data increases Armor Piercing, Shield Piercing, and Accuracy by X.</t>
  </si>
  <si>
    <t>+X to all Penetration stats against non-player targets</t>
  </si>
  <si>
    <t>0.6, 1.2, 1.8, 2.4, 3.0</t>
  </si>
  <si>
    <t>BEVERLY CRUSHER</t>
  </si>
  <si>
    <t>When fighting Hostiles and Armadas, Beverly Crusher restores Shield Health each round equal to X of the Health of all Officers on the ship.</t>
  </si>
  <si>
    <t>+X of total crew Health restored to SHP each round when fighting Hostiles/Armadas</t>
  </si>
  <si>
    <t>2.0, 0.5, 1.0</t>
  </si>
  <si>
    <t>When fighting Hostiles and Armadas, Beverly Crusher increases Armor, Shield Deflection, and Dodge by X of the Defense of all Officers on the ship.</t>
  </si>
  <si>
    <t>+X to all Mitigation stats when fighting Hostiles/Armadas</t>
  </si>
  <si>
    <t>1.5, 2.0, 2.5, 3.0, 3.5</t>
  </si>
  <si>
    <t>GEORDI LA FORGE</t>
  </si>
  <si>
    <t>Geordi La Forge increases the rewards your ship receives from defeated Armada Targets by X.</t>
  </si>
  <si>
    <t>+X increased rewards that your ship receives from defeated Armadas</t>
  </si>
  <si>
    <t>0.5, 0.1, 0.15</t>
  </si>
  <si>
    <t>EnemyHullFaction, EnemyHostile</t>
  </si>
  <si>
    <t>Geordi La Forge increases Weapon Damage against Klingon Hostiles and Klingon Armadas by X.</t>
  </si>
  <si>
    <t>+X to Weapon Damage against Klingon Hostiles/Armadas</t>
  </si>
  <si>
    <t>1.0, 1.5, 2.0, 2.5, 3.0</t>
  </si>
  <si>
    <t>JEAN-LUC PICARD</t>
  </si>
  <si>
    <t>Jean-Luc Picard increases the effectiveness of all Officer Abilities that trigger in combat by X. Works against Hostiles of level 70 and under. -- This ability receives the same synergy bonus from all TNG Officers, regardless of class.</t>
  </si>
  <si>
    <t>0.2, 1.0, 1.0</t>
  </si>
  <si>
    <t>Jean-Luc Picard increases your Critical Hit Damage by X.</t>
  </si>
  <si>
    <t>+X to your Critical Hit Damage</t>
  </si>
  <si>
    <t>WESLEY CRUSHER</t>
  </si>
  <si>
    <t>Wesley Crusher increases Weapon Damage against Hostiles and Armadas by X of Crew Attack.</t>
  </si>
  <si>
    <t>+X of Attack to Damage vs. Hostiles/Armadas</t>
  </si>
  <si>
    <t>Wesley Crusher increases his own stats by X.</t>
  </si>
  <si>
    <t>+X to own stats</t>
  </si>
  <si>
    <t>0.2, 0.4, 0.7, 1.0, 2.0</t>
  </si>
  <si>
    <t>WILLIAM T. RIKER</t>
  </si>
  <si>
    <t>William T. Riker increases Weapon Damage against Armada Targets by X every round (cumulative).</t>
  </si>
  <si>
    <t>+X to Damage against Armadas each round (cumulative)</t>
  </si>
  <si>
    <t>1.0, 0.1, 0.2</t>
  </si>
  <si>
    <t>William T. Riker increases Weapon Damage against Federation Hostiles and Federation Armadas by X.</t>
  </si>
  <si>
    <t>+X to Weapon Damage against Federation Hostiles/Armadas</t>
  </si>
  <si>
    <t>DEANNA TROI</t>
  </si>
  <si>
    <t>Deanna Troi reduces the Crit Chance of Armada Targets by X.</t>
  </si>
  <si>
    <t>-X to Crit Chance for Armadas</t>
  </si>
  <si>
    <t>0.15, 0.02, 0.05</t>
  </si>
  <si>
    <t>Deanna Troi increases Weapon Damage against Romulan Hostiles and Romulan Armadas by X.</t>
  </si>
  <si>
    <t>+X to Weapon Damage against Romulan Hostiles/Armadas</t>
  </si>
  <si>
    <t>WORF</t>
  </si>
  <si>
    <t>After winning a battle, Worf increases the Warp Speed of the ship by X. This bonus does not stack, and is removed when returning to your station.</t>
  </si>
  <si>
    <t>+X to Warp Speed after winning a battle</t>
  </si>
  <si>
    <t>0.7, 0.1, 0.15</t>
  </si>
  <si>
    <t>Worf increases all Mitigation stats against non-player targets by X.</t>
  </si>
  <si>
    <t>+X to all Mitigation against non-player targets</t>
  </si>
  <si>
    <t>TASHA YAR</t>
  </si>
  <si>
    <t>Tasha Yar reduces the Crit Chance of Mission Hostiles (yellow hostiles) by X.</t>
  </si>
  <si>
    <t>-X to Crit Chance for Mission Hostiles</t>
  </si>
  <si>
    <t>Tasha Yar increases all Weapon Damage against non-player targets by X.</t>
  </si>
  <si>
    <t>+X to Weapon Damage against non-player targets</t>
  </si>
  <si>
    <t>ELEVEN OF ELEVEN</t>
  </si>
  <si>
    <t>Eleven of Eleven increases Crystal mining speed by X.</t>
  </si>
  <si>
    <t>+X to Crystal mining speed.</t>
  </si>
  <si>
    <t>Eleven of Eleven increases Warp Speed by X.</t>
  </si>
  <si>
    <t>+X to Warp Speed.</t>
  </si>
  <si>
    <t>HONORGUARD WORF</t>
  </si>
  <si>
    <t>KHITOMER'S REVENGE</t>
  </si>
  <si>
    <t>When fighting other players, Honorguard Worf increases the ship's Armor Piercing by X of Crew Attack whenever the ship scores a critical hit.</t>
  </si>
  <si>
    <t>Increase Armor Piercing by X of Crew Attack when critically hitting player targets</t>
  </si>
  <si>
    <t>0.3, 0.05, 0.1</t>
  </si>
  <si>
    <t>For the first 8 rounds of combat against other players, Honorguard Worf increases the Critical Hit Chance of the ship by X.</t>
  </si>
  <si>
    <t>+X to Crit Chance against players for the first 8 rounds of combat</t>
  </si>
  <si>
    <t>0.45, 0.5, 0.6, 0.75, 1.0</t>
  </si>
  <si>
    <t>SELA</t>
  </si>
  <si>
    <t>PRIDE OF ROMULUS</t>
  </si>
  <si>
    <t>While cloaked, Sela increases Critical Hit Damage by X.</t>
  </si>
  <si>
    <t>Increase Crit Damage by X while cloaked</t>
  </si>
  <si>
    <t>When fighting other players, Sela decreases the enemy's Critical Hit Chance by X every time the ship scores a hit.</t>
  </si>
  <si>
    <t>In PVP, decrease enemy Crit Chance by X per hit</t>
  </si>
  <si>
    <t>0.02, 0.03, 0.04, 0.05, 0.06</t>
  </si>
  <si>
    <t>TOMALAK</t>
  </si>
  <si>
    <t>While cloaked, Tomalak increases Armor Piercing, Shield Penetration, and Accuracy by X.</t>
  </si>
  <si>
    <t>Increase all Penetration stats by X while cloaked</t>
  </si>
  <si>
    <t>Tomalak increases Weapon Damage against Klingon targets by X of total Crew Attack.</t>
  </si>
  <si>
    <t>Increase Damage against Klingons by X of Crew Attack</t>
  </si>
  <si>
    <t>GOWRON</t>
  </si>
  <si>
    <t>Gowron increases the ship's Energy Weapon Damage by X.</t>
  </si>
  <si>
    <t>+X to Energy Weapon Damage</t>
  </si>
  <si>
    <t>0.5, 0.05, 0.1</t>
  </si>
  <si>
    <t>Gowron increases the ship's Shield Deflection by X of total Crew Health.</t>
  </si>
  <si>
    <t>+X of Crew Health to Shield Deflection</t>
  </si>
  <si>
    <t>2.0, 5.0, 8.0, 11.0, 14.0</t>
  </si>
  <si>
    <t>MARTOK</t>
  </si>
  <si>
    <t>Martok increases the ship's Kinetic Weapon Damage by X.</t>
  </si>
  <si>
    <t>+X to Kinetic Weapon Damage</t>
  </si>
  <si>
    <t>Martok increases the ship's Dodge by X of total Crew Defense.</t>
  </si>
  <si>
    <t>+X of Crew Defense to Dodge</t>
  </si>
  <si>
    <t>GHRUSH</t>
  </si>
  <si>
    <t>Syndicate</t>
  </si>
  <si>
    <t>Ghrush increases the Protected Cargo of the ship by X.</t>
  </si>
  <si>
    <t>Ghrush increases the Warp Range of the ship by X.</t>
  </si>
  <si>
    <t>+X to Warp Range</t>
  </si>
  <si>
    <t>BA'EL</t>
  </si>
  <si>
    <t>Ba'el increases the ship's Weapon Damage by X.</t>
  </si>
  <si>
    <t>0.25, 0.025, 0.05</t>
  </si>
  <si>
    <t>Ba'el increases the ship's Armor by X of total Crew Attack.</t>
  </si>
  <si>
    <t>+X of Crew Attack to Armor</t>
  </si>
  <si>
    <t>B'ETOR</t>
  </si>
  <si>
    <t>When on a ship that can use cloaking, B'Etor increases the duration the ship can stay cloaked by X.</t>
  </si>
  <si>
    <t>+X to cloaking duration</t>
  </si>
  <si>
    <t>When on the Amalgam, B'Etor boosts the Amalgam's bonus loot ship ability by X.</t>
  </si>
  <si>
    <t>B'Etor boosts the Amalgam's bonus loot ship ability by +X</t>
  </si>
  <si>
    <t>0.1, 0.14, 0.22, 0.34, 0.5</t>
  </si>
  <si>
    <t>Amalgam</t>
  </si>
  <si>
    <t>LURSA</t>
  </si>
  <si>
    <t>When on a ship that can use cloaking, Lursa decreases the cloaking cooldown by X.</t>
  </si>
  <si>
    <t>-X to cloaking cooldown</t>
  </si>
  <si>
    <t>EnemyPlayer, SelfAttacking</t>
  </si>
  <si>
    <t>When attacking other players, Lursa decreases the opponent's Weapon Damage by X.</t>
  </si>
  <si>
    <t>-X to defending enemy player Weapon Damage</t>
  </si>
  <si>
    <t>0.25, 0.3, 0.4, 0.55, 0.7</t>
  </si>
  <si>
    <t>ARROCK</t>
  </si>
  <si>
    <t>FERENGI CONGLOMERATE</t>
  </si>
  <si>
    <t>Increase mining speed when mining Concentrated Latinum by X.</t>
  </si>
  <si>
    <t>+X mining speed for Concentrated Latinum.</t>
  </si>
  <si>
    <t>65.0, 12.0, 30.0</t>
  </si>
  <si>
    <t>Increase mining speed by X.</t>
  </si>
  <si>
    <t>+X Mining Speed.</t>
  </si>
  <si>
    <t>0.25, 0.3, 0.4, 0.45, 0.5</t>
  </si>
  <si>
    <t>FESS</t>
  </si>
  <si>
    <t>Increase base mining speed by X.</t>
  </si>
  <si>
    <t>0.55, 0.2, 0.35</t>
  </si>
  <si>
    <t>Reduce protected cargo by X.</t>
  </si>
  <si>
    <t>0.3, 0.25, 0.2, 0.15, 0.1</t>
  </si>
  <si>
    <t>QUARK</t>
  </si>
  <si>
    <t>Increase protected cargo by X.</t>
  </si>
  <si>
    <t>Increase protected cargo by +X.</t>
  </si>
  <si>
    <t>0.9, 0.08, 0.15</t>
  </si>
  <si>
    <t>ROM</t>
  </si>
  <si>
    <t>EnemySentinel, TargetNotASB, SelfAttacking</t>
  </si>
  <si>
    <t>When attacking a station, Rom delays opponent ship and defense platform Weapon Fire for X round. -- This ability does not gain synergy group benefits.</t>
  </si>
  <si>
    <t>Delay opponent's fire by X round when attacking a station.</t>
  </si>
  <si>
    <t>SelfAttacking, EnemySentinel</t>
  </si>
  <si>
    <t>When attacking a station, Rom increases the number of shots of the ship's weapons by X.</t>
  </si>
  <si>
    <t>+X shots when attacking a station.</t>
  </si>
  <si>
    <t>0.5, 0.7, 0.9, 1.2, 1.5</t>
  </si>
  <si>
    <t>CATH</t>
  </si>
  <si>
    <t>Cath increases the Repair Cost Efficiency of the ship by X. -- This ability is applied after all other bonuses from research and/or your station and stacked on top.</t>
  </si>
  <si>
    <t>If the opponent is a Hostile, Cath decreases the Damage done by its Kinetic Weapons by X. Works against Hostiles of level 51 and under.</t>
  </si>
  <si>
    <t>0.12, 0.15, 0.18, 0.21, 0.25</t>
  </si>
  <si>
    <t>BECKETT MARINER</t>
  </si>
  <si>
    <t>LOWER DECKS CREW</t>
  </si>
  <si>
    <t>Beckett Mariner increases the Attack of all Officers on the ship by X.</t>
  </si>
  <si>
    <t>+X to all Officer Attack.</t>
  </si>
  <si>
    <t>0.05, 0.1, 0.15, 0.25, 0.3</t>
  </si>
  <si>
    <t>Beckett Mariner increases the ship's Weapon Damage by X.</t>
  </si>
  <si>
    <t>+X to Weapon Damage.</t>
  </si>
  <si>
    <t>0.7, 0.95, 1.15, 1.4, 1.8</t>
  </si>
  <si>
    <t>BRAD BOIMLER</t>
  </si>
  <si>
    <t>Brad Boimler increases Armor Piercing, Shield Piercing, and Accuracy by X.</t>
  </si>
  <si>
    <t>+X to all Penetration stats.</t>
  </si>
  <si>
    <t>Brad Boimler increases Armor, Shield Deflection, and Dodge by X.</t>
  </si>
  <si>
    <t>+X to all Mitigation stats.</t>
  </si>
  <si>
    <t>0.5, 0.675, 0.85, 1.075, 1.3</t>
  </si>
  <si>
    <t>BADGEY</t>
  </si>
  <si>
    <t>Badgey decreases the Armor, Shield Deflection, and Dodge of enemy ships by X.</t>
  </si>
  <si>
    <t>-X to all Mitigation stats of enemy ships.</t>
  </si>
  <si>
    <t>0.05, 0.12, 0.15, 0.18, 0.2</t>
  </si>
  <si>
    <t>Badgey increases Armor Penetration, Shield Penetration, and Accuracy by X.</t>
  </si>
  <si>
    <t>0.15, 0.225, 0.3, 0.45, 0.65</t>
  </si>
  <si>
    <t>D'VANA TENDI</t>
  </si>
  <si>
    <t>D'Vana Tendi increases the Health of all Officers on the ship by X.</t>
  </si>
  <si>
    <t>+X to all Officer Health.</t>
  </si>
  <si>
    <t>D'Vana Tendi increases the ship's Hull Health by X.</t>
  </si>
  <si>
    <t>+X to HHP.</t>
  </si>
  <si>
    <t>0.75, 1.0, 1.35, 1.7, 2.15</t>
  </si>
  <si>
    <t>SAM RUTHERFORD</t>
  </si>
  <si>
    <t>Sam Rutherford increases Armor, Shield Deflection, and Dodge by X.</t>
  </si>
  <si>
    <t>Sam Rutherford increases the ship's Shield Health by X.</t>
  </si>
  <si>
    <t>+X to SHP.</t>
  </si>
  <si>
    <t>0.5, 0.7, 0.9, 1.1, 1.35</t>
  </si>
  <si>
    <t>SNW PIKE</t>
  </si>
  <si>
    <t>STRANGE NEW WORLDS</t>
  </si>
  <si>
    <t>EnemyHostile, TargetNotArmada</t>
  </si>
  <si>
    <t>When fighting hostiles, SNW Pike increases Shield Mitigation by X.</t>
  </si>
  <si>
    <t>Increase Shield Mitigation by X.</t>
  </si>
  <si>
    <t>0.04, 0.02, 0.05</t>
  </si>
  <si>
    <t>When fighting hostiles, SNW Pike decreases hostile Shield Mitigation by X.</t>
  </si>
  <si>
    <t>Decrease hostile Shield Mitigation by X.</t>
  </si>
  <si>
    <t>0.1, 0.15, 0.2, 0.25, 0.35</t>
  </si>
  <si>
    <t>SNW SPOCK</t>
  </si>
  <si>
    <t>When fighting hostiles, SNW Spock decreases hostile critical hit chance by X.</t>
  </si>
  <si>
    <t>Decrease critical hit chance of hostiles by X.</t>
  </si>
  <si>
    <t>SelfExplorer, EnemyHostile, TargetNotArmada, EnemyInterceptor</t>
  </si>
  <si>
    <t>SNW Spock increases Armor, Shield Deflection, and Dodge by X of total Defense when attacking hostile Interceptors from an Explorer.</t>
  </si>
  <si>
    <t>Increase Armor, Shield Deflection, and Dodge by X of total Defense.</t>
  </si>
  <si>
    <t>5.0, 8.0, 11.0, 14.0, 18.0</t>
  </si>
  <si>
    <t>SelfExplorer, EnemyHostile, EnemyInterceptor</t>
  </si>
  <si>
    <t>SelfExplorer, EnemyInterceptor</t>
  </si>
  <si>
    <t>SNW LA'AN</t>
  </si>
  <si>
    <t>SNW La'an increases base Warp Speed by X.</t>
  </si>
  <si>
    <t>Increase base Warp Speed by X.</t>
  </si>
  <si>
    <t>0.5, 0.7, 0.95, 1.25, 1.5</t>
  </si>
  <si>
    <t>SNW La'an increases the ship's base Max Cargo by X.</t>
  </si>
  <si>
    <t>Increase base Max Cargo by X.</t>
  </si>
  <si>
    <t>REGINALD BARCLAY</t>
  </si>
  <si>
    <t>HOLODECK</t>
  </si>
  <si>
    <t>Reginald Barclay increases the base Defense of all Officers by X.</t>
  </si>
  <si>
    <t>+X to all Officer's base Defense.</t>
  </si>
  <si>
    <t>Reginald Barclay increases the ship's base Protected Cargo by X.</t>
  </si>
  <si>
    <t>Increase base Protected Cargo by X.</t>
  </si>
  <si>
    <t>0.3, 0.45, 0.6, 0.8, 1.0</t>
  </si>
  <si>
    <t>SNW UNA</t>
  </si>
  <si>
    <t>When fighting hostiles, SNW Una increases base Weapon Damage by X.</t>
  </si>
  <si>
    <t>Increase base Weapon Damage by X.</t>
  </si>
  <si>
    <t>1.0, 0.75, 1.0</t>
  </si>
  <si>
    <t>SNW Una increases Impulse Speed by X.</t>
  </si>
  <si>
    <t>Increase Impulse Speed by X.</t>
  </si>
  <si>
    <t>15.0, 20.0, 30.0, 40.0, 50.0</t>
  </si>
  <si>
    <t>SNW UHURA</t>
  </si>
  <si>
    <t>When fighting hostiles, SNW Uhura increases critical hit damage against hostiles by X.</t>
  </si>
  <si>
    <t>Increase critical hit damage against hostiles by X.</t>
  </si>
  <si>
    <t>SelfInterceptor, EnemyHostile, TargetNotArmada, EnemyBattleship</t>
  </si>
  <si>
    <t>SNW Uhura increases Armor, Shield Deflection, and Dodge by X of total Attack when attacking hostile Battleships from an Interceptor.</t>
  </si>
  <si>
    <t>Increase Armor, Shield Deflection, and Dodge by X of total Attack.</t>
  </si>
  <si>
    <t>SelfInterceptor, EnemyHostile, EnemyBattleship</t>
  </si>
  <si>
    <t>SelfInterceptor, EnemyBattleship</t>
  </si>
  <si>
    <t>SNW ORTEGAS</t>
  </si>
  <si>
    <t>When fighting hostiles, SNW Ortegas increases critical hit chance against hostiles by X.</t>
  </si>
  <si>
    <t>Increase critical hit chance against hostiles by X.</t>
  </si>
  <si>
    <t>SelfBattleship, EnemyHostile, EnemyExplorer, TargetNotArmada</t>
  </si>
  <si>
    <t>SNW Ortegas increases Armor, Shield Deflection, and Dodge by X of total Health when attacking hostile Explorers from a Battleship.</t>
  </si>
  <si>
    <t>Increase Armor, Shield Deflection, and Dodge by X of total Health.</t>
  </si>
  <si>
    <t>SelfBattleship, EnemyHostile, EnemyExplorer</t>
  </si>
  <si>
    <t>SelfBattleship, EnemyExplorer</t>
  </si>
  <si>
    <t>SNW HEMMER</t>
  </si>
  <si>
    <t>EnemyHostile, TargetNotArmada, EnemySurvey</t>
  </si>
  <si>
    <t>SNW Hemmer increases Armor, Shield Deflection, and Dodge by X of total Health when in combat with hostile Survey ships.</t>
  </si>
  <si>
    <t>8.0, 10.0, 14.0, 19.0, 25.0</t>
  </si>
  <si>
    <t>EnemyHostile, EnemySurvey</t>
  </si>
  <si>
    <t>SNW Hemmer increases the Health of all Officers on the ship by X of their base value.</t>
  </si>
  <si>
    <t>Increase Health of all Officers on the ship by X of their base value.</t>
  </si>
  <si>
    <t>0.7, 0.8, 1.0, 1.2, 1.5</t>
  </si>
  <si>
    <t>STRIKE TEAM LA'AN</t>
  </si>
  <si>
    <t>BATTLESHIP STRIKE TEAM</t>
  </si>
  <si>
    <t>SelfBattleship, EnemyPlayer, TargetHasBurning</t>
  </si>
  <si>
    <t>While on a Battleship fighting a Burning player ship, at the start of each round Strike Team SNW La'an increases the number of shots per Weapon by X.</t>
  </si>
  <si>
    <t>+X to Weapon Shots on round start if on a Battleship fighting Burning player ships.</t>
  </si>
  <si>
    <t>0.1, 0.25, 0.65</t>
  </si>
  <si>
    <t>SelfBattleship, TargetHasBurning</t>
  </si>
  <si>
    <t>While on a Battleship fighting a player ship, each time your ship hits with a weapon, Strike Team SNW La'an has a X chance of Burning it for 3 rounds.</t>
  </si>
  <si>
    <t>X chance of Burning player ships for 3 rounds per hit if on a Battleship.</t>
  </si>
  <si>
    <t>0.6, 0.65, 0.72, 0.8, 0.9</t>
  </si>
  <si>
    <t>STRIKE TEAM UNA</t>
  </si>
  <si>
    <t>EnemyExplorer, EnemyPlayer</t>
  </si>
  <si>
    <t>While in combat against a player Explorer, Strike Team SNW Una increases all Officer stats by X each round.</t>
  </si>
  <si>
    <t>+X to Officer stats each round against player Explorers.</t>
  </si>
  <si>
    <t>1.3, 0.05, 0.1</t>
  </si>
  <si>
    <t>While on a Battleship fighting a player ship, Strike Team SNW Una decreases their Shield Mitigation by X each round.</t>
  </si>
  <si>
    <t>-X enemy Shield Mitigation per round against players when in a Battleship.</t>
  </si>
  <si>
    <t>0.25, 0.27, 0.3, 0.34, 0.4</t>
  </si>
  <si>
    <t>STRIKE TEAM ORTEGAS</t>
  </si>
  <si>
    <t>EnemyPlayer, EnemyExplorer</t>
  </si>
  <si>
    <t>When shot by a player Explorer, Strike Team SNW Ortegas has X chance of Burning them for 3 rounds.</t>
  </si>
  <si>
    <t>X chance to inflict Burning for 3 rounds on player Explorers when hit by them.</t>
  </si>
  <si>
    <t>0.05, 0.1, 0.2</t>
  </si>
  <si>
    <t>While on a Battleship fighting a player ship, Strike Team SNW Ortegas causes weapons shot by them to have a X chance of having their next attack delayed by 1 round.</t>
  </si>
  <si>
    <t>X chance to delay enemy player weapons by 1 round when in a Battleship.</t>
  </si>
  <si>
    <t>0.4, 0.45, 0.52, 0.6, 0.7</t>
  </si>
  <si>
    <t>MAVERY</t>
  </si>
  <si>
    <t>Increase Max Cargo by X.</t>
  </si>
  <si>
    <t>Increase Max Cargo by X</t>
  </si>
  <si>
    <t>Increase Crystal, Gas and Ore Mining speed by X.</t>
  </si>
  <si>
    <t>Increase Crystal,Gas and Ore Mining speed by X</t>
  </si>
  <si>
    <t>1.0, 1.25, 1.5, 1.75, 2.0</t>
  </si>
  <si>
    <t>INTERCEPTOR STRIKE TEAM</t>
  </si>
  <si>
    <t>While on an Interceptor fighting a player ship, at the start of a round Gul Dukat has X chance to apply Hull Breach to it for 3 rounds.</t>
  </si>
  <si>
    <t>Each round, X chance of applying Hull Breach to player ships for 3 rounds if on an Interceptor.</t>
  </si>
  <si>
    <t>0.2, 0.2, 0.4</t>
  </si>
  <si>
    <t>SelfInterceptor, EnemyPlayer, TargetHasHullBreach</t>
  </si>
  <si>
    <t>When shot while on an Interceptor fighting a player ship with Hull Breach, Gul Dukat increases the number of shots by X once per Weapon for 5 rounds.</t>
  </si>
  <si>
    <t>+X Shot Count for 5 rounds if hit by a player with Hull Breach as a Interceptor.</t>
  </si>
  <si>
    <t>0.25, 0.29, 0.35, 0.42, 0.5</t>
  </si>
  <si>
    <t>SelfInterceptor, TargetHasHullBreach</t>
  </si>
  <si>
    <t>GARAK</t>
  </si>
  <si>
    <t>ModuleKinetic, SelfInterceptor, EnemyPlayer, TargetHasHullBreach</t>
  </si>
  <si>
    <t>While on an Interceptor fighting a player ship with Hull Breach, Garak reduces opponent Kinetic Weapon Damage by X each round.</t>
  </si>
  <si>
    <t>-X to Kinetic Weapon Damage each Round when fighting player ships with Hull Breach, while on an Interceptor.</t>
  </si>
  <si>
    <t>ModuleKinetic, SelfInterceptor, TargetHasHullBreach</t>
  </si>
  <si>
    <t>While on an Interceptor fighting a player ship with Hull Breach, Garak increases Critical Hit Chance by X each round.</t>
  </si>
  <si>
    <t>+X Critical Hit Chance per round against players with Hull Breach.</t>
  </si>
  <si>
    <t>0.3, 0.35, 0.42, 0.5, 0.6</t>
  </si>
  <si>
    <t>DAMAR</t>
  </si>
  <si>
    <t>While on an Interceptor fighting a player ship with Hull Breach, if Damar scores a Critical Hit, increase Critical Hit Chance by X once per Weapon for the remainder of battle.</t>
  </si>
  <si>
    <t>Damar's Interceptor gets +X to Crit Chance for each Crit made on player ships with Hull Breach.</t>
  </si>
  <si>
    <t>0.02, 0.02, 0.03</t>
  </si>
  <si>
    <t>While on an Interceptor fighting a player ship with Hull Breach, if Damar scores a Critical Hit, decrease opponent Critical Hit Damage by X once per Weapon for 3 rounds.</t>
  </si>
  <si>
    <t>Opponent player with Hull Breach does -X Crit Damage for 3 rounds after being Crit.</t>
  </si>
  <si>
    <t>BENJAMIN SISKO</t>
  </si>
  <si>
    <t>DEEP SPACE NINE</t>
  </si>
  <si>
    <t>Benjamin Sisko increases Armor, Shield Deflection, and Dodge by X of total Health when fighting Armadas.</t>
  </si>
  <si>
    <t>Increase Armor, Shield Deflection, and Dodge by X of total Health when fighting Armadas.</t>
  </si>
  <si>
    <t>4.0, 1.0, 5.0</t>
  </si>
  <si>
    <t>Benjamin Sisko increases critical hit chance against Armadas by X every round (Cumulative).</t>
  </si>
  <si>
    <t>Increase critical hit chance against Armadas by X every round (Cumulative).</t>
  </si>
  <si>
    <t>0.03, 0.04, 0.06, 0.08, 0.12</t>
  </si>
  <si>
    <t>CHANGELING KIRA</t>
  </si>
  <si>
    <t>TargetIsArmada, EnemyHullFaction</t>
  </si>
  <si>
    <t>Changeling Kira decreases critical hit chance of Cardassian Armadas by X every round (Cumulative).</t>
  </si>
  <si>
    <t>Decrease critical hit chance of Cardassian Armadas by X every round (Cumulative).</t>
  </si>
  <si>
    <t>0.02, 0.01, 0.02</t>
  </si>
  <si>
    <t>Cardassian</t>
  </si>
  <si>
    <t>Changeling Kira decreases Armor, Shield Deflection, and Dodge of Armadas by X of Attack every time you hit it with a weapon.</t>
  </si>
  <si>
    <t>Decrease Armor, Shield Deflection, and Dodge of Armadas by X of Attack every time you hit it with a weapon.</t>
  </si>
  <si>
    <t>0.1, 0.13, 0.18, 0.25, 0.35</t>
  </si>
  <si>
    <t>MILES O'BRIEN</t>
  </si>
  <si>
    <t>For 3 rounds, Miles O'Brien has a X chance of increasing shots against an Armada by 100%.</t>
  </si>
  <si>
    <t>X chance of increasing shots against an Armada by 100% for 3 rounds.</t>
  </si>
  <si>
    <t>Miles O'Brien increases the ship's base Warp Speed by X.</t>
  </si>
  <si>
    <t>Increase Warp Speed by X.</t>
  </si>
  <si>
    <t>WEYOUN</t>
  </si>
  <si>
    <t>EXPLORER STRIKE TEAM</t>
  </si>
  <si>
    <t>On round start, Weyoun has a X chance to apply Morale for 3 rounds when fighting against players, if on an Explorer.</t>
  </si>
  <si>
    <t>On round start, +X chance to apply Morale for 3 rounds when fighting players, if on an Explorer.</t>
  </si>
  <si>
    <t>SelfExplorer, SelfHasMorale, EnemyPlayer</t>
  </si>
  <si>
    <t>Weyoun increases Weapon Shots by +X at the start of each Round for 2 Rounds when fighting players, if on an Explorer with Morale.</t>
  </si>
  <si>
    <t>+X to Shots for 2 Rounds when fighting players, if on Explorer with Morale.</t>
  </si>
  <si>
    <t>0.76, 0.8, 0.88, 1.0, 1.2</t>
  </si>
  <si>
    <t>IKAT’IKA</t>
  </si>
  <si>
    <t>Ikat'ika increases all Mitigation stats by X for 1 Round every Round when when fighting players, if on an Explorer.</t>
  </si>
  <si>
    <t>+X to all Mitigation stats for 1 Round every Round when fighting a players, if on an Explorer.</t>
  </si>
  <si>
    <t>0.2, 0.15, 0.25</t>
  </si>
  <si>
    <t>Ikat'ika increases Weapon Damage by X at the start of each Round for 3 Rounds when fighting players, if on an Explorer with Morale.</t>
  </si>
  <si>
    <t>+X to Weapon Damage for 3 Rounds when fighting players, if on an Explorer with Morale.</t>
  </si>
  <si>
    <t>0.53, 0.55, 0.62, 0.7, 0.8</t>
  </si>
  <si>
    <t>PON</t>
  </si>
  <si>
    <t>SelfExplorer, EnemyPlayer, SelfDefending</t>
  </si>
  <si>
    <t>Pon has a X chance at the start of combat to delay opponent weapons for 3 Rounds when attacked by players, if your ship is an Explorer.</t>
  </si>
  <si>
    <t>+X chance at the start of combat to delay the opponent's Weapons for 3 rounds when attacked by players, if on an Explorer.</t>
  </si>
  <si>
    <t>0.1, 0.1, 0.15</t>
  </si>
  <si>
    <t>3.0, 0.0, 0.0</t>
  </si>
  <si>
    <t>Pon decreases opponent player's Critical Chance by X at the start of each Round for 3 Rounds if on an Explorer with Morale.</t>
  </si>
  <si>
    <t>-X to enemy player Crit Chance for 3 Rounds if on an Explorer with Morale.</t>
  </si>
  <si>
    <t>0.52, 0.57, 0.63, 0.7, 0.78</t>
  </si>
  <si>
    <t>JADZIA DAX</t>
  </si>
  <si>
    <t>Jadzia Dax increases Shield Piercing, Armor Piercing and Accuracy by X of Officers Health against Solo Armadas.</t>
  </si>
  <si>
    <t>Jadzia Dax increases Shield Piercing, Armor Piercing and Accuracy by X of Officers Health against Solo Armadas</t>
  </si>
  <si>
    <t>7.0, 1.75, 3.5</t>
  </si>
  <si>
    <t>Jadzia Dax increases Weapon Damage by X of Officer Health against Solo Armadas.</t>
  </si>
  <si>
    <t>Jadzia Dax increases Weapon Damage by X of Officers Health against Solo Armadas.</t>
  </si>
  <si>
    <t>3.0, 4.5, 6.5, 9.0, 12.0</t>
  </si>
  <si>
    <t>ODO</t>
  </si>
  <si>
    <t>Odo increases base Armor, Shield Deflection, and Dodge by X against Solo Armadas.</t>
  </si>
  <si>
    <t>Odo increases Critical Hit Damage by X.</t>
  </si>
  <si>
    <t>0.2, 0.25, 0.35, 0.45, 0.6</t>
  </si>
  <si>
    <t>JULIAN BASHIR</t>
  </si>
  <si>
    <t>Julian Bashir increases Critical Hit Damage by X against Solo Armadas.</t>
  </si>
  <si>
    <t>Julian Bashir increases Critical Hit Chance by X against Solo Armadas.</t>
  </si>
  <si>
    <t>KIRA NERYS</t>
  </si>
  <si>
    <t>Kira Nerys decreases Shield Mitigation by X at an Assault.</t>
  </si>
  <si>
    <t>0.04, 0.05, 0.06, 0.08, 0.1</t>
  </si>
  <si>
    <t>Kira Nerys reduces opponent player Critical Hit Chance by X.</t>
  </si>
  <si>
    <t>HUGH</t>
  </si>
  <si>
    <t>Hugh increases the Impulse Speed of your ship by X.</t>
  </si>
  <si>
    <t>+X to Impulse Speed.</t>
  </si>
  <si>
    <t>Hugh has X chance to increase Critical Hit Chance by 25% for 2 rounds after being hit by a Hostile. (This ability can stack) (Weapons with multiple shots will only trigger this ability once per attack)</t>
  </si>
  <si>
    <t>X chance to increase Crit Chance by 25% for 2 rounds after being hit by Hostiles.</t>
  </si>
  <si>
    <t>0.45, 0.5, 0.6, 0.7, 1.0</t>
  </si>
  <si>
    <t>0.25, 0.25, 0.25, 0.25, 0.25</t>
  </si>
  <si>
    <t>GHALENAR</t>
  </si>
  <si>
    <t>Ghalenar increases the Faction Reputation gained from Federation, Klingon and Romulan hostiles by X.</t>
  </si>
  <si>
    <t>+X Faction Reputation from Federation, Klingon and Romulan hostiles.</t>
  </si>
  <si>
    <t>0.05, 0.07, 0.09, 0.15, 0.2</t>
  </si>
  <si>
    <t>see description</t>
  </si>
  <si>
    <t>Ghalenar increases Actian Venom and Inert Nanoprobe loot dropped from hostiles by X of their base value.</t>
  </si>
  <si>
    <t>+X to Actian Venom and Inert Nanoprobe hostile loot.</t>
  </si>
  <si>
    <t>0.1, 0.15, 0.2, 0.3, 0.5</t>
  </si>
  <si>
    <t>BORG QUEEN</t>
  </si>
  <si>
    <t>SelfAtSoloArmada, EnemyHullFaction</t>
  </si>
  <si>
    <t>While fighting against a Borg Solo Armada, upon receiving Hull Damage from an enemy shot, increase Critical Hit Chance by X (Cumulative).</t>
  </si>
  <si>
    <t>X to Critical Hit Chance when receiving Hull Damage from a Borg Solo Armada. (Cumulative)</t>
  </si>
  <si>
    <t>0.02, 0.03, 0.04, 0.05, 0.07</t>
  </si>
  <si>
    <t>EnemyPlayer, TargetHasAssimilated</t>
  </si>
  <si>
    <t>While fighting a player ship with Assimilate, Borg Queen increases the ship's Armor Piercing, Shield Piercing and Accuracy by X each round (Cumulative).</t>
  </si>
  <si>
    <t>X to Armor Piercing, Shield Piercing and Accuracy each round if fighting player ships with Assimilate.</t>
  </si>
  <si>
    <t>1.5, 2.0, 3.0, 4.0, 5.0</t>
  </si>
  <si>
    <t>Assimilated</t>
  </si>
  <si>
    <t>DEZOC</t>
  </si>
  <si>
    <t>While fighting against a Borg Solo Armada, increase all Officer stats by X for the duration of combat.</t>
  </si>
  <si>
    <t>X to all Officer stats while fighting Borg Solo Armadas.</t>
  </si>
  <si>
    <t>0.1, 0.14, 0.2, 0.3, 0.5</t>
  </si>
  <si>
    <t>At the start of each round, if opponents Hull health is below 95%, Dezoc has X chance to apply Assimilate to it for 4 rounds. -- While a ship is affected by the Assimilate state, Officer Abilities have their effectiveness reduced by 25%.</t>
  </si>
  <si>
    <t>X chance of applying Assimilate to opponents with less than 95% Hull Health each Round for 4 rounds.</t>
  </si>
  <si>
    <t>0.4, 0.45, 0.5, 0.6, 0.7</t>
  </si>
  <si>
    <t>GOSSA</t>
  </si>
  <si>
    <t>When fighting against a Borg Solo Armada, at the start of each round reduce target's Critical Damage by X for 1 round.</t>
  </si>
  <si>
    <t>-X Critical Damage dealt by Borg Solo Armadas when fighting them each round for 1 round.</t>
  </si>
  <si>
    <t>0.05, 0.07, 0.1, 0.15, 0.25</t>
  </si>
  <si>
    <t>While fighting a player ship with Assimilate, Gossa increases the ship's Armor, Shield Deflection and Dodge by X each round (Cumulative).</t>
  </si>
  <si>
    <t>X to Armor, Shield Deflection and Dodge each round if fighting player ships with Assimilate.</t>
  </si>
  <si>
    <t>1.25, 1.5, 1.75, 2.25, 3.0</t>
  </si>
  <si>
    <t>PIC ADMIRAL PICARD</t>
  </si>
  <si>
    <t>PICARD</t>
  </si>
  <si>
    <t>At the start of a round, Admiral Picard has a X chance to apply Morale for 3 rounds against player ships.</t>
  </si>
  <si>
    <t>Each round, X chance to apply Morale for 3 rounds against player ships.</t>
  </si>
  <si>
    <t>0.9, 0.01, 0.05</t>
  </si>
  <si>
    <t>Admiral Picard increases your ship base Weapon Damage by X on combat start against a player Explorer for the duration of combat.</t>
  </si>
  <si>
    <t>Increases your ship base Weapon Damage by X on combat start against a player Explorer.</t>
  </si>
  <si>
    <t>5.0, 9.0, 15.0, 22.0, 30.0</t>
  </si>
  <si>
    <t>PIC BEVERLY CRUSHER</t>
  </si>
  <si>
    <t>Increases Critical Hit Damage by X every time your ship is hit by an attack while fighting Non-Armada Hostiles. (Cumulative) (Weapons with multiple shots will only trigger this ability once per attack.)</t>
  </si>
  <si>
    <t>Increases Crit Damage by X when hit by a Non-Armada Hostile. (Cumulative)</t>
  </si>
  <si>
    <t>0.03, 0.04, 0.05, 0.06, 0.08</t>
  </si>
  <si>
    <t>Beverly increases the amount of Broken Parts you get from killing hostiles by X.</t>
  </si>
  <si>
    <t>Increase the amount of Broken Parts you get from killing hostiles by X.</t>
  </si>
  <si>
    <t>PIC WORF</t>
  </si>
  <si>
    <t>At the start of a round, Worf has X chance to apply Hull Breach for 3 rounds against player ships.</t>
  </si>
  <si>
    <t>Each round, X chance to apply Hull Breach for 3 rounds against player ships.</t>
  </si>
  <si>
    <t>EnemyPlayer, EnemyInterceptor</t>
  </si>
  <si>
    <t>Worf increases your ship base Weapon Damage by X on combat start against a player Interceptor for the duration of combat.</t>
  </si>
  <si>
    <t>Increases your ship base Weapon Damage by X on combat start against a player Interceptor.</t>
  </si>
  <si>
    <t>PIC RIKER</t>
  </si>
  <si>
    <t>At the start of a round, Riker has X chance to apply Burning for 3 rounds against player ships.</t>
  </si>
  <si>
    <t>Each round, X chance to apply Burning for 3 rounds against player ships.</t>
  </si>
  <si>
    <t>EnemyPlayer, EnemyBattleship</t>
  </si>
  <si>
    <t>Riker increases your ship base Weapon Damage by X on combat start against a player Battleship for the duration of combat.</t>
  </si>
  <si>
    <t>Increases your ship base Weapon Damage by X on combat start against a player Battleship.</t>
  </si>
  <si>
    <t>DIXON HILL</t>
  </si>
  <si>
    <t>CombatGameContext, SelfDefending</t>
  </si>
  <si>
    <t>While defending a mining node, Dixon Hill reduces the opponent's Shield Mitigation every round by X. (This ability can stack)</t>
  </si>
  <si>
    <t>While defending a mining node, reduce the opponent's Shield Mitigation every round by -X. (Stacks)</t>
  </si>
  <si>
    <t>on a Mining Node</t>
  </si>
  <si>
    <t>Dixon Hill increases base Mining Speed by X.</t>
  </si>
  <si>
    <t>Dixon Hill increases base Mining Speed by +X.</t>
  </si>
  <si>
    <t>0.3, 0.45, 0.6, 0.85, 1.2</t>
  </si>
  <si>
    <t>THE DOCTOR</t>
  </si>
  <si>
    <t>VOYAGER</t>
  </si>
  <si>
    <t>When you take hull damage from a non-Player hostile or Armada, The Doctor increases your Armor, Shield Deflection, and Dodge by X of Health for 2 rounds. (cumulative). -- (Weapons with multiple shots will only trigger this ability once per attack.)</t>
  </si>
  <si>
    <t>Increase your Armor, Shield Deflection, and Dodge by X of Health for 2 rounds when taking hull damage. (Cumulative)</t>
  </si>
  <si>
    <t>3.0, 5.0, 7.5, 12.5, 20.0</t>
  </si>
  <si>
    <t>Increases all resources dropped by hostiles and Outposts by X.</t>
  </si>
  <si>
    <t>0.15, 0.2, 0.3, 0.35, 0.5</t>
  </si>
  <si>
    <t>When you take damage from a non-Player hostile or Armada, B'Elanna increases your Armor Piercing, Shield Piercing, and Accuracy by X of Attack for 1 round. (cumulative). -- (Weapons with multiple shots will only trigger this ability once per attack.)</t>
  </si>
  <si>
    <t>Increase your Armor Piercing, Shield Piercing, and Accuracy by X of Attack for 1 round when hit. (Cumulative)</t>
  </si>
  <si>
    <t>2.5, 4.0, 6.0, 9.0, 15.0</t>
  </si>
  <si>
    <t>X chance each round to apply Hull Breach to non-Player hostiles or Armada for 1 round.</t>
  </si>
  <si>
    <t>0.1, 0.15, 0.3, 0.6, 1.0</t>
  </si>
  <si>
    <t>KATHRYN JANEWAY</t>
  </si>
  <si>
    <t>When you take hull damage from a non-Player hostile or Armada, Kathryn Janeway increases your Shield Mitigation by X for 1 round. (cumulative). -- (Weapons with multiple shots will only trigger this ability once per attack.) -- Kathryn Janeway receives full synergy bonuses from all Voyager officers regardless of class.</t>
  </si>
  <si>
    <t>Increase Shield Mitigation by X for 1 round when you take hull damage.</t>
  </si>
  <si>
    <t>0.06, 0.07, 0.07</t>
  </si>
  <si>
    <t>At the start of combat, Kathryn Janeway increases your Isolytic Cascade damage by X against non-Player hostiles and Armadas.</t>
  </si>
  <si>
    <t>Increases Isolytic Cascade damage by X at the start of combat against non-Player hostiles and Armadas.</t>
  </si>
  <si>
    <t>TOM PARIS</t>
  </si>
  <si>
    <t>When you take damage from a non-Player hostile or Armada, Tom Paris increases your Critical Hit damage by X for 1 round. (cumulative). -- (Weapons with multiple shots will only trigger this ability once per attack.)</t>
  </si>
  <si>
    <t>Increase your Critical Hit damage by X for 1 round when hit. (Cumulative)</t>
  </si>
  <si>
    <t>At the start of combat against non-Player hostiles or Armadas, Tom Paris increases your Armor, Shield Deflection, and Dodge by X of Defense.</t>
  </si>
  <si>
    <t>Increase your Armor, Shield Deflection, and Dodge by X of Defense at the start of combat.</t>
  </si>
  <si>
    <t>2.0, 2.5, 3.0, 4.0, 5.0</t>
  </si>
  <si>
    <t>HARRY KIM</t>
  </si>
  <si>
    <t>Harry Kim increases all positive Reputation gains by X.</t>
  </si>
  <si>
    <t>Increases all positive Reputation gains by X.</t>
  </si>
  <si>
    <t>0.07, 0.1, 0.15, 0.2, 0.3</t>
  </si>
  <si>
    <t>At the start of a round, Harry Kim has a X chance to apply Morale to your ship for 1 round when fighting non-Player hostiles or Armadas.</t>
  </si>
  <si>
    <t>X chance each round to apply Morale to your ship for 1 round when fighting non-Player hostiles or Armadas.</t>
  </si>
  <si>
    <t>CHAKOTAY</t>
  </si>
  <si>
    <t>Increases the number of shots of your ship's weapons by X versus Armadas. -- Chakotay receives full synergy bonuses from all Voyager officers regardless of class.</t>
  </si>
  <si>
    <t>+X to shots vs Armadas.</t>
  </si>
  <si>
    <t>0.4, 0.3, 0.3</t>
  </si>
  <si>
    <t>Increases the Critical Hit Chance of your ship by X for 2 rounds each time you score a hit versus Armadas.</t>
  </si>
  <si>
    <t>+X to Crit Chance for 2 rounds each time you score a hit vs Armadas.</t>
  </si>
  <si>
    <t>0.08, 0.12, 0.16, 0.22, 0.3</t>
  </si>
  <si>
    <t>TUVOK</t>
  </si>
  <si>
    <t>Increases the amount of Artifact Tokens gained from Formation Armadas by X.</t>
  </si>
  <si>
    <t>+X to Artifact Tokens gained from Formation Armadas.</t>
  </si>
  <si>
    <t>0.8, 1.0, 1.3, 1.6, 2.0</t>
  </si>
  <si>
    <t>Increases your ship's Cargo Capacity by X of base if your ship is the U.S.S. Voyager.</t>
  </si>
  <si>
    <t>+X to Cargo Capacity if on the U.S.S. Voyager.</t>
  </si>
  <si>
    <t>1.0, 1.5, 2.2, 3.0, 4.0</t>
  </si>
  <si>
    <t>SEVEN OF NINE</t>
  </si>
  <si>
    <t>Increases your ship's Critical Hit Damage by X versus Armadas.</t>
  </si>
  <si>
    <t>+X to Crit Damage vs Armadas.</t>
  </si>
  <si>
    <t>Increases your ship's Isolytic Cascade by X versus players. -- Isolytic Cascade multiplies your total damage, including Isolytic Damage, and all research and other bonuses.</t>
  </si>
  <si>
    <t>+X to Isolytic Cascade vs players.</t>
  </si>
  <si>
    <t>0.12, 0.18, 0.26, 0.36, 0.5</t>
  </si>
  <si>
    <t>NEELIX</t>
  </si>
  <si>
    <t>Increases the Cost Efficiency of your ship's active abilities by X when assigned to the U.S.S. Voyager.</t>
  </si>
  <si>
    <t>+X to active ability Cost Efficiency while on the U.S.S. Voyager.</t>
  </si>
  <si>
    <t>0.4, 0.55, 0.75, 1.0, 1.3</t>
  </si>
  <si>
    <t>EnemyHostile, SelfOfficerTalNotOnBridge</t>
  </si>
  <si>
    <t>X chance each round to apply Burning for 1 round versus non-Player hostiles or Armadas. -- This ability does not trigger when Tal is assigned to the bridge of your ship</t>
  </si>
  <si>
    <t>X chance each round to apply Burning for 1 round versus non-Player hostiles or Armada.</t>
  </si>
  <si>
    <t>CAROL FREEMAN</t>
  </si>
  <si>
    <t>On combat start against players, Carol Freeman increases your shots by X.</t>
  </si>
  <si>
    <t>On combat start against players, increase shots by X.</t>
  </si>
  <si>
    <t>1.0, 0.01, 0.05</t>
  </si>
  <si>
    <t>EnemyPlayer, TargetStateAny</t>
  </si>
  <si>
    <t>On round start, if the enemy player has any state, Carol Freeman increases your Isolytic Cascade damage by X for 1 round. -- Isolytic Cascade multiplies your total damage, including Isolytic Damage, and all research and other bonuses. -- States: Morale, Burning, Hull Breach, Assimilated</t>
  </si>
  <si>
    <t>On round start, if the enemy player has any state, increase your Isolytic Cascade damage by X.</t>
  </si>
  <si>
    <t>0.6, 0.75, 0.9, 1.1, 1.3</t>
  </si>
  <si>
    <t>Any State</t>
  </si>
  <si>
    <t>JACK RANSOM</t>
  </si>
  <si>
    <t>On round start, if on an Explorer with Morale, Jack Ransom increases your Isolytic Cascade damage by X for 1 round against players. -- Isolytic Cascade multiplies your total damage, including Isolytic Damage, and all research and other bonuses.</t>
  </si>
  <si>
    <t>On an Explorer with Morale, Increase Isolytic Cascade damage by X for 1 round versus players.</t>
  </si>
  <si>
    <t>On round start, if on an Interceptor and enemy player has Hull Breach, Jack Ransom increases your Isolytic Defense by X for 1 round.</t>
  </si>
  <si>
    <t>Increase your Isolytic Defense by X for 1 round on an Interceptor versus players with a Hull Breach.</t>
  </si>
  <si>
    <t>0.4, 0.5, 0.65, 0.85, 1.0</t>
  </si>
  <si>
    <t>ANDY BILLUPS</t>
  </si>
  <si>
    <t>On round start, if on an Interceptor and enemy player has Hull Breach, Andy Billups increases your Isolytic Cascade damage by X for 1 round. -- Isolytic Cascade multiplies your total damage, including Isolytic Damage, and all research and other bonuses.</t>
  </si>
  <si>
    <t>Increase Isolytic Cascade damage by X for 1 round on an Interceptor versus players with a Hull Breach.</t>
  </si>
  <si>
    <t>On round start, if on a Battleship and enemy player has Burning, Andy Billups increases your Isolytic Defense by X for 1 round.</t>
  </si>
  <si>
    <t>Increase Isolytic Defense by X for 1 round on a Battleship versus players with Burning.</t>
  </si>
  <si>
    <t>SHAXS</t>
  </si>
  <si>
    <t>On round start, if on a Battleship and enemy player has Burning, Shaxs increases your Isolytic Cascade damage by X for 1 round. -- Isolytic Cascade multiplies your total damage, including Isolytic Damage, and all research and other bonuses.</t>
  </si>
  <si>
    <t>Increase Isolytic Cascade damage by X for 1 round on a Battleship versus players with Burning.</t>
  </si>
  <si>
    <t>On round start, if on an Explorer with Morale, Shaxs increases your Isolytic Defense by X for 1 round against players.</t>
  </si>
  <si>
    <t>On an Explorer with Morale, increase your Isolytic Defense by X for 1 round versus players.</t>
  </si>
  <si>
    <t>DOCTOR T'ANA</t>
  </si>
  <si>
    <t>On round start, Dr. T'Ana has X chance to apply a random State to the enemy player's ship for 3 rounds. -- Random States: Morale, Burning, Hull Breach</t>
  </si>
  <si>
    <t>X chance to apply a random State to a player's ship for 3 rounds.</t>
  </si>
  <si>
    <t>0.4, 0.45, 0.55, 0.75, 1.0</t>
  </si>
  <si>
    <t>On round start against players, Dr. T'Ana increases your Isolytic Defense by X for 1 round.</t>
  </si>
  <si>
    <t>Increase Isolytic Defense against players by X for 1 round.</t>
  </si>
  <si>
    <t>0.5, 0.8, 1.2, 1.8, 2.5</t>
  </si>
  <si>
    <t>ALONZO FREEMAN</t>
  </si>
  <si>
    <t>Alonzo Freeman increases the Cargo size of the ship by X.</t>
  </si>
  <si>
    <t>Increase the Cargo size of the ship by X.</t>
  </si>
  <si>
    <t>0.2, 0.35, 0.4, 0.45, 0.55</t>
  </si>
  <si>
    <t>Alonzo Freeman increases the base amount of positive Federation, Romulan and Klingon reputation gained from defeating hostiles by X.</t>
  </si>
  <si>
    <t>Increases all positive FKR reputation by X.</t>
  </si>
  <si>
    <t>ENT-E PICARD</t>
  </si>
  <si>
    <t>ENTERPRISE-E</t>
  </si>
  <si>
    <t>Increases the rewards gained from Hostiles, Armadas and Outposts by X of base.</t>
  </si>
  <si>
    <t>+X to rewards gained from Hostiles, Armadas and Outposts.</t>
  </si>
  <si>
    <t>0.6, 0.2, 0.4</t>
  </si>
  <si>
    <t>Increases Isolytic Cascade Damage by X for 3 rounds each time you hit a non-Armada Hostile (once per weapon). -- Isolytic Cascade multiplies your total damage, including Isolytic Damage, and all research and other bonuses.</t>
  </si>
  <si>
    <t>+X to Isolytic Cascade Damage for 3 rounds after hitting a non-Armada Hostile.</t>
  </si>
  <si>
    <t>0.03, 0.05, 0.07, 0.1, 0.15</t>
  </si>
  <si>
    <t>ENT-E DATA</t>
  </si>
  <si>
    <t>Increases your ship’s Max Cargo by X of base.</t>
  </si>
  <si>
    <t>+X to Max Cargo.</t>
  </si>
  <si>
    <t>0.2, 0.3, 0.4, 0.55, 0.7</t>
  </si>
  <si>
    <t>Increases Isolytic Cascade Damage by X versus non-Armada Hostiles -- Isolytic Cascade multiplies your total damage, including Isolytic Damage, and all research and other bonuses.</t>
  </si>
  <si>
    <t>+X to Isolytic Cascade Damage vs non-Armada Hostiles</t>
  </si>
  <si>
    <t>ENT-E RIKER</t>
  </si>
  <si>
    <t>Increases your ship’s base Impulse Speed by X.</t>
  </si>
  <si>
    <t>Increases Critical Hit Chance by X for 4 rounds each time you score a hit (Once per weapon).</t>
  </si>
  <si>
    <t>+X to Crit Chance for 4 rounds each time you score a hit.</t>
  </si>
  <si>
    <t>0.02, 0.04, 0.06, 0.08, 0.1</t>
  </si>
  <si>
    <t>ENT-E TROI</t>
  </si>
  <si>
    <t>Reduces the opponent’s Shield Health by X of total Officer Attack at the beginning of each round versus non-Armada Hostiles.</t>
  </si>
  <si>
    <t>-X of Attack to the opponent's Shield Health each round vs non-Armada Hostiles.</t>
  </si>
  <si>
    <t>4.0, 6.0, 8.0, 12.0, 16.0</t>
  </si>
  <si>
    <t>Increases Critical Hit Damage by X versus Armadas and Hostiles.</t>
  </si>
  <si>
    <t>+X to Critical Hit Damage vs Armadas and Hostiles.</t>
  </si>
  <si>
    <t>0.2, 0.3, 0.45, 0.65, 0.9</t>
  </si>
  <si>
    <t>TRIP TUCKER</t>
  </si>
  <si>
    <t>ENTERPRISE NX-01</t>
  </si>
  <si>
    <t>When you take damage from a hostile or another player, Trip Tucker decreases your opponent's critical damage by X for 2 rounds. (This ability can stack) (Does not trigger at Armadas or Assaults) (Weapons with multiple shots will only trigger this ability once per attack)</t>
  </si>
  <si>
    <t>Decreases your opponent's critical damage by X for 2 rounds when hit.</t>
  </si>
  <si>
    <t>Increases the amount of resources you get from destroying Hirogen and Species 8472 hostiles by X.</t>
  </si>
  <si>
    <t>+X to resources dropped by Hirogen and Species 8472 hostiles.</t>
  </si>
  <si>
    <t>0.3, 0.6, 0.8, 1.0, 1.5</t>
  </si>
  <si>
    <t>T'POL</t>
  </si>
  <si>
    <t>T'Pol increases Protected Cargo by X of base.</t>
  </si>
  <si>
    <t>0.7, 1.3, 2.0, 2.5, 3.5</t>
  </si>
  <si>
    <t>T'Pol increases Ore mining speed by X of base.</t>
  </si>
  <si>
    <t>0.5, 1.0, 2.0, 3.0, 5.0</t>
  </si>
  <si>
    <t>JONATHAN ARCHER</t>
  </si>
  <si>
    <t>Increases the amount of resources you get from destroying Xindi hostiles by X.</t>
  </si>
  <si>
    <t>When you take damage from a hostile or another player, Jonathan Archer increases your Critical Hit damage by X (X at rank X) for 2 rounds. (This ability can stack) (Does not trigger at Armadas or Assaults) (Weapons with multiple shots will only trigger this ability once per attack)</t>
  </si>
  <si>
    <t>Increase your Critical Hit damage by X for 2 rounds when hit. Effects are cumulative.</t>
  </si>
  <si>
    <t>0.05, 0.1, 0.2, 0.3, 0.5</t>
  </si>
  <si>
    <t>SHRAN</t>
  </si>
  <si>
    <t>Shran increases base Warp Speed by X (X at rank X).</t>
  </si>
  <si>
    <t>Shran increases base Warp Speed by X.</t>
  </si>
  <si>
    <t>0.6, 0.9, 1.2, 1.6, 2.0</t>
  </si>
  <si>
    <t>Shran increases Crystal mining speed by X (X at rank X) of base.</t>
  </si>
  <si>
    <t>Shran increases Crystal mining speed by X of base.</t>
  </si>
  <si>
    <t>PIC HUGH</t>
  </si>
  <si>
    <t>EX-BORG</t>
  </si>
  <si>
    <t>Increase the amount of raw Ore, Crystal and Gas collected while mining with any ship by an extra X (X at rank X), without draining the mining node faster.</t>
  </si>
  <si>
    <t>Increase the amount of raw Ore, Crystal or Gas mined by an extra X, without draining the mining node faster.</t>
  </si>
  <si>
    <t>At the beginning of each round of combat Hugh repairs X (X at rank X) of hull damage taken in the previous round of combat.</t>
  </si>
  <si>
    <t>On round start, repair +X of hull damage taken in the previous round of combat</t>
  </si>
  <si>
    <t>0.05, 0.1, 0.15, 0.2, 0.35</t>
  </si>
  <si>
    <t>HOSHI SATO</t>
  </si>
  <si>
    <t>Hoshi Sato increases the Cargo size of the ship by X (X at rank X) of base.</t>
  </si>
  <si>
    <t>Increases the Cargo size of the ship by X of base.</t>
  </si>
  <si>
    <t>0.2, 0.3, 0.35, 0.45, 0.55</t>
  </si>
  <si>
    <t>Hoshi Sato increases Gas mining speed by X (X at rank X) of base.</t>
  </si>
  <si>
    <t>Increases Gas mining speed by X of base.</t>
  </si>
  <si>
    <t>PHLOX</t>
  </si>
  <si>
    <t>TargetNotPlayerStation, TargetNotArmada, TargetNotASB</t>
  </si>
  <si>
    <t>On combat start against players and hostiles, Phlox reduces the opponent's Critical Hit Chance by X (X at rank X), for 8 rounds. (Does not trigger at Armadas, Assaults or Station Combat).</t>
  </si>
  <si>
    <t>Reduces player and Hostile opponent's Critical Hit Chance by X, for 8 rounds.</t>
  </si>
  <si>
    <t>Phlox increases the efficiency of charging the Borg Cube's Cutting Beam by X (X at rank X)</t>
  </si>
  <si>
    <t>Phlox increases the efficiency of charging the Borg Cube's Cutting Beam by X</t>
  </si>
  <si>
    <t>SNW M’BENGA</t>
  </si>
  <si>
    <t>SNW M'Benga increases all mitigation stats by  X of Officer Health vs non-Armada Hostiles</t>
  </si>
  <si>
    <t>Increases all mitigation stats by +X of Officer Health vs non-Armada Hostiles.</t>
  </si>
  <si>
    <t>15.0, 15.0, 25.0</t>
  </si>
  <si>
    <t>SNW M'Benga increases SHP every round by X (X at rank X) vs non-Armada Hostiles</t>
  </si>
  <si>
    <t>SNW M'Benga Increases SHP every round by X vs non-Armada Hostiles.</t>
  </si>
  <si>
    <t>0.02, 0.04, 0.06, 0.08, 0.15</t>
  </si>
  <si>
    <t>SNW NURSE CHAPEL</t>
  </si>
  <si>
    <t>Increases the amount of Volatile Isomatter you get from destroying Gorn Hunters by X (X at rank X)</t>
  </si>
  <si>
    <t>Increases the amount of Volatile Isomatter you get from destroying Gorn Hunters by X</t>
  </si>
  <si>
    <t>0.25, 0.5, 0.9, 1.4, 2.0</t>
  </si>
  <si>
    <t>At the start of combat, SNW Chapel increases Isolytic Cascade damage by X (X at rank X) vs non-Armada Hostiles. -- Isolytic Cascade multiplies your total damage, including Isolytic Damage, and all research and other bonuses.</t>
  </si>
  <si>
    <t>At the start of combat, SNW Chapel increases Isolytic Cascade damage by X vs non-Armada Hostiles</t>
  </si>
  <si>
    <t>0.05, 0.1, 0.15, 0.25, 0.4</t>
  </si>
  <si>
    <t>SNW SAM KIRK</t>
  </si>
  <si>
    <t>SNW Sam Kirk reduces enemy SHP by X every round vs non-Armada Hostiles</t>
  </si>
  <si>
    <t>0.1, 0.05, 0.08</t>
  </si>
  <si>
    <t>SNW Sam Kirk increases Critical Damage by X (X at rank X) vs non-Armada Hostiles</t>
  </si>
  <si>
    <t>SNW Sam Kirk increases Critical Damage by X vs non-Armada Hostiles</t>
  </si>
  <si>
    <t>0.4, 0.9, 1.5, 2.3, 3.5</t>
  </si>
  <si>
    <t>SNW JAMES KIRK</t>
  </si>
  <si>
    <t>SNW James Kirk reduces enemy Shield Mitigation by X vs non-Armada Hostiles</t>
  </si>
  <si>
    <t>0.4, 0.15, 0.3</t>
  </si>
  <si>
    <t>SNW James Kirk increases base Weapon Damage by X vs non-Armada Hostiles</t>
  </si>
  <si>
    <t>2.0, 6.0, 12.0, 20.0, 35.0</t>
  </si>
  <si>
    <t>SNW PELIA</t>
  </si>
  <si>
    <t>SNW Pelia reduces Isolytic Damage received from non-Armada hostiles by X (X at rank X)</t>
  </si>
  <si>
    <t>SNW Pelia reduces Isolytic Damage received from non-Armada hostiles by X</t>
  </si>
  <si>
    <t>0.02, 0.05, 0.1, 0.15, 0.2</t>
  </si>
  <si>
    <t>SNW Pelia increases Isolytic Defense by X (X at rank X)</t>
  </si>
  <si>
    <t>SNW Pelia increases Isolytic Defense by X</t>
  </si>
  <si>
    <t>0.1, 0.25, 0.45, 0.7, 1.0</t>
  </si>
  <si>
    <t>MIRROR PICARD</t>
  </si>
  <si>
    <t>MIRROR UNIVERSE</t>
  </si>
  <si>
    <t>On round start against players, Mirror Picard increases your Isolytic Cascade damage by X for 2 rounds. -- Isolytic Cascade multiplies your total damage, including Isolytic Damage, and all research and other bonuses.</t>
  </si>
  <si>
    <t>On round start against players, Mirror Picard increases your Isolytic Cascade damage by X for 2 rounds.</t>
  </si>
  <si>
    <t>EnemyPlayer, TargetHasAssimilated, SelfOfficerTalNotOnBridge</t>
  </si>
  <si>
    <t>On round start against players with Assimilate, Mirror Picard increases your Apex Barrier by X (X at rank X) for 1 round. -- This ability does not trigger when Tal is assigned to the bridge of your ship.</t>
  </si>
  <si>
    <t>On round start against players with Assimilate, Mirror Picard increases your Apex Barrier by X for 1 round.</t>
  </si>
  <si>
    <t>10000.0, 13000.0, 17000.0, 22000.0, 30000.0</t>
  </si>
  <si>
    <t>TargetHasAssimilated, SelfOfficerTalNotOnBridge</t>
  </si>
  <si>
    <t>MIRROR DATA</t>
  </si>
  <si>
    <t>EnemyPlayer, EnemyInterceptor, SelfOfficerTalNotOnBridge</t>
  </si>
  <si>
    <t>On combat start while against an Interceptor player, Mirror Data increases your Apex Barrier by X for the duration of combat. -- This ability does not trigger when Tal is assigned to the bridge of your ship.</t>
  </si>
  <si>
    <t>On combat start while against an Interceptor player, Mirror Data increases your Apex Barrier by X for the duration of combat.</t>
  </si>
  <si>
    <t>7500.0, 3500.0, 18750.0</t>
  </si>
  <si>
    <t>EnemyInterceptor, SelfOfficerTalNotOnBridge</t>
  </si>
  <si>
    <t>On round start against players, Mirror Data has X (X at rank X) chance to apply Assimilate to them for 2 rounds. -- While a ship is affected by the Assimilate state, Officer Abilities have their effectiveness reduced by 25%.</t>
  </si>
  <si>
    <t>On round start against players, Mirror Data has X chance to apply Assimilate to them for 2 rounds.</t>
  </si>
  <si>
    <t>0.45, 0.55, 0.65, 0.8, 1.0</t>
  </si>
  <si>
    <t>MIRROR KIRA</t>
  </si>
  <si>
    <t>EnemyPlayer, SelfOfficerTalNotOnBridge</t>
  </si>
  <si>
    <t>On round start against players, Mirror Kira increases your Apex Barrier by  X each round for 5 rounds (cumulative). -- Mirror Kira receives full synergy bonuses from all Mirror officers regardless of class. -- This ability does not trigger when Tal is assigned to the bridge of your ship.</t>
  </si>
  <si>
    <t>On round start against players, Mirror Kira increases your Apex Barrier by X each round for 5 rounds (cumulative).</t>
  </si>
  <si>
    <t>1500.0, 1500.0, 1500.0</t>
  </si>
  <si>
    <t>On round start against players with Assimilate, Mirror Kira increases your shots by X (X at rank X) each round for 5 rounds (cumulative).</t>
  </si>
  <si>
    <t>On round start against players with Assimilate, Mirror Kira increases your shots by X each round for 5 rounds (cumulative).</t>
  </si>
  <si>
    <t>MIRROR EZRI</t>
  </si>
  <si>
    <t>EnemyPlayer, EnemyBattleship, SelfOfficerTalNotOnBridge</t>
  </si>
  <si>
    <t>On combat start while against a Battleship player: Mirror Ezri increases your Apex Barrier by X for the duration of combat. -- This ability does not trigger when Tal is assigned to the bridge of your ship.</t>
  </si>
  <si>
    <t>On combat start while against a Battleship player: Mirror Ezri increases your Apex Barrier by X for the duration of combat.</t>
  </si>
  <si>
    <t>EnemyBattleship, SelfOfficerTalNotOnBridge</t>
  </si>
  <si>
    <t>ModuleKinetic, EnemyPlayer, TargetHasAssimilated</t>
  </si>
  <si>
    <t>On round start against players with Assimilate, Mirror Ezri increases your Kinetic Weapon damage by X (X at rank X) for 1 round.</t>
  </si>
  <si>
    <t>On round start against players with Assimilate, Mirror Ezri increases your Kinetic Weapon damage by X for 1 round.</t>
  </si>
  <si>
    <t>4.5, 8.5, 15.0, 23.0, 35.0</t>
  </si>
  <si>
    <t>ModuleKinetic, TargetHasAssimilated</t>
  </si>
  <si>
    <t>MIRROR TROI</t>
  </si>
  <si>
    <t>EnemyPlayer, EnemyExplorer, SelfOfficerTalNotOnBridge</t>
  </si>
  <si>
    <t>On combat start while against an Explorer player: Mirror Troi increases your Apex Barrier by X for the duration of combat. -- This ability does not trigger when Tal is assigned to the bridge of your ship.</t>
  </si>
  <si>
    <t>On combat start while against an Explorer player: Mirror Troi increases your Apex Barrier by X for the duration of combat.</t>
  </si>
  <si>
    <t>EnemyExplorer, SelfOfficerTalNotOnBridge</t>
  </si>
  <si>
    <t>EnemyPlayer, TargetHasAssimilated, ModuleEnergy</t>
  </si>
  <si>
    <t>On round start against players with Assimilate, Mirror Troi increases your Energy Weapon damage by X (X at rank X) for 1 round.</t>
  </si>
  <si>
    <t>On round start against players with Assimilate, Mirror Troi increases your Energy Weapon damage by X for 1 round.</t>
  </si>
  <si>
    <t>TargetHasAssimilated, ModuleEnergy</t>
  </si>
  <si>
    <t>LIEUTENANT PICARD</t>
  </si>
  <si>
    <t>TargetMaxLevel, EnemyHostile, TargetNotArmada, SelfOfficerTalNotOnBridge</t>
  </si>
  <si>
    <t>Lieutenant Picard increases your Apex Barrier by X vs non-Armada hostiles. -- With full Synergy, Lieutenant Picard provides 11,000 Apex Barrier which reduces the incoming damage by 55%. -- Works against Hostiles of level 35 and under. -- This ability does not trigger when Tal is assigned to the bridge of your ship.</t>
  </si>
  <si>
    <t>Lieutenant Picard increases your Apex Barrier by X vs non-Armada hostiles.</t>
  </si>
  <si>
    <t>4000.0, 1000.0, 3500.0</t>
  </si>
  <si>
    <t>TargetMaxLevel, SelfOfficerTalNotOnBridge</t>
  </si>
  <si>
    <t>+X to the Shield Health</t>
  </si>
  <si>
    <t>0.1, 0.14, 0.18, 0.22, 0.28</t>
  </si>
  <si>
    <t>DEMARCO</t>
  </si>
  <si>
    <t>Galaxy Quest</t>
  </si>
  <si>
    <t>TargetNotPlayerStation, TargetIsArmadaOrInvadingEntity, TargetNotASB</t>
  </si>
  <si>
    <t>Gwen DeMarco increases Isolytic Cascade damage against Armadas and Invading Entities by X (X at rank X) -- Isolytic Cascade multiplies your total damage, including Isolytic Damage, and all research and other bonuses.</t>
  </si>
  <si>
    <t>Increases Isolytic Cascade damage against Armadas and Invading Entities by X</t>
  </si>
  <si>
    <t>0.7, 0.9, 1.1, 1.3, 1.5</t>
  </si>
  <si>
    <t>Gwen DeMarco Increases Isolytic Cascade Damage in PvP when the enemy player has any state by  X (X at rank X) -- Isolytic Cascade multiplies your total damage, including Isolytic Damage, and all research and other bonuses.</t>
  </si>
  <si>
    <t>Increases Isolytic Cascade Damage in PvP when the enemy player has any state by  X</t>
  </si>
  <si>
    <t>0.3, 0.4, 0.5, 0.65, 0.8</t>
  </si>
  <si>
    <t>NESMITH</t>
  </si>
  <si>
    <t>Jason Nesmith decreases Invading Entities Shield Mitigation by  X</t>
  </si>
  <si>
    <t>Decreases Invading Entities Shield Mitigation by  X</t>
  </si>
  <si>
    <t>0.3, 0.15, 0.15</t>
  </si>
  <si>
    <t>EnemyHostile, TargetNotArmada, SelfOfficerTalNotOnBridge</t>
  </si>
  <si>
    <t>Jason Nesmith increases your Apex Barrier by X (X at rank X) when fighting hostiles. -- This ability does not trigger when Tal is assigned to the bridge of your ship.</t>
  </si>
  <si>
    <t>Increases your Apex Barrier by X  when fighting hostiles</t>
  </si>
  <si>
    <t>2000.0, 2500.0, 3200.0, 4000.0, 5000.0</t>
  </si>
  <si>
    <t>DANE</t>
  </si>
  <si>
    <t>Alexander Dane increases the amount of loot gained from defeating Mirror Universe Hostiles by X (X at rank X) when assigned to the NSEA Protector</t>
  </si>
  <si>
    <t>Increases the amount of loot gained from defeating Mirror Universe Hostiles by X when assigned to the NSEA Protector</t>
  </si>
  <si>
    <t>1.0, 1.2, 1.4, 1.6, 2.0</t>
  </si>
  <si>
    <t>Alexander Dane Increases your ship's base Impulse Speed by X (X at rank X).</t>
  </si>
  <si>
    <t>Increases your ship's base Impulse Speed by X .</t>
  </si>
  <si>
    <t>20.0, 25.0, 35.0, 45.0, 60.0</t>
  </si>
  <si>
    <t>LALIARI</t>
  </si>
  <si>
    <t>Laliari decreases the cooldown of the NSEA Protectors Omega-13 Ability by X (X (8 minutes) at rank X)</t>
  </si>
  <si>
    <t>Decreases the cooldown of the NSEA Protectors Omega-13 Ability by X</t>
  </si>
  <si>
    <t>0.66, 1.0, 1.5, 2.35, 4.0</t>
  </si>
  <si>
    <t>SelfAtWaveDefenseChallenge, SelfOfficerTalNotOnBridge</t>
  </si>
  <si>
    <t>Laliari increases the Apex Barrier by X (X at rank X) when in Wave Defense. -- This ability does not trigger when Tal is assigned to the bridge of your ship.</t>
  </si>
  <si>
    <t>increases the Apex Barrier by X  when in Wave Defense</t>
  </si>
  <si>
    <t>1000.0, 1500.0, 2000.0, 2700.0, 3500.0</t>
  </si>
  <si>
    <t>EMERALD CHAIN</t>
  </si>
  <si>
    <t>Increases the Cost Efficiency of the Borg Cube's Transwarp Jump by X.</t>
  </si>
  <si>
    <t>+X Borg Cube Transwarp Jump Cost Efficiency.</t>
  </si>
  <si>
    <t>Increases the base damage of the Borg Cube's Cutting Beam against players by X (X at rank X).</t>
  </si>
  <si>
    <t>+X to Borg Cube Cutting Beam damage against players.</t>
  </si>
  <si>
    <t>0.3, 0.6, 0.9, 1.2, 1.5</t>
  </si>
  <si>
    <t>Increases base repair cost efficiency of the ship X (X at rank X).</t>
  </si>
  <si>
    <t>+X Repair Cost Efficiency.</t>
  </si>
  <si>
    <t>1.5, 3.0, 4.5, 6.0, 7.5</t>
  </si>
  <si>
    <t>DAJASH TOLRA</t>
  </si>
  <si>
    <t>SYMBIOSIS</t>
  </si>
  <si>
    <t>Increases base Loot gained from Armadas and Hostiles by X</t>
  </si>
  <si>
    <t>X (X at rank X) chance to increase base Weapon Shots by 100% every round against Armadas and Invading Entities for 2 rounds (Cumulative)</t>
  </si>
  <si>
    <t>X chance to increase base weapon shots by 100% every round against Armadas and Invading entities for 2 rounds (Cumulative)</t>
  </si>
  <si>
    <t>0.3, 0.4, 0.55, 0.75, 1.0</t>
  </si>
  <si>
    <t>TOLI</t>
  </si>
  <si>
    <t>Decreases all Armada and Invading Entities base Mitigation stats by X(X at rank X) of Officer Defense every round (Cumulative)</t>
  </si>
  <si>
    <t>Decreases all Armada and Invading Entities base mitigation stats by X of total Officer Defense every round (Cumulative)</t>
  </si>
  <si>
    <t>1.0, 2.0, 4.0, 7.0, 11.0</t>
  </si>
  <si>
    <t>Increases base Warp Speed by X (X at rank X)</t>
  </si>
  <si>
    <t>Increases base warp speed by X</t>
  </si>
  <si>
    <t>1.0, 3.0, 6.0, 10.0, 15.0</t>
  </si>
  <si>
    <t>MASRIAD VAEL</t>
  </si>
  <si>
    <t>On combat start against Invading Entities, increases Apex Barrier by X (X at rank X).</t>
  </si>
  <si>
    <t>Increases Apex Barrier against Invading Entities by X.</t>
  </si>
  <si>
    <t>500.0, 1000.0, 1500.0, 2750.0, 5000.0</t>
  </si>
  <si>
    <t>When hit by an Armada or Hostile, increases Critical Hit chance by X (X at rank X) for 4 rounds -- (Weapons with multiple shots will only trigger this ability once per attack).</t>
  </si>
  <si>
    <t>When hit by an Armada or Hostile, increases Critical Hit chance by X for 4 rounds.</t>
  </si>
  <si>
    <t>0.04, 0.05, 0.06, 0.08, 0.12</t>
  </si>
  <si>
    <t>BYR CH'KELRER</t>
  </si>
  <si>
    <t>When hit by an Armada or Hostile, increases Critical Damage by X (X at rank X) for 4 rounds -- (Weapons with multiple shots will only trigger this ability once per attack).</t>
  </si>
  <si>
    <t>When hit by an Armada or Hostile, increases Critical Damage by X for 4 rounds.</t>
  </si>
  <si>
    <t>0.05, 0.08, 0.12, 0.17, 0.25</t>
  </si>
  <si>
    <t>Increases base Loot gained from non-Armada Hostiles by X (X at rank X).</t>
  </si>
  <si>
    <t>Increases base Loot gained from non-Armada Hostiles by X.</t>
  </si>
  <si>
    <t>0.15, 0.25, 0.4, 0.65, 1.0</t>
  </si>
  <si>
    <t>PHELLUN</t>
  </si>
  <si>
    <t>Increases base positive Reputation gained from Federation, Klingon and Romulan Hostiles by X (X at rank X)</t>
  </si>
  <si>
    <t>Increases base positive reputation from Federation, Romulan and Klingon reputation gained by X</t>
  </si>
  <si>
    <t>0.5, 1.0, 1.75, 2.5, 4.0</t>
  </si>
  <si>
    <t>Increases base protected cargo by X (X at rank X)</t>
  </si>
  <si>
    <t>Increases base protected cargo by X</t>
  </si>
  <si>
    <t>1.0, 1.75, 2.5, 4.0, 6.0</t>
  </si>
  <si>
    <t>MIRROR UHURA</t>
  </si>
  <si>
    <t>TargetNotPlayerStation, EnemyPlayer, TargetHasAssimilated, SelfOfficerTalNotOnBridge</t>
  </si>
  <si>
    <t>Increases your existing Apex Barrier by X (X at rank X) for 2 rounds after receiving HHP damage from a player ship with Assimilate (Once per weapon). -- This ability does not trigger when Tal is assigned to the bridge of your ship or during station combat.</t>
  </si>
  <si>
    <t>+X to existing Apex Barrier when you are hit by a player with Assimilate.</t>
  </si>
  <si>
    <t>Increases your Apex Barrier by X (X at rank X) at the start of combat versus non-Armada Hostiles. -- This ability does not trigger when Tal is assigned to the bridge of your ship.</t>
  </si>
  <si>
    <t>+X to Apex Barrier at the start of combat against non-Armada Hostiles.</t>
  </si>
  <si>
    <t>700.0, 900.0, 1200.0, 1600.0, 2000.0</t>
  </si>
  <si>
    <t>STARFLEET Q</t>
  </si>
  <si>
    <t>INTERCEPTOR RETALIATION SQUAD</t>
  </si>
  <si>
    <t>On round start against players, Starfleet Q has X chance to apply Morale to your ship for 1 round.</t>
  </si>
  <si>
    <t>On round start against players, Starfleet Q has +X chance to apply Morale to your ship for 1 round.</t>
  </si>
  <si>
    <t>0.4, 0.1, 0.3</t>
  </si>
  <si>
    <t>SelfHasMorale, EnemyPlayer, EnemyInterceptor, SelfOfficerTalNotOnBridge</t>
  </si>
  <si>
    <t>On round start, if placed on a ship with Morale against players commanding an Interceptor, Starfleet Q increases your Apex Barrier by X (X at rank X) for 5 rounds. -- This ability does not trigger when Tal is assigned to the bridge of your ship.</t>
  </si>
  <si>
    <t>On round start, if on a ship with Morale against players commanding an Interceptor, increase your Apex Barrier by X for 5 rounds.</t>
  </si>
  <si>
    <t>10000.0, 12000.0, 14000.0, 15000.0, 16000.0</t>
  </si>
  <si>
    <t>SelfHasMorale, EnemyInterceptor, SelfOfficerTalNotOnBridge</t>
  </si>
  <si>
    <t>MARIACHI Q</t>
  </si>
  <si>
    <t>On round start, if placed on a ship with Morale against players, Mariachi Q increases your Isolytic Cascade damage by X (X at rank X) for 3 rounds.</t>
  </si>
  <si>
    <t>On round start, if on a ship with Morale against players, Mariachi Q increases your Isolytic Cascade damage by X for 3 rounds.</t>
  </si>
  <si>
    <t>0.5, 0.6, 0.75, 0.95, 1.2</t>
  </si>
  <si>
    <t>EnemyPlayer, TargetHasBurning, SelfOfficerTalNotOnBridge</t>
  </si>
  <si>
    <t>On round start against players afflicted by Burning, Mariachi Q increases your Apex Barrier by X (X at rank X) for 1 round. -- This ability does not trigger when Tal is assigned to the bridge of your ship.</t>
  </si>
  <si>
    <t>On round start against players afflicted by Burning, increase your Apex Barrier by X for 1 round.</t>
  </si>
  <si>
    <t>7000.0, 8000.0, 10000.0, 12000.0, 15000.0</t>
  </si>
  <si>
    <t>TargetHasBurning, SelfOfficerTalNotOnBridge</t>
  </si>
  <si>
    <t>FRENCH MARSHAL Q</t>
  </si>
  <si>
    <t>On round start, if placed on a ship with Morale against players, French Marshal Q increases your weapon shots by X (X at rank X) for 3 rounds.</t>
  </si>
  <si>
    <t>On round start, if placed on a ship with Morale against players, French Marshal Q increases your weapon shots by X for 3 rounds.</t>
  </si>
  <si>
    <t>On round start, if the enemy player has any state, French Marshal Q repairs X (X at rank X) of hull damage taken in the previous round of combat.</t>
  </si>
  <si>
    <t>On round start, if the enemy player has any state, repair +X of hull damage taken in the previous round of combat.</t>
  </si>
  <si>
    <t>0.05, 0.07, 0.1, 0.14, 0.2</t>
  </si>
  <si>
    <t>SORAN</t>
  </si>
  <si>
    <t>EXPLORER RETALIATION SQUAD</t>
  </si>
  <si>
    <t>On round start against players, Soran has X chance to apply Burning to your target for 1 round. -- This ability does not trigger when Tal is assigned to the bridge of your ship.</t>
  </si>
  <si>
    <t>On round start against players, Soran has +X chance to apply Burning to your target for 1 round.</t>
  </si>
  <si>
    <t>EnemyPlayer, EnemyExplorer, TargetHasBurning, SelfOfficerTalNotOnBridge</t>
  </si>
  <si>
    <t>On round start against players commanding an Explorer afflicted by Burning, Soran increases your Apex Barrier by X (X at rank X) for 5 rounds. -- This ability does not trigger when Tal is assigned to the bridge of your ship.</t>
  </si>
  <si>
    <t>On round start against players commanding an Explorer afflicted by Burning, Soran increases your Apex Barrier by X for 5 rounds.</t>
  </si>
  <si>
    <t>EnemyExplorer, TargetHasBurning, SelfOfficerTalNotOnBridge</t>
  </si>
  <si>
    <t>ROMI</t>
  </si>
  <si>
    <t>EnemyPlayer, TargetHasBurning</t>
  </si>
  <si>
    <t>On round start against players afflicted by Burning, Romi increases your Isolytic Defense by X (X at rank X) for 3 rounds.</t>
  </si>
  <si>
    <t>On round start against players afflicted by Burning, Romi increases your Isolytic Defense by X for 3 rounds.</t>
  </si>
  <si>
    <t>1.0, 1.2, 1.4, 1.7, 2.0</t>
  </si>
  <si>
    <t>EnemyPlayer, TargetHasHullBreach, SelfOfficerTalNotOnBridge</t>
  </si>
  <si>
    <t>On round start against players afflicted by Hull Breach, Romi increases your Apex Barrier by X (X at rank X) for 1 round. -- This ability does not trigger when Tal is assigned to the bridge of your ship.</t>
  </si>
  <si>
    <t>On round start against players afflicted by Hull Breach, Romi increases your Apex Barrier by X for 1 round.</t>
  </si>
  <si>
    <t>TargetHasHullBreach, SelfOfficerTalNotOnBridge</t>
  </si>
  <si>
    <t>MISS Q</t>
  </si>
  <si>
    <t>On round start against players afflicted by Burning, Miss Q increases your Isolytic Cascade damage by X (X at rank X) for 3 rounds.</t>
  </si>
  <si>
    <t>On round start against players afflicted by Burning, Miss Q increases your Isolytic Cascade damage by X for 3 rounds.</t>
  </si>
  <si>
    <t>SelfHasMorale, EnemyPlayer, SelfOfficerTalNotOnBridge</t>
  </si>
  <si>
    <t>On round start, if placed on a ship with Morale against players, Miss Q increases your Apex Barrier by X (X at rank X) for 1 round. -- This ability does not trigger when Tal is assigned to the bridge of your ship.</t>
  </si>
  <si>
    <t>On round start, if placed on a ship with Morale against players, Miss Q increases your Apex Barrier by X for 1 round.</t>
  </si>
  <si>
    <t>SelfHasMorale, SelfOfficerTalNotOnBridge</t>
  </si>
  <si>
    <t>SPECIALIST SEVEN</t>
  </si>
  <si>
    <t>BATTLESHIP RETALIATION SQUAD</t>
  </si>
  <si>
    <t>EnemyPlayer, TargetHasHullBreach, EnemyBattleship</t>
  </si>
  <si>
    <t>On round start against player Battleships with Hull Breach, Specialist Seven increases your shots by X each round for 4 rounds (Cumulative)</t>
  </si>
  <si>
    <t>On round start against player Battleships with Hull Breach, increases your shots by X each round for 4 rounds (Cumulative).</t>
  </si>
  <si>
    <t>0.6, 0.1, 0.3</t>
  </si>
  <si>
    <t>TargetHasHullBreach, EnemyBattleship</t>
  </si>
  <si>
    <t>On round start against players, Specialist Seven has X (X at rank X) chance to apply Hull Breach to your target for 2 rounds.</t>
  </si>
  <si>
    <t>On round start against players, has X chance to apply Hull Breach to your target for 2 rounds.</t>
  </si>
  <si>
    <t>ICHEB</t>
  </si>
  <si>
    <t>Against players with Hull Breach, Icheb increases your Apex Barrier by X (X at rank X) for 4 rounds each time you score a hit (Once per weapon)(Cumulative). -- This ability does not trigger when Tal is assigned to the bridge of your ship.</t>
  </si>
  <si>
    <t>Against players with Hull Breach, increases your Apex Barrier by X for 4 rounds each time you score a hit (Cumulative).</t>
  </si>
  <si>
    <t>5500.0, 6500.0, 8000.0, 10000.0, 12500.0</t>
  </si>
  <si>
    <t>EnemyPlayer, SelfStateNone</t>
  </si>
  <si>
    <t>On round start against players, if on a ship with no State applied Icheb increases your Isolytic Cascade damage by X (X at rank X) for 3 rounds (Cumulative). -- Isolytic Cascade multiplies your total damage, including Isolytic Damage, and all research and other bonuses.</t>
  </si>
  <si>
    <t>On round start against players, if on a ship with no State applied increases your Isolytic Cascade damage by X for 3 rounds (Cumulative).</t>
  </si>
  <si>
    <t>0.7, 0.8, 0.95, 1.15, 1.4</t>
  </si>
  <si>
    <t>No State</t>
  </si>
  <si>
    <t>INFILTRATOR TUVOK</t>
  </si>
  <si>
    <t>Against players with Hull Breach, Infiltrator Tuvok increases your Isolytic Cascade damage by X (X at rank X) for 3 rounds each time you score a hit (Once per weapon)(Cumulative). -- Isolytic Cascade multiplies your total damage, including Isolytic Damage, and all research and other bonuses.</t>
  </si>
  <si>
    <t>Against players with Hull Breach, increases your Isolytic Cascade damage by X for 3 rounds each time you score a hit (Cumulative).</t>
  </si>
  <si>
    <t>0.28, 0.34, 0.42, 0.52, 0.65</t>
  </si>
  <si>
    <t>EnemyPlayer, SelfStateNone, SelfOfficerTalNotOnBridge</t>
  </si>
  <si>
    <t>On round start against players, if on a ship with no State applied Infiltrator Tuvok increases your Apex Barrier by X (X at rank X) for 3 rounds (Cumulative). -- This ability does not trigger when Tal is assigned to the bridge of your ship.</t>
  </si>
  <si>
    <t>On round start against players, if on a ship with no State applied increases your Apex Barrier by X for 3 rounds (Cumulative).</t>
  </si>
  <si>
    <t>12000.0, 14500.0, 17500.0, 21000.0, 25000.0</t>
  </si>
  <si>
    <t>SelfStateNone, SelfOfficerTalNotOnBridge</t>
  </si>
  <si>
    <t>ANNORAX</t>
  </si>
  <si>
    <t>VOYAGER 30TH ANNIVERSARY</t>
  </si>
  <si>
    <t>Increases select rewards from hostile chests (G3-G6 Parts &amp; Refined Materials, FKR Messages &amp; Credits, Hirogen Relics, Mycellium, Exotic Biotoxins, Xindi Scraps &amp; Bounties, Trellium, Fatu-Kray Scraps) by X of base.</t>
  </si>
  <si>
    <t>Increases the rewards gained from Hostile Chests by X of base.</t>
  </si>
  <si>
    <t>Increases Apex Barrier by X (X at rank X) for 2 rounds when hit by a hostile (Once per weapon)(Cumulative). -- This ability does not trigger when Tal is assigned to the bridge of your ship.</t>
  </si>
  <si>
    <t>Increases Apex Barrier by X  for 2 rounds when hit by a hostile.</t>
  </si>
  <si>
    <t>2000.0, 2300.0, 2600.0, 2900.0, 3200.0</t>
  </si>
  <si>
    <t>Restores the Shield Health of your ship every round by X (X at rank X) when fighting hostiles.</t>
  </si>
  <si>
    <t>Restores the Shield Health of your ship every round by X when fighting hostiles.</t>
  </si>
  <si>
    <t>0.12, 0.16, 0.2, 0.25, 0.3</t>
  </si>
  <si>
    <t>Increases Critical Hit Damage by X (X at rank X) for 4 rounds each time you score a hit (Once per weapon) when fighting hostiles.</t>
  </si>
  <si>
    <t>Increases Critical Hit Damage by X for 4 rounds each time you score a hit when fighting hostiles.</t>
  </si>
  <si>
    <t>0.12, 0.16, 0.22, 0.3, 0.4</t>
  </si>
  <si>
    <t>SUDER</t>
  </si>
  <si>
    <t>Repairs X (X at rank X) of hull damage taken in the previous round of combat when fighting hostiles.</t>
  </si>
  <si>
    <t>At the end of each round repair X of hull damage taken during it when fighting hostiles.</t>
  </si>
  <si>
    <t>0.12, 0.15, 0.18, 0.21, 0.24</t>
  </si>
  <si>
    <t>At the start of combat increases Critical Hit Damage by X (X at rank X) for 5 rounds when fighting hostiles.</t>
  </si>
  <si>
    <t>Increases Critical Hit Damage by X for 5 rounds when fighting hostiles.</t>
  </si>
  <si>
    <t>0.3, 0.45, 0.65, 0.9, 1.2</t>
  </si>
  <si>
    <t>S31 GEORGIOU</t>
  </si>
  <si>
    <t>Increases Apex Shred  against non-Armada hostiles by X (X at rank X). -- Apex Barrier remaining after Apex Shred is equal to: -- Apex Barrier / (100% + Apex Shred) -- 100% Apex Shred reduces Apex Barrier by 50%.</t>
  </si>
  <si>
    <t>Increases Apex Shred against non-Armada hostiles by X.</t>
  </si>
  <si>
    <t>0.5, 0.55, 0.7, 1.0, 1.5</t>
  </si>
  <si>
    <t>Increases Apex Shred against players by X (X at rank X). -- Apex Barrier remaining after Apex Shred is equal to: -- Apex Barrier / (100% + Apex Shred) -- 100% Apex Shred reduces Apex Barrier by 50%.</t>
  </si>
  <si>
    <t>Increase Apex Shred against players by X.</t>
  </si>
  <si>
    <t>0.25, 0.35, 0.5, 0.7, 1.0</t>
  </si>
  <si>
    <t>RACHEL GARRETT</t>
  </si>
  <si>
    <t>Increases base Loot gained from non-Armada hostiles by X (X at rank X).</t>
  </si>
  <si>
    <t>Increases base Loot gained from non-Armada hostiles by X.</t>
  </si>
  <si>
    <t>0.3, 0.5, 0.8, 1.2, 2.0</t>
  </si>
  <si>
    <t>EnemyHostile, TargetNotArmada, SelfOfficerTalNotOnBridge, EnemyBattleship</t>
  </si>
  <si>
    <t>Increases Apex Barrier against Battleship hostiles by X (X at rank X). -- This ability does not trigger when Tal is assigned to the bridge of your ship.</t>
  </si>
  <si>
    <t>Increases Apex Barrier against Battleship hostiles by X.</t>
  </si>
  <si>
    <t>1000.0, 1200.0, 1500.0, 2000.0, 3000.0</t>
  </si>
  <si>
    <t>EnemyHostile, SelfOfficerTalNotOnBridge, EnemyBattleship</t>
  </si>
  <si>
    <t>SelfOfficerTalNotOnBridge, EnemyBattleship</t>
  </si>
  <si>
    <t>ZEPH</t>
  </si>
  <si>
    <t>On round start against hostiles, Zeph has a X chance to apply a random State to the enemy for 3 rounds. -- Random States: Morale, Burning, Hull Breach</t>
  </si>
  <si>
    <t>On round start against hostiles, Zeph has a X chance to apply a random State to the enemy for 3 rounds.</t>
  </si>
  <si>
    <t>EnemyHostile, TargetNotArmada, EnemyInterceptor, SelfOfficerTalNotOnBridge</t>
  </si>
  <si>
    <t>Increases Apex Barrier against Interceptor hostiles by X (X at rank X). -- This ability does not trigger when Tal is assigned to the bridge of your ship.</t>
  </si>
  <si>
    <t>Increases Apex Barrier against Interceptor hostiles by X.</t>
  </si>
  <si>
    <t>EnemyHostile, EnemyInterceptor, SelfOfficerTalNotOnBridge</t>
  </si>
  <si>
    <t>QUASI</t>
  </si>
  <si>
    <t>Increases Apex Shred against players by X.</t>
  </si>
  <si>
    <t>0.5, 0.6, 0.8, 1.1, 1.5</t>
  </si>
  <si>
    <t>Increases Apex Shred against non-Armada hostiles by X (X at rank X). -- Apex Barrier remaining after Apex Shred is equal to: -- Apex Barrier / (100% + Apex Shred) -- 100% Apex Shred reduces Apex Barrier by 50%.</t>
  </si>
  <si>
    <t>Increases Apex Shred against non-Armada hostiles by +X.</t>
  </si>
  <si>
    <t>0.25, 0.3, 0.4, 0.55, 0.75</t>
  </si>
  <si>
    <t>ALOK SAHAR</t>
  </si>
  <si>
    <t>SelfHullJunker, EnemyPlayer</t>
  </si>
  <si>
    <t>Increases Apex Shred against players by X (X at rank X) when assigned to the GS-31. -- Apex Barrier remaining after Apex Shred is equal to: -- Apex Barrier / (100% + Apex Shred). -- 100% Apex Shred reduces Apex Barrier by 50%.</t>
  </si>
  <si>
    <t>Increases Apex Shred against players by X when assigned to the GS-31.</t>
  </si>
  <si>
    <t>0.15, 0.25, 0.35, 0.5, 0.7</t>
  </si>
  <si>
    <t>EnemyHostile, TargetNotArmada, EnemyExplorer, SelfOfficerTalNotOnBridge</t>
  </si>
  <si>
    <t>Increases Apex Barrier against Explorer hostiles by X (X at rank X). -- This ability does not trigger when Tal is assigned to the bridge of your ship.</t>
  </si>
  <si>
    <t>Increases Apex Barrier against Explorer hostiles by X.</t>
  </si>
  <si>
    <t>EnemyHostile, EnemyExplorer, SelfOfficerTalNotOnBridge</t>
  </si>
  <si>
    <t>WOK CAROL</t>
  </si>
  <si>
    <t>WRATH OF KHAN</t>
  </si>
  <si>
    <t>WOK Carol Marcus increases Common, Uncommon, Rare and Epic loot dropped by Augment Exile hostiles by X (X at rank X).</t>
  </si>
  <si>
    <t>Increases Common/Uncommon/Rare/Epic loot dropped by Augment Exile hostiles by X.</t>
  </si>
  <si>
    <t>1.5, 2.0, 3.5, 5.0, 7.0</t>
  </si>
  <si>
    <t>When you take hull damage from a non-Armada hostile, WOK Carol Marcus increases your Shield Mitigation by X (X at rank X) for 1 round (cumulative). -- (Weapons with multiple shots will only trigger this ability once per attack.)</t>
  </si>
  <si>
    <t>When you take hull damage from a non-Armada hostile, increase your Shield Mitigation by X for 1 round (cumulative).</t>
  </si>
  <si>
    <t>WOK MCCOY</t>
  </si>
  <si>
    <t>On combat start, WOK Leonard McCoy increases your Armor, Shield Deflection, and Dodge by X (X at rank X) of Health when in Wave Defense.</t>
  </si>
  <si>
    <t>Increases your Armor, Shield Deflection, and Dodge by X of Health when in Wave Defense.</t>
  </si>
  <si>
    <t>5.0, 7.5, 15.0, 30.0, 50.0</t>
  </si>
  <si>
    <t>On combat start against non-player hostiles or Armadas, WOK Leonard McCoy increases your Armor, Shield Deflection, and Dodge by X (X at rank X) of Defense.</t>
  </si>
  <si>
    <t>Increases your Armor, Shield Deflection, and Dodge by X of Defense against non-player hostiles or Armadas.</t>
  </si>
  <si>
    <t>3.0, 3.75, 4.5, 6.0, 8.0</t>
  </si>
  <si>
    <t>WOK JOACHIM</t>
  </si>
  <si>
    <t>SelfSurveyor, EnemyPlayer, SelfOfficerTalNotOnBridge, SelfDefending</t>
  </si>
  <si>
    <t>On combat start, WOK Joachim increases your Apex Barrier by X (X at rank X) when attacked by a player while on a Survey ship. -- This ability does not trigger when Tal is assigned to the bridge of your ship.</t>
  </si>
  <si>
    <t>Increases your Apex Barrier by X when attacked by a player while on a Survey ship.</t>
  </si>
  <si>
    <t>10000.0, 20000.0, 35000.0, 50000.0, 75000.0</t>
  </si>
  <si>
    <t>SelfSurveyor, SelfOfficerTalNotOnBridge</t>
  </si>
  <si>
    <t>WOK Joachim increases your Isolytic Defense by X (X at rank X) against hostiles and players.</t>
  </si>
  <si>
    <t>Increases your Isolytic Defense by X against hostiles and players.</t>
  </si>
  <si>
    <t>1.0, 1.5, 2.0, 3.0, 5.0</t>
  </si>
  <si>
    <t>WOK Montgomery Scott increases loot gained from Armadas by X (X at rank X).</t>
  </si>
  <si>
    <t>Increases loot gained from Armadas by X</t>
  </si>
  <si>
    <t>0.2, 0.4, 0.65, 0.9, 1.25</t>
  </si>
  <si>
    <t>WOK Montgomery Scott reduces enemy Shield Mitigation by X (X at rank X) when fighting non-Armada hostiles.</t>
  </si>
  <si>
    <t>Reduces enemy Shield Mitigation by X when fighting non-Armada hostiles.</t>
  </si>
  <si>
    <t>WOK SAAVIK</t>
  </si>
  <si>
    <t>On combat start, WOK Saavik increases Isolytic Cascade damage by X (X at rank X) when in Wave Defense.</t>
  </si>
  <si>
    <t>Increases Isolytic Cascade damage by X when in Wave Defense.</t>
  </si>
  <si>
    <t>EnemyHostile, TargetNotArmada, TargetStateAny</t>
  </si>
  <si>
    <t>On round start, against non-Armada hostiles, WOK Saavik increases your Isolytic Cascade damage by X (X at rank X) for 1 round, if the enemy has any state.</t>
  </si>
  <si>
    <t>On round start, against non-Armada hostiles, increase your Isolytic Cascade damage by X for 1 round, if the enemy has any state.</t>
  </si>
  <si>
    <t>0.15, 0.2, 0.3, 0.5, 0.7</t>
  </si>
  <si>
    <t>EnemyHostile, TargetStateAny</t>
  </si>
  <si>
    <t>SNW SCOTTY</t>
  </si>
  <si>
    <t>SNW Montgomery Scott increases Isolytic Cascade Damage by X (X at rank X) versus Suliban Hostiles.</t>
  </si>
  <si>
    <t>Increases Isolytic Cascade Damage by X versus Suliban Hostiles.</t>
  </si>
  <si>
    <t>0.4, 0.55, 0.8, 1.1, 1.5</t>
  </si>
  <si>
    <t>Suliban</t>
  </si>
  <si>
    <t>SNW Montgomery Scott increases the ship's Shield Health by X (X at rank X).</t>
  </si>
  <si>
    <t>Increases the ship's Shield Health by X.</t>
  </si>
  <si>
    <t>1.0, 2.0, 3.5, 5.0, 7.0</t>
  </si>
  <si>
    <t>SNW T'PRING</t>
  </si>
  <si>
    <t>SNW T'Pring increases Armor, Shield Deflection, and Dodge by X (X at rank X) of total Defense against non-Armada hostiles.</t>
  </si>
  <si>
    <t>Increases Armor, Shield Deflection, and Dodge by X of total Defense against non-Armada hostiles.</t>
  </si>
  <si>
    <t>12.0, 15.0, 18.0, 21.0, 25.0</t>
  </si>
  <si>
    <t>SNW T'Pring Increases the amount of 3⇵-6⇵ Ore/Crystal/Gas collected by X (X at rank X), without draining the mining node faster.</t>
  </si>
  <si>
    <t>Increases the amount of 3⇵-6⇵ Ore/Crystal/Gas collected by X, without draining the mining node faster.</t>
  </si>
  <si>
    <t>SNW D'CHOK</t>
  </si>
  <si>
    <t>SNW D'Chok increases Common, Uncommon, Rare, and Epic Transogen Mining Speed by X (X at rank X).</t>
  </si>
  <si>
    <t>Increases Transogen Mining Speed by X.</t>
  </si>
  <si>
    <t>10.0, 20.0, 35.0, 50.0, 75.0</t>
  </si>
  <si>
    <t>SNW D'Chok increases the ship's Weapon Damage by X (X at rank X).</t>
  </si>
  <si>
    <t>Increases the ship's Weapon Damage by X.</t>
  </si>
  <si>
    <t>7.0, 10.0, 15.0, 21.0, 30.0</t>
  </si>
  <si>
    <t>BLACK OPS M'BENGA</t>
  </si>
  <si>
    <t>SNW Black Ops M'Benga increases Isolytic Defense by X (X at rank X) versus Suliban Hostiles.</t>
  </si>
  <si>
    <t>Increases Isolytic Defense by X versus Suliban Hostiles.</t>
  </si>
  <si>
    <t>0.4, 0.6, 0.9, 1.3, 2.0</t>
  </si>
  <si>
    <t>SNW Black Ops M'Benga restores the Shield Health of your ship every round by X (X at rank X) when fighting hostiles.</t>
  </si>
  <si>
    <t>0.02, 0.03, 0.05, 0.07, 0.1</t>
  </si>
  <si>
    <t>BLACK OPS CHAPEL</t>
  </si>
  <si>
    <t>SNW Black Ops Chapel increases base positive Reputation gained from Federation, Klingon and Romulan Hostiles by X (X at rank X).</t>
  </si>
  <si>
    <t>Increases base positive Reputation gained from Federation, Klingon and Romulan Hostiles by X.</t>
  </si>
  <si>
    <t>0.75, 1.25, 2.0, 2.75, 4.5</t>
  </si>
  <si>
    <t>SNW Black Ops Chapel increases the ship's base Hull Health by X (X at rank X).</t>
  </si>
  <si>
    <t>Increases the ship's base Hull Health by X.</t>
  </si>
  <si>
    <t>VIL WINN ADAMI</t>
  </si>
  <si>
    <t>VILLAINS</t>
  </si>
  <si>
    <t>When attacking a station, Winn Adami ignores X (X at rank X) of the opponent's shield for the first 3 rounds.</t>
  </si>
  <si>
    <t>When attacking a Station, Winn Adami ignores X  of the opponent's shield for the first 3 rounds.</t>
  </si>
  <si>
    <t>Reduces enemy player Critical Damage by X (X at rank X) .</t>
  </si>
  <si>
    <t>Reduces enemy player Critical Damage by X .</t>
  </si>
  <si>
    <t>1.0, 1.5, 2.0, 2.5, 3.5</t>
  </si>
  <si>
    <t>VIL GUL DUKAT</t>
  </si>
  <si>
    <t>VIL Gul Dukat increases Shots by X (X at rank X) when attacking a Station.</t>
  </si>
  <si>
    <t>Increases Shots by  X  when attacking a Station.</t>
  </si>
  <si>
    <t>0.6, 0.8, 1.2, 1.8, 3.0</t>
  </si>
  <si>
    <t>VIL Gul Dukat reduces enemy player Critical Chance by X (X at rank X) during 4 rounds at the start of the combat.</t>
  </si>
  <si>
    <t>Reduces enemy player Critical Chance by X during 4 rounds at the start of the combat.</t>
  </si>
  <si>
    <t>NOG</t>
  </si>
  <si>
    <t>Status Control Team</t>
  </si>
  <si>
    <t>TargetNotASB, EnemySentinel, SelfOfficerTalNotOnBridge</t>
  </si>
  <si>
    <t>Nog increases Apex Barrier by X for 2 rounds on round start, when attacking a Station. -- This ability does not trigger when Tal is assigned to the bridge of your ship.</t>
  </si>
  <si>
    <t>Increases Apex Barrier by X for 2 rounds when attacking a Station.</t>
  </si>
  <si>
    <t>20000.0, 0.0, 0.0</t>
  </si>
  <si>
    <t>EnemySentinel, SelfOfficerTalNotOnBridge</t>
  </si>
  <si>
    <t>Nog reduces Critical Hit Chance by X (X at rank X) for 2 rounds on round start against players, if the opponent has any state.</t>
  </si>
  <si>
    <t>Reduces Critical Hit Chance against players by X for 2 rounds if the opponent has any state.</t>
  </si>
  <si>
    <t>0.2, 0.35, 0.5, 0.6, 0.7</t>
  </si>
  <si>
    <t>THE HIERARCH</t>
  </si>
  <si>
    <t>The Hierarch increases Shots by X (200% at max synergy) for 2 rounds on round start against players.</t>
  </si>
  <si>
    <t>Increases Shots against players by X (200% at max synergy) for 2 rounds.</t>
  </si>
  <si>
    <t>1.2, 0.4, 0.4</t>
  </si>
  <si>
    <t>The Hierarch has a X (X at rank X) chance of applying Hull Breach, Burning, or Assimilate for 2 rounds on a round start against players.</t>
  </si>
  <si>
    <t>Has a X chance of applying Hull Breach, Burning, or Assimilate against players for 2 rounds.</t>
  </si>
  <si>
    <t>0.5, 0.65, 0.8, 0.9, 1.0</t>
  </si>
  <si>
    <t>EZRI DAX</t>
  </si>
  <si>
    <t>SelfSurveyor, EnemyPlayer, SelfDefending</t>
  </si>
  <si>
    <t>Ezri Dax increases Isolytic Cascade Damage by X when attacked by a Player while on a Survey Ship.</t>
  </si>
  <si>
    <t>Increases Isolytic Cascade Damage by X when attacked by a Player while on a Survey Ship.</t>
  </si>
  <si>
    <t>15.0, 0.0, 0.0</t>
  </si>
  <si>
    <t>Ezri Dax increases Isolytic Cascade Damage by X (X at rank X) for 2 rounds on round start against players, if the opponent has any state.</t>
  </si>
  <si>
    <t>Increases Isolytic Cascade Damage against players by X for 2 rounds, if the opponent has any state.</t>
  </si>
  <si>
    <t>1.0, 1.3, 1.6, 1.8, 2.0</t>
  </si>
  <si>
    <t>TMP HIKARU SULU</t>
  </si>
  <si>
    <t>THE MOTION PICTURES</t>
  </si>
  <si>
    <t>TargetMaxLevel, CombatBattleType, SelfOfficerTalNotOnBridge</t>
  </si>
  <si>
    <t>battle_types=[17, 18, 2, 5, 9, 6], max_level=81, num_rounds=10</t>
  </si>
  <si>
    <t>TMP Hikaru Sulu increases Apex Barrier by X for 10 rounds against non-Armada Hostiles, Outposts and Retaliation Hostiles. Works against Hostiles of level 81 and under. -- This ability does not trigger when Tal is assigned to the bridge of your ship.</t>
  </si>
  <si>
    <t>Increases Apex Barrier by X for 10 rounds against non-Armada Hostiles, Outposts and Retaliation Hostiles. Works against Hostiles of level 81 and under.</t>
  </si>
  <si>
    <t>2000.0, 3000.0, 3000.0</t>
  </si>
  <si>
    <t>CombatBattleType, SelfOfficerTalNotOnBridge</t>
  </si>
  <si>
    <t>CombatBattleType, TargetStateAny</t>
  </si>
  <si>
    <t>battle_types=[17, 18, 2, 5, 6, 9], num_rounds=4</t>
  </si>
  <si>
    <t>On round start, TMP Hikaru Sulu increases your ship's critical chance by X (X at rank X) for 4 rounds, if any state is applied to non-Armada Hostiles, Outposts or Retaliation Hostiles.</t>
  </si>
  <si>
    <t>On round start, increases your ship's critical chance by X for 4 rounds, if any state is applied to non-Armada Hostiles, Outposts or Retaliation Hostiles.</t>
  </si>
  <si>
    <t>battle_types=[17, 18, 2, 5, 6, 9, 9], num_rounds=2, state=4</t>
  </si>
  <si>
    <t>On round start vs non-Armada Hostiles, Outposts, or Retaliation Hostiles, TMP Nyota Uhura has a X (X at rank X) chance to apply Hull Breach for 2 rounds.</t>
  </si>
  <si>
    <t>On round start vs non-Armada Hostiles, Outposts, or Retaliation Hostiles, has a X chance to apply Hull Breach for 2 rounds.</t>
  </si>
  <si>
    <t>battle_types=[17, 18, 2, 5, 6, 9]</t>
  </si>
  <si>
    <t>TMP Nyota Uhura increases your ship's Isolytic Cascade Damage by X (X at rank X) when fighting non-Armada Hostiles, Outposts, or Retaliation Hostiles.</t>
  </si>
  <si>
    <t>Increases your ship's Isolytic Cascade Damage by X when fighting non-Armada Hostiles, Outposts, or Retaliation Hostiles.</t>
  </si>
  <si>
    <t>BuffOrder</t>
  </si>
  <si>
    <t>TechId</t>
  </si>
  <si>
    <t>TechArt</t>
  </si>
  <si>
    <t>TechRarity</t>
  </si>
  <si>
    <t>Column 48</t>
  </si>
  <si>
    <t>Tetracyanate 622</t>
  </si>
  <si>
    <t>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1586478890, 296474010, 2285412015, 2440004407, 1574840331, 298768773, 141958867]</t>
  </si>
  <si>
    <t>Increases Mining rate X</t>
  </si>
  <si>
    <t>Increases Protected Cargo X</t>
  </si>
  <si>
    <t>Ablative Armor</t>
  </si>
  <si>
    <t>Increases Hull Health X</t>
  </si>
  <si>
    <t>Increases Shield Health X</t>
  </si>
  <si>
    <t>Orion Seismic Charges</t>
  </si>
  <si>
    <t>Increases Damage against hostiles X</t>
  </si>
  <si>
    <t>Increases Ship Experience hostile rewards X</t>
  </si>
  <si>
    <t>Transphasic Torpedoes</t>
  </si>
  <si>
    <t>TargetNotSoloArmada, TargetIsArmada</t>
  </si>
  <si>
    <t>Increases Damage against Group Armadas X</t>
  </si>
  <si>
    <t>TargetNotSoloArmada</t>
  </si>
  <si>
    <t>Increases Armor Pierce, Shield Pierce, and Accuracy against Group Armadas X</t>
  </si>
  <si>
    <t>Increases Critical Damage against Group Armadas X</t>
  </si>
  <si>
    <t>Subnucleonic Beam</t>
  </si>
  <si>
    <t>Increases Critical Hit chance against Swarm hostiles X</t>
  </si>
  <si>
    <t>Swarm</t>
  </si>
  <si>
    <t>faction_id=1530685377</t>
  </si>
  <si>
    <t>Increases Critical Hit chance against Dominion hostiles X</t>
  </si>
  <si>
    <t>Dominion</t>
  </si>
  <si>
    <t>Borg Nanoplating</t>
  </si>
  <si>
    <t>Increases Critical Hit chance against Solo Armadas X</t>
  </si>
  <si>
    <t>Increases Armor Pierce, Shield Pierce, and Accuracy against Solo Armadas X</t>
  </si>
  <si>
    <t>Increases Armor, Shield Deflection, and Dodge against Solo Armadas X</t>
  </si>
  <si>
    <t>Increases Critical Damage against Solo Armadas X</t>
  </si>
  <si>
    <t>Romulan Mining Laser</t>
  </si>
  <si>
    <t>Increases Ore Mining rate X</t>
  </si>
  <si>
    <t>Increases Cargo capacity X</t>
  </si>
  <si>
    <t>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t>
  </si>
  <si>
    <t>Malon Extractor</t>
  </si>
  <si>
    <t>Increases Gas Mining rate X</t>
  </si>
  <si>
    <t>Klingon Mining Drill</t>
  </si>
  <si>
    <t>Increases Crystal Mining rate X</t>
  </si>
  <si>
    <t>Borg Alcove</t>
  </si>
  <si>
    <t>faction_id=2385047502</t>
  </si>
  <si>
    <t>Increases Voyager Critical Hit chance against Delta Quadrant hostiles X</t>
  </si>
  <si>
    <t>DeltaQuadrant</t>
  </si>
  <si>
    <t>Increases Hull Health on Voyager X</t>
  </si>
  <si>
    <t>Increases hostile rewards X</t>
  </si>
  <si>
    <t>Increases Critical Damage against hostiles X</t>
  </si>
  <si>
    <t>Interphase Cloaking Device</t>
  </si>
  <si>
    <t>SelfCloaked, EnemyPlayer</t>
  </si>
  <si>
    <t>Increases Damage when Cloaked X</t>
  </si>
  <si>
    <t>Increases Armor, Shield Deflection, and Dodge against players when Cloaked X</t>
  </si>
  <si>
    <t>When the ship receives a Critical Hit, Decrease Opponent's Critical Hit chance for 2 rounds when Cloaked X</t>
  </si>
  <si>
    <t>Increases Critical Damage against players when Cloaked X</t>
  </si>
  <si>
    <t>Thalaron Radiation</t>
  </si>
  <si>
    <t>Increases Damage against players X</t>
  </si>
  <si>
    <t>EnemyPlayer, SelfIsRomulan</t>
  </si>
  <si>
    <t>Increases Romulan ship Damage against other players X</t>
  </si>
  <si>
    <t>SelfIsRomulan</t>
  </si>
  <si>
    <t>Red Matter</t>
  </si>
  <si>
    <t>When the ship loses Shield Health from a weapon attack, increase Damage against players for 5 rounds X</t>
  </si>
  <si>
    <t>SelfIsFederation, EnemyPlayer</t>
  </si>
  <si>
    <t>Increases Federation ship Damage against other players X</t>
  </si>
  <si>
    <t>SelfIsFederation</t>
  </si>
  <si>
    <t>Time Crystal</t>
  </si>
  <si>
    <t>EnemyPlayer, SelfIsKlingon</t>
  </si>
  <si>
    <t>Increases Klingon ship Damage against other players X</t>
  </si>
  <si>
    <t>SelfIsKlingon</t>
  </si>
  <si>
    <t>Metreon Cascade Warhead</t>
  </si>
  <si>
    <t>Increases Critical Hit chance against hostiles for the first 3 rounds X</t>
  </si>
  <si>
    <t>Control Seeker Probes</t>
  </si>
  <si>
    <t>SelfExplorer, EnemyHostile</t>
  </si>
  <si>
    <t>Increases Explorer Armor, Shield Mitigation, and Dodge against hostiles. X</t>
  </si>
  <si>
    <t>Increases Explorer Hull Health X</t>
  </si>
  <si>
    <t>Increases Explorer Shield Piercing, Armor Piercing, and Accuracy against hostiles</t>
  </si>
  <si>
    <t>Increases Explorer Damage against hostiles  X</t>
  </si>
  <si>
    <t>Dual Photon Warheads</t>
  </si>
  <si>
    <t>SelfInterceptor, EnemyHostile</t>
  </si>
  <si>
    <t>Increases Interceptor Armor, Shield Mitigation, and Dodge against hostiles. X</t>
  </si>
  <si>
    <t>Increases Interceptor Hull Health X</t>
  </si>
  <si>
    <t>Increases Interceptor Shield Piercing, Armor Piercing, and Accuracy against hostiles</t>
  </si>
  <si>
    <t>Increases Interceptor Damage against hostiles</t>
  </si>
  <si>
    <t>S31 Torpedo Pods</t>
  </si>
  <si>
    <t>SelfBattleship, EnemyHostile</t>
  </si>
  <si>
    <t>Increases Battleship Armor, Shield Mitigation, and Dodge against hostiles X</t>
  </si>
  <si>
    <t>Increases Battleship Hull Health X</t>
  </si>
  <si>
    <t>Increases Battleship Shield Piercing, Armor Piercing, and Accuracy against hostiles</t>
  </si>
  <si>
    <t>Increases Battleship Damage against hostiles</t>
  </si>
  <si>
    <t>The Hull Piercer</t>
  </si>
  <si>
    <t>TargetIsArmada, SelfBattleship</t>
  </si>
  <si>
    <t>Increases Battleship Isolytic Damage against Armadas X</t>
  </si>
  <si>
    <t>Increases Battleship Shield Piercing, Armor Piercing, and Accuracy against Armadas X</t>
  </si>
  <si>
    <t>Increases Battleship Critical Damage against Armadas X</t>
  </si>
  <si>
    <t>Increases Battleship Critical Hit Chance against Armadas X</t>
  </si>
  <si>
    <t>Druoda Sentient Missile</t>
  </si>
  <si>
    <t>SelfExplorer, TargetIsArmada</t>
  </si>
  <si>
    <t>Increases Explorer Isolytic Damage against Armadas X</t>
  </si>
  <si>
    <t>Increases Explorer Shield Piercing, Armor Piercing, and Accuracy against Armadas X</t>
  </si>
  <si>
    <t>Increases Explorer Critical Damage against Armadas X</t>
  </si>
  <si>
    <t>Increases Explorer Critical Hit Chance against Armadas X</t>
  </si>
  <si>
    <t>Berserker Complex</t>
  </si>
  <si>
    <t>SelfInterceptor, TargetIsArmada</t>
  </si>
  <si>
    <t>Increases Interceptor Isolytic Damage against Armadas X</t>
  </si>
  <si>
    <t>Increases Interceptor Shield Piercing, Armor Piercing, and Accuracy against Armadas X</t>
  </si>
  <si>
    <t>Increases Interceptor Critical Damage against Armadas X</t>
  </si>
  <si>
    <t>Increases Interceptor Critical Hit Chance against Armadas X</t>
  </si>
  <si>
    <t>Corrupted Cybernetic Implant</t>
  </si>
  <si>
    <t>Increases all mitigation stats for three rounds when attacking player Stations X</t>
  </si>
  <si>
    <t>Increases Isolytic Damage when attacking player Stations X</t>
  </si>
  <si>
    <t>Increases Damage when attacking player Stations X</t>
  </si>
  <si>
    <t>Orion Cargo Transporter</t>
  </si>
  <si>
    <t>Increases Max Cargo for surveys X</t>
  </si>
  <si>
    <t>Increases Protected Cargo for surveys X</t>
  </si>
  <si>
    <t>Increases Amalgam Max Cargo X</t>
  </si>
  <si>
    <t>Increases Amalgam Power effectiveness X</t>
  </si>
  <si>
    <t>Ferengi Energy Whip</t>
  </si>
  <si>
    <t>SelfHullDvorFeesha</t>
  </si>
  <si>
    <t>Increases Concentrated Latinum Mining Rate on D'Vor Feesha X</t>
  </si>
  <si>
    <t>Increases Mining Rate X</t>
  </si>
  <si>
    <t>Breen Energy Dampener</t>
  </si>
  <si>
    <t>MantisActianVenomLoot</t>
  </si>
  <si>
    <t>SelfHullMantis</t>
  </si>
  <si>
    <t>Increases Actian Venom rewards on Mantis X</t>
  </si>
  <si>
    <t>EnemyNonArmadaHostile</t>
  </si>
  <si>
    <t>Increases Armor, Shield Mitigation, and Dodge against hostiles X</t>
  </si>
  <si>
    <t>EnemyNonArmadaHostile, SelfHullMantis</t>
  </si>
  <si>
    <t>Increases Critical Damage against hostiles on Mantis X</t>
  </si>
  <si>
    <t>AGIMUS</t>
  </si>
  <si>
    <t>EnemyNonArmadaHostile, TargetNotArmada</t>
  </si>
  <si>
    <t>Increases Armor Piercing, Shield Piercing, and Accuracy against hostiles X</t>
  </si>
  <si>
    <t>Increases hostile Rewards X</t>
  </si>
  <si>
    <t>Increases Isolytic Damage against hostiles X</t>
  </si>
  <si>
    <t>Tarka's Isolytic Weapon</t>
  </si>
  <si>
    <t>faction_id=133823197</t>
  </si>
  <si>
    <t>Increases Isolytic Cascade vs Gorn Hunters X</t>
  </si>
  <si>
    <t>SNWGorn</t>
  </si>
  <si>
    <t>Increases base Hull Health X</t>
  </si>
  <si>
    <t>Increases Isolytic Defense vs Hostiles X</t>
  </si>
  <si>
    <t>Increases base Damage vs Hostiles X</t>
  </si>
  <si>
    <t>Tantalus Field</t>
  </si>
  <si>
    <t>Increases Apex Barrier against players X</t>
  </si>
  <si>
    <t>Increases Isolytic Damage against players X</t>
  </si>
  <si>
    <t>Agony Booth</t>
  </si>
  <si>
    <t>Increases Apex Barrier against non-Armada hostiles X</t>
  </si>
  <si>
    <t>Increases Positive FKR Reputation gains X</t>
  </si>
  <si>
    <t>Increases Damage against non-Armada hostiles X</t>
  </si>
  <si>
    <t>Quantum Slipstream Drive</t>
  </si>
  <si>
    <t>Increases base Warp Range X</t>
  </si>
  <si>
    <t>Increases Critical Hit Chance X</t>
  </si>
  <si>
    <t>Decreases opponent's Shield Mitigation every round X</t>
  </si>
  <si>
    <t>Increases base Shield Health X</t>
  </si>
  <si>
    <t>Q Cannon</t>
  </si>
  <si>
    <t>Against players, each time the Opponent scores a Critical Hit, reduce their base weapon Damage by X for 2 rounds.</t>
  </si>
  <si>
    <t>Against players, reduce the Opponent's base Critical Hit Damage by X.</t>
  </si>
  <si>
    <t>Against players, increase base weapon Damage by X.</t>
  </si>
  <si>
    <t>Temporal Conduit</t>
  </si>
  <si>
    <t>When fighting Hostiles or Armadas, at the start of each round gain an X chance to apply Hull Breach for 2 rounds.</t>
  </si>
  <si>
    <t>Increases the amount of resources you get from destroying non-armada Xindi hostiles with any ship by X.</t>
  </si>
  <si>
    <t>TargetXindi, TargetNotArmada, SelfOfficerTalNotOnBridge</t>
  </si>
  <si>
    <t>Gain X Apex Barrier when fighting Xindi Reptiles or Xindi Aquatics.</t>
  </si>
  <si>
    <t>TargetXindi, SelfOfficerTalNotOnBridge</t>
  </si>
  <si>
    <t>Thought Maker</t>
  </si>
  <si>
    <t>When fighting non-Armada Hostiles, at the start of each round increase Apex Barrier by X for 5 rounds.</t>
  </si>
  <si>
    <t>Increase the amount of resources your ship receives from non-Armada Hostiles by X.</t>
  </si>
  <si>
    <t>Electromagnetic Lute</t>
  </si>
  <si>
    <t>When fighting non-Armada Hostiles, at the start of each round increases Isolytic Cascade Damage by X for 3 rounds.</t>
  </si>
  <si>
    <t>NetChipLoot</t>
  </si>
  <si>
    <t>Increases the amount of resources you get from destroying hostiles with the Texas-class [DAL] tag by X.</t>
  </si>
  <si>
    <t>EnemyHullFaction, SelfOfficerTalNotOnBridge</t>
  </si>
  <si>
    <t>faction_id=2796195869</t>
  </si>
  <si>
    <t>Gain X Apex Barrier when fighting hostiles with the Texas-class [DAL] tag.</t>
  </si>
  <si>
    <t>Interphasic Mirror</t>
  </si>
  <si>
    <t>Increases Isolytic Cascade damage by X for 1 round (This ability can stack)</t>
  </si>
  <si>
    <t>Reduces Isolytic Damage received from Hostiles and Armadas by X.</t>
  </si>
  <si>
    <t>Unimatrix Shielding</t>
  </si>
  <si>
    <t>SelfStateAny, EnemyPlayer</t>
  </si>
  <si>
    <t>Against players, on round start if your ship has any state active reduce the Opponent's Isolytic Cascade damage by X for 2 rounds.</t>
  </si>
  <si>
    <t>SelfStateAny</t>
  </si>
  <si>
    <t>Against players, increase your Isolytic defense by X.</t>
  </si>
  <si>
    <t>Against players while your ship has any state active, increase base weapon damage by X.</t>
  </si>
  <si>
    <t>Enaran Execution Post</t>
  </si>
  <si>
    <t>When fighting Hostiles or Armadas, at the start of each round gain an X chance to apply Burning for 2 rounds.</t>
  </si>
  <si>
    <t>Increases Isolytic Damage for the Gorn Eviscerator against Gorn Hunters by X.</t>
  </si>
  <si>
    <t>GornHostileIsomatterLoot</t>
  </si>
  <si>
    <t>Increases the amount of Apex Isomatter gained when defeating Gorn Hunters by X.</t>
  </si>
  <si>
    <t>Soran's Trilithium</t>
  </si>
  <si>
    <t>Against players, increase Apex Barrier by X at combat start.</t>
  </si>
  <si>
    <t>EnemyPlayer, TargetHasMorale</t>
  </si>
  <si>
    <t>Against players who have Morale active, reduce their weapon shots by X.</t>
  </si>
  <si>
    <t>TargetHasMorale</t>
  </si>
  <si>
    <t>Against players, increase Shield Health by X.</t>
  </si>
  <si>
    <t>Multiphasic Chamber</t>
  </si>
  <si>
    <t>Increase the Warp Distance of the ship by X.</t>
  </si>
  <si>
    <t>Increase Warp Speed of the ship by X.</t>
  </si>
  <si>
    <t>Chronophage</t>
  </si>
  <si>
    <t>EnemyPlayer, HullHealthBelowStartOfCombat</t>
  </si>
  <si>
    <t>num_rounds=1, percentage=0.4</t>
  </si>
  <si>
    <t>Against Players, on round start if your ship is below 40% Hull Health increase your Shots by X for 1 round</t>
  </si>
  <si>
    <t>Against Players, on round start if your ship is below 40% Hull Health repair your Shield by X for 1 round</t>
  </si>
  <si>
    <t>Against Players, on round start if your ship is below 40% Hull Health decrease the opponents Isolytic Defense by X</t>
  </si>
  <si>
    <t>Chrono Deflector</t>
  </si>
  <si>
    <t>TargetIsHostileOrInvadingEntity, SelfOfficerTalNotOnBridge</t>
  </si>
  <si>
    <t>Increases your Apex Barrier at start of battle when fighting Hostiles or Invading Entities by X for 3 rounds (if Tal not present on bridge)</t>
  </si>
  <si>
    <t>Increases your Critical Damage at start of battle when fighting Armadas or Invading Entities by X for 3 rounds</t>
  </si>
  <si>
    <t>Increases your Shield Repair at start of battle when fighting Hostiles, Armadas or Invading Entities by X for 3 rounds</t>
  </si>
  <si>
    <t>The Godsend</t>
  </si>
  <si>
    <t>Increases base Weapon Damage against hostiles by X.</t>
  </si>
  <si>
    <t>Increases Apex Barrier against non-Armada hostiles by X.</t>
  </si>
  <si>
    <t>Increases Apex Shred against hostiles by X .</t>
  </si>
  <si>
    <t>Control</t>
  </si>
  <si>
    <t>Increases base Protected Cargo by X.</t>
  </si>
  <si>
    <t>Increases base Ship XP received from destroying hostiles by X.</t>
  </si>
  <si>
    <t>Tothian Mines</t>
  </si>
  <si>
    <t>Increases Isolytic Defense by X for 2 rounds when hit by a Critical Hit.</t>
  </si>
  <si>
    <t>Increases Raw Trellium-A, Trellium-D, and Omega Trellium loot obtained from Mirror Universe hostiles by X.</t>
  </si>
  <si>
    <t>faction_id=2504833658</t>
  </si>
  <si>
    <t>Increases Critical Damage against Mirror Universe hostiles by X.</t>
  </si>
  <si>
    <t>MirrorUniverse</t>
  </si>
  <si>
    <t>Echo Papa 607</t>
  </si>
  <si>
    <t>Increases Weapon Damage by X when enemy HHP is below 40%.</t>
  </si>
  <si>
    <t>At the start of each round, increases Isolytic Defense by X for 4 rounds against players.</t>
  </si>
  <si>
    <t>TargetNotPlayerStation, EnemyPlayer</t>
  </si>
  <si>
    <t>Increases Apex Shred against players by X. Does not trigger during station combat.</t>
  </si>
  <si>
    <t>Morphogenic Virus</t>
  </si>
  <si>
    <t>On combat start against players, reduces the opponent's Critical Hit Chance by X for 5 rounds. Does not trigger during station combat.</t>
  </si>
  <si>
    <t>Increases Isolytic Damage against players when using the GS-31 by X.</t>
  </si>
  <si>
    <t>TargetNotPlayerStation, TargetShipWeakened, EnemyPlayer</t>
  </si>
  <si>
    <t>Reduces Critical Damage of players Weakened by the Gravitational Blast by X. Does not trigger during station combat.</t>
  </si>
  <si>
    <t>TargetShipWeakened</t>
  </si>
  <si>
    <t>TargetShipWeakened, EnemyPlayer</t>
  </si>
  <si>
    <t>Genesis Device</t>
  </si>
  <si>
    <t>SelfAtSoloArmada, EnemyHullFaction, TargetBorgType03</t>
  </si>
  <si>
    <t>faction_id=4145760809</t>
  </si>
  <si>
    <t>Increases SS Revenant Shots vs Borg Type 03 Solo Armadas by X.</t>
  </si>
  <si>
    <t>SelfAtSoloArmada, TargetBorgType03</t>
  </si>
  <si>
    <t>TargetBorgType03</t>
  </si>
  <si>
    <t>TargetNotSoloArmada, TargetIsArmada, TargetBorgType03, EnemyHullFaction</t>
  </si>
  <si>
    <t>Increases Critical Damage for the SS Revenant against Borg Polygon Armadas by X.</t>
  </si>
  <si>
    <t>TargetNotSoloArmada, TargetIsArmada, TargetBorgType03</t>
  </si>
  <si>
    <t>TargetNotSoloArmada, TargetBorgType03</t>
  </si>
  <si>
    <t>Increases base SHP by X.</t>
  </si>
  <si>
    <t>C-12 Stasis Globe</t>
  </si>
  <si>
    <t>HazardBaseMitigation</t>
  </si>
  <si>
    <t>Increases base Hazard Resistance by X.</t>
  </si>
  <si>
    <t>Increases base Warp Speed by X.</t>
  </si>
  <si>
    <t>Increases base HHP by X.</t>
  </si>
  <si>
    <t>Omega Molecule</t>
  </si>
  <si>
    <t>TemporalWreckageLoot</t>
  </si>
  <si>
    <t>TargetKrenimMTA</t>
  </si>
  <si>
    <t>Increases Krenim Temporal Wreckage gained from Krenim Formation Armadas with the U.S.S. Relativity by X.</t>
  </si>
  <si>
    <t>TargetIsInvadingEntity, TargetKrenimMTA, EnemyHullFaction, SelfOfficerTalNotOnBridge</t>
  </si>
  <si>
    <t>faction_id=3522167047</t>
  </si>
  <si>
    <t>Increases base Apex Barrier when fighting Krenim Invading Entities with the U.S.S. Relativity by X.</t>
  </si>
  <si>
    <t>TargetIsInvadingEntity, TargetKrenimMTA, SelfOfficerTalNotOnBridge</t>
  </si>
  <si>
    <t>TargetKrenimMTA, SelfOfficerTalNotOnBridge</t>
  </si>
  <si>
    <t>Increases base Crit Damage for all ships by X.</t>
  </si>
  <si>
    <t>Ceti Eel</t>
  </si>
  <si>
    <t>Increases base Weapon Damage vs Group and Solo Armadas by X.</t>
  </si>
  <si>
    <t>Increases base Weapon Damage against Hostiles and Armadas by X.</t>
  </si>
  <si>
    <t>[PRO] Romulan Mines</t>
  </si>
  <si>
    <t>SelfInterceptor, EnemyPlayer, SelfOfficerTalNotOnBridge</t>
  </si>
  <si>
    <t>Increases Interceptor Apex Barrier against players by X. Does not apply when Tal is assigned to the bridge.</t>
  </si>
  <si>
    <t>SelfInterceptor, SelfOfficerTalNotOnBridge</t>
  </si>
  <si>
    <t>Increases Interceptor Apex Shred against players by X.</t>
  </si>
  <si>
    <t>SelfInterceptor, TargetNotPlayerStation, EnemyPlayer</t>
  </si>
  <si>
    <t>While on an Interceptor, decreases opponent player's Shield Mitigation every round by X  (Cumulative). Does not apply during station combat.</t>
  </si>
  <si>
    <t>Increases Interceptor Critical Damage against players by X.</t>
  </si>
  <si>
    <t>[PRO] Counterplay Device</t>
  </si>
  <si>
    <t>SelfExplorer, EnemyPlayer, SelfOfficerTalNotOnBridge</t>
  </si>
  <si>
    <t>Increases Explorer Apex Barrier against players by X. Does not apply when Tal is assigned to the bridge.</t>
  </si>
  <si>
    <t>SelfExplorer, SelfOfficerTalNotOnBridge</t>
  </si>
  <si>
    <t>Increases Explorer Apex Shred against players by X.</t>
  </si>
  <si>
    <t>SelfExplorer, TargetNotPlayerStation, EnemyPlayer</t>
  </si>
  <si>
    <t>While on an Explorer, decreases opponent player's Shield Mitigation every round by X  (Cumulative). Does not apply during station combat.</t>
  </si>
  <si>
    <t>Increases Explorer Isolytic Defense against players by X.</t>
  </si>
  <si>
    <t>[PRO] Self-Replicating Mines</t>
  </si>
  <si>
    <t>SelfBattleship, EnemyPlayer, SelfOfficerTalNotOnBridge</t>
  </si>
  <si>
    <t>Increases Battleship Apex Barrier against players by X. Does not apply when Tal is assigned to the bridge.</t>
  </si>
  <si>
    <t>SelfBattleship, SelfOfficerTalNotOnBridge</t>
  </si>
  <si>
    <t>Increases Battleship Apex Shred against players by X.</t>
  </si>
  <si>
    <t>TargetNotPlayerStation, SelfBattleship, EnemyPlayer</t>
  </si>
  <si>
    <t>While on a Battleship, decreases the opponent player's Shield Mitigation every round by X  (Cumulative). Does not apply during station combat.</t>
  </si>
  <si>
    <t>Increases Battleship Isolytic Damage against players by X.</t>
  </si>
  <si>
    <t>[PRO] Harvester</t>
  </si>
  <si>
    <t>Increases base Max Cargo for Surveys by X.</t>
  </si>
  <si>
    <t>Increases base Protected Cargo for Surveys by X.</t>
  </si>
  <si>
    <t>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t>
  </si>
  <si>
    <t>Increases base Mining Speed for Surveys by X.</t>
  </si>
  <si>
    <t>resources=[96209859, 1779416627, 2964093937, 1349464922, 2002611017, 1371898528, 680796905, 3735331456, 3598797204, 3739531165, 1908242242, 84292608, 802509572, 2905009151, 3842158911]</t>
  </si>
  <si>
    <t>Increases bonus Crystal, Gas, and Ore mined with a Survey by X.</t>
  </si>
  <si>
    <t>[PRO] Orion Syndicate Bomb</t>
  </si>
  <si>
    <t>Increases base Warp Range by X.</t>
  </si>
  <si>
    <t>Increases base Ship XP earned from combat by X.</t>
  </si>
  <si>
    <t>Increases Positive Federation, Klingon, and Romulan Reputation earned when defeating hostiles by X.</t>
  </si>
  <si>
    <t>Increases base loot earned when defeating non-Armada hostiles by X.</t>
  </si>
  <si>
    <t>Bio-mimetic Gel</t>
  </si>
  <si>
    <t>num_rounds=6</t>
  </si>
  <si>
    <t>Decreases Opponent's damage for 6 rounds in PvP by X.</t>
  </si>
  <si>
    <t>Increases Isolytic Defense in PvP by X.</t>
  </si>
  <si>
    <t>Increases Apex Barrier in PvP by X. Does not apply when Tal is assigned to the bridge.</t>
  </si>
  <si>
    <t>Particle Synthesis</t>
  </si>
  <si>
    <t>SelfHullSereneSquall</t>
  </si>
  <si>
    <t>Gives a bonus X of Transogen upon collection when using Serene Squall.</t>
  </si>
  <si>
    <t>Increases loot from all Hostiles, Armadas or Outposts when using Serene Squall by X.</t>
  </si>
  <si>
    <t>on Serene Squall</t>
  </si>
  <si>
    <t>CombatPveRewards (on Serene Squall)</t>
  </si>
  <si>
    <t>Increases mining rate on Surveyors by X.</t>
  </si>
  <si>
    <t>SelfHullReliant, EnemyHullFaction</t>
  </si>
  <si>
    <t>faction_id=1306860549, num_rounds=3, state=4</t>
  </si>
  <si>
    <t>On round start, has a X chance to apply Hull Breach to [WOK] Hostiles for 3 rounds when commanding the U.S.S. Reliant.</t>
  </si>
  <si>
    <t>SelfHullReliant</t>
  </si>
  <si>
    <t>WokAugmentTrophyRewards</t>
  </si>
  <si>
    <t>Increases Champion Trophy rewards from hostile chests by X of base value when commanding the U.S.S. Reliant.</t>
  </si>
  <si>
    <t>Increases base Hull Health by X.</t>
  </si>
  <si>
    <t>Portable Transwarp Beaming Device</t>
  </si>
  <si>
    <t>SelfHullVengeance, EnemyPlayer, TargetHasHullBreach</t>
  </si>
  <si>
    <t>On round start, increases Apex Shred in PvP by X if opponent has Hull Breach when commanding the U.S.S. Vengeance.</t>
  </si>
  <si>
    <t>SelfHullVengeance, TargetHasHullBreach</t>
  </si>
  <si>
    <t>SelfHullVengeance, EnemyPlayer, SelfOfficerTalNotOnBridge</t>
  </si>
  <si>
    <t>Increases Apex Barrier in PvP by X when commanding the U.S.S. Vengeance. Does not apply when Tal is assigned to the bridge.</t>
  </si>
  <si>
    <t>SelfHullVengeance, SelfOfficerTalNotOnBridge</t>
  </si>
  <si>
    <t>SelfHullVengeance, EnemyPlayer</t>
  </si>
  <si>
    <t>Increases Crit Chance in PvP by X when commanding the U.S.S. Vengeance.</t>
  </si>
  <si>
    <t>SelfHullVengeance</t>
  </si>
  <si>
    <t>battle_types=[17]</t>
  </si>
  <si>
    <t>Increases Critical Hit Chance against Outposts by X.</t>
  </si>
  <si>
    <t>battle_types=[17, 18]</t>
  </si>
  <si>
    <t>Increase all Mitigation stats against Outposts and Outpost Retaliation Hostiles by X.</t>
  </si>
  <si>
    <t>EnemyHullFaction, CombatBattleType</t>
  </si>
  <si>
    <t>battle_types=[18], faction_id=2706737293</t>
  </si>
  <si>
    <t>Increases Base Damage against Borg Outpost Retaliation Hostiles by X.</t>
  </si>
  <si>
    <t>TheBorgOutpost</t>
  </si>
  <si>
    <t>EnemyHullFaction, CombatBattleType, SelfOfficerTalNotOnBridge</t>
  </si>
  <si>
    <t>battle_types=[17, 18], faction_id=2706737293</t>
  </si>
  <si>
    <t>Increases Apex Barrier against Borg Outposts and Borg Outpost Retaliation Hostiles by X. Does not apply when Tal is assigned to the bridge.</t>
  </si>
  <si>
    <t>[PRO] Stasis Field Generator</t>
  </si>
  <si>
    <t>Increases all Mitigation stats against Outposts and Outpost Retaliation Hostiles by X.</t>
  </si>
  <si>
    <t>battle_types=[18], faction_id=880952928</t>
  </si>
  <si>
    <t>Increases Base Damage against Cardassian Outpost Retaliation Hostiles by X.</t>
  </si>
  <si>
    <t>CardassianOutpost</t>
  </si>
  <si>
    <t>battle_types=[17, 18], faction_id=880952928</t>
  </si>
  <si>
    <t>Increases Apex Barrier against Cardassian Outposts and Cardassian Outpost Retaliation Hostiles by X. Does not apply when Tal is assigned to the bridge.</t>
  </si>
  <si>
    <t>[PRO] Transwarp Computer</t>
  </si>
  <si>
    <t>SelfIsFedKlingRom, EnemyHostile, SelfShipGrade5</t>
  </si>
  <si>
    <t>Increases base Damage in PvE while installed on a G5+ FKR ship by X.</t>
  </si>
  <si>
    <t>SelfIsFedKlingRom, SelfShipGrade5</t>
  </si>
  <si>
    <t>Increases SHP while installed on a G5+ FKR ship by X.</t>
  </si>
  <si>
    <t>TargetNotArmada, SelfIsFedKlingRom, SelfShipGrade5, SelfOfficerTalNotOnBridge, EnemyHostile</t>
  </si>
  <si>
    <t>Increases Apex Barrier against non-Armada PvE hostiles while installed on a G5+ FKR ship by X. Does not apply when Tal is assigned to the bridge.</t>
  </si>
  <si>
    <t>SelfIsFedKlingRom, EnemyHostile, SelfShipGrade5, SelfOfficerTalNotOnBridge</t>
  </si>
  <si>
    <t>SelfIsFedKlingRom, SelfShipGrade5, SelfOfficerTalNotOnBridge</t>
  </si>
  <si>
    <t>Increases Isolytic Damage in PvE while installed on a G5+ FKR ship by X.</t>
  </si>
  <si>
    <t>H1 BEBAS NEUE 18Pt # 18F562</t>
  </si>
  <si>
    <t>H2 BEBAS Neue 16pt #45A063</t>
  </si>
  <si>
    <t>Text Overpass 10pt #F6F8F9</t>
  </si>
  <si>
    <t>height row 1</t>
  </si>
  <si>
    <t>73 px</t>
  </si>
  <si>
    <t>#36CA67</t>
  </si>
  <si>
    <t>#68bdc6</t>
  </si>
  <si>
    <t>height row 2</t>
  </si>
  <si>
    <t>21 px</t>
  </si>
  <si>
    <t>Height Row 3</t>
  </si>
  <si>
    <t>22 px</t>
  </si>
  <si>
    <t>#45A063</t>
  </si>
  <si>
    <t>width column 1</t>
  </si>
  <si>
    <t>#18F562</t>
  </si>
  <si>
    <t>width column 2</t>
  </si>
  <si>
    <t>100 px</t>
  </si>
  <si>
    <t>#467556</t>
  </si>
  <si>
    <t>header</t>
  </si>
  <si>
    <t>stick top left corner</t>
  </si>
  <si>
    <t>corner</t>
  </si>
  <si>
    <t>stick top header, left corner</t>
  </si>
  <si>
    <t>#394B2F</t>
  </si>
  <si>
    <t>Template</t>
  </si>
  <si>
    <t>#2C332E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</si>
</sst>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quot;mm&quot;-&quot;dd"/>
    <numFmt numFmtId="165" formatCode="d.m.yyyy"/>
    <numFmt numFmtId="166" formatCode="&quot;#&quot;#"/>
    <numFmt numFmtId="167" formatCode="d.m"/>
  </numFmts>
  <fonts count="129">
    <font>
      <sz val="10.0"/>
      <color rgb="FF000000"/>
      <name val="Arial"/>
      <scheme val="minor"/>
    </font>
    <font>
      <color theme="1"/>
      <name val="Overpass"/>
    </font>
    <font>
      <sz val="16.0"/>
      <color rgb="FF2C332E"/>
      <name val="Bebas Neue"/>
    </font>
    <font>
      <sz val="18.0"/>
      <color theme="0"/>
      <name val="Overpass"/>
    </font>
    <font>
      <sz val="18.0"/>
      <color rgb="FF2C332E"/>
      <name val="Bebas Neue"/>
    </font>
    <font/>
    <font>
      <sz val="14.0"/>
      <color rgb="FF18F562"/>
      <name val="Bebas Neue"/>
    </font>
    <font>
      <sz val="18.0"/>
      <color theme="1"/>
      <name val="Bebas Neue"/>
    </font>
    <font>
      <sz val="16.0"/>
      <color rgb="FF18F562"/>
      <name val="Bebas Neue"/>
    </font>
    <font>
      <color theme="1"/>
      <name val="Arial"/>
      <scheme val="minor"/>
    </font>
    <font>
      <color rgb="FF18F562"/>
      <name val="Overpass"/>
    </font>
    <font>
      <u/>
      <sz val="16.0"/>
      <color rgb="FF2C332E"/>
      <name val="Bebas Neue"/>
    </font>
    <font>
      <sz val="14.0"/>
      <color rgb="FF45A063"/>
      <name val="Bebas Neue"/>
    </font>
    <font>
      <sz val="14.0"/>
      <color rgb="FF36CA67"/>
      <name val="Bebas Neue"/>
    </font>
    <font>
      <color rgb="FFF6F8F9"/>
      <name val="Overpass"/>
    </font>
    <font>
      <sz val="10.0"/>
      <color rgb="FF18F562"/>
      <name val="Overpass"/>
    </font>
    <font>
      <sz val="10.0"/>
      <color rgb="FF2C332E"/>
      <name val="Overpass"/>
    </font>
    <font>
      <u/>
      <sz val="16.0"/>
      <color rgb="FF343D4B"/>
      <name val="Bebas Neue"/>
    </font>
    <font>
      <sz val="16.0"/>
      <color rgb="FFF6F8F9"/>
      <name val="Bebas Neue"/>
    </font>
    <font>
      <color rgb="FF45A063"/>
      <name val="Overpass"/>
    </font>
    <font>
      <color rgb="FFFFFFFF"/>
      <name val="Arial"/>
      <scheme val="minor"/>
    </font>
    <font>
      <sz val="12.0"/>
      <color rgb="FF2C332E"/>
      <name val="Bebas Neue"/>
    </font>
    <font>
      <sz val="16.0"/>
      <color rgb="FFFFFFFF"/>
      <name val="Oswald"/>
    </font>
    <font>
      <sz val="10.0"/>
      <color rgb="FFF6F8F9"/>
      <name val="Overpass"/>
    </font>
    <font>
      <i/>
      <sz val="12.0"/>
      <color rgb="FFFFE599"/>
      <name val="Oswald"/>
    </font>
    <font>
      <sz val="12.0"/>
      <color rgb="FF6D9EEB"/>
      <name val="Oswald"/>
    </font>
    <font>
      <sz val="12.0"/>
      <color rgb="FFE69138"/>
      <name val="Oswald"/>
    </font>
    <font>
      <sz val="10.0"/>
      <color rgb="FF86EFAC"/>
      <name val="Overpass"/>
    </font>
    <font>
      <sz val="10.0"/>
      <color rgb="FF93C5FD"/>
      <name val="Overpass"/>
    </font>
    <font>
      <sz val="10.0"/>
      <color rgb="FFD588F7"/>
      <name val="Overpass"/>
    </font>
    <font>
      <color rgb="FFFFFFFF"/>
      <name val="Overpass"/>
    </font>
    <font>
      <i/>
      <color rgb="FF46BDC6"/>
      <name val="Roboto"/>
    </font>
    <font>
      <sz val="12.0"/>
      <color rgb="FFD9D9D9"/>
      <name val="Oswald"/>
    </font>
    <font>
      <color rgb="FF2C332E"/>
      <name val="Overpass"/>
    </font>
    <font>
      <b/>
      <sz val="13.0"/>
      <color rgb="FFFFFFFF"/>
      <name val="Overpass"/>
    </font>
    <font>
      <b/>
      <sz val="13.0"/>
      <color rgb="FF2C332E"/>
      <name val="Overpass"/>
    </font>
    <font>
      <i/>
      <sz val="20.0"/>
      <color rgb="FF2C332E"/>
      <name val="Overpass"/>
    </font>
    <font>
      <u/>
      <color rgb="FF18F562"/>
      <name val="Overpass"/>
    </font>
    <font>
      <sz val="16.0"/>
      <color rgb="FFFFFFFF"/>
      <name val="Overpass"/>
    </font>
    <font>
      <i/>
      <sz val="20.0"/>
      <color rgb="FFFFFFFF"/>
      <name val="Overpass"/>
    </font>
    <font>
      <color rgb="FFC7C9CD"/>
      <name val="Overpass"/>
    </font>
    <font>
      <b/>
      <sz val="13.0"/>
      <color rgb="FFFBBC04"/>
      <name val="Overpass"/>
    </font>
    <font>
      <b/>
      <sz val="13.0"/>
      <color rgb="FF18F562"/>
      <name val="Overpass"/>
    </font>
    <font>
      <sz val="14.0"/>
      <color rgb="FF000000"/>
      <name val="Bebas Neue"/>
    </font>
    <font>
      <sz val="12.0"/>
      <color theme="1"/>
      <name val="Bebas Neue"/>
    </font>
    <font>
      <b/>
      <sz val="10.0"/>
      <color rgb="FFFFFFFF"/>
      <name val="Overpass"/>
    </font>
    <font>
      <sz val="10.0"/>
      <color rgb="FFFFFFFF"/>
      <name val="Overpass"/>
    </font>
    <font>
      <sz val="12.0"/>
      <color theme="1"/>
      <name val="Overpass"/>
    </font>
    <font>
      <sz val="10.0"/>
      <color rgb="FFC7C9CD"/>
      <name val="Overpass"/>
    </font>
    <font>
      <b/>
      <sz val="15.0"/>
      <color rgb="FFFBBC04"/>
      <name val="Overpass"/>
    </font>
    <font>
      <b/>
      <sz val="13.0"/>
      <color rgb="FF45A063"/>
      <name val="Overpass"/>
    </font>
    <font>
      <sz val="10.0"/>
      <color rgb="FFBF9000"/>
      <name val="Overpass"/>
    </font>
    <font>
      <sz val="12.0"/>
      <color rgb="FFC7C9CD"/>
      <name val="Overpass"/>
    </font>
    <font>
      <b/>
      <sz val="22.0"/>
      <color rgb="FFFBBC04"/>
      <name val="Overpass"/>
    </font>
    <font>
      <sz val="10.0"/>
      <color rgb="FF46BDC6"/>
      <name val="Overpass"/>
    </font>
    <font>
      <sz val="12.0"/>
      <color rgb="FFFFFFFF"/>
      <name val="Overpass"/>
    </font>
    <font>
      <sz val="13.0"/>
      <color rgb="FFFFFFFF"/>
      <name val="Overpass"/>
    </font>
    <font>
      <u/>
      <sz val="14.0"/>
      <color rgb="FF45A063"/>
      <name val="Bebas Neue"/>
    </font>
    <font>
      <u/>
      <sz val="14.0"/>
      <color rgb="FF45A063"/>
      <name val="Bebas Neue"/>
    </font>
    <font>
      <u/>
      <sz val="14.0"/>
      <color rgb="FF45A063"/>
      <name val="Bebas Neue"/>
    </font>
    <font>
      <color rgb="FF46BDC6"/>
      <name val="Overpass"/>
    </font>
    <font>
      <color rgb="FFBF9000"/>
      <name val="Overpass"/>
    </font>
    <font>
      <i/>
      <u/>
      <sz val="10.0"/>
      <color rgb="FF45A063"/>
      <name val="Overpass"/>
    </font>
    <font>
      <sz val="12.0"/>
      <color rgb="FFFFFFFF"/>
      <name val="Bebas Neue"/>
    </font>
    <font>
      <u/>
      <sz val="14.0"/>
      <color rgb="FF45A063"/>
      <name val="Bebas Neue"/>
    </font>
    <font>
      <u/>
      <color rgb="FF45A063"/>
      <name val="Overpass"/>
    </font>
    <font>
      <u/>
      <sz val="14.0"/>
      <color rgb="FF45A063"/>
      <name val="Bebas Neue"/>
    </font>
    <font>
      <sz val="13.0"/>
      <color theme="1"/>
      <name val="Overpass"/>
    </font>
    <font>
      <sz val="18.0"/>
      <color rgb="FF467556"/>
      <name val="Overpass"/>
    </font>
    <font>
      <sz val="18.0"/>
      <color rgb="FFC7C9CD"/>
      <name val="Overpass"/>
    </font>
    <font>
      <sz val="13.0"/>
      <color rgb="FF18F562"/>
      <name val="Overpass"/>
    </font>
    <font>
      <sz val="14.0"/>
      <color theme="1"/>
      <name val="Bebas Neue"/>
    </font>
    <font>
      <b/>
      <sz val="10.0"/>
      <color rgb="FF2C332E"/>
      <name val="Overpass"/>
    </font>
    <font>
      <sz val="12.0"/>
      <color rgb="FF2C332E"/>
      <name val="Overpass"/>
    </font>
    <font>
      <sz val="16.0"/>
      <color rgb="FFC7C9CD"/>
      <name val="Bebas Neue"/>
    </font>
    <font>
      <b/>
      <sz val="10.0"/>
      <color rgb="FFC7C9CD"/>
      <name val="Overpass"/>
    </font>
    <font>
      <sz val="10.0"/>
      <color rgb="FFC7C9CD"/>
      <name val="Assistant"/>
    </font>
    <font>
      <u/>
      <sz val="10.0"/>
      <color rgb="FFC7C9CD"/>
      <name val="Overpass"/>
    </font>
    <font>
      <b/>
      <sz val="10.0"/>
      <color rgb="FFC7C9CD"/>
      <name val="Assistant"/>
    </font>
    <font>
      <u/>
      <sz val="10.0"/>
      <color rgb="FFC7C9CD"/>
      <name val="Overpass"/>
    </font>
    <font>
      <u/>
      <sz val="10.0"/>
      <color rgb="FFC7C9CD"/>
      <name val="Overpass"/>
    </font>
    <font>
      <u/>
      <sz val="10.0"/>
      <color rgb="FFC7C9CD"/>
      <name val="Overpass"/>
    </font>
    <font>
      <u/>
      <sz val="10.0"/>
      <color rgb="FFC7C9CD"/>
      <name val="Overpass"/>
    </font>
    <font>
      <sz val="18.0"/>
      <color rgb="FF2C332E"/>
      <name val="Overpass"/>
    </font>
    <font>
      <sz val="16.0"/>
      <color rgb="FF2C332E"/>
      <name val="Overpass"/>
    </font>
    <font>
      <sz val="20.0"/>
      <color rgb="FF2C332E"/>
      <name val="Bebas Neue"/>
    </font>
    <font>
      <u/>
      <color rgb="FF36CA67"/>
      <name val="Overpass"/>
    </font>
    <font>
      <sz val="24.0"/>
      <color rgb="FFF1C232"/>
      <name val="Overpass"/>
    </font>
    <font>
      <b/>
      <sz val="10.0"/>
      <color rgb="FFF6F8F9"/>
      <name val="Overpass"/>
    </font>
    <font>
      <b/>
      <i/>
      <sz val="12.0"/>
      <color rgb="FF18F562"/>
      <name val="Overpass"/>
    </font>
    <font>
      <i/>
      <sz val="10.0"/>
      <color rgb="FFF6F8F9"/>
      <name val="Overpass"/>
    </font>
    <font>
      <sz val="26.0"/>
      <color rgb="FFF6F8F9"/>
      <name val="Bebas Neue"/>
    </font>
    <font>
      <b/>
      <sz val="16.0"/>
      <color rgb="FFF6F8F9"/>
      <name val="Bebas Neue"/>
    </font>
    <font>
      <i/>
      <color rgb="FFF6F8F9"/>
      <name val="Overpass"/>
    </font>
    <font>
      <b/>
      <sz val="9.0"/>
      <color rgb="FFF6F8F9"/>
      <name val="Overpass"/>
    </font>
    <font>
      <i/>
      <sz val="10.0"/>
      <color rgb="FFFFE599"/>
      <name val="Overpass"/>
    </font>
    <font>
      <i/>
      <sz val="10.0"/>
      <color rgb="FF2C332E"/>
      <name val="Overpass"/>
    </font>
    <font>
      <u/>
      <sz val="10.0"/>
      <color rgb="FF36CA67"/>
      <name val="Overpass"/>
    </font>
    <font>
      <b/>
      <color rgb="FF36CA67"/>
      <name val="Overpass"/>
    </font>
    <font>
      <b/>
      <color theme="1"/>
      <name val="Overpass"/>
    </font>
    <font>
      <color theme="1"/>
      <name val="Arial"/>
    </font>
    <font>
      <sz val="18.0"/>
      <color rgb="FFC7C9CD"/>
      <name val="Bebas Neue"/>
    </font>
    <font>
      <color rgb="FFC7C9CD"/>
      <name val="Arial"/>
    </font>
    <font>
      <color rgb="FFD588F7"/>
      <name val="Overpass"/>
    </font>
    <font>
      <b/>
      <color rgb="FFC7C9CD"/>
      <name val="Overpass"/>
    </font>
    <font>
      <b/>
      <color rgb="FFF6F8F9"/>
      <name val="Overpass"/>
    </font>
    <font>
      <sz val="12.0"/>
      <color rgb="FFF6F8F9"/>
      <name val="Overpass"/>
    </font>
    <font>
      <b/>
      <u/>
      <color rgb="FFF6F8F9"/>
      <name val="Overpass"/>
    </font>
    <font>
      <b/>
      <u/>
      <color rgb="FFF6F8F9"/>
      <name val="Overpass"/>
    </font>
    <font>
      <color rgb="FFC7C9CD"/>
      <name val="Roboto"/>
    </font>
    <font>
      <b/>
      <u/>
      <color rgb="FF86EFAC"/>
      <name val="Overpass"/>
    </font>
    <font>
      <color rgb="FF86EFAC"/>
      <name val="Overpass"/>
    </font>
    <font>
      <b/>
      <u/>
      <color rgb="FF86EFAC"/>
      <name val="Overpass"/>
    </font>
    <font>
      <b/>
      <u/>
      <color rgb="FF93C5FD"/>
      <name val="Overpass"/>
    </font>
    <font>
      <color rgb="FF93C5FD"/>
      <name val="Overpass"/>
    </font>
    <font>
      <b/>
      <u/>
      <color rgb="FF93C5FD"/>
      <name val="Overpass"/>
    </font>
    <font>
      <b/>
      <u/>
      <color rgb="FFD588F7"/>
      <name val="Overpass"/>
    </font>
    <font>
      <b/>
      <u/>
      <color rgb="FFD588F7"/>
      <name val="Overpass"/>
    </font>
    <font>
      <b/>
      <u/>
      <color rgb="FFD588F7"/>
      <name val="Overpass"/>
    </font>
    <font>
      <b/>
      <u/>
      <color rgb="FFF6F8F9"/>
      <name val="Overpass"/>
    </font>
    <font>
      <sz val="16.0"/>
      <color rgb="FFC7C9CD"/>
      <name val="Overpass"/>
    </font>
    <font>
      <b/>
      <sz val="12.0"/>
      <color rgb="FFC7C9CD"/>
      <name val="Overpass"/>
    </font>
    <font>
      <b/>
      <u/>
      <sz val="10.0"/>
      <color rgb="FFC7C9CD"/>
      <name val="Overpass"/>
    </font>
    <font>
      <b/>
      <color theme="1"/>
      <name val="Arial"/>
      <scheme val="minor"/>
    </font>
    <font>
      <sz val="18.0"/>
      <color rgb="FF18F562"/>
      <name val="Bebas Neue"/>
    </font>
    <font>
      <sz val="16.0"/>
      <color rgb="FF467556"/>
      <name val="Bebas Neue"/>
    </font>
    <font>
      <sz val="16.0"/>
      <color theme="1"/>
      <name val="Bebas Neue"/>
    </font>
    <font>
      <color rgb="FF46BDC6"/>
      <name val="Arial"/>
      <scheme val="minor"/>
    </font>
    <font>
      <sz val="16.0"/>
      <color rgb="FFFFFFFF"/>
      <name val="Bebas Neue"/>
    </font>
  </fonts>
  <fills count="12">
    <fill>
      <patternFill patternType="none"/>
    </fill>
    <fill>
      <patternFill patternType="lightGray"/>
    </fill>
    <fill>
      <patternFill patternType="solid">
        <fgColor rgb="FF2C332E"/>
        <bgColor rgb="FF2C332E"/>
      </patternFill>
    </fill>
    <fill>
      <patternFill patternType="solid">
        <fgColor rgb="FF18F562"/>
        <bgColor rgb="FF18F562"/>
      </patternFill>
    </fill>
    <fill>
      <patternFill patternType="solid">
        <fgColor rgb="FF467556"/>
        <bgColor rgb="FF467556"/>
      </patternFill>
    </fill>
    <fill>
      <patternFill patternType="solid">
        <fgColor rgb="FF45A063"/>
        <bgColor rgb="FF45A063"/>
      </patternFill>
    </fill>
    <fill>
      <patternFill patternType="solid">
        <fgColor rgb="FF394B3F"/>
        <bgColor rgb="FF394B3F"/>
      </patternFill>
    </fill>
    <fill>
      <patternFill patternType="solid">
        <fgColor rgb="FF36CA67"/>
        <bgColor rgb="FF36CA67"/>
      </patternFill>
    </fill>
    <fill>
      <patternFill patternType="solid">
        <fgColor rgb="FF7F6000"/>
        <bgColor rgb="FF7F6000"/>
      </patternFill>
    </fill>
    <fill>
      <patternFill patternType="solid">
        <fgColor rgb="FFF6F8F9"/>
        <bgColor rgb="FFF6F8F9"/>
      </patternFill>
    </fill>
    <fill>
      <patternFill patternType="solid">
        <fgColor rgb="FFCCCCCC"/>
        <bgColor rgb="FFCCCCCC"/>
      </patternFill>
    </fill>
    <fill>
      <patternFill patternType="solid">
        <fgColor rgb="FF5B0F00"/>
        <bgColor rgb="FF5B0F00"/>
      </patternFill>
    </fill>
  </fills>
  <borders count="67">
    <border/>
    <border>
      <right style="thick">
        <color rgb="FF2C332E"/>
      </right>
    </border>
    <border>
      <left style="thick">
        <color rgb="FF2C332E"/>
      </left>
    </border>
    <border>
      <right style="thick">
        <color rgb="FF2C332E"/>
      </right>
      <top style="thick">
        <color rgb="FF343D4B"/>
      </top>
    </border>
    <border>
      <top style="thick">
        <color rgb="FF2C332E"/>
      </top>
    </border>
    <border>
      <right style="thick">
        <color rgb="FF2C332E"/>
      </right>
      <top style="thick">
        <color rgb="FF2C332E"/>
      </top>
    </border>
    <border>
      <bottom style="thick">
        <color rgb="FF2C332E"/>
      </bottom>
    </border>
    <border>
      <right style="thick">
        <color rgb="FF2C332E"/>
      </right>
      <bottom style="thick">
        <color rgb="FF2C332E"/>
      </bottom>
    </border>
    <border>
      <left style="hair">
        <color rgb="FF467556"/>
      </left>
      <right style="hair">
        <color rgb="FF467556"/>
      </right>
      <top style="hair">
        <color rgb="FF467556"/>
      </top>
    </border>
    <border>
      <left style="hair">
        <color rgb="FF467556"/>
      </left>
      <top style="hair">
        <color rgb="FF467556"/>
      </top>
    </border>
    <border>
      <top style="hair">
        <color rgb="FF467556"/>
      </top>
    </border>
    <border>
      <right style="hair">
        <color rgb="FF467556"/>
      </right>
      <top style="hair">
        <color rgb="FF467556"/>
      </top>
    </border>
    <border>
      <left style="hair">
        <color rgb="FF467556"/>
      </left>
      <right style="hair">
        <color rgb="FF467556"/>
      </right>
      <bottom style="hair">
        <color rgb="FF467556"/>
      </bottom>
    </border>
    <border>
      <left style="hair">
        <color rgb="FF467556"/>
      </left>
      <bottom style="hair">
        <color rgb="FF467556"/>
      </bottom>
    </border>
    <border>
      <bottom style="hair">
        <color rgb="FF467556"/>
      </bottom>
    </border>
    <border>
      <right style="hair">
        <color rgb="FF467556"/>
      </right>
      <bottom style="hair">
        <color rgb="FF467556"/>
      </bottom>
    </border>
    <border>
      <left style="hair">
        <color rgb="FF467556"/>
      </left>
    </border>
    <border>
      <left style="thick">
        <color rgb="FF2C332E"/>
      </left>
      <bottom style="thick">
        <color rgb="FF2C332E"/>
      </bottom>
    </border>
    <border>
      <right style="thick">
        <color rgb="FF2C332E"/>
      </right>
      <bottom style="thick">
        <color rgb="FF343D4B"/>
      </bottom>
    </border>
    <border>
      <left style="hair">
        <color rgb="FF467556"/>
      </left>
      <right style="hair">
        <color rgb="FF467556"/>
      </right>
    </border>
    <border>
      <right style="hair">
        <color rgb="FF467556"/>
      </right>
    </border>
    <border>
      <left style="hair">
        <color rgb="FF45A063"/>
      </left>
      <right style="hair">
        <color rgb="FF45A063"/>
      </right>
      <top style="hair">
        <color rgb="FF45A063"/>
      </top>
      <bottom style="hair">
        <color rgb="FF45A063"/>
      </bottom>
    </border>
    <border>
      <left style="hair">
        <color rgb="FF45A063"/>
      </left>
      <top style="hair">
        <color rgb="FF45A063"/>
      </top>
    </border>
    <border>
      <top style="hair">
        <color rgb="FF45A063"/>
      </top>
    </border>
    <border>
      <right style="hair">
        <color rgb="FF45A063"/>
      </right>
      <top style="hair">
        <color rgb="FF45A063"/>
      </top>
    </border>
    <border>
      <left style="hair">
        <color rgb="FF45A063"/>
      </left>
      <right style="hair">
        <color rgb="FF45A063"/>
      </right>
      <top style="hair">
        <color rgb="FF45A063"/>
      </top>
    </border>
    <border>
      <left style="hair">
        <color rgb="FF45A063"/>
      </left>
      <bottom style="hair">
        <color rgb="FF45A063"/>
      </bottom>
    </border>
    <border>
      <bottom style="hair">
        <color rgb="FF45A063"/>
      </bottom>
    </border>
    <border>
      <right style="hair">
        <color rgb="FF45A063"/>
      </right>
      <bottom style="hair">
        <color rgb="FF45A063"/>
      </bottom>
    </border>
    <border>
      <left style="hair">
        <color rgb="FF45A063"/>
      </left>
      <right style="hair">
        <color rgb="FF45A063"/>
      </right>
      <bottom style="hair">
        <color rgb="FF45A063"/>
      </bottom>
    </border>
    <border>
      <left style="hair">
        <color rgb="FF467556"/>
      </left>
      <right style="hair">
        <color rgb="FF467556"/>
      </right>
      <top style="hair">
        <color rgb="FF467556"/>
      </top>
      <bottom style="hair">
        <color rgb="FF467556"/>
      </bottom>
    </border>
    <border>
      <top style="thin">
        <color rgb="FF000000"/>
      </top>
    </border>
    <border>
      <left style="thick">
        <color rgb="FF2C332E"/>
      </left>
      <top style="thick">
        <color rgb="FF2C332E"/>
      </top>
    </border>
    <border>
      <left style="thin">
        <color rgb="FF46BDC6"/>
      </left>
      <right style="hair">
        <color rgb="FF467556"/>
      </right>
      <top style="thin">
        <color rgb="FF46BDC6"/>
      </top>
      <bottom style="thin">
        <color rgb="FF46BDC6"/>
      </bottom>
    </border>
    <border>
      <left style="hair">
        <color rgb="FF467556"/>
      </left>
      <right style="hair">
        <color rgb="FF467556"/>
      </right>
      <top style="thin">
        <color rgb="FF46BDC6"/>
      </top>
      <bottom style="thin">
        <color rgb="FF46BDC6"/>
      </bottom>
    </border>
    <border>
      <left style="hair">
        <color rgb="FF467556"/>
      </left>
      <right style="thin">
        <color rgb="FF46BDC6"/>
      </right>
      <top style="thin">
        <color rgb="FF46BDC6"/>
      </top>
      <bottom style="thin">
        <color rgb="FF46BDC6"/>
      </bottom>
    </border>
    <border>
      <left style="thin">
        <color rgb="FFC7C9CD"/>
      </left>
      <top style="thin">
        <color rgb="FFC7C9CD"/>
      </top>
    </border>
    <border>
      <top style="thin">
        <color rgb="FFC7C9CD"/>
      </top>
    </border>
    <border>
      <right style="thin">
        <color rgb="FFC7C9CD"/>
      </right>
      <top style="thin">
        <color rgb="FFC7C9CD"/>
      </top>
    </border>
    <border>
      <left style="thin">
        <color rgb="FFC7C9CD"/>
      </left>
      <top style="thin">
        <color rgb="FFC7C9CD"/>
      </top>
      <bottom style="thin">
        <color rgb="FFC7C9CD"/>
      </bottom>
    </border>
    <border>
      <right style="thin">
        <color rgb="FFC7C9CD"/>
      </right>
      <top style="thin">
        <color rgb="FFC7C9CD"/>
      </top>
      <bottom style="thin">
        <color rgb="FFC7C9CD"/>
      </bottom>
    </border>
    <border>
      <left style="thin">
        <color rgb="FFC7C9CD"/>
      </left>
    </border>
    <border>
      <right style="thin">
        <color rgb="FFC7C9CD"/>
      </right>
    </border>
    <border>
      <left style="thin">
        <color rgb="FFC7C9CD"/>
      </left>
      <bottom style="thin">
        <color rgb="FFC7C9CD"/>
      </bottom>
    </border>
    <border>
      <bottom style="thin">
        <color rgb="FFC7C9CD"/>
      </bottom>
    </border>
    <border>
      <right style="thin">
        <color rgb="FFC7C9CD"/>
      </right>
      <bottom style="thin">
        <color rgb="FFC7C9CD"/>
      </bottom>
    </border>
    <border>
      <top style="thick">
        <color rgb="FF2C332E"/>
      </top>
      <bottom style="thick">
        <color rgb="FF2C332E"/>
      </bottom>
    </border>
    <border>
      <right style="thick">
        <color rgb="FF2C332E"/>
      </right>
      <top style="thick">
        <color rgb="FF2C332E"/>
      </top>
      <bottom style="thick">
        <color rgb="FF2C332E"/>
      </bottom>
    </border>
    <border>
      <top style="thick">
        <color rgb="FF394B3F"/>
      </top>
    </border>
    <border>
      <left style="hair">
        <color rgb="FF45A063"/>
      </left>
      <right style="hair">
        <color rgb="FF45A063"/>
      </right>
    </border>
    <border>
      <left style="hair">
        <color rgb="FF45A063"/>
      </left>
    </border>
    <border>
      <right style="hair">
        <color rgb="FF45A063"/>
      </right>
    </border>
    <border>
      <left style="hair">
        <color rgb="FF45A063"/>
      </left>
      <top style="hair">
        <color rgb="FF45A063"/>
      </top>
      <bottom style="hair">
        <color rgb="FF45A063"/>
      </bottom>
    </border>
    <border>
      <right style="hair">
        <color rgb="FF45A063"/>
      </right>
      <top style="hair">
        <color rgb="FF45A063"/>
      </top>
      <bottom style="hair">
        <color rgb="FF45A063"/>
      </bottom>
    </border>
    <border>
      <right style="medium">
        <color rgb="FF000000"/>
      </right>
    </border>
    <border>
      <top style="hair">
        <color rgb="FF45A063"/>
      </top>
      <bottom style="hair">
        <color rgb="FF45A063"/>
      </bottom>
    </border>
    <border>
      <top style="thick">
        <color rgb="FF343D4B"/>
      </top>
    </border>
    <border>
      <bottom style="thick">
        <color rgb="FF343D4B"/>
      </bottom>
    </border>
    <border>
      <left style="thin">
        <color rgb="FF2C332E"/>
      </left>
      <right style="thin">
        <color rgb="FF2B382F"/>
      </right>
      <top style="thin">
        <color rgb="FF2C332E"/>
      </top>
      <bottom style="thin">
        <color rgb="FF2B382F"/>
      </bottom>
    </border>
    <border>
      <left style="thin">
        <color rgb="FF2B382F"/>
      </left>
      <right style="thin">
        <color rgb="FF394B3F"/>
      </right>
      <top style="thin">
        <color rgb="FF2B382F"/>
      </top>
      <bottom style="thin">
        <color rgb="FF2B382F"/>
      </bottom>
    </border>
    <border>
      <left style="thin">
        <color rgb="FF394B3F"/>
      </left>
      <right style="thin">
        <color rgb="FF394B3F"/>
      </right>
      <top style="thin">
        <color rgb="FF2B382F"/>
      </top>
      <bottom style="thin">
        <color rgb="FF2B382F"/>
      </bottom>
    </border>
    <border>
      <left style="thin">
        <color rgb="FF2B382F"/>
      </left>
      <right style="thin">
        <color rgb="FF2C332E"/>
      </right>
      <top style="thin">
        <color rgb="FF2C332E"/>
      </top>
      <bottom style="thin">
        <color rgb="FF2C332E"/>
      </bottom>
    </border>
    <border>
      <left style="thin">
        <color rgb="FF394B3F"/>
      </left>
      <right style="thin">
        <color rgb="FF394B3F"/>
      </right>
      <top style="thin">
        <color rgb="FF394B3F"/>
      </top>
      <bottom style="thin">
        <color rgb="FF394B3F"/>
      </bottom>
    </border>
    <border>
      <left style="thin">
        <color rgb="FF2C332E"/>
      </left>
      <right style="thin">
        <color rgb="FF2C332E"/>
      </right>
      <top style="thin">
        <color rgb="FF2C332E"/>
      </top>
      <bottom style="thin">
        <color rgb="FF2C332E"/>
      </bottom>
    </border>
    <border>
      <left style="thin">
        <color rgb="FF5B0F00"/>
      </left>
      <right style="thin">
        <color rgb="FF5B0F00"/>
      </right>
      <top style="thin">
        <color rgb="FF5B0F00"/>
      </top>
      <bottom style="thin">
        <color rgb="FF5B0F00"/>
      </bottom>
    </border>
    <border>
      <left style="thin">
        <color rgb="FF2C332E"/>
      </left>
      <right style="thin">
        <color rgb="FF2C332E"/>
      </right>
      <top style="thin">
        <color rgb="FF2C332E"/>
      </top>
      <bottom style="thin">
        <color rgb="FF2B382F"/>
      </bottom>
    </border>
    <border>
      <bottom style="thin">
        <color rgb="FF000000"/>
      </bottom>
    </border>
  </borders>
  <cellStyleXfs count="1">
    <xf borderId="0" fillId="0" fontId="0" numFmtId="0" applyAlignment="1" applyFont="1"/>
  </cellStyleXfs>
  <cellXfs count="57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3" fontId="1" numFmtId="0" xfId="0" applyFill="1" applyFont="1"/>
    <xf borderId="0" fillId="3" fontId="1" numFmtId="0" xfId="0" applyAlignment="1" applyFont="1">
      <alignment readingOrder="0"/>
    </xf>
    <xf borderId="1" fillId="3" fontId="1" numFmtId="0" xfId="0" applyAlignment="1" applyBorder="1" applyFont="1">
      <alignment horizontal="right" readingOrder="0"/>
    </xf>
    <xf borderId="0" fillId="4" fontId="1" numFmtId="0" xfId="0" applyAlignment="1" applyFill="1" applyFont="1">
      <alignment readingOrder="0"/>
    </xf>
    <xf borderId="0" fillId="4" fontId="1" numFmtId="0" xfId="0" applyFont="1"/>
    <xf borderId="1" fillId="4" fontId="1" numFmtId="0" xfId="0" applyBorder="1" applyFont="1"/>
    <xf borderId="0" fillId="3" fontId="2" numFmtId="0" xfId="0" applyAlignment="1" applyFont="1">
      <alignment horizontal="center" readingOrder="0" vertical="center"/>
    </xf>
    <xf borderId="0" fillId="2" fontId="2" numFmtId="0" xfId="0" applyAlignment="1" applyFont="1">
      <alignment horizontal="center" readingOrder="0" vertical="center"/>
    </xf>
    <xf borderId="0" fillId="2" fontId="3" numFmtId="0" xfId="0" applyAlignment="1" applyFont="1">
      <alignment horizontal="left" shrinkToFit="0" textRotation="0" vertical="center" wrapText="0"/>
    </xf>
    <xf borderId="1" fillId="2" fontId="2" numFmtId="0" xfId="0" applyAlignment="1" applyBorder="1" applyFont="1">
      <alignment horizontal="center" readingOrder="0"/>
    </xf>
    <xf borderId="2" fillId="2" fontId="1" numFmtId="0" xfId="0" applyBorder="1" applyFont="1"/>
    <xf borderId="3" fillId="5" fontId="1" numFmtId="0" xfId="0" applyBorder="1" applyFill="1" applyFont="1"/>
    <xf borderId="4" fillId="3" fontId="2" numFmtId="0" xfId="0" applyAlignment="1" applyBorder="1" applyFont="1">
      <alignment horizontal="center" readingOrder="0" vertical="center"/>
    </xf>
    <xf borderId="4" fillId="3" fontId="4" numFmtId="0" xfId="0" applyAlignment="1" applyBorder="1" applyFont="1">
      <alignment horizontal="left" readingOrder="0" shrinkToFit="0" vertical="center" wrapText="1"/>
    </xf>
    <xf borderId="4" fillId="0" fontId="5" numFmtId="0" xfId="0" applyBorder="1" applyFont="1"/>
    <xf borderId="5" fillId="0" fontId="5" numFmtId="0" xfId="0" applyBorder="1" applyFont="1"/>
    <xf borderId="2" fillId="2" fontId="6" numFmtId="0" xfId="0" applyAlignment="1" applyBorder="1" applyFont="1">
      <alignment horizontal="center" readingOrder="0" vertical="center"/>
    </xf>
    <xf borderId="0" fillId="2" fontId="6" numFmtId="0" xfId="0" applyAlignment="1" applyFont="1">
      <alignment horizontal="center" readingOrder="0" vertical="center"/>
    </xf>
    <xf borderId="1" fillId="5" fontId="7" numFmtId="0" xfId="0" applyAlignment="1" applyBorder="1" applyFont="1">
      <alignment horizontal="center" readingOrder="0" vertical="center"/>
    </xf>
    <xf borderId="6" fillId="3" fontId="1" numFmtId="0" xfId="0" applyBorder="1" applyFont="1"/>
    <xf borderId="6" fillId="0" fontId="5" numFmtId="0" xfId="0" applyBorder="1" applyFont="1"/>
    <xf borderId="7" fillId="0" fontId="5" numFmtId="0" xfId="0" applyBorder="1" applyFont="1"/>
    <xf borderId="2" fillId="2" fontId="8" numFmtId="0" xfId="0" applyAlignment="1" applyBorder="1" applyFont="1">
      <alignment horizontal="center" readingOrder="0" vertical="top"/>
    </xf>
    <xf borderId="1" fillId="5" fontId="9" numFmtId="0" xfId="0" applyBorder="1" applyFont="1"/>
    <xf borderId="0" fillId="2" fontId="8" numFmtId="0" xfId="0" applyAlignment="1" applyFont="1">
      <alignment horizontal="center" readingOrder="0" vertical="top"/>
    </xf>
    <xf borderId="0" fillId="2" fontId="9" numFmtId="0" xfId="0" applyFont="1"/>
    <xf borderId="2" fillId="0" fontId="5" numFmtId="0" xfId="0" applyBorder="1" applyFont="1"/>
    <xf borderId="0" fillId="2" fontId="10" numFmtId="0" xfId="0" applyAlignment="1" applyFont="1">
      <alignment readingOrder="0"/>
    </xf>
    <xf borderId="2" fillId="2" fontId="8" numFmtId="0" xfId="0" applyAlignment="1" applyBorder="1" applyFont="1">
      <alignment horizontal="center" readingOrder="0"/>
    </xf>
    <xf borderId="0" fillId="2" fontId="8" numFmtId="0" xfId="0" applyAlignment="1" applyFont="1">
      <alignment horizontal="center" readingOrder="0"/>
    </xf>
    <xf borderId="1" fillId="5" fontId="11" numFmtId="0" xfId="0" applyAlignment="1" applyBorder="1" applyFont="1">
      <alignment horizontal="center" readingOrder="0" vertical="top"/>
    </xf>
    <xf borderId="0" fillId="2" fontId="12" numFmtId="0" xfId="0" applyAlignment="1" applyFont="1">
      <alignment horizontal="center" readingOrder="0"/>
    </xf>
    <xf borderId="0" fillId="2" fontId="8" numFmtId="0" xfId="0" applyAlignment="1" applyFont="1">
      <alignment readingOrder="0"/>
    </xf>
    <xf borderId="1" fillId="0" fontId="5" numFmtId="0" xfId="0" applyBorder="1" applyFont="1"/>
    <xf borderId="8" fillId="6" fontId="13" numFmtId="0" xfId="0" applyAlignment="1" applyBorder="1" applyFill="1" applyFont="1">
      <alignment readingOrder="0" vertical="top"/>
    </xf>
    <xf borderId="9" fillId="6" fontId="14" numFmtId="0" xfId="0" applyAlignment="1" applyBorder="1" applyFont="1">
      <alignment readingOrder="0" shrinkToFit="0" vertical="top" wrapText="1"/>
    </xf>
    <xf borderId="10" fillId="0" fontId="5" numFmtId="0" xfId="0" applyBorder="1" applyFont="1"/>
    <xf borderId="11" fillId="0" fontId="5" numFmtId="0" xfId="0" applyBorder="1" applyFont="1"/>
    <xf borderId="2" fillId="2" fontId="15" numFmtId="0" xfId="0" applyAlignment="1" applyBorder="1" applyFont="1">
      <alignment horizontal="center" readingOrder="0" vertical="top"/>
    </xf>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0" fillId="2" fontId="15" numFmtId="0" xfId="0" applyAlignment="1" applyFont="1">
      <alignment horizontal="center" readingOrder="0" vertical="top"/>
    </xf>
    <xf borderId="8" fillId="6" fontId="13" numFmtId="0" xfId="0" applyAlignment="1" applyBorder="1" applyFont="1">
      <alignment readingOrder="0" vertical="top"/>
    </xf>
    <xf borderId="9" fillId="6" fontId="14" numFmtId="0" xfId="0" applyAlignment="1" applyBorder="1" applyFont="1">
      <alignment shrinkToFit="0" vertical="top" wrapText="1"/>
    </xf>
    <xf borderId="16" fillId="0" fontId="5" numFmtId="0" xfId="0" applyBorder="1" applyFont="1"/>
    <xf borderId="6" fillId="2" fontId="1" numFmtId="0" xfId="0" applyBorder="1" applyFont="1"/>
    <xf borderId="17" fillId="2" fontId="1" numFmtId="0" xfId="0" applyBorder="1" applyFont="1"/>
    <xf borderId="1" fillId="5" fontId="16" numFmtId="0" xfId="0" applyAlignment="1" applyBorder="1" applyFont="1">
      <alignment horizontal="center" readingOrder="0" vertical="top"/>
    </xf>
    <xf borderId="1" fillId="5" fontId="17" numFmtId="0" xfId="0" applyAlignment="1" applyBorder="1" applyFont="1">
      <alignment horizontal="center" readingOrder="0" vertical="top"/>
    </xf>
    <xf borderId="1" fillId="5" fontId="2" numFmtId="0" xfId="0" applyAlignment="1" applyBorder="1" applyFont="1">
      <alignment horizontal="center" readingOrder="0" vertical="top"/>
    </xf>
    <xf borderId="18" fillId="5" fontId="1" numFmtId="0" xfId="0" applyBorder="1" applyFont="1"/>
    <xf borderId="0" fillId="2" fontId="18" numFmtId="0" xfId="0" applyAlignment="1" applyFont="1">
      <alignment readingOrder="0"/>
    </xf>
    <xf borderId="0" fillId="2" fontId="19" numFmtId="0" xfId="0" applyAlignment="1" applyFont="1">
      <alignment readingOrder="0"/>
    </xf>
    <xf borderId="9" fillId="6" fontId="14" numFmtId="0" xfId="0" applyAlignment="1" applyBorder="1" applyFont="1">
      <alignment readingOrder="0" vertical="top"/>
    </xf>
    <xf borderId="19" fillId="0" fontId="5" numFmtId="0" xfId="0" applyBorder="1" applyFont="1"/>
    <xf borderId="20" fillId="0" fontId="5" numFmtId="0" xfId="0" applyBorder="1" applyFont="1"/>
    <xf borderId="1" fillId="4" fontId="20" numFmtId="0" xfId="0" applyBorder="1" applyFont="1"/>
    <xf borderId="18" fillId="4" fontId="21" numFmtId="164" xfId="0" applyAlignment="1" applyBorder="1" applyFont="1" applyNumberFormat="1">
      <alignment horizontal="center" readingOrder="0"/>
    </xf>
    <xf borderId="1" fillId="7" fontId="20" numFmtId="0" xfId="0" applyBorder="1" applyFill="1" applyFont="1"/>
    <xf borderId="0" fillId="2" fontId="21" numFmtId="0" xfId="0" applyAlignment="1" applyFont="1">
      <alignment horizontal="center" readingOrder="0" vertical="center"/>
    </xf>
    <xf borderId="0" fillId="2" fontId="20" numFmtId="0" xfId="0" applyFont="1"/>
    <xf borderId="0" fillId="2" fontId="12" numFmtId="0" xfId="0" applyAlignment="1" applyFont="1">
      <alignment readingOrder="0" vertical="top"/>
    </xf>
    <xf borderId="0" fillId="2" fontId="14" numFmtId="0" xfId="0" applyAlignment="1" applyFont="1">
      <alignment readingOrder="0" shrinkToFit="0" vertical="top" wrapText="1"/>
    </xf>
    <xf borderId="0" fillId="2" fontId="20" numFmtId="0" xfId="0" applyAlignment="1" applyFont="1">
      <alignment horizontal="center"/>
    </xf>
    <xf borderId="0" fillId="2" fontId="22" numFmtId="0" xfId="0" applyAlignment="1" applyFont="1">
      <alignment horizontal="center" readingOrder="0"/>
    </xf>
    <xf borderId="8" fillId="6" fontId="13" numFmtId="0" xfId="0" applyAlignment="1" applyBorder="1" applyFont="1">
      <alignment readingOrder="0" vertical="top"/>
    </xf>
    <xf borderId="21" fillId="6" fontId="23" numFmtId="0" xfId="0" applyAlignment="1" applyBorder="1" applyFont="1">
      <alignment horizontal="left" readingOrder="0" vertical="top"/>
    </xf>
    <xf borderId="22" fillId="6" fontId="14" numFmtId="0" xfId="0" applyAlignment="1" applyBorder="1" applyFont="1">
      <alignment readingOrder="0" shrinkToFit="0" vertical="center" wrapText="1"/>
    </xf>
    <xf borderId="23" fillId="0" fontId="5" numFmtId="0" xfId="0" applyBorder="1" applyFont="1"/>
    <xf borderId="24" fillId="0" fontId="5" numFmtId="0" xfId="0" applyBorder="1" applyFont="1"/>
    <xf borderId="25" fillId="6" fontId="23" numFmtId="0" xfId="0" applyAlignment="1" applyBorder="1" applyFont="1">
      <alignment horizontal="left" readingOrder="0" shrinkToFit="0" vertical="top" wrapText="1"/>
    </xf>
    <xf borderId="0" fillId="2" fontId="14" numFmtId="0" xfId="0" applyAlignment="1" applyFont="1">
      <alignment readingOrder="0" shrinkToFit="0" vertical="center" wrapText="1"/>
    </xf>
    <xf borderId="26" fillId="0" fontId="5" numFmtId="0" xfId="0" applyBorder="1" applyFont="1"/>
    <xf borderId="27" fillId="0" fontId="5" numFmtId="0" xfId="0" applyBorder="1" applyFont="1"/>
    <xf borderId="28" fillId="0" fontId="5" numFmtId="0" xfId="0" applyBorder="1" applyFont="1"/>
    <xf borderId="29" fillId="0" fontId="5" numFmtId="0" xfId="0" applyBorder="1" applyFont="1"/>
    <xf borderId="0" fillId="2" fontId="24" numFmtId="0" xfId="0" applyAlignment="1" applyFont="1">
      <alignment horizontal="center" readingOrder="0" shrinkToFit="0" vertical="center" wrapText="1"/>
    </xf>
    <xf borderId="0" fillId="2" fontId="25" numFmtId="0" xfId="0" applyAlignment="1" applyFont="1">
      <alignment horizontal="center" readingOrder="0" shrinkToFit="0" vertical="center" wrapText="1"/>
    </xf>
    <xf borderId="0" fillId="2" fontId="26" numFmtId="0" xfId="0" applyAlignment="1" applyFont="1">
      <alignment horizontal="center" readingOrder="0" shrinkToFit="0" vertical="center" wrapText="1"/>
    </xf>
    <xf borderId="30" fillId="6" fontId="23" numFmtId="0" xfId="0" applyAlignment="1" applyBorder="1" applyFont="1">
      <alignment horizontal="right" readingOrder="0" vertical="top"/>
    </xf>
    <xf borderId="9" fillId="6" fontId="13" numFmtId="0" xfId="0" applyAlignment="1" applyBorder="1" applyFont="1">
      <alignment readingOrder="0" shrinkToFit="0" vertical="center" wrapText="1"/>
    </xf>
    <xf borderId="30" fillId="6" fontId="27" numFmtId="0" xfId="0" applyAlignment="1" applyBorder="1" applyFont="1">
      <alignment horizontal="right" readingOrder="0" vertical="top"/>
    </xf>
    <xf borderId="30" fillId="6" fontId="28" numFmtId="0" xfId="0" applyAlignment="1" applyBorder="1" applyFont="1">
      <alignment horizontal="right" readingOrder="0" vertical="top"/>
    </xf>
    <xf borderId="30" fillId="6" fontId="29" numFmtId="0" xfId="0" applyAlignment="1" applyBorder="1" applyFont="1">
      <alignment horizontal="right" readingOrder="0" vertical="top"/>
    </xf>
    <xf borderId="1" fillId="7" fontId="20" numFmtId="0" xfId="0" applyAlignment="1" applyBorder="1" applyFont="1">
      <alignment horizontal="center"/>
    </xf>
    <xf borderId="0" fillId="7" fontId="20" numFmtId="0" xfId="0" applyAlignment="1" applyFont="1">
      <alignment horizontal="center" readingOrder="0"/>
    </xf>
    <xf borderId="31" fillId="7" fontId="20" numFmtId="0" xfId="0" applyAlignment="1" applyBorder="1" applyFont="1">
      <alignment horizontal="center" readingOrder="0"/>
    </xf>
    <xf borderId="4" fillId="4" fontId="30" numFmtId="0" xfId="0" applyAlignment="1" applyBorder="1" applyFont="1">
      <alignment horizontal="left"/>
    </xf>
    <xf borderId="4" fillId="4" fontId="20" numFmtId="0" xfId="0" applyAlignment="1" applyBorder="1" applyFont="1">
      <alignment horizontal="left" readingOrder="0"/>
    </xf>
    <xf borderId="4" fillId="4" fontId="20" numFmtId="0" xfId="0" applyAlignment="1" applyBorder="1" applyFont="1">
      <alignment horizontal="left"/>
    </xf>
    <xf borderId="4" fillId="4" fontId="20" numFmtId="0" xfId="0" applyAlignment="1" applyBorder="1" applyFont="1">
      <alignment horizontal="center"/>
    </xf>
    <xf borderId="0" fillId="2" fontId="31" numFmtId="49" xfId="0" applyAlignment="1" applyFont="1" applyNumberFormat="1">
      <alignment horizontal="center" readingOrder="0" shrinkToFit="0" textRotation="0" wrapText="0"/>
    </xf>
    <xf borderId="0" fillId="2" fontId="32" numFmtId="49" xfId="0" applyAlignment="1" applyFont="1" applyNumberFormat="1">
      <alignment horizontal="left" readingOrder="0" shrinkToFit="0" vertical="center" wrapText="1"/>
    </xf>
    <xf borderId="0" fillId="2" fontId="20" numFmtId="0" xfId="0" applyAlignment="1" applyFont="1">
      <alignment horizontal="left"/>
    </xf>
    <xf borderId="0" fillId="2" fontId="9" numFmtId="0" xfId="0" applyAlignment="1" applyFont="1">
      <alignment readingOrder="0"/>
    </xf>
    <xf borderId="1" fillId="3" fontId="1" numFmtId="0" xfId="0" applyAlignment="1" applyBorder="1" applyFont="1">
      <alignment horizontal="right"/>
    </xf>
    <xf borderId="0" fillId="4" fontId="33" numFmtId="0" xfId="0" applyFont="1"/>
    <xf borderId="0" fillId="4" fontId="9" numFmtId="0" xfId="0" applyFont="1"/>
    <xf borderId="0" fillId="2" fontId="34" numFmtId="0" xfId="0" applyAlignment="1" applyFont="1">
      <alignment horizontal="center" readingOrder="0" vertical="center"/>
    </xf>
    <xf borderId="4" fillId="5" fontId="4" numFmtId="0" xfId="0" applyAlignment="1" applyBorder="1" applyFont="1">
      <alignment horizontal="center" readingOrder="0" vertical="center"/>
    </xf>
    <xf borderId="32" fillId="3" fontId="35" numFmtId="0" xfId="0" applyAlignment="1" applyBorder="1" applyFont="1">
      <alignment horizontal="center" readingOrder="0" vertical="center"/>
    </xf>
    <xf borderId="4" fillId="3" fontId="4" numFmtId="0" xfId="0" applyAlignment="1" applyBorder="1" applyFont="1">
      <alignment horizontal="left" readingOrder="0" vertical="center"/>
    </xf>
    <xf borderId="4" fillId="3" fontId="36" numFmtId="0" xfId="0" applyAlignment="1" applyBorder="1" applyFont="1">
      <alignment horizontal="left" readingOrder="0" vertical="center"/>
    </xf>
    <xf borderId="0" fillId="2" fontId="37" numFmtId="0" xfId="0" applyAlignment="1" applyFont="1">
      <alignment horizontal="left" readingOrder="0"/>
    </xf>
    <xf borderId="0" fillId="2" fontId="30" numFmtId="0" xfId="0" applyAlignment="1" applyFont="1">
      <alignment horizontal="right"/>
    </xf>
    <xf borderId="0" fillId="2" fontId="38" numFmtId="0" xfId="0" applyAlignment="1" applyFont="1">
      <alignment horizontal="right" readingOrder="0" vertical="center"/>
    </xf>
    <xf borderId="1" fillId="5" fontId="4" numFmtId="0" xfId="0" applyAlignment="1" applyBorder="1" applyFont="1">
      <alignment horizontal="center" readingOrder="0" vertical="center"/>
    </xf>
    <xf borderId="0" fillId="2" fontId="39" numFmtId="0" xfId="0" applyAlignment="1" applyFont="1">
      <alignment horizontal="left" readingOrder="0" vertical="center"/>
    </xf>
    <xf borderId="0" fillId="2" fontId="39" numFmtId="0" xfId="0" applyAlignment="1" applyFont="1">
      <alignment horizontal="center" readingOrder="0" vertical="center"/>
    </xf>
    <xf borderId="0" fillId="2" fontId="40" numFmtId="0" xfId="0" applyAlignment="1" applyFont="1">
      <alignment horizontal="center" readingOrder="0" shrinkToFit="0" vertical="top" wrapText="1"/>
    </xf>
    <xf borderId="0" fillId="2" fontId="1" numFmtId="0" xfId="0" applyAlignment="1" applyFont="1">
      <alignment horizontal="center" vertical="center"/>
    </xf>
    <xf borderId="0" fillId="2" fontId="1" numFmtId="0" xfId="0" applyAlignment="1" applyFont="1">
      <alignment horizontal="center" readingOrder="0" vertical="bottom"/>
    </xf>
    <xf borderId="0" fillId="2" fontId="41" numFmtId="49" xfId="0" applyAlignment="1" applyFont="1" applyNumberFormat="1">
      <alignment horizontal="right" readingOrder="0" vertical="center"/>
    </xf>
    <xf borderId="0" fillId="2" fontId="42" numFmtId="49" xfId="0" applyAlignment="1" applyFont="1" applyNumberFormat="1">
      <alignment horizontal="right" readingOrder="0" vertical="top"/>
    </xf>
    <xf borderId="0" fillId="7" fontId="43" numFmtId="0" xfId="0" applyAlignment="1" applyFont="1">
      <alignment horizontal="left" readingOrder="0" vertical="center"/>
    </xf>
    <xf borderId="0" fillId="7" fontId="44" numFmtId="0" xfId="0" applyAlignment="1" applyFont="1">
      <alignment horizontal="center" readingOrder="0" vertical="center"/>
    </xf>
    <xf borderId="0" fillId="2" fontId="1" numFmtId="0" xfId="0" applyAlignment="1" applyFont="1">
      <alignment horizontal="center" vertical="bottom"/>
    </xf>
    <xf borderId="0" fillId="2" fontId="45" numFmtId="49" xfId="0" applyAlignment="1" applyFont="1" applyNumberFormat="1">
      <alignment horizontal="center" readingOrder="0" textRotation="0" vertical="bottom"/>
    </xf>
    <xf borderId="0" fillId="2" fontId="46" numFmtId="0" xfId="0" applyAlignment="1" applyFont="1">
      <alignment horizontal="center" readingOrder="0" vertical="center"/>
    </xf>
    <xf borderId="0" fillId="2" fontId="30" numFmtId="0" xfId="0" applyFont="1"/>
    <xf borderId="0" fillId="8" fontId="1" numFmtId="0" xfId="0" applyAlignment="1" applyFill="1" applyFont="1">
      <alignment horizontal="center" vertical="bottom"/>
    </xf>
    <xf borderId="7" fillId="5" fontId="1" numFmtId="0" xfId="0" applyBorder="1" applyFont="1"/>
    <xf borderId="0" fillId="2" fontId="47" numFmtId="0" xfId="0" applyAlignment="1" applyFont="1">
      <alignment vertical="center"/>
    </xf>
    <xf borderId="1" fillId="4" fontId="34" numFmtId="0" xfId="0" applyAlignment="1" applyBorder="1" applyFont="1">
      <alignment horizontal="center" readingOrder="0" vertical="center"/>
    </xf>
    <xf borderId="12" fillId="2" fontId="48" numFmtId="49" xfId="0" applyAlignment="1" applyBorder="1" applyFont="1" applyNumberFormat="1">
      <alignment horizontal="left" readingOrder="0" shrinkToFit="0" vertical="center" wrapText="1"/>
    </xf>
    <xf borderId="12" fillId="2" fontId="47" numFmtId="49" xfId="0" applyAlignment="1" applyBorder="1" applyFont="1" applyNumberFormat="1">
      <alignment horizontal="center" readingOrder="0" vertical="center"/>
    </xf>
    <xf borderId="0" fillId="2" fontId="49" numFmtId="49" xfId="0" applyAlignment="1" applyFont="1" applyNumberFormat="1">
      <alignment horizontal="right" readingOrder="0" vertical="center"/>
    </xf>
    <xf borderId="1" fillId="4" fontId="50" numFmtId="49" xfId="0" applyAlignment="1" applyBorder="1" applyFont="1" applyNumberFormat="1">
      <alignment horizontal="right" readingOrder="0" vertical="top"/>
    </xf>
    <xf borderId="30" fillId="2" fontId="48" numFmtId="49" xfId="0" applyAlignment="1" applyBorder="1" applyFont="1" applyNumberFormat="1">
      <alignment horizontal="left" readingOrder="0" shrinkToFit="0" vertical="center" wrapText="1"/>
    </xf>
    <xf borderId="30" fillId="2" fontId="47" numFmtId="49" xfId="0" applyAlignment="1" applyBorder="1" applyFont="1" applyNumberFormat="1">
      <alignment horizontal="center" readingOrder="0" vertical="center"/>
    </xf>
    <xf borderId="8" fillId="2" fontId="51" numFmtId="49" xfId="0" applyAlignment="1" applyBorder="1" applyFont="1" applyNumberFormat="1">
      <alignment horizontal="left" readingOrder="0" shrinkToFit="0" textRotation="0" wrapText="0"/>
    </xf>
    <xf borderId="8" fillId="2" fontId="40" numFmtId="0" xfId="0" applyAlignment="1" applyBorder="1" applyFont="1">
      <alignment shrinkToFit="0" wrapText="1"/>
    </xf>
    <xf borderId="8" fillId="8" fontId="52" numFmtId="0" xfId="0" applyAlignment="1" applyBorder="1" applyFont="1">
      <alignment horizontal="center" readingOrder="0" vertical="center"/>
    </xf>
    <xf borderId="8" fillId="2" fontId="40" numFmtId="0" xfId="0" applyBorder="1" applyFont="1"/>
    <xf borderId="0" fillId="2" fontId="53" numFmtId="0" xfId="0" applyAlignment="1" applyFont="1">
      <alignment horizontal="right" readingOrder="0"/>
    </xf>
    <xf borderId="33" fillId="2" fontId="54" numFmtId="49" xfId="0" applyAlignment="1" applyBorder="1" applyFont="1" applyNumberFormat="1">
      <alignment horizontal="left" readingOrder="0" shrinkToFit="0" textRotation="0" wrapText="0"/>
    </xf>
    <xf borderId="34" fillId="2" fontId="55" numFmtId="0" xfId="0" applyAlignment="1" applyBorder="1" applyFont="1">
      <alignment horizontal="center" vertical="center"/>
    </xf>
    <xf borderId="35" fillId="2" fontId="55" numFmtId="0" xfId="0" applyAlignment="1" applyBorder="1" applyFont="1">
      <alignment horizontal="center" vertical="center"/>
    </xf>
    <xf borderId="0" fillId="2" fontId="1" numFmtId="0" xfId="0" applyAlignment="1" applyFont="1">
      <alignment horizontal="center" readingOrder="0" vertical="center"/>
    </xf>
    <xf borderId="0" fillId="2" fontId="46" numFmtId="0" xfId="0" applyAlignment="1" applyFont="1">
      <alignment horizontal="right" readingOrder="0" vertical="center"/>
    </xf>
    <xf borderId="0" fillId="2" fontId="30" numFmtId="0" xfId="0" applyAlignment="1" applyFont="1">
      <alignment horizontal="center" shrinkToFit="0" wrapText="1"/>
    </xf>
    <xf borderId="0" fillId="2" fontId="56" numFmtId="0" xfId="0" applyAlignment="1" applyFont="1">
      <alignment horizontal="center" vertical="center"/>
    </xf>
    <xf borderId="1" fillId="4" fontId="56" numFmtId="0" xfId="0" applyAlignment="1" applyBorder="1" applyFont="1">
      <alignment horizontal="center" vertical="center"/>
    </xf>
    <xf borderId="30" fillId="2" fontId="48" numFmtId="0" xfId="0" applyAlignment="1" applyBorder="1" applyFont="1">
      <alignment horizontal="left" readingOrder="0" shrinkToFit="0" vertical="center" wrapText="1"/>
    </xf>
    <xf borderId="30" fillId="2" fontId="52" numFmtId="0" xfId="0" applyAlignment="1" applyBorder="1" applyFont="1">
      <alignment horizontal="center" vertical="center"/>
    </xf>
    <xf borderId="0" fillId="2" fontId="30" numFmtId="0" xfId="0" applyAlignment="1" applyFont="1">
      <alignment shrinkToFit="0" wrapText="1"/>
    </xf>
    <xf borderId="0" fillId="2" fontId="55" numFmtId="0" xfId="0" applyAlignment="1" applyFont="1">
      <alignment horizontal="center" vertical="center"/>
    </xf>
    <xf borderId="0" fillId="2" fontId="56" numFmtId="0" xfId="0" applyAlignment="1" applyFont="1">
      <alignment horizontal="center" shrinkToFit="0" vertical="center" wrapText="1"/>
    </xf>
    <xf borderId="18" fillId="4" fontId="21" numFmtId="165" xfId="0" applyAlignment="1" applyBorder="1" applyFont="1" applyNumberFormat="1">
      <alignment horizontal="center" readingOrder="0"/>
    </xf>
    <xf borderId="0" fillId="2" fontId="12" numFmtId="0" xfId="0" applyAlignment="1" applyFont="1">
      <alignment horizontal="left" readingOrder="0"/>
    </xf>
    <xf borderId="5" fillId="7" fontId="56" numFmtId="0" xfId="0" applyAlignment="1" applyBorder="1" applyFont="1">
      <alignment horizontal="center" shrinkToFit="0" vertical="center" wrapText="1"/>
    </xf>
    <xf borderId="36" fillId="2" fontId="40" numFmtId="0" xfId="0" applyAlignment="1" applyBorder="1" applyFont="1">
      <alignment shrinkToFit="0" vertical="top" wrapText="1"/>
    </xf>
    <xf borderId="37" fillId="2" fontId="57" numFmtId="0" xfId="0" applyAlignment="1" applyBorder="1" applyFont="1">
      <alignment horizontal="left" shrinkToFit="0" vertical="top" wrapText="1"/>
    </xf>
    <xf borderId="37" fillId="2" fontId="48" numFmtId="0" xfId="0" applyAlignment="1" applyBorder="1" applyFont="1">
      <alignment horizontal="left" shrinkToFit="0" vertical="top" wrapText="1"/>
    </xf>
    <xf borderId="37" fillId="0" fontId="5" numFmtId="0" xfId="0" applyBorder="1" applyFont="1"/>
    <xf borderId="38" fillId="0" fontId="5" numFmtId="0" xfId="0" applyBorder="1" applyFont="1"/>
    <xf borderId="0" fillId="2" fontId="40" numFmtId="49" xfId="0" applyAlignment="1" applyFont="1" applyNumberFormat="1">
      <alignment readingOrder="0" shrinkToFit="0" vertical="center" wrapText="1"/>
    </xf>
    <xf borderId="39" fillId="2" fontId="55" numFmtId="49" xfId="0" applyAlignment="1" applyBorder="1" applyFont="1" applyNumberFormat="1">
      <alignment horizontal="center" readingOrder="0" shrinkToFit="0" vertical="center" wrapText="1"/>
    </xf>
    <xf borderId="40" fillId="2" fontId="48" numFmtId="0" xfId="0" applyAlignment="1" applyBorder="1" applyFont="1">
      <alignment horizontal="left" readingOrder="0" shrinkToFit="0" vertical="center" wrapText="1"/>
    </xf>
    <xf borderId="1" fillId="7" fontId="56" numFmtId="0" xfId="0" applyAlignment="1" applyBorder="1" applyFont="1">
      <alignment horizontal="center" shrinkToFit="0" vertical="center" wrapText="1"/>
    </xf>
    <xf borderId="0" fillId="2" fontId="40" numFmtId="49" xfId="0" applyAlignment="1" applyFont="1" applyNumberFormat="1">
      <alignment shrinkToFit="0" vertical="center" wrapText="1"/>
    </xf>
    <xf borderId="41" fillId="2" fontId="40" numFmtId="0" xfId="0" applyAlignment="1" applyBorder="1" applyFont="1">
      <alignment shrinkToFit="0" vertical="top" wrapText="1"/>
    </xf>
    <xf borderId="0" fillId="2" fontId="58" numFmtId="0" xfId="0" applyAlignment="1" applyFont="1">
      <alignment horizontal="left" shrinkToFit="0" vertical="top" wrapText="1"/>
    </xf>
    <xf borderId="0" fillId="2" fontId="48" numFmtId="0" xfId="0" applyAlignment="1" applyFont="1">
      <alignment horizontal="left" shrinkToFit="0" vertical="top" wrapText="1"/>
    </xf>
    <xf borderId="42" fillId="0" fontId="5" numFmtId="0" xfId="0" applyBorder="1" applyFont="1"/>
    <xf borderId="39" fillId="2" fontId="52" numFmtId="49" xfId="0" applyAlignment="1" applyBorder="1" applyFont="1" applyNumberFormat="1">
      <alignment horizontal="center" readingOrder="0" shrinkToFit="0" vertical="center" wrapText="1"/>
    </xf>
    <xf borderId="43" fillId="2" fontId="40" numFmtId="0" xfId="0" applyAlignment="1" applyBorder="1" applyFont="1">
      <alignment shrinkToFit="0" vertical="top" wrapText="1"/>
    </xf>
    <xf borderId="44" fillId="2" fontId="59" numFmtId="0" xfId="0" applyAlignment="1" applyBorder="1" applyFont="1">
      <alignment horizontal="left" shrinkToFit="0" vertical="top" wrapText="1"/>
    </xf>
    <xf borderId="44" fillId="2" fontId="48" numFmtId="0" xfId="0" applyAlignment="1" applyBorder="1" applyFont="1">
      <alignment horizontal="left" shrinkToFit="0" vertical="top" wrapText="1"/>
    </xf>
    <xf borderId="44" fillId="0" fontId="5" numFmtId="0" xfId="0" applyBorder="1" applyFont="1"/>
    <xf borderId="45" fillId="0" fontId="5" numFmtId="0" xfId="0" applyBorder="1" applyFont="1"/>
    <xf borderId="37" fillId="2" fontId="40" numFmtId="0" xfId="0" applyAlignment="1" applyBorder="1" applyFont="1">
      <alignment horizontal="left" shrinkToFit="0" vertical="top" wrapText="1"/>
    </xf>
    <xf borderId="39" fillId="2" fontId="60" numFmtId="49" xfId="0" applyAlignment="1" applyBorder="1" applyFont="1" applyNumberFormat="1">
      <alignment horizontal="center" readingOrder="0" shrinkToFit="0" textRotation="0" vertical="center" wrapText="0"/>
    </xf>
    <xf borderId="0" fillId="2" fontId="40" numFmtId="0" xfId="0" applyAlignment="1" applyFont="1">
      <alignment horizontal="left" shrinkToFit="0" vertical="top" wrapText="1"/>
    </xf>
    <xf borderId="39" fillId="2" fontId="61" numFmtId="49" xfId="0" applyAlignment="1" applyBorder="1" applyFont="1" applyNumberFormat="1">
      <alignment horizontal="center" readingOrder="0" shrinkToFit="0" textRotation="0" vertical="center" wrapText="0"/>
    </xf>
    <xf borderId="0" fillId="2" fontId="12" numFmtId="0" xfId="0" applyAlignment="1" applyFont="1">
      <alignment horizontal="left" shrinkToFit="0" vertical="top" wrapText="1"/>
    </xf>
    <xf borderId="39" fillId="2" fontId="30" numFmtId="49" xfId="0" applyAlignment="1" applyBorder="1" applyFont="1" applyNumberFormat="1">
      <alignment horizontal="center" readingOrder="0" shrinkToFit="0" textRotation="0" vertical="center" wrapText="0"/>
    </xf>
    <xf borderId="7" fillId="7" fontId="56" numFmtId="0" xfId="0" applyAlignment="1" applyBorder="1" applyFont="1">
      <alignment horizontal="center" shrinkToFit="0" vertical="center" wrapText="1"/>
    </xf>
    <xf borderId="0" fillId="2" fontId="62" numFmtId="0" xfId="0" applyAlignment="1" applyFont="1">
      <alignment horizontal="center" readingOrder="0" shrinkToFit="0" vertical="top" wrapText="1"/>
    </xf>
    <xf borderId="1" fillId="4" fontId="56" numFmtId="0" xfId="0" applyAlignment="1" applyBorder="1" applyFont="1">
      <alignment horizontal="center" shrinkToFit="0" vertical="center" wrapText="1"/>
    </xf>
    <xf borderId="44" fillId="2" fontId="12" numFmtId="0" xfId="0" applyAlignment="1" applyBorder="1" applyFont="1">
      <alignment horizontal="left" shrinkToFit="0" vertical="top" wrapText="1"/>
    </xf>
    <xf borderId="44" fillId="2" fontId="40" numFmtId="0" xfId="0" applyAlignment="1" applyBorder="1" applyFont="1">
      <alignment horizontal="left" shrinkToFit="0" vertical="top" wrapText="1"/>
    </xf>
    <xf borderId="0" fillId="2" fontId="63" numFmtId="0" xfId="0" applyAlignment="1" applyFont="1">
      <alignment horizontal="left" readingOrder="0"/>
    </xf>
    <xf borderId="36" fillId="2" fontId="40" numFmtId="0" xfId="0" applyAlignment="1" applyBorder="1" applyFont="1">
      <alignment readingOrder="0" vertical="top"/>
    </xf>
    <xf borderId="37" fillId="2" fontId="64" numFmtId="0" xfId="0" applyAlignment="1" applyBorder="1" applyFont="1">
      <alignment shrinkToFit="0" vertical="top" wrapText="1"/>
    </xf>
    <xf borderId="37" fillId="2" fontId="40" numFmtId="0" xfId="0" applyAlignment="1" applyBorder="1" applyFont="1">
      <alignment shrinkToFit="0" wrapText="1"/>
    </xf>
    <xf borderId="0" fillId="2" fontId="30" numFmtId="49" xfId="0" applyAlignment="1" applyFont="1" applyNumberFormat="1">
      <alignment shrinkToFit="0" vertical="center" wrapText="1"/>
    </xf>
    <xf borderId="0" fillId="2" fontId="65" numFmtId="0" xfId="0" applyAlignment="1" applyFont="1">
      <alignment horizontal="left"/>
    </xf>
    <xf borderId="41" fillId="2" fontId="40" numFmtId="0" xfId="0" applyAlignment="1" applyBorder="1" applyFont="1">
      <alignment vertical="top"/>
    </xf>
    <xf borderId="0" fillId="2" fontId="40" numFmtId="0" xfId="0" applyAlignment="1" applyFont="1">
      <alignment shrinkToFit="0" wrapText="1"/>
    </xf>
    <xf borderId="43" fillId="2" fontId="40" numFmtId="0" xfId="0" applyAlignment="1" applyBorder="1" applyFont="1">
      <alignment vertical="top"/>
    </xf>
    <xf borderId="44" fillId="2" fontId="40" numFmtId="0" xfId="0" applyAlignment="1" applyBorder="1" applyFont="1">
      <alignment shrinkToFit="0" wrapText="1"/>
    </xf>
    <xf borderId="36" fillId="2" fontId="48" numFmtId="49" xfId="0" applyAlignment="1" applyBorder="1" applyFont="1" applyNumberFormat="1">
      <alignment horizontal="left" readingOrder="0" textRotation="0" vertical="top"/>
    </xf>
    <xf borderId="37" fillId="2" fontId="66" numFmtId="49" xfId="0" applyAlignment="1" applyBorder="1" applyFont="1" applyNumberFormat="1">
      <alignment horizontal="left" readingOrder="0" shrinkToFit="0" textRotation="0" vertical="top" wrapText="1"/>
    </xf>
    <xf borderId="37" fillId="2" fontId="48" numFmtId="49" xfId="0" applyAlignment="1" applyBorder="1" applyFont="1" applyNumberFormat="1">
      <alignment horizontal="left" readingOrder="0" shrinkToFit="0" textRotation="0" wrapText="1"/>
    </xf>
    <xf borderId="0" fillId="2" fontId="34" numFmtId="49" xfId="0" applyAlignment="1" applyFont="1" applyNumberFormat="1">
      <alignment horizontal="center" readingOrder="0" textRotation="0" vertical="center"/>
    </xf>
    <xf borderId="1" fillId="4" fontId="34" numFmtId="49" xfId="0" applyAlignment="1" applyBorder="1" applyFont="1" applyNumberFormat="1">
      <alignment horizontal="center" readingOrder="0" textRotation="0" vertical="center"/>
    </xf>
    <xf borderId="41" fillId="2" fontId="48" numFmtId="49" xfId="0" applyAlignment="1" applyBorder="1" applyFont="1" applyNumberFormat="1">
      <alignment horizontal="left" readingOrder="0" textRotation="0" vertical="top"/>
    </xf>
    <xf borderId="0" fillId="2" fontId="48" numFmtId="49" xfId="0" applyAlignment="1" applyFont="1" applyNumberFormat="1">
      <alignment horizontal="left" readingOrder="0" shrinkToFit="0" textRotation="0" wrapText="1"/>
    </xf>
    <xf borderId="0" fillId="2" fontId="45" numFmtId="49" xfId="0" applyAlignment="1" applyFont="1" applyNumberFormat="1">
      <alignment horizontal="left" readingOrder="0" shrinkToFit="0" textRotation="0" vertical="center" wrapText="1"/>
    </xf>
    <xf borderId="0" fillId="2" fontId="45" numFmtId="49" xfId="0" applyAlignment="1" applyFont="1" applyNumberFormat="1">
      <alignment horizontal="center" readingOrder="0" textRotation="0"/>
    </xf>
    <xf borderId="43" fillId="2" fontId="48" numFmtId="49" xfId="0" applyAlignment="1" applyBorder="1" applyFont="1" applyNumberFormat="1">
      <alignment horizontal="left" readingOrder="0" textRotation="0" vertical="top"/>
    </xf>
    <xf borderId="44" fillId="2" fontId="48" numFmtId="49" xfId="0" applyAlignment="1" applyBorder="1" applyFont="1" applyNumberFormat="1">
      <alignment horizontal="left" readingOrder="0" shrinkToFit="0" textRotation="0" wrapText="1"/>
    </xf>
    <xf borderId="0" fillId="2" fontId="45" numFmtId="0" xfId="0" applyAlignment="1" applyFont="1">
      <alignment horizontal="left" readingOrder="0"/>
    </xf>
    <xf borderId="0" fillId="2" fontId="1" numFmtId="0" xfId="0" applyAlignment="1" applyFont="1">
      <alignment horizontal="left" readingOrder="0"/>
    </xf>
    <xf borderId="0" fillId="2" fontId="1" numFmtId="0" xfId="0" applyAlignment="1" applyFont="1">
      <alignment horizontal="left" readingOrder="0" shrinkToFit="0" wrapText="1"/>
    </xf>
    <xf borderId="0" fillId="2" fontId="45" numFmtId="49" xfId="0" applyAlignment="1" applyFont="1" applyNumberFormat="1">
      <alignment horizontal="left" readingOrder="0" shrinkToFit="0" textRotation="0" wrapText="1"/>
    </xf>
    <xf borderId="0" fillId="2" fontId="1" numFmtId="0" xfId="0" applyAlignment="1" applyFont="1">
      <alignment readingOrder="0" shrinkToFit="0" wrapText="1"/>
    </xf>
    <xf borderId="0" fillId="2" fontId="67" numFmtId="0" xfId="0" applyAlignment="1" applyFont="1">
      <alignment horizontal="center" vertical="center"/>
    </xf>
    <xf borderId="1" fillId="4" fontId="67" numFmtId="0" xfId="0" applyAlignment="1" applyBorder="1" applyFont="1">
      <alignment horizontal="center" vertical="center"/>
    </xf>
    <xf borderId="0" fillId="2" fontId="68" numFmtId="0" xfId="0" applyAlignment="1" applyFont="1">
      <alignment horizontal="left" readingOrder="0" shrinkToFit="0" textRotation="0" vertical="center" wrapText="0"/>
    </xf>
    <xf borderId="0" fillId="2" fontId="3" numFmtId="0" xfId="0" applyAlignment="1" applyFont="1">
      <alignment horizontal="left" readingOrder="0" shrinkToFit="0" textRotation="0" vertical="center" wrapText="0"/>
    </xf>
    <xf borderId="0" fillId="2" fontId="45" numFmtId="49" xfId="0" applyAlignment="1" applyFont="1" applyNumberFormat="1">
      <alignment horizontal="center" readingOrder="0" shrinkToFit="0" textRotation="0" wrapText="1"/>
    </xf>
    <xf borderId="1" fillId="4" fontId="3" numFmtId="0" xfId="0" applyAlignment="1" applyBorder="1" applyFont="1">
      <alignment horizontal="left" readingOrder="0" shrinkToFit="0" textRotation="0" vertical="center" wrapText="0"/>
    </xf>
    <xf borderId="0" fillId="2" fontId="1" numFmtId="0" xfId="0" applyAlignment="1" applyFont="1">
      <alignment horizontal="center"/>
    </xf>
    <xf borderId="0" fillId="2" fontId="9" numFmtId="0" xfId="0" applyAlignment="1" applyFont="1">
      <alignment shrinkToFit="0" wrapText="1"/>
    </xf>
    <xf borderId="0" fillId="2" fontId="69" numFmtId="0" xfId="0" applyAlignment="1" applyFont="1">
      <alignment horizontal="left" readingOrder="0" shrinkToFit="0" textRotation="0" vertical="center" wrapText="0"/>
    </xf>
    <xf borderId="0" fillId="3" fontId="1" numFmtId="0" xfId="0" applyAlignment="1" applyFont="1">
      <alignment horizontal="center"/>
    </xf>
    <xf borderId="0" fillId="3" fontId="4" numFmtId="0" xfId="0" applyAlignment="1" applyFont="1">
      <alignment horizontal="center" readingOrder="0" vertical="center"/>
    </xf>
    <xf borderId="0" fillId="2" fontId="4" numFmtId="0" xfId="0" applyAlignment="1" applyFont="1">
      <alignment horizontal="center" readingOrder="0" vertical="center"/>
    </xf>
    <xf borderId="0" fillId="2" fontId="2" numFmtId="0" xfId="0" applyAlignment="1" applyFont="1">
      <alignment horizontal="center" readingOrder="0"/>
    </xf>
    <xf borderId="0" fillId="2" fontId="48" numFmtId="49" xfId="0" applyAlignment="1" applyFont="1" applyNumberFormat="1">
      <alignment horizontal="center" readingOrder="0" shrinkToFit="0" wrapText="1"/>
    </xf>
    <xf borderId="0" fillId="2" fontId="9" numFmtId="0" xfId="0" applyAlignment="1" applyFont="1">
      <alignment vertical="center"/>
    </xf>
    <xf borderId="0" fillId="2" fontId="70" numFmtId="49" xfId="0" applyAlignment="1" applyFont="1" applyNumberFormat="1">
      <alignment horizontal="right" readingOrder="0" vertical="center"/>
    </xf>
    <xf borderId="6" fillId="4" fontId="71" numFmtId="0" xfId="0" applyAlignment="1" applyBorder="1" applyFont="1">
      <alignment horizontal="center" readingOrder="0" vertical="center"/>
    </xf>
    <xf borderId="0" fillId="2" fontId="15" numFmtId="49" xfId="0" applyAlignment="1" applyFont="1" applyNumberFormat="1">
      <alignment horizontal="left" readingOrder="0" shrinkToFit="0" vertical="center" wrapText="0"/>
    </xf>
    <xf borderId="0" fillId="2" fontId="48" numFmtId="49" xfId="0" applyAlignment="1" applyFont="1" applyNumberFormat="1">
      <alignment horizontal="center" readingOrder="0" shrinkToFit="0" vertical="center" wrapText="1"/>
    </xf>
    <xf borderId="0" fillId="2" fontId="48" numFmtId="49" xfId="0" applyAlignment="1" applyFont="1" applyNumberFormat="1">
      <alignment horizontal="left" readingOrder="0" shrinkToFit="0" vertical="center" wrapText="1"/>
    </xf>
    <xf borderId="46" fillId="5" fontId="71" numFmtId="0" xfId="0" applyAlignment="1" applyBorder="1" applyFont="1">
      <alignment horizontal="center" readingOrder="0" vertical="center"/>
    </xf>
    <xf borderId="46" fillId="0" fontId="5" numFmtId="0" xfId="0" applyBorder="1" applyFont="1"/>
    <xf borderId="47" fillId="0" fontId="5" numFmtId="0" xfId="0" applyBorder="1" applyFont="1"/>
    <xf borderId="0" fillId="2" fontId="40" numFmtId="0" xfId="0" applyAlignment="1" applyFont="1">
      <alignment horizontal="left" readingOrder="0" shrinkToFit="0" vertical="center" wrapText="1"/>
    </xf>
    <xf borderId="4" fillId="9" fontId="72" numFmtId="0" xfId="0" applyAlignment="1" applyBorder="1" applyFill="1" applyFont="1">
      <alignment horizontal="left" readingOrder="0" vertical="center"/>
    </xf>
    <xf borderId="0" fillId="2" fontId="73" numFmtId="0" xfId="0" applyAlignment="1" applyFont="1">
      <alignment horizontal="left" readingOrder="0" shrinkToFit="0" vertical="center" wrapText="1"/>
    </xf>
    <xf borderId="0" fillId="2" fontId="48" numFmtId="49" xfId="0" applyAlignment="1" applyFont="1" applyNumberFormat="1">
      <alignment horizontal="left" readingOrder="0" vertical="top"/>
    </xf>
    <xf borderId="0" fillId="2" fontId="48" numFmtId="49" xfId="0" applyAlignment="1" applyFont="1" applyNumberFormat="1">
      <alignment horizontal="center" readingOrder="0" vertical="top"/>
    </xf>
    <xf borderId="0" fillId="2" fontId="74" numFmtId="49" xfId="0" applyAlignment="1" applyFont="1" applyNumberFormat="1">
      <alignment horizontal="left" readingOrder="0" shrinkToFit="0" vertical="top" wrapText="1"/>
    </xf>
    <xf borderId="0" fillId="2" fontId="1" numFmtId="0" xfId="0" applyAlignment="1" applyFont="1">
      <alignment horizontal="left" readingOrder="0" vertical="top"/>
    </xf>
    <xf borderId="0" fillId="2" fontId="48" numFmtId="49" xfId="0" applyAlignment="1" applyFont="1" applyNumberFormat="1">
      <alignment horizontal="left" readingOrder="0" shrinkToFit="0" vertical="top" wrapText="1"/>
    </xf>
    <xf borderId="0" fillId="2" fontId="9" numFmtId="0" xfId="0" applyAlignment="1" applyFont="1">
      <alignment horizontal="left"/>
    </xf>
    <xf borderId="1" fillId="5" fontId="4" numFmtId="0" xfId="0" applyAlignment="1" applyBorder="1" applyFont="1">
      <alignment horizontal="left" readingOrder="0" vertical="center"/>
    </xf>
    <xf borderId="0" fillId="2" fontId="2" numFmtId="49" xfId="0" applyAlignment="1" applyFont="1" applyNumberFormat="1">
      <alignment horizontal="left" readingOrder="0" shrinkToFit="0" vertical="top" wrapText="0"/>
    </xf>
    <xf borderId="0" fillId="2" fontId="74" numFmtId="0" xfId="0" applyAlignment="1" applyFont="1">
      <alignment horizontal="left" readingOrder="0" vertical="top"/>
    </xf>
    <xf borderId="0" fillId="2" fontId="74" numFmtId="49" xfId="0" applyAlignment="1" applyFont="1" applyNumberFormat="1">
      <alignment horizontal="left" readingOrder="0" shrinkToFit="0" vertical="top" wrapText="1"/>
    </xf>
    <xf borderId="0" fillId="2" fontId="74" numFmtId="0" xfId="0" applyAlignment="1" applyFont="1">
      <alignment horizontal="left" readingOrder="0" shrinkToFit="0" vertical="top" wrapText="1"/>
    </xf>
    <xf borderId="0" fillId="6" fontId="48" numFmtId="49" xfId="0" applyAlignment="1" applyFont="1" applyNumberFormat="1">
      <alignment horizontal="left" readingOrder="0" shrinkToFit="0" vertical="top" wrapText="0"/>
    </xf>
    <xf borderId="0" fillId="6" fontId="48" numFmtId="0" xfId="0" applyAlignment="1" applyFont="1">
      <alignment horizontal="left" readingOrder="0" vertical="top"/>
    </xf>
    <xf borderId="0" fillId="6" fontId="48" numFmtId="49" xfId="0" applyAlignment="1" applyFont="1" applyNumberFormat="1">
      <alignment horizontal="center" readingOrder="0" vertical="top"/>
    </xf>
    <xf borderId="0" fillId="6" fontId="48" numFmtId="49" xfId="0" applyAlignment="1" applyFont="1" applyNumberFormat="1">
      <alignment horizontal="left" readingOrder="0" vertical="top"/>
    </xf>
    <xf borderId="0" fillId="6" fontId="48" numFmtId="49" xfId="0" applyAlignment="1" applyFont="1" applyNumberFormat="1">
      <alignment horizontal="left" readingOrder="0" shrinkToFit="0" vertical="top" wrapText="1"/>
    </xf>
    <xf borderId="0" fillId="2" fontId="75" numFmtId="49" xfId="0" applyAlignment="1" applyFont="1" applyNumberFormat="1">
      <alignment horizontal="center" readingOrder="0" shrinkToFit="0" vertical="top" wrapText="1"/>
    </xf>
    <xf borderId="0" fillId="2" fontId="75" numFmtId="49" xfId="0" applyAlignment="1" applyFont="1" applyNumberFormat="1">
      <alignment horizontal="left" readingOrder="0" shrinkToFit="0" vertical="top" wrapText="1"/>
    </xf>
    <xf borderId="0" fillId="2" fontId="75" numFmtId="49" xfId="0" applyAlignment="1" applyFont="1" applyNumberFormat="1">
      <alignment horizontal="left" readingOrder="0" shrinkToFit="0" vertical="top" wrapText="1"/>
    </xf>
    <xf borderId="0" fillId="2" fontId="75" numFmtId="0" xfId="0" applyAlignment="1" applyFont="1">
      <alignment horizontal="center" readingOrder="0" shrinkToFit="0" vertical="top" wrapText="1"/>
    </xf>
    <xf borderId="0" fillId="2" fontId="75" numFmtId="0" xfId="0" applyAlignment="1" applyFont="1">
      <alignment horizontal="left" readingOrder="0" shrinkToFit="0" vertical="top" wrapText="1"/>
    </xf>
    <xf borderId="0" fillId="2" fontId="48" numFmtId="49" xfId="0" applyAlignment="1" applyFont="1" applyNumberFormat="1">
      <alignment horizontal="left" readingOrder="0" shrinkToFit="0" vertical="top" wrapText="0"/>
    </xf>
    <xf borderId="0" fillId="2" fontId="48" numFmtId="0" xfId="0" applyAlignment="1" applyFont="1">
      <alignment horizontal="left" readingOrder="0" vertical="top"/>
    </xf>
    <xf borderId="0" fillId="2" fontId="48" numFmtId="49" xfId="0" applyAlignment="1" applyFont="1" applyNumberFormat="1">
      <alignment horizontal="center" readingOrder="0" shrinkToFit="0" vertical="top" wrapText="1"/>
    </xf>
    <xf borderId="0" fillId="4" fontId="4" numFmtId="0" xfId="0" applyAlignment="1" applyFont="1">
      <alignment horizontal="center" readingOrder="0" vertical="center"/>
    </xf>
    <xf borderId="48" fillId="5" fontId="9" numFmtId="0" xfId="0" applyBorder="1" applyFont="1"/>
    <xf borderId="0" fillId="5" fontId="9" numFmtId="0" xfId="0" applyFont="1"/>
    <xf borderId="0" fillId="4" fontId="56" numFmtId="0" xfId="0" applyAlignment="1" applyFont="1">
      <alignment horizontal="center" vertical="center"/>
    </xf>
    <xf borderId="0" fillId="2" fontId="1" numFmtId="166" xfId="0" applyAlignment="1" applyFont="1" applyNumberFormat="1">
      <alignment horizontal="center"/>
    </xf>
    <xf borderId="0" fillId="3" fontId="1" numFmtId="166" xfId="0" applyAlignment="1" applyFont="1" applyNumberFormat="1">
      <alignment horizontal="center"/>
    </xf>
    <xf borderId="0" fillId="2" fontId="4" numFmtId="166" xfId="0" applyAlignment="1" applyFont="1" applyNumberFormat="1">
      <alignment horizontal="center" readingOrder="0" vertical="center"/>
    </xf>
    <xf borderId="0" fillId="2" fontId="48" numFmtId="166" xfId="0" applyAlignment="1" applyFont="1" applyNumberFormat="1">
      <alignment horizontal="center" readingOrder="0" vertical="top"/>
    </xf>
    <xf borderId="0" fillId="6" fontId="48" numFmtId="166" xfId="0" applyAlignment="1" applyFont="1" applyNumberFormat="1">
      <alignment horizontal="center" readingOrder="0" vertical="top"/>
    </xf>
    <xf borderId="0" fillId="2" fontId="9" numFmtId="0" xfId="0" applyAlignment="1" applyFont="1">
      <alignment vertical="top"/>
    </xf>
    <xf borderId="0" fillId="2" fontId="1" numFmtId="0" xfId="0" applyAlignment="1" applyFont="1">
      <alignment vertical="top"/>
    </xf>
    <xf borderId="0" fillId="2" fontId="1" numFmtId="0" xfId="0" applyAlignment="1" applyFont="1">
      <alignment horizontal="center" shrinkToFit="0" vertical="center" wrapText="1"/>
    </xf>
    <xf borderId="0" fillId="2" fontId="9" numFmtId="0" xfId="0" applyAlignment="1" applyFont="1">
      <alignment horizontal="center" shrinkToFit="0" vertical="center" wrapText="1"/>
    </xf>
    <xf borderId="0" fillId="2" fontId="76" numFmtId="49" xfId="0" applyAlignment="1" applyFont="1" applyNumberFormat="1">
      <alignment horizontal="left" readingOrder="0" shrinkToFit="0" vertical="top" wrapText="0"/>
    </xf>
    <xf borderId="1" fillId="4" fontId="34" numFmtId="0" xfId="0" applyAlignment="1" applyBorder="1" applyFont="1">
      <alignment horizontal="left" readingOrder="0" vertical="top"/>
    </xf>
    <xf borderId="0" fillId="2" fontId="76" numFmtId="49" xfId="0" applyAlignment="1" applyFont="1" applyNumberFormat="1">
      <alignment horizontal="left" readingOrder="0" vertical="top"/>
    </xf>
    <xf borderId="0" fillId="2" fontId="76" numFmtId="49" xfId="0" applyAlignment="1" applyFont="1" applyNumberFormat="1">
      <alignment horizontal="left" readingOrder="0" shrinkToFit="0" vertical="top" wrapText="1"/>
    </xf>
    <xf borderId="0" fillId="6" fontId="77" numFmtId="0" xfId="0" applyAlignment="1" applyFont="1">
      <alignment horizontal="left" readingOrder="0" vertical="top"/>
    </xf>
    <xf borderId="0" fillId="6" fontId="48" numFmtId="49" xfId="0" applyAlignment="1" applyFont="1" applyNumberFormat="1">
      <alignment horizontal="center" readingOrder="0" shrinkToFit="0" vertical="center" wrapText="1"/>
    </xf>
    <xf borderId="0" fillId="6" fontId="75" numFmtId="49" xfId="0" applyAlignment="1" applyFont="1" applyNumberFormat="1">
      <alignment horizontal="center" readingOrder="0" shrinkToFit="0" vertical="center" wrapText="1"/>
    </xf>
    <xf borderId="0" fillId="6" fontId="75" numFmtId="49" xfId="0" applyAlignment="1" applyFont="1" applyNumberFormat="1">
      <alignment horizontal="left" readingOrder="0" shrinkToFit="0" vertical="top" wrapText="1"/>
    </xf>
    <xf borderId="0" fillId="6" fontId="75" numFmtId="0" xfId="0" applyAlignment="1" applyFont="1">
      <alignment horizontal="center" readingOrder="0" shrinkToFit="0" vertical="top" wrapText="1"/>
    </xf>
    <xf borderId="0" fillId="6" fontId="75" numFmtId="49" xfId="0" applyAlignment="1" applyFont="1" applyNumberFormat="1">
      <alignment horizontal="center" readingOrder="0" shrinkToFit="0" vertical="top" wrapText="1"/>
    </xf>
    <xf borderId="0" fillId="2" fontId="78" numFmtId="0" xfId="0" applyAlignment="1" applyFont="1">
      <alignment horizontal="left" readingOrder="0" shrinkToFit="0" vertical="top" wrapText="1"/>
    </xf>
    <xf borderId="0" fillId="2" fontId="79" numFmtId="0" xfId="0" applyAlignment="1" applyFont="1">
      <alignment horizontal="left" readingOrder="0" vertical="top"/>
    </xf>
    <xf borderId="0" fillId="2" fontId="75" numFmtId="49" xfId="0" applyAlignment="1" applyFont="1" applyNumberFormat="1">
      <alignment horizontal="center" readingOrder="0" shrinkToFit="0" vertical="center" wrapText="1"/>
    </xf>
    <xf borderId="0" fillId="2" fontId="48" numFmtId="49" xfId="0" applyAlignment="1" applyFont="1" applyNumberFormat="1">
      <alignment horizontal="left" readingOrder="0" shrinkToFit="0" vertical="top" wrapText="0"/>
    </xf>
    <xf borderId="0" fillId="2" fontId="80" numFmtId="0" xfId="0" applyAlignment="1" applyFont="1">
      <alignment horizontal="left" readingOrder="0" vertical="top"/>
    </xf>
    <xf borderId="0" fillId="2" fontId="48" numFmtId="166" xfId="0" applyAlignment="1" applyFont="1" applyNumberFormat="1">
      <alignment horizontal="center" readingOrder="0" vertical="top"/>
    </xf>
    <xf borderId="0" fillId="2" fontId="48" numFmtId="49" xfId="0" applyAlignment="1" applyFont="1" applyNumberFormat="1">
      <alignment horizontal="center" readingOrder="0" shrinkToFit="0" vertical="center" wrapText="1"/>
    </xf>
    <xf borderId="0" fillId="4" fontId="50" numFmtId="49" xfId="0" applyAlignment="1" applyFont="1" applyNumberFormat="1">
      <alignment horizontal="right" readingOrder="0" vertical="top"/>
    </xf>
    <xf borderId="0" fillId="2" fontId="48" numFmtId="0" xfId="0" applyAlignment="1" applyFont="1">
      <alignment horizontal="left" readingOrder="0" vertical="top"/>
    </xf>
    <xf borderId="0" fillId="2" fontId="1" numFmtId="0" xfId="0" applyAlignment="1" applyFont="1">
      <alignment vertical="center"/>
    </xf>
    <xf borderId="0" fillId="2" fontId="76" numFmtId="49" xfId="0" applyAlignment="1" applyFont="1" applyNumberFormat="1">
      <alignment horizontal="left" readingOrder="0" shrinkToFit="0" vertical="center" wrapText="0"/>
    </xf>
    <xf borderId="1" fillId="4" fontId="34" numFmtId="0" xfId="0" applyAlignment="1" applyBorder="1" applyFont="1">
      <alignment horizontal="left" readingOrder="0" vertical="center"/>
    </xf>
    <xf borderId="0" fillId="2" fontId="76" numFmtId="49" xfId="0" applyAlignment="1" applyFont="1" applyNumberFormat="1">
      <alignment horizontal="left" readingOrder="0" vertical="center"/>
    </xf>
    <xf borderId="0" fillId="2" fontId="76" numFmtId="49" xfId="0" applyAlignment="1" applyFont="1" applyNumberFormat="1">
      <alignment horizontal="left" readingOrder="0" shrinkToFit="0" vertical="center" wrapText="1"/>
    </xf>
    <xf borderId="0" fillId="2" fontId="76" numFmtId="49" xfId="0" applyAlignment="1" applyFont="1" applyNumberFormat="1">
      <alignment horizontal="left" readingOrder="0" shrinkToFit="0" vertical="center" wrapText="1"/>
    </xf>
    <xf borderId="0" fillId="6" fontId="48" numFmtId="49" xfId="0" applyAlignment="1" applyFont="1" applyNumberFormat="1">
      <alignment horizontal="left" readingOrder="0" shrinkToFit="0" vertical="center" wrapText="0"/>
    </xf>
    <xf borderId="0" fillId="6" fontId="48" numFmtId="0" xfId="0" applyAlignment="1" applyFont="1">
      <alignment horizontal="left" readingOrder="0" vertical="center"/>
    </xf>
    <xf borderId="0" fillId="6" fontId="48" numFmtId="166" xfId="0" applyAlignment="1" applyFont="1" applyNumberFormat="1">
      <alignment horizontal="center" readingOrder="0" vertical="center"/>
    </xf>
    <xf borderId="0" fillId="6" fontId="75" numFmtId="49" xfId="0" applyAlignment="1" applyFont="1" applyNumberFormat="1">
      <alignment horizontal="left" readingOrder="0" shrinkToFit="0" vertical="center" wrapText="1"/>
    </xf>
    <xf borderId="0" fillId="6" fontId="75" numFmtId="0" xfId="0" applyAlignment="1" applyFont="1">
      <alignment horizontal="center" readingOrder="0" shrinkToFit="0" vertical="center" wrapText="1"/>
    </xf>
    <xf borderId="0" fillId="2" fontId="78" numFmtId="0" xfId="0" applyAlignment="1" applyFont="1">
      <alignment horizontal="left" readingOrder="0" shrinkToFit="0" vertical="center" wrapText="1"/>
    </xf>
    <xf borderId="1" fillId="4" fontId="50" numFmtId="49" xfId="0" applyAlignment="1" applyBorder="1" applyFont="1" applyNumberFormat="1">
      <alignment horizontal="right" readingOrder="0" vertical="center"/>
    </xf>
    <xf borderId="0" fillId="2" fontId="48" numFmtId="49" xfId="0" applyAlignment="1" applyFont="1" applyNumberFormat="1">
      <alignment horizontal="left" readingOrder="0" shrinkToFit="0" vertical="center" wrapText="0"/>
    </xf>
    <xf borderId="0" fillId="2" fontId="81" numFmtId="0" xfId="0" applyAlignment="1" applyFont="1">
      <alignment horizontal="left" readingOrder="0" vertical="center"/>
    </xf>
    <xf borderId="0" fillId="2" fontId="48" numFmtId="166" xfId="0" applyAlignment="1" applyFont="1" applyNumberFormat="1">
      <alignment horizontal="center" readingOrder="0" vertical="center"/>
    </xf>
    <xf borderId="0" fillId="2" fontId="75" numFmtId="49" xfId="0" applyAlignment="1" applyFont="1" applyNumberFormat="1">
      <alignment horizontal="left" readingOrder="0" shrinkToFit="0" vertical="center" wrapText="1"/>
    </xf>
    <xf borderId="0" fillId="2" fontId="75" numFmtId="0" xfId="0" applyAlignment="1" applyFont="1">
      <alignment horizontal="center" readingOrder="0" shrinkToFit="0" vertical="center" wrapText="1"/>
    </xf>
    <xf borderId="0" fillId="6" fontId="82" numFmtId="0" xfId="0" applyAlignment="1" applyFont="1">
      <alignment horizontal="left" readingOrder="0" vertical="center"/>
    </xf>
    <xf borderId="0" fillId="4" fontId="34" numFmtId="0" xfId="0" applyAlignment="1" applyFont="1">
      <alignment horizontal="center" readingOrder="0" vertical="center"/>
    </xf>
    <xf borderId="0" fillId="2" fontId="48" numFmtId="0" xfId="0" applyAlignment="1" applyFont="1">
      <alignment horizontal="left" readingOrder="0" vertical="center"/>
    </xf>
    <xf borderId="1" fillId="3" fontId="1" numFmtId="0" xfId="0" applyBorder="1" applyFont="1"/>
    <xf borderId="0" fillId="3" fontId="83" numFmtId="0" xfId="0" applyAlignment="1" applyFont="1">
      <alignment horizontal="center" readingOrder="0" vertical="center"/>
    </xf>
    <xf borderId="0" fillId="2" fontId="83" numFmtId="0" xfId="0" applyAlignment="1" applyFont="1">
      <alignment horizontal="center" readingOrder="0" vertical="center"/>
    </xf>
    <xf borderId="1" fillId="2" fontId="84" numFmtId="0" xfId="0" applyAlignment="1" applyBorder="1" applyFont="1">
      <alignment horizontal="center" readingOrder="0"/>
    </xf>
    <xf borderId="4" fillId="5" fontId="83" numFmtId="0" xfId="0" applyAlignment="1" applyBorder="1" applyFont="1">
      <alignment horizontal="center" readingOrder="0" vertical="center"/>
    </xf>
    <xf borderId="4" fillId="3" fontId="85" numFmtId="0" xfId="0" applyAlignment="1" applyBorder="1" applyFont="1">
      <alignment horizontal="left" readingOrder="0" vertical="center"/>
    </xf>
    <xf borderId="0" fillId="2" fontId="86" numFmtId="0" xfId="0" applyAlignment="1" applyFont="1">
      <alignment horizontal="left" readingOrder="0"/>
    </xf>
    <xf borderId="0" fillId="2" fontId="87" numFmtId="0" xfId="0" applyAlignment="1" applyFont="1">
      <alignment horizontal="left" readingOrder="0" shrinkToFit="0" wrapText="0"/>
    </xf>
    <xf borderId="1" fillId="5" fontId="83" numFmtId="0" xfId="0" applyAlignment="1" applyBorder="1" applyFont="1">
      <alignment horizontal="center" readingOrder="0" vertical="center"/>
    </xf>
    <xf borderId="25" fillId="6" fontId="1" numFmtId="0" xfId="0" applyAlignment="1" applyBorder="1" applyFont="1">
      <alignment horizontal="center" readingOrder="0" vertical="bottom"/>
    </xf>
    <xf borderId="22" fillId="2" fontId="14" numFmtId="0" xfId="0" applyAlignment="1" applyBorder="1" applyFont="1">
      <alignment horizontal="left" readingOrder="0" shrinkToFit="0" vertical="top" wrapText="1"/>
    </xf>
    <xf borderId="22" fillId="2" fontId="14" numFmtId="0" xfId="0" applyAlignment="1" applyBorder="1" applyFont="1">
      <alignment horizontal="left" readingOrder="0" shrinkToFit="0" vertical="top" wrapText="1"/>
    </xf>
    <xf borderId="49" fillId="0" fontId="5" numFmtId="0" xfId="0" applyBorder="1" applyFont="1"/>
    <xf borderId="50" fillId="0" fontId="5" numFmtId="0" xfId="0" applyBorder="1" applyFont="1"/>
    <xf borderId="51" fillId="0" fontId="5" numFmtId="0" xfId="0" applyBorder="1" applyFont="1"/>
    <xf borderId="21" fillId="6" fontId="14" numFmtId="0" xfId="0" applyAlignment="1" applyBorder="1" applyFont="1">
      <alignment horizontal="center" readingOrder="0" vertical="center"/>
    </xf>
    <xf borderId="21" fillId="2" fontId="23" numFmtId="0" xfId="0" applyBorder="1" applyFont="1"/>
    <xf borderId="21" fillId="6" fontId="88" numFmtId="0" xfId="0" applyAlignment="1" applyBorder="1" applyFont="1">
      <alignment readingOrder="0"/>
    </xf>
    <xf borderId="21" fillId="2" fontId="23" numFmtId="0" xfId="0" applyAlignment="1" applyBorder="1" applyFont="1">
      <alignment readingOrder="0"/>
    </xf>
    <xf borderId="21" fillId="6" fontId="88" numFmtId="49" xfId="0" applyAlignment="1" applyBorder="1" applyFont="1" applyNumberFormat="1">
      <alignment readingOrder="0"/>
    </xf>
    <xf borderId="29" fillId="2" fontId="23" numFmtId="0" xfId="0" applyBorder="1" applyFont="1"/>
    <xf borderId="29" fillId="6" fontId="23" numFmtId="0" xfId="0" applyBorder="1" applyFont="1"/>
    <xf borderId="21" fillId="6" fontId="88" numFmtId="0" xfId="0" applyAlignment="1" applyBorder="1" applyFont="1">
      <alignment horizontal="center" readingOrder="0" vertical="center"/>
    </xf>
    <xf borderId="25" fillId="6" fontId="89" numFmtId="0" xfId="0" applyAlignment="1" applyBorder="1" applyFont="1">
      <alignment horizontal="center" readingOrder="0" textRotation="0" vertical="center"/>
    </xf>
    <xf borderId="21" fillId="2" fontId="90" numFmtId="0" xfId="0" applyBorder="1" applyFont="1"/>
    <xf borderId="0" fillId="2" fontId="1" numFmtId="0" xfId="0" applyAlignment="1" applyFont="1">
      <alignment horizontal="left"/>
    </xf>
    <xf borderId="25" fillId="6" fontId="91" numFmtId="0" xfId="0" applyAlignment="1" applyBorder="1" applyFont="1">
      <alignment horizontal="center" readingOrder="0" textRotation="90" vertical="center"/>
    </xf>
    <xf borderId="52" fillId="6" fontId="92" numFmtId="0" xfId="0" applyAlignment="1" applyBorder="1" applyFont="1">
      <alignment horizontal="center" readingOrder="0"/>
    </xf>
    <xf borderId="53" fillId="0" fontId="5" numFmtId="0" xfId="0" applyBorder="1" applyFont="1"/>
    <xf borderId="0" fillId="2" fontId="30" numFmtId="0" xfId="0" applyAlignment="1" applyFont="1">
      <alignment horizontal="center"/>
    </xf>
    <xf borderId="52" fillId="6" fontId="93" numFmtId="0" xfId="0" applyAlignment="1" applyBorder="1" applyFont="1">
      <alignment horizontal="center" readingOrder="0"/>
    </xf>
    <xf borderId="21" fillId="6" fontId="94" numFmtId="0" xfId="0" applyAlignment="1" applyBorder="1" applyFont="1">
      <alignment readingOrder="0"/>
    </xf>
    <xf borderId="21" fillId="2" fontId="14" numFmtId="0" xfId="0" applyAlignment="1" applyBorder="1" applyFont="1">
      <alignment readingOrder="0"/>
    </xf>
    <xf borderId="21" fillId="2" fontId="14" numFmtId="49" xfId="0" applyBorder="1" applyFont="1" applyNumberFormat="1"/>
    <xf borderId="21" fillId="2" fontId="14" numFmtId="0" xfId="0" applyBorder="1" applyFont="1"/>
    <xf borderId="25" fillId="2" fontId="14" numFmtId="0" xfId="0" applyAlignment="1" applyBorder="1" applyFont="1">
      <alignment horizontal="left" readingOrder="0" shrinkToFit="0" vertical="top" wrapText="1"/>
    </xf>
    <xf borderId="0" fillId="2" fontId="95" numFmtId="0" xfId="0" applyAlignment="1" applyFont="1">
      <alignment horizontal="center" readingOrder="0"/>
    </xf>
    <xf borderId="0" fillId="2" fontId="1" numFmtId="0" xfId="0" applyAlignment="1" applyFont="1">
      <alignment horizontal="center" readingOrder="0" textRotation="90" vertical="center"/>
    </xf>
    <xf borderId="0" fillId="2" fontId="96" numFmtId="0" xfId="0" applyAlignment="1" applyFont="1">
      <alignment horizontal="center" readingOrder="0"/>
    </xf>
    <xf borderId="54" fillId="2" fontId="96" numFmtId="0" xfId="0" applyAlignment="1" applyBorder="1" applyFont="1">
      <alignment horizontal="center" readingOrder="0"/>
    </xf>
    <xf borderId="22" fillId="6" fontId="91" numFmtId="0" xfId="0" applyAlignment="1" applyBorder="1" applyFont="1">
      <alignment horizontal="center" readingOrder="0" textRotation="90" vertical="center"/>
    </xf>
    <xf borderId="7" fillId="4" fontId="56" numFmtId="0" xfId="0" applyAlignment="1" applyBorder="1" applyFont="1">
      <alignment horizontal="center" shrinkToFit="0" vertical="center" wrapText="1"/>
    </xf>
    <xf borderId="1" fillId="7" fontId="34" numFmtId="0" xfId="0" applyAlignment="1" applyBorder="1" applyFont="1">
      <alignment horizontal="center" readingOrder="0" vertical="center"/>
    </xf>
    <xf borderId="1" fillId="7" fontId="50" numFmtId="49" xfId="0" applyAlignment="1" applyBorder="1" applyFont="1" applyNumberFormat="1">
      <alignment horizontal="right" readingOrder="0" vertical="top"/>
    </xf>
    <xf borderId="7" fillId="7" fontId="34" numFmtId="0" xfId="0" applyAlignment="1" applyBorder="1" applyFont="1">
      <alignment horizontal="center" readingOrder="0" vertical="center"/>
    </xf>
    <xf borderId="1" fillId="5" fontId="56" numFmtId="0" xfId="0" applyAlignment="1" applyBorder="1" applyFont="1">
      <alignment horizontal="center" shrinkToFit="0" vertical="center" wrapText="1"/>
    </xf>
    <xf borderId="54" fillId="2" fontId="95" numFmtId="0" xfId="0" applyAlignment="1" applyBorder="1" applyFont="1">
      <alignment horizontal="center" readingOrder="0"/>
    </xf>
    <xf borderId="55" fillId="0" fontId="5" numFmtId="0" xfId="0" applyBorder="1" applyFont="1"/>
    <xf borderId="21" fillId="6" fontId="92" numFmtId="0" xfId="0" applyAlignment="1" applyBorder="1" applyFont="1">
      <alignment horizontal="center" readingOrder="0"/>
    </xf>
    <xf borderId="52" fillId="2" fontId="14" numFmtId="0" xfId="0" applyAlignment="1" applyBorder="1" applyFont="1">
      <alignment readingOrder="0"/>
    </xf>
    <xf borderId="7" fillId="5" fontId="56" numFmtId="0" xfId="0" applyAlignment="1" applyBorder="1" applyFont="1">
      <alignment horizontal="center" shrinkToFit="0" vertical="center" wrapText="1"/>
    </xf>
    <xf borderId="0" fillId="2" fontId="14" numFmtId="0" xfId="0" applyAlignment="1" applyFont="1">
      <alignment readingOrder="0"/>
    </xf>
    <xf borderId="56" fillId="4" fontId="30" numFmtId="0" xfId="0" applyAlignment="1" applyBorder="1" applyFont="1">
      <alignment horizontal="center"/>
    </xf>
    <xf borderId="32" fillId="2" fontId="97" numFmtId="0" xfId="0" applyAlignment="1" applyBorder="1" applyFont="1">
      <alignment horizontal="left" readingOrder="0" vertical="center"/>
    </xf>
    <xf borderId="0" fillId="4" fontId="83" numFmtId="0" xfId="0" applyAlignment="1" applyFont="1">
      <alignment horizontal="center" readingOrder="0" vertical="center"/>
    </xf>
    <xf borderId="0" fillId="2" fontId="96" numFmtId="0" xfId="0" applyAlignment="1" applyFont="1">
      <alignment horizontal="left" shrinkToFit="0" vertical="bottom" wrapText="0"/>
    </xf>
    <xf borderId="0" fillId="2" fontId="90" numFmtId="0" xfId="0" applyAlignment="1" applyFont="1">
      <alignment horizontal="left" shrinkToFit="0" vertical="bottom" wrapText="0"/>
    </xf>
    <xf borderId="0" fillId="2" fontId="98" numFmtId="0" xfId="0" applyAlignment="1" applyFont="1">
      <alignment horizontal="right" readingOrder="0" shrinkToFit="0" vertical="bottom" wrapText="0"/>
    </xf>
    <xf borderId="0" fillId="2" fontId="98" numFmtId="0" xfId="0" applyAlignment="1" applyFont="1">
      <alignment vertical="bottom"/>
    </xf>
    <xf borderId="0" fillId="10" fontId="99" numFmtId="0" xfId="0" applyAlignment="1" applyFill="1" applyFont="1">
      <alignment shrinkToFit="0" vertical="bottom" wrapText="1"/>
    </xf>
    <xf borderId="0" fillId="10" fontId="99" numFmtId="0" xfId="0" applyAlignment="1" applyFont="1">
      <alignment horizontal="center" shrinkToFit="0" vertical="bottom" wrapText="1"/>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shrinkToFit="0" vertical="bottom" wrapText="1"/>
    </xf>
    <xf borderId="6" fillId="4" fontId="1" numFmtId="0" xfId="0" applyBorder="1" applyFont="1"/>
    <xf borderId="0" fillId="5" fontId="1" numFmtId="0" xfId="0" applyFont="1"/>
    <xf borderId="4" fillId="7" fontId="30" numFmtId="0" xfId="0" applyAlignment="1" applyBorder="1" applyFont="1">
      <alignment horizontal="center"/>
    </xf>
    <xf borderId="0" fillId="7" fontId="30" numFmtId="0" xfId="0" applyAlignment="1" applyFont="1">
      <alignment horizontal="center"/>
    </xf>
    <xf borderId="57" fillId="7" fontId="30" numFmtId="0" xfId="0" applyAlignment="1" applyBorder="1" applyFont="1">
      <alignment horizontal="center"/>
    </xf>
    <xf borderId="0" fillId="4" fontId="30" numFmtId="0" xfId="0" applyAlignment="1" applyFont="1">
      <alignment horizontal="center"/>
    </xf>
    <xf borderId="0" fillId="0" fontId="1" numFmtId="49" xfId="0" applyAlignment="1" applyFont="1" applyNumberFormat="1">
      <alignment vertical="bottom"/>
    </xf>
    <xf borderId="0" fillId="0" fontId="9" numFmtId="0" xfId="0" applyFont="1"/>
    <xf borderId="4" fillId="7" fontId="83" numFmtId="0" xfId="0" applyAlignment="1" applyBorder="1" applyFont="1">
      <alignment horizontal="center" readingOrder="0" vertical="center"/>
    </xf>
    <xf borderId="0" fillId="7" fontId="83" numFmtId="0" xfId="0" applyAlignment="1" applyFont="1">
      <alignment horizontal="center" readingOrder="0" vertical="center"/>
    </xf>
    <xf borderId="6" fillId="7" fontId="1" numFmtId="0" xfId="0" applyBorder="1" applyFont="1"/>
    <xf borderId="4" fillId="4" fontId="30" numFmtId="0" xfId="0" applyAlignment="1" applyBorder="1" applyFont="1">
      <alignment horizontal="center"/>
    </xf>
    <xf borderId="0" fillId="0" fontId="1" numFmtId="0" xfId="0" applyFont="1"/>
    <xf borderId="0" fillId="2" fontId="100" numFmtId="0" xfId="0" applyAlignment="1" applyFont="1">
      <alignment vertical="bottom"/>
    </xf>
    <xf borderId="0" fillId="2" fontId="100" numFmtId="0" xfId="0" applyFont="1"/>
    <xf borderId="0" fillId="2" fontId="101" numFmtId="0" xfId="0" applyFont="1"/>
    <xf borderId="0" fillId="2" fontId="100" numFmtId="49" xfId="0" applyFont="1" applyNumberFormat="1"/>
    <xf borderId="0" fillId="2" fontId="100" numFmtId="0" xfId="0" applyAlignment="1" applyFont="1">
      <alignment vertical="bottom"/>
    </xf>
    <xf borderId="0" fillId="2" fontId="102" numFmtId="0" xfId="0" applyAlignment="1" applyFont="1">
      <alignment vertical="bottom"/>
    </xf>
    <xf borderId="58" fillId="2" fontId="103" numFmtId="0" xfId="0" applyAlignment="1" applyBorder="1" applyFont="1">
      <alignment horizontal="right" shrinkToFit="0" wrapText="0"/>
    </xf>
    <xf borderId="0" fillId="2" fontId="40" numFmtId="0" xfId="0" applyAlignment="1" applyFont="1">
      <alignment horizontal="center" readingOrder="0" vertical="center"/>
    </xf>
    <xf borderId="0" fillId="2" fontId="40" numFmtId="0" xfId="0" applyAlignment="1" applyFont="1">
      <alignment horizontal="center"/>
    </xf>
    <xf borderId="0" fillId="2" fontId="40" numFmtId="3" xfId="0" applyAlignment="1" applyFont="1" applyNumberFormat="1">
      <alignment horizontal="center"/>
    </xf>
    <xf borderId="0" fillId="2" fontId="100" numFmtId="49" xfId="0" applyAlignment="1" applyFont="1" applyNumberFormat="1">
      <alignment vertical="bottom"/>
    </xf>
    <xf borderId="0" fillId="2" fontId="40" numFmtId="49" xfId="0" applyAlignment="1" applyFont="1" applyNumberFormat="1">
      <alignment horizontal="center" readingOrder="0" vertical="center"/>
    </xf>
    <xf borderId="0" fillId="2" fontId="104" numFmtId="49" xfId="0" applyAlignment="1" applyFont="1" applyNumberFormat="1">
      <alignment readingOrder="0"/>
    </xf>
    <xf borderId="0" fillId="2" fontId="104" numFmtId="3" xfId="0" applyAlignment="1" applyFont="1" applyNumberFormat="1">
      <alignment readingOrder="0"/>
    </xf>
    <xf borderId="59" fillId="6" fontId="14" numFmtId="49" xfId="0" applyAlignment="1" applyBorder="1" applyFont="1" applyNumberFormat="1">
      <alignment horizontal="left" readingOrder="0" shrinkToFit="0" vertical="center" wrapText="1"/>
    </xf>
    <xf borderId="60" fillId="6" fontId="14" numFmtId="49" xfId="0" applyAlignment="1" applyBorder="1" applyFont="1" applyNumberFormat="1">
      <alignment horizontal="left" readingOrder="0" shrinkToFit="0" vertical="center" wrapText="1"/>
    </xf>
    <xf borderId="60" fillId="6" fontId="105" numFmtId="49" xfId="0" applyAlignment="1" applyBorder="1" applyFont="1" applyNumberFormat="1">
      <alignment horizontal="left" readingOrder="0" shrinkToFit="0" vertical="center" wrapText="1"/>
    </xf>
    <xf borderId="60" fillId="6" fontId="14" numFmtId="49" xfId="0" applyAlignment="1" applyBorder="1" applyFont="1" applyNumberFormat="1">
      <alignment horizontal="left" readingOrder="0" shrinkToFit="0" textRotation="0" vertical="center" wrapText="1"/>
    </xf>
    <xf borderId="60" fillId="6" fontId="106" numFmtId="49" xfId="0" applyAlignment="1" applyBorder="1" applyFont="1" applyNumberFormat="1">
      <alignment horizontal="center" readingOrder="0" shrinkToFit="0" vertical="center" wrapText="1"/>
    </xf>
    <xf borderId="60" fillId="6" fontId="40" numFmtId="49" xfId="0" applyAlignment="1" applyBorder="1" applyFont="1" applyNumberFormat="1">
      <alignment horizontal="left" readingOrder="0" shrinkToFit="0" vertical="center" wrapText="1"/>
    </xf>
    <xf borderId="58" fillId="2" fontId="103" numFmtId="0" xfId="0" applyAlignment="1" applyBorder="1" applyFont="1">
      <alignment horizontal="right" readingOrder="0" shrinkToFit="0" vertical="center" wrapText="0"/>
    </xf>
    <xf borderId="0" fillId="0" fontId="23" numFmtId="49" xfId="0" applyAlignment="1" applyFont="1" applyNumberFormat="1">
      <alignment horizontal="left" readingOrder="0" shrinkToFit="0" vertical="center" wrapText="1"/>
    </xf>
    <xf borderId="61" fillId="2" fontId="14" numFmtId="0" xfId="0" applyAlignment="1" applyBorder="1" applyFont="1">
      <alignment horizontal="center" shrinkToFit="0" vertical="center" wrapText="0"/>
    </xf>
    <xf borderId="62" fillId="6" fontId="100" numFmtId="0" xfId="0" applyAlignment="1" applyBorder="1" applyFont="1">
      <alignment shrinkToFit="0" vertical="center" wrapText="0"/>
    </xf>
    <xf borderId="63" fillId="2" fontId="107" numFmtId="0" xfId="0" applyAlignment="1" applyBorder="1" applyFont="1">
      <alignment shrinkToFit="0" vertical="center" wrapText="0"/>
    </xf>
    <xf borderId="63" fillId="2" fontId="40" numFmtId="0" xfId="0" applyAlignment="1" applyBorder="1" applyFont="1">
      <alignment horizontal="right" shrinkToFit="0" textRotation="0" vertical="center" wrapText="0"/>
    </xf>
    <xf borderId="63" fillId="2" fontId="52" numFmtId="49" xfId="0" applyAlignment="1" applyBorder="1" applyFont="1" applyNumberFormat="1">
      <alignment horizontal="center" shrinkToFit="0" vertical="center" wrapText="0"/>
    </xf>
    <xf borderId="63" fillId="2" fontId="100" numFmtId="0" xfId="0" applyAlignment="1" applyBorder="1" applyFont="1">
      <alignment shrinkToFit="0" vertical="center" wrapText="0"/>
    </xf>
    <xf borderId="63" fillId="2" fontId="100" numFmtId="49" xfId="0" applyAlignment="1" applyBorder="1" applyFont="1" applyNumberFormat="1">
      <alignment shrinkToFit="0" vertical="center" wrapText="0"/>
    </xf>
    <xf borderId="63" fillId="2" fontId="40" numFmtId="0" xfId="0" applyAlignment="1" applyBorder="1" applyFont="1">
      <alignment horizontal="center" shrinkToFit="0" vertical="center" wrapText="0"/>
    </xf>
    <xf borderId="63" fillId="2" fontId="40" numFmtId="0" xfId="0" applyAlignment="1" applyBorder="1" applyFont="1">
      <alignment shrinkToFit="0" vertical="center" wrapText="1"/>
    </xf>
    <xf borderId="63" fillId="2" fontId="100" numFmtId="0" xfId="0" applyAlignment="1" applyBorder="1" applyFont="1">
      <alignment horizontal="center" shrinkToFit="0" vertical="center" wrapText="0"/>
    </xf>
    <xf borderId="63" fillId="2" fontId="102" numFmtId="0" xfId="0" applyAlignment="1" applyBorder="1" applyFont="1">
      <alignment shrinkToFit="0" vertical="center" wrapText="0"/>
    </xf>
    <xf borderId="63" fillId="2" fontId="14" numFmtId="0" xfId="0" applyAlignment="1" applyBorder="1" applyFont="1">
      <alignment horizontal="right" shrinkToFit="0" vertical="center" wrapText="0"/>
    </xf>
    <xf borderId="58" fillId="2" fontId="103" numFmtId="0" xfId="0" applyAlignment="1" applyBorder="1" applyFont="1">
      <alignment horizontal="right" shrinkToFit="0" vertical="center" wrapText="0"/>
    </xf>
    <xf borderId="0" fillId="0" fontId="52" numFmtId="0" xfId="0" applyAlignment="1" applyFont="1">
      <alignment horizontal="center" readingOrder="0" shrinkToFit="0" vertical="center" wrapText="0"/>
    </xf>
    <xf borderId="0" fillId="0" fontId="40" numFmtId="0" xfId="0" applyAlignment="1" applyFont="1">
      <alignment horizontal="center" readingOrder="0" shrinkToFit="0" vertical="center" wrapText="0"/>
    </xf>
    <xf borderId="0" fillId="0" fontId="40" numFmtId="0" xfId="0" applyAlignment="1" applyFont="1">
      <alignment readingOrder="0" shrinkToFit="0" vertical="center" wrapText="0"/>
    </xf>
    <xf borderId="62" fillId="6" fontId="108" numFmtId="0" xfId="0" applyAlignment="1" applyBorder="1" applyFont="1">
      <alignment shrinkToFit="0" vertical="center" wrapText="0"/>
    </xf>
    <xf borderId="62" fillId="6" fontId="40" numFmtId="0" xfId="0" applyAlignment="1" applyBorder="1" applyFont="1">
      <alignment horizontal="right" shrinkToFit="0" textRotation="0" vertical="center" wrapText="0"/>
    </xf>
    <xf borderId="62" fillId="6" fontId="52" numFmtId="49" xfId="0" applyAlignment="1" applyBorder="1" applyFont="1" applyNumberFormat="1">
      <alignment horizontal="center" shrinkToFit="0" vertical="center" wrapText="0"/>
    </xf>
    <xf borderId="62" fillId="6" fontId="52" numFmtId="0" xfId="0" applyAlignment="1" applyBorder="1" applyFont="1">
      <alignment shrinkToFit="0" vertical="center" wrapText="1"/>
    </xf>
    <xf borderId="62" fillId="6" fontId="40" numFmtId="0" xfId="0" applyAlignment="1" applyBorder="1" applyFont="1">
      <alignment horizontal="center" shrinkToFit="0" vertical="center" wrapText="0"/>
    </xf>
    <xf borderId="62" fillId="6" fontId="109" numFmtId="0" xfId="0" applyAlignment="1" applyBorder="1" applyFont="1">
      <alignment shrinkToFit="0" vertical="center" wrapText="0"/>
    </xf>
    <xf borderId="62" fillId="6" fontId="100" numFmtId="49" xfId="0" applyAlignment="1" applyBorder="1" applyFont="1" applyNumberFormat="1">
      <alignment shrinkToFit="0" vertical="center" wrapText="0"/>
    </xf>
    <xf borderId="62" fillId="6" fontId="40" numFmtId="0" xfId="0" applyAlignment="1" applyBorder="1" applyFont="1">
      <alignment shrinkToFit="0" vertical="center" wrapText="1"/>
    </xf>
    <xf borderId="62" fillId="6" fontId="100" numFmtId="0" xfId="0" applyAlignment="1" applyBorder="1" applyFont="1">
      <alignment horizontal="center" shrinkToFit="0" vertical="center" wrapText="0"/>
    </xf>
    <xf borderId="62" fillId="6" fontId="102" numFmtId="0" xfId="0" applyAlignment="1" applyBorder="1" applyFont="1">
      <alignment shrinkToFit="0" vertical="center" wrapText="0"/>
    </xf>
    <xf borderId="62" fillId="6" fontId="14" numFmtId="0" xfId="0" applyAlignment="1" applyBorder="1" applyFont="1">
      <alignment horizontal="right" shrinkToFit="0" vertical="center" wrapText="0"/>
    </xf>
    <xf borderId="63" fillId="2" fontId="52" numFmtId="0" xfId="0" applyAlignment="1" applyBorder="1" applyFont="1">
      <alignment shrinkToFit="0" vertical="center" wrapText="1"/>
    </xf>
    <xf borderId="63" fillId="2" fontId="40" numFmtId="49" xfId="0" applyAlignment="1" applyBorder="1" applyFont="1" applyNumberFormat="1">
      <alignment shrinkToFit="0" vertical="center" wrapText="1"/>
    </xf>
    <xf borderId="63" fillId="2" fontId="110" numFmtId="0" xfId="0" applyAlignment="1" applyBorder="1" applyFont="1">
      <alignment shrinkToFit="0" vertical="center" wrapText="0"/>
    </xf>
    <xf borderId="63" fillId="2" fontId="111" numFmtId="0" xfId="0" applyAlignment="1" applyBorder="1" applyFont="1">
      <alignment horizontal="right" shrinkToFit="0" vertical="center" wrapText="0"/>
    </xf>
    <xf borderId="62" fillId="6" fontId="112" numFmtId="0" xfId="0" applyAlignment="1" applyBorder="1" applyFont="1">
      <alignment shrinkToFit="0" vertical="center" wrapText="0"/>
    </xf>
    <xf borderId="62" fillId="6" fontId="40" numFmtId="49" xfId="0" applyAlignment="1" applyBorder="1" applyFont="1" applyNumberFormat="1">
      <alignment shrinkToFit="0" vertical="center" wrapText="1"/>
    </xf>
    <xf borderId="62" fillId="6" fontId="111" numFmtId="0" xfId="0" applyAlignment="1" applyBorder="1" applyFont="1">
      <alignment horizontal="right" shrinkToFit="0" vertical="center" wrapText="0"/>
    </xf>
    <xf borderId="62" fillId="6" fontId="102" numFmtId="0" xfId="0" applyAlignment="1" applyBorder="1" applyFont="1">
      <alignment shrinkToFit="0" vertical="center" wrapText="0"/>
    </xf>
    <xf borderId="63" fillId="2" fontId="52" numFmtId="0" xfId="0" applyAlignment="1" applyBorder="1" applyFont="1">
      <alignment horizontal="center" shrinkToFit="0" vertical="center" wrapText="0"/>
    </xf>
    <xf borderId="62" fillId="6" fontId="52" numFmtId="0" xfId="0" applyAlignment="1" applyBorder="1" applyFont="1">
      <alignment horizontal="center" shrinkToFit="0" vertical="center" wrapText="0"/>
    </xf>
    <xf borderId="63" fillId="2" fontId="113" numFmtId="0" xfId="0" applyAlignment="1" applyBorder="1" applyFont="1">
      <alignment shrinkToFit="0" vertical="center" wrapText="0"/>
    </xf>
    <xf borderId="63" fillId="2" fontId="114" numFmtId="0" xfId="0" applyAlignment="1" applyBorder="1" applyFont="1">
      <alignment horizontal="right" shrinkToFit="0" vertical="center" wrapText="0"/>
    </xf>
    <xf borderId="62" fillId="6" fontId="115" numFmtId="0" xfId="0" applyAlignment="1" applyBorder="1" applyFont="1">
      <alignment shrinkToFit="0" vertical="center" wrapText="0"/>
    </xf>
    <xf borderId="62" fillId="6" fontId="114" numFmtId="0" xfId="0" applyAlignment="1" applyBorder="1" applyFont="1">
      <alignment horizontal="right" shrinkToFit="0" vertical="center" wrapText="0"/>
    </xf>
    <xf borderId="64" fillId="11" fontId="40" numFmtId="0" xfId="0" applyAlignment="1" applyBorder="1" applyFill="1" applyFont="1">
      <alignment shrinkToFit="0" vertical="center" wrapText="1"/>
    </xf>
    <xf borderId="63" fillId="2" fontId="40" numFmtId="0" xfId="0" applyAlignment="1" applyBorder="1" applyFont="1">
      <alignment horizontal="center" shrinkToFit="0" vertical="center" wrapText="0"/>
    </xf>
    <xf borderId="63" fillId="2" fontId="40" numFmtId="0" xfId="0" applyAlignment="1" applyBorder="1" applyFont="1">
      <alignment shrinkToFit="0" vertical="center" wrapText="1"/>
    </xf>
    <xf borderId="62" fillId="6" fontId="40" numFmtId="0" xfId="0" applyAlignment="1" applyBorder="1" applyFont="1">
      <alignment horizontal="center" shrinkToFit="0" vertical="center" wrapText="0"/>
    </xf>
    <xf borderId="63" fillId="2" fontId="116" numFmtId="0" xfId="0" applyAlignment="1" applyBorder="1" applyFont="1">
      <alignment shrinkToFit="0" vertical="center" wrapText="0"/>
    </xf>
    <xf borderId="63" fillId="2" fontId="103" numFmtId="0" xfId="0" applyAlignment="1" applyBorder="1" applyFont="1">
      <alignment horizontal="right" shrinkToFit="0" vertical="center" wrapText="0"/>
    </xf>
    <xf borderId="62" fillId="6" fontId="103" numFmtId="0" xfId="0" applyAlignment="1" applyBorder="1" applyFont="1">
      <alignment horizontal="right" shrinkToFit="0" vertical="center" wrapText="0"/>
    </xf>
    <xf borderId="63" fillId="2" fontId="102" numFmtId="0" xfId="0" applyAlignment="1" applyBorder="1" applyFont="1">
      <alignment shrinkToFit="0" vertical="center" wrapText="0"/>
    </xf>
    <xf borderId="62" fillId="6" fontId="117" numFmtId="0" xfId="0" applyAlignment="1" applyBorder="1" applyFont="1">
      <alignment shrinkToFit="0" vertical="center" wrapText="0"/>
    </xf>
    <xf borderId="62" fillId="6" fontId="40" numFmtId="0" xfId="0" applyAlignment="1" applyBorder="1" applyFont="1">
      <alignment shrinkToFit="0" vertical="center" wrapText="1"/>
    </xf>
    <xf borderId="63" fillId="6" fontId="40" numFmtId="0" xfId="0" applyAlignment="1" applyBorder="1" applyFont="1">
      <alignment shrinkToFit="0" vertical="center" wrapText="1"/>
    </xf>
    <xf borderId="63" fillId="6" fontId="102" numFmtId="0" xfId="0" applyAlignment="1" applyBorder="1" applyFont="1">
      <alignment shrinkToFit="0" vertical="center" wrapText="0"/>
    </xf>
    <xf borderId="63" fillId="2" fontId="100" numFmtId="0" xfId="0" applyAlignment="1" applyBorder="1" applyFont="1">
      <alignment horizontal="center" readingOrder="0" shrinkToFit="0" vertical="center" wrapText="0"/>
    </xf>
    <xf borderId="63" fillId="2" fontId="102" numFmtId="0" xfId="0" applyAlignment="1" applyBorder="1" applyFont="1">
      <alignment readingOrder="0" shrinkToFit="0" vertical="center" wrapText="1"/>
    </xf>
    <xf borderId="65" fillId="2" fontId="100" numFmtId="0" xfId="0" applyAlignment="1" applyBorder="1" applyFont="1">
      <alignment shrinkToFit="0" vertical="center" wrapText="0"/>
    </xf>
    <xf borderId="65" fillId="2" fontId="118" numFmtId="0" xfId="0" applyAlignment="1" applyBorder="1" applyFont="1">
      <alignment shrinkToFit="0" vertical="center" wrapText="0"/>
    </xf>
    <xf borderId="65" fillId="2" fontId="40" numFmtId="0" xfId="0" applyAlignment="1" applyBorder="1" applyFont="1">
      <alignment horizontal="right" shrinkToFit="0" textRotation="0" vertical="center" wrapText="0"/>
    </xf>
    <xf borderId="65" fillId="2" fontId="52" numFmtId="49" xfId="0" applyAlignment="1" applyBorder="1" applyFont="1" applyNumberFormat="1">
      <alignment horizontal="center" shrinkToFit="0" vertical="center" wrapText="0"/>
    </xf>
    <xf borderId="65" fillId="2" fontId="52" numFmtId="0" xfId="0" applyAlignment="1" applyBorder="1" applyFont="1">
      <alignment shrinkToFit="0" vertical="center" wrapText="1"/>
    </xf>
    <xf borderId="65" fillId="2" fontId="40" numFmtId="0" xfId="0" applyAlignment="1" applyBorder="1" applyFont="1">
      <alignment horizontal="center" shrinkToFit="0" vertical="center" wrapText="0"/>
    </xf>
    <xf borderId="65" fillId="2" fontId="40" numFmtId="0" xfId="0" applyAlignment="1" applyBorder="1" applyFont="1">
      <alignment shrinkToFit="0" vertical="center" wrapText="1"/>
    </xf>
    <xf borderId="65" fillId="2" fontId="40" numFmtId="49" xfId="0" applyAlignment="1" applyBorder="1" applyFont="1" applyNumberFormat="1">
      <alignment shrinkToFit="0" vertical="center" wrapText="1"/>
    </xf>
    <xf borderId="65" fillId="2" fontId="100" numFmtId="0" xfId="0" applyAlignment="1" applyBorder="1" applyFont="1">
      <alignment horizontal="center" shrinkToFit="0" vertical="center" wrapText="0"/>
    </xf>
    <xf borderId="65" fillId="2" fontId="102" numFmtId="0" xfId="0" applyAlignment="1" applyBorder="1" applyFont="1">
      <alignment shrinkToFit="0" vertical="center" wrapText="0"/>
    </xf>
    <xf borderId="65" fillId="2" fontId="103" numFmtId="0" xfId="0" applyAlignment="1" applyBorder="1" applyFont="1">
      <alignment horizontal="right" shrinkToFit="0" vertical="center" wrapText="0"/>
    </xf>
    <xf borderId="0" fillId="6" fontId="100" numFmtId="0" xfId="0" applyAlignment="1" applyFont="1">
      <alignment readingOrder="0" shrinkToFit="0" vertical="center" wrapText="0"/>
    </xf>
    <xf borderId="0" fillId="6" fontId="40" numFmtId="0" xfId="0" applyAlignment="1" applyFont="1">
      <alignment horizontal="right" shrinkToFit="0" textRotation="0" vertical="center" wrapText="0"/>
    </xf>
    <xf borderId="0" fillId="6" fontId="52" numFmtId="49" xfId="0" applyAlignment="1" applyFont="1" applyNumberFormat="1">
      <alignment horizontal="center" shrinkToFit="0" vertical="center" wrapText="0"/>
    </xf>
    <xf borderId="0" fillId="6" fontId="52" numFmtId="0" xfId="0" applyAlignment="1" applyFont="1">
      <alignment shrinkToFit="0" vertical="center" wrapText="1"/>
    </xf>
    <xf borderId="0" fillId="6" fontId="100" numFmtId="0" xfId="0" applyAlignment="1" applyFont="1">
      <alignment shrinkToFit="0" vertical="center" wrapText="0"/>
    </xf>
    <xf borderId="0" fillId="6" fontId="40" numFmtId="0" xfId="0" applyAlignment="1" applyFont="1">
      <alignment horizontal="center" shrinkToFit="0" vertical="center" wrapText="0"/>
    </xf>
    <xf borderId="0" fillId="6" fontId="40" numFmtId="0" xfId="0" applyAlignment="1" applyFont="1">
      <alignment shrinkToFit="0" vertical="center" wrapText="1"/>
    </xf>
    <xf borderId="0" fillId="6" fontId="100" numFmtId="49" xfId="0" applyAlignment="1" applyFont="1" applyNumberFormat="1">
      <alignment shrinkToFit="0" vertical="center" wrapText="0"/>
    </xf>
    <xf borderId="0" fillId="6" fontId="100" numFmtId="0" xfId="0" applyAlignment="1" applyFont="1">
      <alignment horizontal="center" shrinkToFit="0" vertical="center" wrapText="0"/>
    </xf>
    <xf borderId="0" fillId="6" fontId="102" numFmtId="0" xfId="0" applyAlignment="1" applyFont="1">
      <alignment shrinkToFit="0" vertical="center" wrapText="0"/>
    </xf>
    <xf borderId="0" fillId="6" fontId="114" numFmtId="0" xfId="0" applyAlignment="1" applyFont="1">
      <alignment horizontal="right" shrinkToFit="0" vertical="center" wrapText="0"/>
    </xf>
    <xf borderId="0" fillId="2" fontId="14" numFmtId="0" xfId="0" applyAlignment="1" applyFont="1">
      <alignment horizontal="center" shrinkToFit="0" vertical="center" wrapText="0"/>
    </xf>
    <xf borderId="0" fillId="2" fontId="119" numFmtId="0" xfId="0" applyAlignment="1" applyFont="1">
      <alignment shrinkToFit="0" vertical="center" wrapText="0"/>
    </xf>
    <xf borderId="0" fillId="2" fontId="120" numFmtId="0" xfId="0" applyAlignment="1" applyFont="1">
      <alignment horizontal="left" readingOrder="0" vertical="center"/>
    </xf>
    <xf borderId="0" fillId="2" fontId="101" numFmtId="0" xfId="0" applyAlignment="1" applyFont="1">
      <alignment horizontal="left" readingOrder="0" shrinkToFit="0" textRotation="0" vertical="center" wrapText="0"/>
    </xf>
    <xf borderId="0" fillId="2" fontId="52" numFmtId="49" xfId="0" applyAlignment="1" applyFont="1" applyNumberFormat="1">
      <alignment horizontal="center" readingOrder="0" vertical="center"/>
    </xf>
    <xf borderId="0" fillId="2" fontId="40" numFmtId="0" xfId="0" applyFont="1"/>
    <xf borderId="0" fillId="2" fontId="40" numFmtId="0" xfId="0" applyAlignment="1" applyFont="1">
      <alignment horizontal="left" shrinkToFit="0" wrapText="1"/>
    </xf>
    <xf borderId="0" fillId="2" fontId="69" numFmtId="0" xfId="0" applyAlignment="1" applyFont="1">
      <alignment horizontal="left" readingOrder="0" shrinkToFit="0" vertical="center" wrapText="1"/>
    </xf>
    <xf borderId="0" fillId="2" fontId="40" numFmtId="0" xfId="0" applyAlignment="1" applyFont="1">
      <alignment horizontal="left" readingOrder="0" shrinkToFit="0" wrapText="1"/>
    </xf>
    <xf borderId="0" fillId="2" fontId="40" numFmtId="0" xfId="0" applyAlignment="1" applyFont="1">
      <alignment readingOrder="0" shrinkToFit="0" wrapText="1"/>
    </xf>
    <xf borderId="0" fillId="2" fontId="40" numFmtId="0" xfId="0" applyAlignment="1" applyFont="1">
      <alignment horizontal="center" readingOrder="0"/>
    </xf>
    <xf borderId="0" fillId="2" fontId="40" numFmtId="0" xfId="0" applyAlignment="1" applyFont="1">
      <alignment readingOrder="0"/>
    </xf>
    <xf borderId="0" fillId="2" fontId="75" numFmtId="0" xfId="0" applyAlignment="1" applyFont="1">
      <alignment horizontal="left" readingOrder="0"/>
    </xf>
    <xf borderId="0" fillId="2" fontId="75" numFmtId="0" xfId="0" applyAlignment="1" applyFont="1">
      <alignment horizontal="center" readingOrder="0" textRotation="0"/>
    </xf>
    <xf borderId="0" fillId="2" fontId="121" numFmtId="0" xfId="0" applyAlignment="1" applyFont="1">
      <alignment horizontal="center" readingOrder="0" shrinkToFit="0" textRotation="0" vertical="center" wrapText="0"/>
    </xf>
    <xf borderId="0" fillId="2" fontId="52" numFmtId="0" xfId="0" applyAlignment="1" applyFont="1">
      <alignment horizontal="left" readingOrder="0" shrinkToFit="0" vertical="center" wrapText="1"/>
    </xf>
    <xf borderId="0" fillId="0" fontId="48" numFmtId="49" xfId="0" applyAlignment="1" applyFont="1" applyNumberFormat="1">
      <alignment horizontal="left" readingOrder="0" shrinkToFit="0" vertical="center" wrapText="1"/>
    </xf>
    <xf borderId="0" fillId="0" fontId="75" numFmtId="0" xfId="0" applyAlignment="1" applyFont="1">
      <alignment horizontal="left" readingOrder="0" shrinkToFit="0" vertical="center" wrapText="1"/>
    </xf>
    <xf borderId="0" fillId="0" fontId="48" numFmtId="0" xfId="0" applyAlignment="1" applyFont="1">
      <alignment horizontal="left" readingOrder="0" shrinkToFit="0" textRotation="0" vertical="center" wrapText="1"/>
    </xf>
    <xf borderId="0" fillId="0" fontId="48" numFmtId="49" xfId="0" applyAlignment="1" applyFont="1" applyNumberFormat="1">
      <alignment horizontal="center" readingOrder="0" shrinkToFit="0" vertical="center" wrapText="1"/>
    </xf>
    <xf borderId="0" fillId="0" fontId="48" numFmtId="0" xfId="0" applyAlignment="1" applyFont="1">
      <alignment horizontal="left" readingOrder="0" shrinkToFit="0" vertical="center" wrapText="1"/>
    </xf>
    <xf borderId="0" fillId="0" fontId="48" numFmtId="4" xfId="0" applyAlignment="1" applyFont="1" applyNumberFormat="1">
      <alignment horizontal="left" readingOrder="0" shrinkToFit="0" vertical="center" wrapText="1"/>
    </xf>
    <xf borderId="0" fillId="0" fontId="122" numFmtId="0" xfId="0" applyAlignment="1" applyFont="1">
      <alignment horizontal="left" readingOrder="0" shrinkToFit="0" vertical="center" wrapText="0"/>
    </xf>
    <xf borderId="0" fillId="0" fontId="48" numFmtId="49" xfId="0" applyAlignment="1" applyFont="1" applyNumberFormat="1">
      <alignment horizontal="center" readingOrder="0" shrinkToFit="0" textRotation="0" vertical="center" wrapText="0"/>
    </xf>
    <xf borderId="0" fillId="0" fontId="52" numFmtId="49" xfId="0" applyAlignment="1" applyFont="1" applyNumberFormat="1">
      <alignment horizontal="center" readingOrder="0" shrinkToFit="0" vertical="center" wrapText="0"/>
    </xf>
    <xf borderId="0" fillId="0" fontId="52" numFmtId="0" xfId="0" applyAlignment="1" applyFont="1">
      <alignment horizontal="left" readingOrder="0" shrinkToFit="0" vertical="center" wrapText="1"/>
    </xf>
    <xf borderId="0" fillId="0" fontId="52" numFmtId="0" xfId="0" applyAlignment="1" applyFont="1">
      <alignment horizontal="center" readingOrder="0" shrinkToFit="0" vertical="center" wrapText="0"/>
    </xf>
    <xf borderId="0" fillId="0" fontId="40" numFmtId="0" xfId="0" applyAlignment="1" applyFont="1">
      <alignment horizontal="left" readingOrder="0" shrinkToFit="0" vertical="center" wrapText="1"/>
    </xf>
    <xf borderId="0" fillId="0" fontId="40" numFmtId="49" xfId="0" applyAlignment="1" applyFont="1" applyNumberFormat="1">
      <alignment horizontal="left" readingOrder="0" shrinkToFit="0" vertical="center" wrapText="1"/>
    </xf>
    <xf borderId="0" fillId="0" fontId="40" numFmtId="0" xfId="0" applyAlignment="1" applyFont="1">
      <alignment readingOrder="0" shrinkToFit="0" vertical="center" wrapText="1"/>
    </xf>
    <xf borderId="0" fillId="0" fontId="40" numFmtId="0" xfId="0" applyAlignment="1" applyFont="1">
      <alignment readingOrder="0" shrinkToFit="0" vertical="center" wrapText="1"/>
    </xf>
    <xf borderId="0" fillId="0" fontId="40" numFmtId="0" xfId="0" applyAlignment="1" applyFont="1">
      <alignment horizontal="center" readingOrder="0" shrinkToFit="0" vertical="center" wrapText="0"/>
    </xf>
    <xf borderId="0" fillId="0" fontId="40" numFmtId="0" xfId="0" applyAlignment="1" applyFont="1">
      <alignment shrinkToFit="0" vertical="center" wrapText="1"/>
    </xf>
    <xf borderId="0" fillId="0" fontId="40" numFmtId="0" xfId="0" applyAlignment="1" applyFont="1">
      <alignment shrinkToFit="0" vertical="center" wrapText="0"/>
    </xf>
    <xf borderId="0" fillId="0" fontId="48" numFmtId="0" xfId="0" applyAlignment="1" applyFont="1">
      <alignment horizontal="center" readingOrder="0" shrinkToFit="0" textRotation="0" vertical="center" wrapText="0"/>
    </xf>
    <xf borderId="0" fillId="0" fontId="40" numFmtId="0" xfId="0" applyAlignment="1" applyFont="1">
      <alignment horizontal="left" readingOrder="0" shrinkToFit="0" vertical="center" wrapText="0"/>
    </xf>
    <xf borderId="0" fillId="0" fontId="9" numFmtId="49" xfId="0" applyFont="1" applyNumberFormat="1"/>
    <xf borderId="0" fillId="0" fontId="9" numFmtId="0" xfId="0" applyAlignment="1" applyFont="1">
      <alignment readingOrder="0"/>
    </xf>
    <xf borderId="0" fillId="0" fontId="123" numFmtId="0" xfId="0" applyAlignment="1" applyFont="1">
      <alignment readingOrder="0"/>
    </xf>
    <xf borderId="66" fillId="0" fontId="123" numFmtId="0" xfId="0" applyAlignment="1" applyBorder="1" applyFont="1">
      <alignment readingOrder="0"/>
    </xf>
    <xf borderId="0" fillId="0" fontId="9" numFmtId="49" xfId="0" applyAlignment="1" applyFont="1" applyNumberFormat="1">
      <alignment horizontal="left" readingOrder="0" shrinkToFit="0" vertical="center" wrapText="0"/>
    </xf>
    <xf borderId="0" fillId="0" fontId="9"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9" numFmtId="49" xfId="0" applyAlignment="1" applyFont="1" applyNumberFormat="1">
      <alignment readingOrder="0" shrinkToFit="0" vertical="center" wrapText="0"/>
    </xf>
    <xf borderId="0" fillId="0" fontId="9" numFmtId="0" xfId="0" applyAlignment="1" applyFont="1">
      <alignment shrinkToFit="0" vertical="center" wrapText="0"/>
    </xf>
    <xf borderId="0" fillId="0" fontId="9" numFmtId="0" xfId="0" applyAlignment="1" applyFont="1">
      <alignment readingOrder="0" shrinkToFit="0" vertical="center" wrapText="0"/>
    </xf>
    <xf borderId="0" fillId="0" fontId="9" numFmtId="0" xfId="0" applyAlignment="1" applyFont="1">
      <alignment shrinkToFit="0" vertical="center" wrapText="0"/>
    </xf>
    <xf borderId="0" fillId="0" fontId="9" numFmtId="49" xfId="0" applyAlignment="1" applyFont="1" applyNumberFormat="1">
      <alignment shrinkToFit="0" vertical="center" wrapText="0"/>
    </xf>
    <xf borderId="0" fillId="0" fontId="9" numFmtId="0" xfId="0" applyAlignment="1" applyFont="1">
      <alignment readingOrder="0" shrinkToFit="0" vertical="center" wrapText="0"/>
    </xf>
    <xf borderId="0" fillId="0" fontId="9" numFmtId="49" xfId="0" applyAlignment="1" applyFont="1" applyNumberFormat="1">
      <alignment readingOrder="0"/>
    </xf>
    <xf borderId="0" fillId="0" fontId="9" numFmtId="49" xfId="0" applyAlignment="1" applyFont="1" applyNumberFormat="1">
      <alignment readingOrder="0" shrinkToFit="0" vertical="center" wrapText="0"/>
    </xf>
    <xf borderId="0" fillId="0" fontId="9" numFmtId="4" xfId="0" applyFont="1" applyNumberFormat="1"/>
    <xf borderId="0" fillId="0" fontId="9" numFmtId="0" xfId="0" applyAlignment="1" applyFont="1">
      <alignment horizontal="left" readingOrder="0" shrinkToFit="0" vertical="center" wrapText="0"/>
    </xf>
    <xf borderId="0" fillId="0" fontId="9" numFmtId="0" xfId="0" applyAlignment="1" applyFont="1">
      <alignment shrinkToFit="0" wrapText="1"/>
    </xf>
    <xf borderId="0" fillId="0" fontId="9" numFmtId="167" xfId="0" applyAlignment="1" applyFont="1" applyNumberFormat="1">
      <alignment readingOrder="0"/>
    </xf>
    <xf borderId="0" fillId="0" fontId="9" numFmtId="0" xfId="0" applyAlignment="1" applyFont="1">
      <alignment horizontal="left" shrinkToFit="0" vertical="center" wrapText="0"/>
    </xf>
    <xf borderId="4" fillId="4" fontId="4" numFmtId="0" xfId="0" applyAlignment="1" applyBorder="1" applyFont="1">
      <alignment horizontal="center" readingOrder="0" vertical="center"/>
    </xf>
    <xf borderId="0" fillId="2" fontId="124" numFmtId="0" xfId="0" applyAlignment="1" applyFont="1">
      <alignment horizontal="left" readingOrder="0" vertical="center"/>
    </xf>
    <xf borderId="1" fillId="2" fontId="1" numFmtId="0" xfId="0" applyBorder="1" applyFont="1"/>
    <xf borderId="0" fillId="2" fontId="125" numFmtId="0" xfId="0" applyAlignment="1" applyFont="1">
      <alignment horizontal="left" readingOrder="0" vertical="center"/>
    </xf>
    <xf borderId="0" fillId="2" fontId="23" numFmtId="0" xfId="0" applyAlignment="1" applyFont="1">
      <alignment horizontal="left" readingOrder="0" vertical="center"/>
    </xf>
    <xf borderId="30" fillId="2" fontId="13" numFmtId="0" xfId="0" applyAlignment="1" applyBorder="1" applyFont="1">
      <alignment readingOrder="0"/>
    </xf>
    <xf borderId="30" fillId="2" fontId="14" numFmtId="0" xfId="0" applyAlignment="1" applyBorder="1" applyFont="1">
      <alignment readingOrder="0"/>
    </xf>
    <xf borderId="8" fillId="7" fontId="126" numFmtId="0" xfId="0" applyAlignment="1" applyBorder="1" applyFont="1">
      <alignment horizontal="center" readingOrder="0" vertical="center"/>
    </xf>
    <xf borderId="30" fillId="2" fontId="1" numFmtId="0" xfId="0" applyBorder="1" applyFont="1"/>
    <xf borderId="30" fillId="2" fontId="127" numFmtId="0" xfId="0" applyAlignment="1" applyBorder="1" applyFont="1">
      <alignment readingOrder="0"/>
    </xf>
    <xf borderId="30" fillId="2" fontId="9" numFmtId="0" xfId="0" applyBorder="1" applyFont="1"/>
    <xf borderId="8" fillId="5" fontId="126" numFmtId="0" xfId="0" applyAlignment="1" applyBorder="1" applyFont="1">
      <alignment horizontal="center" readingOrder="0" vertical="center"/>
    </xf>
    <xf borderId="30" fillId="2" fontId="13" numFmtId="0" xfId="0" applyBorder="1" applyFont="1"/>
    <xf borderId="8" fillId="3" fontId="126" numFmtId="0" xfId="0" applyAlignment="1" applyBorder="1" applyFont="1">
      <alignment horizontal="center" readingOrder="0" vertical="center"/>
    </xf>
    <xf borderId="8" fillId="4" fontId="126" numFmtId="0" xfId="0" applyAlignment="1" applyBorder="1" applyFont="1">
      <alignment horizontal="center" readingOrder="0" vertical="center"/>
    </xf>
    <xf borderId="8" fillId="6" fontId="18" numFmtId="0" xfId="0" applyAlignment="1" applyBorder="1" applyFont="1">
      <alignment horizontal="center" readingOrder="0" vertical="center"/>
    </xf>
    <xf borderId="12" fillId="2" fontId="71" numFmtId="0" xfId="0" applyBorder="1" applyFont="1"/>
    <xf borderId="30" fillId="2" fontId="10" numFmtId="0" xfId="0" applyAlignment="1" applyBorder="1" applyFont="1">
      <alignment readingOrder="0"/>
    </xf>
    <xf borderId="0" fillId="2" fontId="128" numFmtId="0" xfId="0" applyAlignment="1" applyFont="1">
      <alignment horizontal="center" readingOrder="0" vertical="center"/>
    </xf>
    <xf borderId="4" fillId="3" fontId="20" numFmtId="0" xfId="0" applyAlignment="1" applyBorder="1" applyFont="1">
      <alignment horizontal="center"/>
    </xf>
    <xf borderId="0" fillId="3" fontId="20" numFmtId="0" xfId="0" applyAlignment="1" applyFont="1">
      <alignment horizontal="center"/>
    </xf>
  </cellXfs>
  <cellStyles count="1">
    <cellStyle xfId="0" name="Normal" builtinId="0"/>
  </cellStyles>
  <dxfs count="35">
    <dxf>
      <font/>
      <fill>
        <patternFill patternType="solid">
          <fgColor rgb="FFD0E0E3"/>
          <bgColor rgb="FFD0E0E3"/>
        </patternFill>
      </fill>
      <border/>
    </dxf>
    <dxf>
      <font/>
      <fill>
        <patternFill patternType="solid">
          <fgColor rgb="FFFFF2CC"/>
          <bgColor rgb="FFFFF2CC"/>
        </patternFill>
      </fill>
      <border/>
    </dxf>
    <dxf>
      <font/>
      <fill>
        <patternFill patternType="solid">
          <fgColor rgb="FFF3F3F3"/>
          <bgColor rgb="FFF3F3F3"/>
        </patternFill>
      </fill>
      <border/>
    </dxf>
    <dxf>
      <font>
        <color rgb="FFD588F7"/>
      </font>
      <fill>
        <patternFill patternType="solid">
          <fgColor rgb="FF1F2937"/>
          <bgColor rgb="FF1F2937"/>
        </patternFill>
      </fill>
      <border/>
    </dxf>
    <dxf>
      <font>
        <color rgb="FF93C5FD"/>
      </font>
      <fill>
        <patternFill patternType="solid">
          <fgColor rgb="FF1F2937"/>
          <bgColor rgb="FF1F2937"/>
        </patternFill>
      </fill>
      <border/>
    </dxf>
    <dxf>
      <font>
        <color rgb="FF86EFAC"/>
      </font>
      <fill>
        <patternFill patternType="solid">
          <fgColor rgb="FF1F2937"/>
          <bgColor rgb="FF1F2937"/>
        </patternFill>
      </fill>
      <border/>
    </dxf>
    <dxf>
      <font>
        <color rgb="FFF6F8F9"/>
      </font>
      <fill>
        <patternFill patternType="solid">
          <fgColor rgb="FF1F2937"/>
          <bgColor rgb="FF1F2937"/>
        </patternFill>
      </fill>
      <border/>
    </dxf>
    <dxf>
      <font>
        <i/>
        <color rgb="FFBF9000"/>
      </font>
      <fill>
        <patternFill patternType="solid">
          <fgColor rgb="FF1F2937"/>
          <bgColor rgb="FF1F2937"/>
        </patternFill>
      </fill>
      <border/>
    </dxf>
    <dxf>
      <font>
        <i/>
        <color theme="9"/>
      </font>
      <fill>
        <patternFill patternType="solid">
          <fgColor rgb="FF1F2937"/>
          <bgColor rgb="FF1F2937"/>
        </patternFill>
      </fill>
      <border/>
    </dxf>
    <dxf>
      <font>
        <i/>
        <color rgb="FFFFFFFF"/>
      </font>
      <fill>
        <patternFill patternType="solid">
          <fgColor rgb="FF1F2937"/>
          <bgColor rgb="FF1F2937"/>
        </patternFill>
      </fill>
      <border/>
    </dxf>
    <dxf>
      <font/>
      <fill>
        <patternFill patternType="solid">
          <fgColor rgb="FFF4CCCC"/>
          <bgColor rgb="FFF4CCCC"/>
        </patternFill>
      </fill>
      <border/>
    </dxf>
    <dxf>
      <font/>
      <fill>
        <patternFill patternType="none"/>
      </fill>
      <border/>
    </dxf>
    <dxf>
      <font>
        <color rgb="FFD588F7"/>
      </font>
      <fill>
        <patternFill patternType="none"/>
      </fill>
      <border/>
    </dxf>
    <dxf>
      <font>
        <color rgb="FF93C5FD"/>
      </font>
      <fill>
        <patternFill patternType="none"/>
      </fill>
      <border/>
    </dxf>
    <dxf>
      <font>
        <color rgb="FF86EFAC"/>
      </font>
      <fill>
        <patternFill patternType="none"/>
      </fill>
      <border/>
    </dxf>
    <dxf>
      <font>
        <i/>
        <color rgb="FFBF9000"/>
      </font>
      <fill>
        <patternFill patternType="none"/>
      </fill>
      <border/>
    </dxf>
    <dxf>
      <font>
        <i/>
        <color rgb="FF46BDC6"/>
      </font>
      <fill>
        <patternFill patternType="none"/>
      </fill>
      <border/>
    </dxf>
    <dxf>
      <font>
        <i/>
        <color rgb="FFFFFFFF"/>
      </font>
      <fill>
        <patternFill patternType="none"/>
      </fill>
      <border/>
    </dxf>
    <dxf>
      <font>
        <color rgb="FFC7C9CD"/>
      </font>
      <fill>
        <patternFill patternType="none"/>
      </fill>
      <border/>
    </dxf>
    <dxf>
      <font/>
      <fill>
        <patternFill patternType="solid">
          <fgColor rgb="FFFFE599"/>
          <bgColor rgb="FFFFE599"/>
        </patternFill>
      </fill>
      <border/>
    </dxf>
    <dxf>
      <font/>
      <fill>
        <patternFill patternType="solid">
          <fgColor rgb="FFB7E1CD"/>
          <bgColor rgb="FFB7E1CD"/>
        </patternFill>
      </fill>
      <border/>
    </dxf>
    <dxf>
      <font/>
      <fill>
        <patternFill patternType="solid">
          <fgColor rgb="FFCFE2F3"/>
          <bgColor rgb="FFCFE2F3"/>
        </patternFill>
      </fill>
      <border/>
    </dxf>
    <dxf>
      <font/>
      <fill>
        <patternFill patternType="solid">
          <fgColor rgb="FFEAD1DC"/>
          <bgColor rgb="FFEAD1DC"/>
        </patternFill>
      </fill>
      <border/>
    </dxf>
    <dxf>
      <font/>
      <fill>
        <patternFill patternType="solid">
          <fgColor rgb="FFEFEFEF"/>
          <bgColor rgb="FFEFEFEF"/>
        </patternFill>
      </fill>
      <border/>
    </dxf>
    <dxf>
      <font/>
      <fill>
        <patternFill patternType="solid">
          <fgColor rgb="FF2C332E"/>
          <bgColor rgb="FF2C332E"/>
        </patternFill>
      </fill>
      <border/>
    </dxf>
    <dxf>
      <font/>
      <fill>
        <patternFill patternType="solid">
          <fgColor rgb="FF394B3F"/>
          <bgColor rgb="FF394B3F"/>
        </patternFill>
      </fill>
      <border/>
    </dxf>
    <dxf>
      <font/>
      <fill>
        <patternFill patternType="solid">
          <fgColor rgb="FF2C332E"/>
          <bgColor rgb="FF2C332E"/>
        </patternFill>
      </fill>
      <border/>
    </dxf>
    <dxf>
      <border>
        <left style="thin">
          <color rgb="FF394B3F"/>
        </left>
        <right style="thin">
          <color rgb="FF394B3F"/>
        </right>
        <top style="thin">
          <color rgb="FF394B3F"/>
        </top>
        <bottom style="thin">
          <color rgb="FF394B3F"/>
        </bottom>
      </border>
    </dxf>
    <dxf>
      <font/>
      <fill>
        <patternFill patternType="solid">
          <fgColor rgb="FF5B0F00"/>
          <bgColor rgb="FF5B0F00"/>
        </patternFill>
      </fill>
      <border/>
    </dxf>
    <dxf>
      <font>
        <color rgb="FFF6F8F9"/>
      </font>
      <fill>
        <patternFill patternType="none"/>
      </fill>
      <border/>
    </dxf>
    <dxf>
      <font>
        <i/>
        <color rgb="FFD5A6BD"/>
      </font>
      <fill>
        <patternFill patternType="none"/>
      </fill>
      <border/>
    </dxf>
    <dxf>
      <font>
        <i/>
        <color rgb="FFFFE599"/>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5">
    <tableStyle count="4" pivot="0" name="MasterTech-style">
      <tableStyleElement dxfId="25" type="headerRow"/>
      <tableStyleElement dxfId="26" type="firstRowStripe"/>
      <tableStyleElement dxfId="25" type="secondRowStripe"/>
      <tableStyleElement dxfId="27" size="0" type="wholeTable"/>
    </tableStyle>
    <tableStyle count="4" pivot="0" name="MasterOfficers-style">
      <tableStyleElement dxfId="25" type="headerRow"/>
      <tableStyleElement dxfId="26" type="firstRowStripe"/>
      <tableStyleElement dxfId="25" type="secondRowStripe"/>
      <tableStyleElement dxfId="27" size="0" type="wholeTable"/>
    </tableStyle>
    <tableStyle count="4" pivot="0" name="Settings-style">
      <tableStyleElement dxfId="32" type="headerRow"/>
      <tableStyleElement dxfId="33" type="firstRowStripe"/>
      <tableStyleElement dxfId="34" type="secondRowStripe"/>
      <tableStyleElement dxfId="27" size="0" type="wholeTable"/>
    </tableStyle>
    <tableStyle count="4" pivot="0" name="RawOfficers-style">
      <tableStyleElement dxfId="32" type="headerRow"/>
      <tableStyleElement dxfId="33" type="firstRowStripe"/>
      <tableStyleElement dxfId="34" type="secondRowStripe"/>
      <tableStyleElement dxfId="27" size="0" type="wholeTable"/>
    </tableStyle>
    <tableStyle count="4" pivot="0" name="RawTech-style">
      <tableStyleElement dxfId="32" type="headerRow"/>
      <tableStyleElement dxfId="33" type="firstRowStripe"/>
      <tableStyleElement dxfId="34" type="secondRowStripe"/>
      <tableStyleElement dxfId="2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8.png"/><Relationship Id="rId6"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 Id="rId3" Type="http://schemas.openxmlformats.org/officeDocument/2006/relationships/image" Target="../media/image9.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1" Type="http://schemas.openxmlformats.org/officeDocument/2006/relationships/image" Target="../media/image6.png"/><Relationship Id="rId10" Type="http://schemas.openxmlformats.org/officeDocument/2006/relationships/image" Target="../media/image5.png"/><Relationship Id="rId13" Type="http://schemas.openxmlformats.org/officeDocument/2006/relationships/image" Target="../media/image4.png"/><Relationship Id="rId12" Type="http://schemas.openxmlformats.org/officeDocument/2006/relationships/image" Target="../media/image15.png"/><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19.png"/><Relationship Id="rId4" Type="http://schemas.openxmlformats.org/officeDocument/2006/relationships/image" Target="../media/image17.png"/><Relationship Id="rId9" Type="http://schemas.openxmlformats.org/officeDocument/2006/relationships/image" Target="../media/image16.png"/><Relationship Id="rId15" Type="http://schemas.openxmlformats.org/officeDocument/2006/relationships/image" Target="../media/image2.png"/><Relationship Id="rId14" Type="http://schemas.openxmlformats.org/officeDocument/2006/relationships/image" Target="../media/image13.png"/><Relationship Id="rId17" Type="http://schemas.openxmlformats.org/officeDocument/2006/relationships/image" Target="../media/image14.png"/><Relationship Id="rId16" Type="http://schemas.openxmlformats.org/officeDocument/2006/relationships/image" Target="../media/image11.png"/><Relationship Id="rId5" Type="http://schemas.openxmlformats.org/officeDocument/2006/relationships/image" Target="../media/image9.png"/><Relationship Id="rId6" Type="http://schemas.openxmlformats.org/officeDocument/2006/relationships/image" Target="../media/image18.png"/><Relationship Id="rId7" Type="http://schemas.openxmlformats.org/officeDocument/2006/relationships/image" Target="../media/image1.png"/><Relationship Id="rId8"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85800"/>
    <xdr:pic>
      <xdr:nvPicPr>
        <xdr:cNvPr id="0" name="image7.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685800</xdr:rowOff>
    </xdr:from>
    <xdr:ext cx="1352550" cy="400050"/>
    <xdr:pic>
      <xdr:nvPicPr>
        <xdr:cNvPr id="0" name="image3.pn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257175</xdr:colOff>
      <xdr:row>5</xdr:row>
      <xdr:rowOff>38100</xdr:rowOff>
    </xdr:from>
    <xdr:ext cx="409575" cy="304800"/>
    <xdr:pic>
      <xdr:nvPicPr>
        <xdr:cNvPr id="0" name="image1.pn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323850</xdr:colOff>
      <xdr:row>10</xdr:row>
      <xdr:rowOff>200025</xdr:rowOff>
    </xdr:from>
    <xdr:ext cx="304800" cy="304800"/>
    <xdr:pic>
      <xdr:nvPicPr>
        <xdr:cNvPr id="0" name="image2.png" title="Bild"/>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1666875</xdr:colOff>
      <xdr:row>9</xdr:row>
      <xdr:rowOff>133350</xdr:rowOff>
    </xdr:from>
    <xdr:ext cx="3181350" cy="533400"/>
    <xdr:pic>
      <xdr:nvPicPr>
        <xdr:cNvPr id="0" name="image8.png" title="Bild"/>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561975</xdr:colOff>
      <xdr:row>2</xdr:row>
      <xdr:rowOff>200025</xdr:rowOff>
    </xdr:from>
    <xdr:ext cx="1571625" cy="2438400"/>
    <xdr:pic>
      <xdr:nvPicPr>
        <xdr:cNvPr id="0" name="image9.png" title="Bild"/>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85800"/>
    <xdr:pic>
      <xdr:nvPicPr>
        <xdr:cNvPr id="0" name="image7.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685800</xdr:rowOff>
    </xdr:from>
    <xdr:ext cx="1352550" cy="400050"/>
    <xdr:pic>
      <xdr:nvPicPr>
        <xdr:cNvPr id="0" name="image3.pn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40</xdr:row>
      <xdr:rowOff>57150</xdr:rowOff>
    </xdr:from>
    <xdr:ext cx="752475" cy="1181100"/>
    <xdr:pic>
      <xdr:nvPicPr>
        <xdr:cNvPr id="0" name="image9.pn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1057275</xdr:colOff>
      <xdr:row>3</xdr:row>
      <xdr:rowOff>57150</xdr:rowOff>
    </xdr:from>
    <xdr:ext cx="228600" cy="228600"/>
    <xdr:pic>
      <xdr:nvPicPr>
        <xdr:cNvPr id="0" name="image2.png" title="Bild"/>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981075</xdr:colOff>
      <xdr:row>34</xdr:row>
      <xdr:rowOff>76200</xdr:rowOff>
    </xdr:from>
    <xdr:ext cx="285750" cy="295275"/>
    <xdr:pic>
      <xdr:nvPicPr>
        <xdr:cNvPr id="0" name="image4.png" title="Bild"/>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923925</xdr:colOff>
      <xdr:row>37</xdr:row>
      <xdr:rowOff>76200</xdr:rowOff>
    </xdr:from>
    <xdr:ext cx="352425" cy="228600"/>
    <xdr:pic>
      <xdr:nvPicPr>
        <xdr:cNvPr id="0" name="image5.png" title="Bild"/>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953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1352550" cy="4000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953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1352550" cy="4000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95325"/>
    <xdr:pic>
      <xdr:nvPicPr>
        <xdr:cNvPr id="0" name="image6.pn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95325"/>
    <xdr:pic>
      <xdr:nvPicPr>
        <xdr:cNvPr id="0" name="image6.pn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85800"/>
    <xdr:pic>
      <xdr:nvPicPr>
        <xdr:cNvPr id="0" name="image7.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685800</xdr:rowOff>
    </xdr:from>
    <xdr:ext cx="1352550" cy="400050"/>
    <xdr:pic>
      <xdr:nvPicPr>
        <xdr:cNvPr id="0" name="image3.pn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1343025</xdr:colOff>
      <xdr:row>3</xdr:row>
      <xdr:rowOff>57150</xdr:rowOff>
    </xdr:from>
    <xdr:ext cx="228600" cy="228600"/>
    <xdr:pic>
      <xdr:nvPicPr>
        <xdr:cNvPr id="0" name="image2.pn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76200</xdr:colOff>
      <xdr:row>154</xdr:row>
      <xdr:rowOff>190500</xdr:rowOff>
    </xdr:from>
    <xdr:ext cx="771525" cy="1190625"/>
    <xdr:pic>
      <xdr:nvPicPr>
        <xdr:cNvPr id="0" name="image9.png" title="Bild"/>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85800"/>
    <xdr:pic>
      <xdr:nvPicPr>
        <xdr:cNvPr id="0" name="image7.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666750</xdr:rowOff>
    </xdr:from>
    <xdr:ext cx="1352550" cy="400050"/>
    <xdr:pic>
      <xdr:nvPicPr>
        <xdr:cNvPr id="0" name="image3.png" title="Bild"/>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36</xdr:col>
      <xdr:colOff>0</xdr:colOff>
      <xdr:row>0</xdr:row>
      <xdr:rowOff>0</xdr:rowOff>
    </xdr:from>
    <xdr:ext cx="304800" cy="2000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647700</xdr:rowOff>
    </xdr:from>
    <xdr:ext cx="1352550" cy="400050"/>
    <xdr:pic>
      <xdr:nvPicPr>
        <xdr:cNvPr id="0" name="image3.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0839450" cy="685800"/>
    <xdr:pic>
      <xdr:nvPicPr>
        <xdr:cNvPr id="0" name="image7.pn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695325</xdr:colOff>
      <xdr:row>17</xdr:row>
      <xdr:rowOff>533400</xdr:rowOff>
    </xdr:from>
    <xdr:ext cx="3048000" cy="2619375"/>
    <xdr:pic>
      <xdr:nvPicPr>
        <xdr:cNvPr id="0" name="image19.pn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1876425</xdr:colOff>
      <xdr:row>19</xdr:row>
      <xdr:rowOff>171450</xdr:rowOff>
    </xdr:from>
    <xdr:ext cx="3857625" cy="971550"/>
    <xdr:pic>
      <xdr:nvPicPr>
        <xdr:cNvPr id="0" name="image17.png" title="Bild"/>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114300</xdr:colOff>
      <xdr:row>6</xdr:row>
      <xdr:rowOff>28575</xdr:rowOff>
    </xdr:from>
    <xdr:ext cx="685800" cy="1076325"/>
    <xdr:pic>
      <xdr:nvPicPr>
        <xdr:cNvPr id="0" name="image9.png" title="Bild"/>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114300</xdr:colOff>
      <xdr:row>13</xdr:row>
      <xdr:rowOff>180975</xdr:rowOff>
    </xdr:from>
    <xdr:ext cx="685800" cy="1076325"/>
    <xdr:pic>
      <xdr:nvPicPr>
        <xdr:cNvPr id="0" name="image18.png" title="Bild"/>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171450</xdr:colOff>
      <xdr:row>18</xdr:row>
      <xdr:rowOff>257175</xdr:rowOff>
    </xdr:from>
    <xdr:ext cx="561975" cy="400050"/>
    <xdr:pic>
      <xdr:nvPicPr>
        <xdr:cNvPr id="0" name="image1.png" title="Bild"/>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571500</xdr:colOff>
      <xdr:row>10</xdr:row>
      <xdr:rowOff>190500</xdr:rowOff>
    </xdr:from>
    <xdr:ext cx="561975" cy="400050"/>
    <xdr:pic>
      <xdr:nvPicPr>
        <xdr:cNvPr id="0" name="image12.png" title="Bild"/>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628650</xdr:colOff>
      <xdr:row>7</xdr:row>
      <xdr:rowOff>9525</xdr:rowOff>
    </xdr:from>
    <xdr:ext cx="561975" cy="590550"/>
    <xdr:pic>
      <xdr:nvPicPr>
        <xdr:cNvPr id="0" name="image16.png" title="Bild"/>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571500</xdr:colOff>
      <xdr:row>8</xdr:row>
      <xdr:rowOff>228600</xdr:rowOff>
    </xdr:from>
    <xdr:ext cx="561975" cy="400050"/>
    <xdr:pic>
      <xdr:nvPicPr>
        <xdr:cNvPr id="0" name="image5.png" title="Bild"/>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22</xdr:row>
      <xdr:rowOff>190500</xdr:rowOff>
    </xdr:from>
    <xdr:ext cx="10839450" cy="695325"/>
    <xdr:pic>
      <xdr:nvPicPr>
        <xdr:cNvPr id="0" name="image6.png" title="Bild"/>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628650</xdr:colOff>
      <xdr:row>9</xdr:row>
      <xdr:rowOff>180975</xdr:rowOff>
    </xdr:from>
    <xdr:ext cx="561975" cy="590550"/>
    <xdr:pic>
      <xdr:nvPicPr>
        <xdr:cNvPr id="0" name="image15.png" title="Bild"/>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628650</xdr:colOff>
      <xdr:row>15</xdr:row>
      <xdr:rowOff>142875</xdr:rowOff>
    </xdr:from>
    <xdr:ext cx="561975" cy="590550"/>
    <xdr:pic>
      <xdr:nvPicPr>
        <xdr:cNvPr id="0" name="image4.png" title="Bild"/>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571500</xdr:colOff>
      <xdr:row>12</xdr:row>
      <xdr:rowOff>209550</xdr:rowOff>
    </xdr:from>
    <xdr:ext cx="561975" cy="400050"/>
    <xdr:pic>
      <xdr:nvPicPr>
        <xdr:cNvPr id="0" name="image13.png" title="Bild"/>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171450</xdr:colOff>
      <xdr:row>19</xdr:row>
      <xdr:rowOff>361950</xdr:rowOff>
    </xdr:from>
    <xdr:ext cx="561975" cy="533400"/>
    <xdr:pic>
      <xdr:nvPicPr>
        <xdr:cNvPr id="0" name="image2.png" title="Bild"/>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628650</xdr:colOff>
      <xdr:row>12</xdr:row>
      <xdr:rowOff>161925</xdr:rowOff>
    </xdr:from>
    <xdr:ext cx="561975" cy="590550"/>
    <xdr:pic>
      <xdr:nvPicPr>
        <xdr:cNvPr id="0" name="image11.png" title="Bild"/>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571500</xdr:colOff>
      <xdr:row>7</xdr:row>
      <xdr:rowOff>9525</xdr:rowOff>
    </xdr:from>
    <xdr:ext cx="561975" cy="400050"/>
    <xdr:pic>
      <xdr:nvPicPr>
        <xdr:cNvPr id="0" name="image14.png" title="Bild"/>
        <xdr:cNvPicPr preferRelativeResize="0"/>
      </xdr:nvPicPr>
      <xdr:blipFill>
        <a:blip cstate="print" r:embed="rId1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AJ214" displayName="LCARS_Tech" name="LCARS_Tech" id="1">
  <tableColumns count="36">
    <tableColumn name="Rarity" id="1"/>
    <tableColumn name="Art" id="2"/>
    <tableColumn name="TechName" id="3"/>
    <tableColumn name="Buff#" id="4"/>
    <tableColumn name="TechType" id="5"/>
    <tableColumn name="PvP Space" id="6"/>
    <tableColumn name="PvP Station" id="7"/>
    <tableColumn name="Red Moving Space" id="8"/>
    <tableColumn name="Waves" id="9"/>
    <tableColumn name="QTrial" id="10"/>
    <tableColumn name="Mission Bosses" id="11"/>
    <tableColumn name="Group Armadas" id="12"/>
    <tableColumn name="Solo Armadas" id="13"/>
    <tableColumn name="Invading Entities" id="14"/>
    <tableColumn name="Assaults" id="15"/>
    <tableColumn name="Outpost Armadas" id="16"/>
    <tableColumn name="Outpost Retaliation Attackers" id="17"/>
    <tableColumn name="Reason" id="18"/>
    <tableColumn name="Loot" id="19"/>
    <tableColumn name="Utility" id="20"/>
    <tableColumn name="Ability Modifier" id="21"/>
    <tableColumn name="Ability Attributes" id="22"/>
    <tableColumn name="Ability Conditions" id="23"/>
    <tableColumn name="Ability Trigger" id="24"/>
    <tableColumn name="AbilityTarget" id="25"/>
    <tableColumn name="Ability Operation" id="26"/>
    <tableColumn name="Ability Description" id="27"/>
    <tableColumn name="Ability Description Different" id="28"/>
    <tableColumn name="Explanation" id="29"/>
    <tableColumn name="Suggested Description" id="30"/>
    <tableColumn name="ArtID" id="31"/>
    <tableColumn name="BuffID" id="32"/>
    <tableColumn name="Column 32" id="33"/>
    <tableColumn name="Column 33" id="34"/>
    <tableColumn name="Column 34" id="35"/>
    <tableColumn name="Column 35" id="36"/>
  </tableColumns>
  <tableStyleInfo name="MasterTech-style" showColumnStripes="0" showFirstColumn="1" showLastColumn="1" showRowStripes="1"/>
</table>
</file>

<file path=xl/tables/table2.xml><?xml version="1.0" encoding="utf-8"?>
<table xmlns="http://schemas.openxmlformats.org/spreadsheetml/2006/main" ref="A3:AM558" displayName="LCARS_Off" name="LCARS_Off" id="2">
  <tableColumns count="39">
    <tableColumn name="Rarity" id="1"/>
    <tableColumn name="Art" id="2"/>
    <tableColumn name="OfficerName" id="3"/>
    <tableColumn name="AbilityType" id="4"/>
    <tableColumn name="PvP Space" id="5"/>
    <tableColumn name="PvP Station" id="6"/>
    <tableColumn name="Red Moving Space" id="7"/>
    <tableColumn name="Waves" id="8"/>
    <tableColumn name="QTrial" id="9"/>
    <tableColumn name="Mission Bosses" id="10"/>
    <tableColumn name="Group Armadas" id="11"/>
    <tableColumn name="Solo Armadas" id="12"/>
    <tableColumn name="Invading Entities" id="13"/>
    <tableColumn name="Assaults" id="14"/>
    <tableColumn name="Outpost Armadas" id="15"/>
    <tableColumn name="Outpost Retaliation Attackers" id="16"/>
    <tableColumn name="Reason" id="17"/>
    <tableColumn name="Loot" id="18"/>
    <tableColumn name="Utility" id="19"/>
    <tableColumn name="Officer Synergy" id="20"/>
    <tableColumn name="Ability Modifier" id="21"/>
    <tableColumn name="Ability Attributes" id="22"/>
    <tableColumn name="Ability Conditions" id="23"/>
    <tableColumn name="Ability Trigger" id="24"/>
    <tableColumn name="AbilityTarget" id="25"/>
    <tableColumn name="Ability Operation" id="26"/>
    <tableColumn name="Ability Description" id="27"/>
    <tableColumn name="Ability Description Different" id="28"/>
    <tableColumn name="Ability Description Short" id="29"/>
    <tableColumn name="Ability Short Different" id="30"/>
    <tableColumn name="Explanation" id="31"/>
    <tableColumn name="Suggested Description" id="32"/>
    <tableColumn name="Ability Chances" id="33"/>
    <tableColumn name="Ability Values" id="34"/>
    <tableColumn name="Ability Has Chance" id="35"/>
    <tableColumn name="Ability Show Percentage" id="36"/>
    <tableColumn name="ID" id="37"/>
    <tableColumn name="AbilityID" id="38"/>
    <tableColumn name="Order" id="39"/>
  </tableColumns>
  <tableStyleInfo name="MasterOfficers-style" showColumnStripes="0" showFirstColumn="1" showLastColumn="1" showRowStripes="1"/>
</table>
</file>

<file path=xl/tables/table3.xml><?xml version="1.0" encoding="utf-8"?>
<table xmlns="http://schemas.openxmlformats.org/spreadsheetml/2006/main" ref="B3:N48" displayName="settings" name="settings" id="3">
  <tableColumns count="13">
    <tableColumn name="Core" id="1"/>
    <tableColumn name="All" id="2"/>
    <tableColumn name="Short" id="3"/>
    <tableColumn name="Minimum" id="4"/>
    <tableColumn name="Spalte 2" id="5"/>
    <tableColumn name="Outpost" id="6"/>
    <tableColumn name="PvP" id="7"/>
    <tableColumn name="Target" id="8"/>
    <tableColumn name="DoesItWork" id="9"/>
    <tableColumn name="CT" id="10"/>
    <tableColumn name="FT" id="11"/>
    <tableColumn name="FilteredTarget" id="12"/>
    <tableColumn name="Spalte 3" id="13"/>
  </tableColumns>
  <tableStyleInfo name="Settings-style" showColumnStripes="0" showFirstColumn="1" showLastColumn="1" showRowStripes="1"/>
</table>
</file>

<file path=xl/tables/table4.xml><?xml version="1.0" encoding="utf-8"?>
<table xmlns="http://schemas.openxmlformats.org/spreadsheetml/2006/main" ref="A1:BI556" displayName="RawOfficer" name="RawOfficer" id="4">
  <tableColumns count="61">
    <tableColumn name="Default Order" id="1"/>
    <tableColumn name="OfficerName" id="2"/>
    <tableColumn name="AbilityType" id="3"/>
    <tableColumn name="OfficerSynergy" id="4"/>
    <tableColumn name="AbilityModifier" id="5"/>
    <tableColumn name="AbilityConditions" id="6"/>
    <tableColumn name="AbilityTrigger" id="7"/>
    <tableColumn name="AbilityTarget" id="8"/>
    <tableColumn name="AbilityOperation" id="9"/>
    <tableColumn name="AbilityAttributes" id="10"/>
    <tableColumn name="AbilityDescription" id="11"/>
    <tableColumn name="AbilityDescriptionShort" id="12"/>
    <tableColumn name="AbilityChances" id="13"/>
    <tableColumn name="AbilityValues" id="14"/>
    <tableColumn name="AbilityHasChance" id="15"/>
    <tableColumn name="AbilityShowPercentage" id="16"/>
    <tableColumn name="Tag_PvPinSpace" id="17"/>
    <tableColumn name="Tag_PvPinSpace_Reason" id="18"/>
    <tableColumn name="Tag_PvPStation" id="19"/>
    <tableColumn name="Tag_PvPStation_Reason" id="20"/>
    <tableColumn name="Tag_NonArmadaHostiles" id="21"/>
    <tableColumn name="Tag_NonArmadaHostiles_Reason" id="22"/>
    <tableColumn name="Tag_WaveDefense" id="23"/>
    <tableColumn name="Tag_WaveDefense_Reason" id="24"/>
    <tableColumn name="Tag_MissionBosses" id="25"/>
    <tableColumn name="Tag_MissionBosses_Reason" id="26"/>
    <tableColumn name="Tag_QTrial" id="27"/>
    <tableColumn name="Tag_QTrial_Reason" id="28"/>
    <tableColumn name="Tag_SoloArmadas" id="29"/>
    <tableColumn name="Tag_SoloArmadas_Reason" id="30"/>
    <tableColumn name="Tag_GroupArmadas" id="31"/>
    <tableColumn name="Tag_GroupArmadas_Reason" id="32"/>
    <tableColumn name="Tag_Assaults" id="33"/>
    <tableColumn name="Tag_Assaults_Reason" id="34"/>
    <tableColumn name="Tag_InvadingEntities" id="35"/>
    <tableColumn name="Tag_InvadingEntities_Reason" id="36"/>
    <tableColumn name="Tag_OutpostArmadas" id="37"/>
    <tableColumn name="Tag_OutpostArmadas_Reason" id="38"/>
    <tableColumn name="Tag_OutpostRetaliators" id="39"/>
    <tableColumn name="Tag_OutpostRetaliators_Reason" id="40"/>
    <tableColumn name="Tag_Loot" id="41"/>
    <tableColumn name="Tag_Loot_Reason" id="42"/>
    <tableColumn name="Tag_Utility" id="43"/>
    <tableColumn name="Tag_Utility_Reason" id="44"/>
    <tableColumn name="AbilityID" id="45"/>
    <tableColumn name="OfficerId" id="46"/>
    <tableColumn name="OfficerArt" id="47"/>
    <tableColumn name="OfficerRarity" id="48"/>
    <tableColumn name="Requires_StateSelf" id="49"/>
    <tableColumn name="Requires_StateTarget" id="50"/>
    <tableColumn name="Conditional_Reason" id="51"/>
    <tableColumn name="AbilityChance_1" id="52"/>
    <tableColumn name="AbilityChance_2" id="53"/>
    <tableColumn name="AbilityChance_3" id="54"/>
    <tableColumn name="AbilityChance_4" id="55"/>
    <tableColumn name="AbilityChance_5" id="56"/>
    <tableColumn name="AbilityValue_1" id="57"/>
    <tableColumn name="AbilityValue_2" id="58"/>
    <tableColumn name="AbilityValue_3" id="59"/>
    <tableColumn name="AbilityValue_4" id="60"/>
    <tableColumn name="AbilityValue_5" id="61"/>
  </tableColumns>
  <tableStyleInfo name="RawOfficers-style" showColumnStripes="0" showFirstColumn="1" showLastColumn="1" showRowStripes="1"/>
</table>
</file>

<file path=xl/tables/table5.xml><?xml version="1.0" encoding="utf-8"?>
<table xmlns="http://schemas.openxmlformats.org/spreadsheetml/2006/main" ref="A1:AW212" displayName="RawTech" name="RawTech" id="5">
  <tableColumns count="49">
    <tableColumn name="Default Order" id="1"/>
    <tableColumn name="TechName" id="2"/>
    <tableColumn name="TechType" id="3"/>
    <tableColumn name="AbilityModifier" id="4"/>
    <tableColumn name="AbilityConditions" id="5"/>
    <tableColumn name="AbilityTrigger" id="6"/>
    <tableColumn name="AbilityTarget" id="7"/>
    <tableColumn name="AbilityOperation" id="8"/>
    <tableColumn name="AbilityAttributes" id="9"/>
    <tableColumn name="AbilityDescription" id="10"/>
    <tableColumn name="AbilityHasChance" id="11"/>
    <tableColumn name="AbilityShowPercentage" id="12"/>
    <tableColumn name="Tag_PvPinSpace" id="13"/>
    <tableColumn name="Tag_PvPinSpace_Reason" id="14"/>
    <tableColumn name="Tag_PvPStation" id="15"/>
    <tableColumn name="Tag_PvPStation_Reason" id="16"/>
    <tableColumn name="Tag_NonArmadaHostiles" id="17"/>
    <tableColumn name="Tag_NonArmadaHostiles_Reason" id="18"/>
    <tableColumn name="Tag_WaveDefense" id="19"/>
    <tableColumn name="Tag_WaveDefense_Reason" id="20"/>
    <tableColumn name="Tag_MissionBosses" id="21"/>
    <tableColumn name="Tag_MissionBosses_Reason" id="22"/>
    <tableColumn name="Tag_QTrial" id="23"/>
    <tableColumn name="Tag_QTrial_Reason" id="24"/>
    <tableColumn name="Tag_SoloArmadas" id="25"/>
    <tableColumn name="Tag_SoloArmadas_Reason" id="26"/>
    <tableColumn name="Tag_GroupArmadas" id="27"/>
    <tableColumn name="Tag_GroupArmadas_Reason" id="28"/>
    <tableColumn name="Tag_Assaults" id="29"/>
    <tableColumn name="Tag_Assaults_Reason" id="30"/>
    <tableColumn name="Tag_InvadingEntities" id="31"/>
    <tableColumn name="Tag_InvadingEntities_Reason" id="32"/>
    <tableColumn name="Tag_OutpostArmadas" id="33"/>
    <tableColumn name="Tag_OutpostArmadas_Reason" id="34"/>
    <tableColumn name="Tag_OutpostRetaliators" id="35"/>
    <tableColumn name="Tag_OutpostRetaliators_Reason" id="36"/>
    <tableColumn name="Tag_Loot" id="37"/>
    <tableColumn name="Tag_Loot_Reason" id="38"/>
    <tableColumn name="Tag_Utility" id="39"/>
    <tableColumn name="Tag_Utility_Reason" id="40"/>
    <tableColumn name="BuffID" id="41"/>
    <tableColumn name="BuffOrder" id="42"/>
    <tableColumn name="TechId" id="43"/>
    <tableColumn name="TechArt" id="44"/>
    <tableColumn name="TechRarity" id="45"/>
    <tableColumn name="Requires_StateSelf" id="46"/>
    <tableColumn name="Requires_StateTarget" id="47"/>
    <tableColumn name="Conditional_Reason" id="48"/>
    <tableColumn name="Column 48" id="49"/>
  </tableColumns>
  <tableStyleInfo name="RawTec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ord.gg/BRhru6Vcnj" TargetMode="External"/><Relationship Id="rId2" Type="http://schemas.openxmlformats.org/officeDocument/2006/relationships/hyperlink" Target="https://docs.google.com/spreadsheets/d/1Fqw41gvJTqRKQgiOmaPxXv8N7fuP_S2VcmxjtomnyYs/copy" TargetMode="External"/><Relationship Id="rId3" Type="http://schemas.openxmlformats.org/officeDocument/2006/relationships/hyperlink" Target="https://next.spocks.club/" TargetMode="External"/><Relationship Id="rId4" Type="http://schemas.openxmlformats.org/officeDocument/2006/relationships/hyperlink" Target="https://discord.gg/BRhru6Vcnj" TargetMode="External"/><Relationship Id="rId5" Type="http://schemas.openxmlformats.org/officeDocument/2006/relationships/hyperlink" Target="https://discord.com/channels/790048113477550113/1118687688636248134" TargetMode="External"/><Relationship Id="rId6" Type="http://schemas.openxmlformats.org/officeDocument/2006/relationships/hyperlink" Target="https://docs.google.com/spreadsheets/d/1Fqw41gvJTqRKQgiOmaPxXv8N7fuP_S2VcmxjtomnyYs/view?rm=minimal"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Fqw41gvJTqRKQgiOmaPxXv8N7fuP_S2VcmxjtomnyYs/copy" TargetMode="External"/><Relationship Id="rId2" Type="http://schemas.openxmlformats.org/officeDocument/2006/relationships/hyperlink" Target="https://stfc.space/officers/2458983580" TargetMode="External"/><Relationship Id="rId3" Type="http://schemas.openxmlformats.org/officeDocument/2006/relationships/hyperlink" Target="https://stfc.space/officers/3242236216" TargetMode="External"/><Relationship Id="rId4" Type="http://schemas.openxmlformats.org/officeDocument/2006/relationships/hyperlink" Target="https://stfc.space/officers/1983933897" TargetMode="External"/><Relationship Id="rId5" Type="http://schemas.openxmlformats.org/officeDocument/2006/relationships/hyperlink" Target="https://stfc.cc/" TargetMode="External"/><Relationship Id="rId6" Type="http://schemas.openxmlformats.org/officeDocument/2006/relationships/hyperlink" Target="https://discord.gg/BRhru6Vcnj"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stfc.space/officers/3479870516" TargetMode="External"/><Relationship Id="rId194" Type="http://schemas.openxmlformats.org/officeDocument/2006/relationships/hyperlink" Target="https://stfc.space/officers/118103052" TargetMode="External"/><Relationship Id="rId193" Type="http://schemas.openxmlformats.org/officeDocument/2006/relationships/hyperlink" Target="https://stfc.space/officers/118103052" TargetMode="External"/><Relationship Id="rId192" Type="http://schemas.openxmlformats.org/officeDocument/2006/relationships/hyperlink" Target="https://stfc.space/officers/989647182" TargetMode="External"/><Relationship Id="rId191" Type="http://schemas.openxmlformats.org/officeDocument/2006/relationships/hyperlink" Target="https://stfc.space/officers/989647182" TargetMode="External"/><Relationship Id="rId187" Type="http://schemas.openxmlformats.org/officeDocument/2006/relationships/hyperlink" Target="https://stfc.space/officers/4066988596" TargetMode="External"/><Relationship Id="rId186" Type="http://schemas.openxmlformats.org/officeDocument/2006/relationships/hyperlink" Target="https://stfc.space/officers/194631754" TargetMode="External"/><Relationship Id="rId185" Type="http://schemas.openxmlformats.org/officeDocument/2006/relationships/hyperlink" Target="https://stfc.space/officers/194631754" TargetMode="External"/><Relationship Id="rId184" Type="http://schemas.openxmlformats.org/officeDocument/2006/relationships/hyperlink" Target="https://stfc.space/officers/4150311506" TargetMode="External"/><Relationship Id="rId189" Type="http://schemas.openxmlformats.org/officeDocument/2006/relationships/hyperlink" Target="https://stfc.space/officers/3479870516" TargetMode="External"/><Relationship Id="rId188" Type="http://schemas.openxmlformats.org/officeDocument/2006/relationships/hyperlink" Target="https://stfc.space/officers/4066988596" TargetMode="External"/><Relationship Id="rId183" Type="http://schemas.openxmlformats.org/officeDocument/2006/relationships/hyperlink" Target="https://stfc.space/officers/4150311506" TargetMode="External"/><Relationship Id="rId182" Type="http://schemas.openxmlformats.org/officeDocument/2006/relationships/hyperlink" Target="https://stfc.space/officers/1853520303" TargetMode="External"/><Relationship Id="rId181" Type="http://schemas.openxmlformats.org/officeDocument/2006/relationships/hyperlink" Target="https://stfc.space/officers/1853520303" TargetMode="External"/><Relationship Id="rId180" Type="http://schemas.openxmlformats.org/officeDocument/2006/relationships/hyperlink" Target="https://stfc.space/officers/1622062016" TargetMode="External"/><Relationship Id="rId176" Type="http://schemas.openxmlformats.org/officeDocument/2006/relationships/hyperlink" Target="https://stfc.space/officers/2517597941" TargetMode="External"/><Relationship Id="rId297" Type="http://schemas.openxmlformats.org/officeDocument/2006/relationships/hyperlink" Target="https://stfc.space/officers/1577339063" TargetMode="External"/><Relationship Id="rId175" Type="http://schemas.openxmlformats.org/officeDocument/2006/relationships/hyperlink" Target="https://stfc.space/officers/2517597941" TargetMode="External"/><Relationship Id="rId296" Type="http://schemas.openxmlformats.org/officeDocument/2006/relationships/hyperlink" Target="https://stfc.space/officers/566062509" TargetMode="External"/><Relationship Id="rId174" Type="http://schemas.openxmlformats.org/officeDocument/2006/relationships/hyperlink" Target="https://stfc.space/officers/2601201375" TargetMode="External"/><Relationship Id="rId295" Type="http://schemas.openxmlformats.org/officeDocument/2006/relationships/hyperlink" Target="https://stfc.space/officers/566062509" TargetMode="External"/><Relationship Id="rId173" Type="http://schemas.openxmlformats.org/officeDocument/2006/relationships/hyperlink" Target="https://stfc.space/officers/2601201375" TargetMode="External"/><Relationship Id="rId294" Type="http://schemas.openxmlformats.org/officeDocument/2006/relationships/hyperlink" Target="https://stfc.space/officers/909354959" TargetMode="External"/><Relationship Id="rId179" Type="http://schemas.openxmlformats.org/officeDocument/2006/relationships/hyperlink" Target="https://stfc.space/officers/1622062016" TargetMode="External"/><Relationship Id="rId178" Type="http://schemas.openxmlformats.org/officeDocument/2006/relationships/hyperlink" Target="https://stfc.space/officers/1525867544" TargetMode="External"/><Relationship Id="rId299" Type="http://schemas.openxmlformats.org/officeDocument/2006/relationships/hyperlink" Target="https://stfc.space/officers/2639742910" TargetMode="External"/><Relationship Id="rId177" Type="http://schemas.openxmlformats.org/officeDocument/2006/relationships/hyperlink" Target="https://stfc.space/officers/1525867544" TargetMode="External"/><Relationship Id="rId298" Type="http://schemas.openxmlformats.org/officeDocument/2006/relationships/hyperlink" Target="https://stfc.space/officers/1577339063" TargetMode="External"/><Relationship Id="rId198" Type="http://schemas.openxmlformats.org/officeDocument/2006/relationships/hyperlink" Target="https://stfc.space/officers/3490516652" TargetMode="External"/><Relationship Id="rId197" Type="http://schemas.openxmlformats.org/officeDocument/2006/relationships/hyperlink" Target="https://stfc.space/officers/3490516652" TargetMode="External"/><Relationship Id="rId196" Type="http://schemas.openxmlformats.org/officeDocument/2006/relationships/hyperlink" Target="https://stfc.space/officers/1395454844" TargetMode="External"/><Relationship Id="rId195" Type="http://schemas.openxmlformats.org/officeDocument/2006/relationships/hyperlink" Target="https://stfc.space/officers/1395454844" TargetMode="External"/><Relationship Id="rId199" Type="http://schemas.openxmlformats.org/officeDocument/2006/relationships/hyperlink" Target="https://stfc.space/officers/3583932904" TargetMode="External"/><Relationship Id="rId150" Type="http://schemas.openxmlformats.org/officeDocument/2006/relationships/hyperlink" Target="https://stfc.space/officers/3019272402" TargetMode="External"/><Relationship Id="rId271" Type="http://schemas.openxmlformats.org/officeDocument/2006/relationships/hyperlink" Target="https://stfc.space/officers/1116707401" TargetMode="External"/><Relationship Id="rId392" Type="http://schemas.openxmlformats.org/officeDocument/2006/relationships/hyperlink" Target="https://stfc.space/officers/1421610149" TargetMode="External"/><Relationship Id="rId270" Type="http://schemas.openxmlformats.org/officeDocument/2006/relationships/hyperlink" Target="https://stfc.space/officers/1427486959" TargetMode="External"/><Relationship Id="rId391" Type="http://schemas.openxmlformats.org/officeDocument/2006/relationships/hyperlink" Target="https://stfc.space/officers/1421610149" TargetMode="External"/><Relationship Id="rId390" Type="http://schemas.openxmlformats.org/officeDocument/2006/relationships/hyperlink" Target="https://stfc.space/officers/1022775390" TargetMode="External"/><Relationship Id="rId1" Type="http://schemas.openxmlformats.org/officeDocument/2006/relationships/hyperlink" Target="https://stfc.space/officers/988947581" TargetMode="External"/><Relationship Id="rId2" Type="http://schemas.openxmlformats.org/officeDocument/2006/relationships/hyperlink" Target="https://stfc.space/officers/988947581" TargetMode="External"/><Relationship Id="rId3" Type="http://schemas.openxmlformats.org/officeDocument/2006/relationships/hyperlink" Target="https://stfc.space/officers/766809588" TargetMode="External"/><Relationship Id="rId149" Type="http://schemas.openxmlformats.org/officeDocument/2006/relationships/hyperlink" Target="https://stfc.space/officers/3019272402" TargetMode="External"/><Relationship Id="rId4" Type="http://schemas.openxmlformats.org/officeDocument/2006/relationships/hyperlink" Target="https://stfc.space/officers/766809588" TargetMode="External"/><Relationship Id="rId148" Type="http://schemas.openxmlformats.org/officeDocument/2006/relationships/hyperlink" Target="https://stfc.space/officers/1602389738" TargetMode="External"/><Relationship Id="rId269" Type="http://schemas.openxmlformats.org/officeDocument/2006/relationships/hyperlink" Target="https://stfc.space/officers/1427486959" TargetMode="External"/><Relationship Id="rId9" Type="http://schemas.openxmlformats.org/officeDocument/2006/relationships/hyperlink" Target="https://stfc.space/officers/2520801863" TargetMode="External"/><Relationship Id="rId143" Type="http://schemas.openxmlformats.org/officeDocument/2006/relationships/hyperlink" Target="https://stfc.space/officers/3528103772" TargetMode="External"/><Relationship Id="rId264" Type="http://schemas.openxmlformats.org/officeDocument/2006/relationships/hyperlink" Target="https://stfc.space/officers/1683164967" TargetMode="External"/><Relationship Id="rId385" Type="http://schemas.openxmlformats.org/officeDocument/2006/relationships/hyperlink" Target="https://stfc.space/officers/3484257385" TargetMode="External"/><Relationship Id="rId142" Type="http://schemas.openxmlformats.org/officeDocument/2006/relationships/hyperlink" Target="https://stfc.space/officers/1617168639" TargetMode="External"/><Relationship Id="rId263" Type="http://schemas.openxmlformats.org/officeDocument/2006/relationships/hyperlink" Target="https://stfc.space/officers/1683164967" TargetMode="External"/><Relationship Id="rId384" Type="http://schemas.openxmlformats.org/officeDocument/2006/relationships/hyperlink" Target="https://stfc.space/officers/802343108" TargetMode="External"/><Relationship Id="rId141" Type="http://schemas.openxmlformats.org/officeDocument/2006/relationships/hyperlink" Target="https://stfc.space/officers/1617168639" TargetMode="External"/><Relationship Id="rId262" Type="http://schemas.openxmlformats.org/officeDocument/2006/relationships/hyperlink" Target="https://stfc.space/officers/631590783" TargetMode="External"/><Relationship Id="rId383" Type="http://schemas.openxmlformats.org/officeDocument/2006/relationships/hyperlink" Target="https://stfc.space/officers/802343108" TargetMode="External"/><Relationship Id="rId140" Type="http://schemas.openxmlformats.org/officeDocument/2006/relationships/hyperlink" Target="https://stfc.space/officers/3264304828" TargetMode="External"/><Relationship Id="rId261" Type="http://schemas.openxmlformats.org/officeDocument/2006/relationships/hyperlink" Target="https://stfc.space/officers/631590783" TargetMode="External"/><Relationship Id="rId382" Type="http://schemas.openxmlformats.org/officeDocument/2006/relationships/hyperlink" Target="https://stfc.space/officers/1109650513" TargetMode="External"/><Relationship Id="rId5" Type="http://schemas.openxmlformats.org/officeDocument/2006/relationships/hyperlink" Target="https://stfc.space/officers/3923643019" TargetMode="External"/><Relationship Id="rId147" Type="http://schemas.openxmlformats.org/officeDocument/2006/relationships/hyperlink" Target="https://stfc.space/officers/1602389738" TargetMode="External"/><Relationship Id="rId268" Type="http://schemas.openxmlformats.org/officeDocument/2006/relationships/hyperlink" Target="https://stfc.space/officers/2204519406" TargetMode="External"/><Relationship Id="rId389" Type="http://schemas.openxmlformats.org/officeDocument/2006/relationships/hyperlink" Target="https://stfc.space/officers/1022775390" TargetMode="External"/><Relationship Id="rId6" Type="http://schemas.openxmlformats.org/officeDocument/2006/relationships/hyperlink" Target="https://stfc.space/officers/3923643019" TargetMode="External"/><Relationship Id="rId146" Type="http://schemas.openxmlformats.org/officeDocument/2006/relationships/hyperlink" Target="https://stfc.space/officers/2219055924" TargetMode="External"/><Relationship Id="rId267" Type="http://schemas.openxmlformats.org/officeDocument/2006/relationships/hyperlink" Target="https://stfc.space/officers/2204519406" TargetMode="External"/><Relationship Id="rId388" Type="http://schemas.openxmlformats.org/officeDocument/2006/relationships/hyperlink" Target="https://stfc.space/officers/2836324820" TargetMode="External"/><Relationship Id="rId7" Type="http://schemas.openxmlformats.org/officeDocument/2006/relationships/hyperlink" Target="https://stfc.space/officers/3155244352" TargetMode="External"/><Relationship Id="rId145" Type="http://schemas.openxmlformats.org/officeDocument/2006/relationships/hyperlink" Target="https://stfc.space/officers/2219055924" TargetMode="External"/><Relationship Id="rId266" Type="http://schemas.openxmlformats.org/officeDocument/2006/relationships/hyperlink" Target="https://stfc.space/officers/177664289" TargetMode="External"/><Relationship Id="rId387" Type="http://schemas.openxmlformats.org/officeDocument/2006/relationships/hyperlink" Target="https://stfc.space/officers/2836324820" TargetMode="External"/><Relationship Id="rId8" Type="http://schemas.openxmlformats.org/officeDocument/2006/relationships/hyperlink" Target="https://stfc.space/officers/3155244352" TargetMode="External"/><Relationship Id="rId144" Type="http://schemas.openxmlformats.org/officeDocument/2006/relationships/hyperlink" Target="https://stfc.space/officers/3528103772" TargetMode="External"/><Relationship Id="rId265" Type="http://schemas.openxmlformats.org/officeDocument/2006/relationships/hyperlink" Target="https://stfc.space/officers/177664289" TargetMode="External"/><Relationship Id="rId386" Type="http://schemas.openxmlformats.org/officeDocument/2006/relationships/hyperlink" Target="https://stfc.space/officers/3484257385" TargetMode="External"/><Relationship Id="rId260" Type="http://schemas.openxmlformats.org/officeDocument/2006/relationships/hyperlink" Target="https://stfc.space/officers/3968109489" TargetMode="External"/><Relationship Id="rId381" Type="http://schemas.openxmlformats.org/officeDocument/2006/relationships/hyperlink" Target="https://stfc.space/officers/1109650513" TargetMode="External"/><Relationship Id="rId380" Type="http://schemas.openxmlformats.org/officeDocument/2006/relationships/hyperlink" Target="https://stfc.space/officers/1039950897" TargetMode="External"/><Relationship Id="rId139" Type="http://schemas.openxmlformats.org/officeDocument/2006/relationships/hyperlink" Target="https://stfc.space/officers/3264304828" TargetMode="External"/><Relationship Id="rId138" Type="http://schemas.openxmlformats.org/officeDocument/2006/relationships/hyperlink" Target="https://stfc.space/officers/2822661458" TargetMode="External"/><Relationship Id="rId259" Type="http://schemas.openxmlformats.org/officeDocument/2006/relationships/hyperlink" Target="https://stfc.space/officers/3968109489" TargetMode="External"/><Relationship Id="rId137" Type="http://schemas.openxmlformats.org/officeDocument/2006/relationships/hyperlink" Target="https://stfc.space/officers/2822661458" TargetMode="External"/><Relationship Id="rId258" Type="http://schemas.openxmlformats.org/officeDocument/2006/relationships/hyperlink" Target="https://stfc.space/officers/1485791413" TargetMode="External"/><Relationship Id="rId379" Type="http://schemas.openxmlformats.org/officeDocument/2006/relationships/hyperlink" Target="https://stfc.space/officers/1039950897" TargetMode="External"/><Relationship Id="rId132" Type="http://schemas.openxmlformats.org/officeDocument/2006/relationships/hyperlink" Target="https://stfc.space/officers/3314108979" TargetMode="External"/><Relationship Id="rId253" Type="http://schemas.openxmlformats.org/officeDocument/2006/relationships/hyperlink" Target="https://stfc.space/officers/1841597470" TargetMode="External"/><Relationship Id="rId374" Type="http://schemas.openxmlformats.org/officeDocument/2006/relationships/hyperlink" Target="https://stfc.space/officers/1442833808" TargetMode="External"/><Relationship Id="rId495" Type="http://schemas.openxmlformats.org/officeDocument/2006/relationships/hyperlink" Target="https://stfc.space/officers/783581005" TargetMode="External"/><Relationship Id="rId131" Type="http://schemas.openxmlformats.org/officeDocument/2006/relationships/hyperlink" Target="https://stfc.space/officers/3314108979" TargetMode="External"/><Relationship Id="rId252" Type="http://schemas.openxmlformats.org/officeDocument/2006/relationships/hyperlink" Target="https://stfc.space/officers/3382562951" TargetMode="External"/><Relationship Id="rId373" Type="http://schemas.openxmlformats.org/officeDocument/2006/relationships/hyperlink" Target="https://stfc.space/officers/1442833808" TargetMode="External"/><Relationship Id="rId494" Type="http://schemas.openxmlformats.org/officeDocument/2006/relationships/hyperlink" Target="https://stfc.space/officers/783581005" TargetMode="External"/><Relationship Id="rId130" Type="http://schemas.openxmlformats.org/officeDocument/2006/relationships/hyperlink" Target="https://stfc.space/officers/3628828668" TargetMode="External"/><Relationship Id="rId251" Type="http://schemas.openxmlformats.org/officeDocument/2006/relationships/hyperlink" Target="https://stfc.space/officers/3382562951" TargetMode="External"/><Relationship Id="rId372" Type="http://schemas.openxmlformats.org/officeDocument/2006/relationships/hyperlink" Target="https://stfc.space/officers/4290764940" TargetMode="External"/><Relationship Id="rId493" Type="http://schemas.openxmlformats.org/officeDocument/2006/relationships/hyperlink" Target="https://stfc.space/officers/2862563009" TargetMode="External"/><Relationship Id="rId250" Type="http://schemas.openxmlformats.org/officeDocument/2006/relationships/hyperlink" Target="https://stfc.space/officers/3579242146" TargetMode="External"/><Relationship Id="rId371" Type="http://schemas.openxmlformats.org/officeDocument/2006/relationships/hyperlink" Target="https://stfc.space/officers/4290764940" TargetMode="External"/><Relationship Id="rId492" Type="http://schemas.openxmlformats.org/officeDocument/2006/relationships/hyperlink" Target="https://stfc.space/officers/2862563009" TargetMode="External"/><Relationship Id="rId136" Type="http://schemas.openxmlformats.org/officeDocument/2006/relationships/hyperlink" Target="https://stfc.space/officers/407568868" TargetMode="External"/><Relationship Id="rId257" Type="http://schemas.openxmlformats.org/officeDocument/2006/relationships/hyperlink" Target="https://stfc.space/officers/1485791413" TargetMode="External"/><Relationship Id="rId378" Type="http://schemas.openxmlformats.org/officeDocument/2006/relationships/hyperlink" Target="https://stfc.space/officers/3412597742" TargetMode="External"/><Relationship Id="rId499" Type="http://schemas.openxmlformats.org/officeDocument/2006/relationships/hyperlink" Target="https://stfc.space/officers/93766267" TargetMode="External"/><Relationship Id="rId135" Type="http://schemas.openxmlformats.org/officeDocument/2006/relationships/hyperlink" Target="https://stfc.space/officers/407568868" TargetMode="External"/><Relationship Id="rId256" Type="http://schemas.openxmlformats.org/officeDocument/2006/relationships/hyperlink" Target="https://stfc.space/officers/3217575459" TargetMode="External"/><Relationship Id="rId377" Type="http://schemas.openxmlformats.org/officeDocument/2006/relationships/hyperlink" Target="https://stfc.space/officers/3412597742" TargetMode="External"/><Relationship Id="rId498" Type="http://schemas.openxmlformats.org/officeDocument/2006/relationships/hyperlink" Target="https://stfc.space/officers/93766267" TargetMode="External"/><Relationship Id="rId134" Type="http://schemas.openxmlformats.org/officeDocument/2006/relationships/hyperlink" Target="https://stfc.space/officers/3722250154" TargetMode="External"/><Relationship Id="rId255" Type="http://schemas.openxmlformats.org/officeDocument/2006/relationships/hyperlink" Target="https://stfc.space/officers/3217575459" TargetMode="External"/><Relationship Id="rId376" Type="http://schemas.openxmlformats.org/officeDocument/2006/relationships/hyperlink" Target="https://stfc.space/officers/1203492497" TargetMode="External"/><Relationship Id="rId497" Type="http://schemas.openxmlformats.org/officeDocument/2006/relationships/hyperlink" Target="https://stfc.space/officers/312289551" TargetMode="External"/><Relationship Id="rId133" Type="http://schemas.openxmlformats.org/officeDocument/2006/relationships/hyperlink" Target="https://stfc.space/officers/3722250154" TargetMode="External"/><Relationship Id="rId254" Type="http://schemas.openxmlformats.org/officeDocument/2006/relationships/hyperlink" Target="https://stfc.space/officers/1841597470" TargetMode="External"/><Relationship Id="rId375" Type="http://schemas.openxmlformats.org/officeDocument/2006/relationships/hyperlink" Target="https://stfc.space/officers/1203492497" TargetMode="External"/><Relationship Id="rId496" Type="http://schemas.openxmlformats.org/officeDocument/2006/relationships/hyperlink" Target="https://stfc.space/officers/312289551" TargetMode="External"/><Relationship Id="rId172" Type="http://schemas.openxmlformats.org/officeDocument/2006/relationships/hyperlink" Target="https://stfc.space/officers/2847497836" TargetMode="External"/><Relationship Id="rId293" Type="http://schemas.openxmlformats.org/officeDocument/2006/relationships/hyperlink" Target="https://stfc.space/officers/909354959" TargetMode="External"/><Relationship Id="rId171" Type="http://schemas.openxmlformats.org/officeDocument/2006/relationships/hyperlink" Target="https://stfc.space/officers/2847497836" TargetMode="External"/><Relationship Id="rId292" Type="http://schemas.openxmlformats.org/officeDocument/2006/relationships/hyperlink" Target="https://stfc.space/officers/2184439996" TargetMode="External"/><Relationship Id="rId170" Type="http://schemas.openxmlformats.org/officeDocument/2006/relationships/hyperlink" Target="https://stfc.space/officers/677303054" TargetMode="External"/><Relationship Id="rId291" Type="http://schemas.openxmlformats.org/officeDocument/2006/relationships/hyperlink" Target="https://stfc.space/officers/2184439996" TargetMode="External"/><Relationship Id="rId290" Type="http://schemas.openxmlformats.org/officeDocument/2006/relationships/hyperlink" Target="https://stfc.space/officers/2392608691" TargetMode="External"/><Relationship Id="rId165" Type="http://schemas.openxmlformats.org/officeDocument/2006/relationships/hyperlink" Target="https://stfc.space/officers/229898163" TargetMode="External"/><Relationship Id="rId286" Type="http://schemas.openxmlformats.org/officeDocument/2006/relationships/hyperlink" Target="https://stfc.space/officers/336948052" TargetMode="External"/><Relationship Id="rId164" Type="http://schemas.openxmlformats.org/officeDocument/2006/relationships/hyperlink" Target="https://stfc.space/officers/1083140166" TargetMode="External"/><Relationship Id="rId285" Type="http://schemas.openxmlformats.org/officeDocument/2006/relationships/hyperlink" Target="https://stfc.space/officers/336948052" TargetMode="External"/><Relationship Id="rId163" Type="http://schemas.openxmlformats.org/officeDocument/2006/relationships/hyperlink" Target="https://stfc.space/officers/1083140166" TargetMode="External"/><Relationship Id="rId284" Type="http://schemas.openxmlformats.org/officeDocument/2006/relationships/hyperlink" Target="https://stfc.space/officers/2498836305" TargetMode="External"/><Relationship Id="rId162" Type="http://schemas.openxmlformats.org/officeDocument/2006/relationships/hyperlink" Target="https://stfc.space/officers/1330179266" TargetMode="External"/><Relationship Id="rId283" Type="http://schemas.openxmlformats.org/officeDocument/2006/relationships/hyperlink" Target="https://stfc.space/officers/2498836305" TargetMode="External"/><Relationship Id="rId169" Type="http://schemas.openxmlformats.org/officeDocument/2006/relationships/hyperlink" Target="https://stfc.space/officers/677303054" TargetMode="External"/><Relationship Id="rId168" Type="http://schemas.openxmlformats.org/officeDocument/2006/relationships/hyperlink" Target="https://stfc.space/officers/3106264505" TargetMode="External"/><Relationship Id="rId289" Type="http://schemas.openxmlformats.org/officeDocument/2006/relationships/hyperlink" Target="https://stfc.space/officers/2392608691" TargetMode="External"/><Relationship Id="rId167" Type="http://schemas.openxmlformats.org/officeDocument/2006/relationships/hyperlink" Target="https://stfc.space/officers/3106264505" TargetMode="External"/><Relationship Id="rId288" Type="http://schemas.openxmlformats.org/officeDocument/2006/relationships/hyperlink" Target="https://stfc.space/officers/215089650" TargetMode="External"/><Relationship Id="rId166" Type="http://schemas.openxmlformats.org/officeDocument/2006/relationships/hyperlink" Target="https://stfc.space/officers/229898163" TargetMode="External"/><Relationship Id="rId287" Type="http://schemas.openxmlformats.org/officeDocument/2006/relationships/hyperlink" Target="https://stfc.space/officers/215089650" TargetMode="External"/><Relationship Id="rId161" Type="http://schemas.openxmlformats.org/officeDocument/2006/relationships/hyperlink" Target="https://stfc.space/officers/1330179266" TargetMode="External"/><Relationship Id="rId282" Type="http://schemas.openxmlformats.org/officeDocument/2006/relationships/hyperlink" Target="https://stfc.space/officers/3542999283" TargetMode="External"/><Relationship Id="rId160" Type="http://schemas.openxmlformats.org/officeDocument/2006/relationships/hyperlink" Target="https://stfc.space/officers/2651130337" TargetMode="External"/><Relationship Id="rId281" Type="http://schemas.openxmlformats.org/officeDocument/2006/relationships/hyperlink" Target="https://stfc.space/officers/3542999283" TargetMode="External"/><Relationship Id="rId280" Type="http://schemas.openxmlformats.org/officeDocument/2006/relationships/hyperlink" Target="https://stfc.space/officers/4148782205" TargetMode="External"/><Relationship Id="rId159" Type="http://schemas.openxmlformats.org/officeDocument/2006/relationships/hyperlink" Target="https://stfc.space/officers/2651130337" TargetMode="External"/><Relationship Id="rId154" Type="http://schemas.openxmlformats.org/officeDocument/2006/relationships/hyperlink" Target="https://stfc.space/officers/1349602017" TargetMode="External"/><Relationship Id="rId275" Type="http://schemas.openxmlformats.org/officeDocument/2006/relationships/hyperlink" Target="https://stfc.space/officers/1070197892" TargetMode="External"/><Relationship Id="rId396" Type="http://schemas.openxmlformats.org/officeDocument/2006/relationships/hyperlink" Target="https://stfc.space/officers/2343910766" TargetMode="External"/><Relationship Id="rId153" Type="http://schemas.openxmlformats.org/officeDocument/2006/relationships/hyperlink" Target="https://stfc.space/officers/1349602017" TargetMode="External"/><Relationship Id="rId274" Type="http://schemas.openxmlformats.org/officeDocument/2006/relationships/hyperlink" Target="https://stfc.space/officers/1137482318" TargetMode="External"/><Relationship Id="rId395" Type="http://schemas.openxmlformats.org/officeDocument/2006/relationships/hyperlink" Target="https://stfc.space/officers/2343910766" TargetMode="External"/><Relationship Id="rId152" Type="http://schemas.openxmlformats.org/officeDocument/2006/relationships/hyperlink" Target="https://stfc.space/officers/43410162" TargetMode="External"/><Relationship Id="rId273" Type="http://schemas.openxmlformats.org/officeDocument/2006/relationships/hyperlink" Target="https://stfc.space/officers/1137482318" TargetMode="External"/><Relationship Id="rId394" Type="http://schemas.openxmlformats.org/officeDocument/2006/relationships/hyperlink" Target="https://stfc.space/officers/38768657" TargetMode="External"/><Relationship Id="rId151" Type="http://schemas.openxmlformats.org/officeDocument/2006/relationships/hyperlink" Target="https://stfc.space/officers/43410162" TargetMode="External"/><Relationship Id="rId272" Type="http://schemas.openxmlformats.org/officeDocument/2006/relationships/hyperlink" Target="https://stfc.space/officers/1116707401" TargetMode="External"/><Relationship Id="rId393" Type="http://schemas.openxmlformats.org/officeDocument/2006/relationships/hyperlink" Target="https://stfc.space/officers/38768657" TargetMode="External"/><Relationship Id="rId158" Type="http://schemas.openxmlformats.org/officeDocument/2006/relationships/hyperlink" Target="https://stfc.space/officers/949329475" TargetMode="External"/><Relationship Id="rId279" Type="http://schemas.openxmlformats.org/officeDocument/2006/relationships/hyperlink" Target="https://stfc.space/officers/4148782205" TargetMode="External"/><Relationship Id="rId157" Type="http://schemas.openxmlformats.org/officeDocument/2006/relationships/hyperlink" Target="https://stfc.space/officers/949329475" TargetMode="External"/><Relationship Id="rId278" Type="http://schemas.openxmlformats.org/officeDocument/2006/relationships/hyperlink" Target="https://stfc.space/officers/2593842933" TargetMode="External"/><Relationship Id="rId399" Type="http://schemas.openxmlformats.org/officeDocument/2006/relationships/hyperlink" Target="https://stfc.space/officers/1458469333" TargetMode="External"/><Relationship Id="rId156" Type="http://schemas.openxmlformats.org/officeDocument/2006/relationships/hyperlink" Target="https://stfc.space/officers/634330627" TargetMode="External"/><Relationship Id="rId277" Type="http://schemas.openxmlformats.org/officeDocument/2006/relationships/hyperlink" Target="https://stfc.space/officers/2593842933" TargetMode="External"/><Relationship Id="rId398" Type="http://schemas.openxmlformats.org/officeDocument/2006/relationships/hyperlink" Target="https://stfc.space/officers/3849424588" TargetMode="External"/><Relationship Id="rId155" Type="http://schemas.openxmlformats.org/officeDocument/2006/relationships/hyperlink" Target="https://stfc.space/officers/634330627" TargetMode="External"/><Relationship Id="rId276" Type="http://schemas.openxmlformats.org/officeDocument/2006/relationships/hyperlink" Target="https://stfc.space/officers/1070197892" TargetMode="External"/><Relationship Id="rId397" Type="http://schemas.openxmlformats.org/officeDocument/2006/relationships/hyperlink" Target="https://stfc.space/officers/3849424588" TargetMode="External"/><Relationship Id="rId40" Type="http://schemas.openxmlformats.org/officeDocument/2006/relationships/hyperlink" Target="https://stfc.space/officers/2235857051" TargetMode="External"/><Relationship Id="rId42" Type="http://schemas.openxmlformats.org/officeDocument/2006/relationships/hyperlink" Target="https://stfc.space/officers/668528267" TargetMode="External"/><Relationship Id="rId41" Type="http://schemas.openxmlformats.org/officeDocument/2006/relationships/hyperlink" Target="https://stfc.space/officers/668528267" TargetMode="External"/><Relationship Id="rId44" Type="http://schemas.openxmlformats.org/officeDocument/2006/relationships/hyperlink" Target="https://stfc.space/officers/1556052341" TargetMode="External"/><Relationship Id="rId43" Type="http://schemas.openxmlformats.org/officeDocument/2006/relationships/hyperlink" Target="https://stfc.space/officers/1556052341" TargetMode="External"/><Relationship Id="rId46" Type="http://schemas.openxmlformats.org/officeDocument/2006/relationships/hyperlink" Target="https://stfc.space/officers/755079845" TargetMode="External"/><Relationship Id="rId45" Type="http://schemas.openxmlformats.org/officeDocument/2006/relationships/hyperlink" Target="https://stfc.space/officers/755079845" TargetMode="External"/><Relationship Id="rId509" Type="http://schemas.openxmlformats.org/officeDocument/2006/relationships/hyperlink" Target="https://stfc.space/officers/2458983580" TargetMode="External"/><Relationship Id="rId508" Type="http://schemas.openxmlformats.org/officeDocument/2006/relationships/hyperlink" Target="https://stfc.space/officers/2458983580" TargetMode="External"/><Relationship Id="rId503" Type="http://schemas.openxmlformats.org/officeDocument/2006/relationships/hyperlink" Target="https://stfc.space/officers/2864895220" TargetMode="External"/><Relationship Id="rId502" Type="http://schemas.openxmlformats.org/officeDocument/2006/relationships/hyperlink" Target="https://stfc.space/officers/2864895220" TargetMode="External"/><Relationship Id="rId501" Type="http://schemas.openxmlformats.org/officeDocument/2006/relationships/hyperlink" Target="https://stfc.space/officers/2778731701" TargetMode="External"/><Relationship Id="rId500" Type="http://schemas.openxmlformats.org/officeDocument/2006/relationships/hyperlink" Target="https://stfc.space/officers/2778731701" TargetMode="External"/><Relationship Id="rId507" Type="http://schemas.openxmlformats.org/officeDocument/2006/relationships/hyperlink" Target="https://stfc.space/officers/1511887954" TargetMode="External"/><Relationship Id="rId506" Type="http://schemas.openxmlformats.org/officeDocument/2006/relationships/hyperlink" Target="https://stfc.space/officers/1511887954" TargetMode="External"/><Relationship Id="rId505" Type="http://schemas.openxmlformats.org/officeDocument/2006/relationships/hyperlink" Target="https://stfc.space/officers/3592998124" TargetMode="External"/><Relationship Id="rId504" Type="http://schemas.openxmlformats.org/officeDocument/2006/relationships/hyperlink" Target="https://stfc.space/officers/3592998124" TargetMode="External"/><Relationship Id="rId48" Type="http://schemas.openxmlformats.org/officeDocument/2006/relationships/hyperlink" Target="https://stfc.space/officers/2518604778" TargetMode="External"/><Relationship Id="rId47" Type="http://schemas.openxmlformats.org/officeDocument/2006/relationships/hyperlink" Target="https://stfc.space/officers/2518604778" TargetMode="External"/><Relationship Id="rId49" Type="http://schemas.openxmlformats.org/officeDocument/2006/relationships/hyperlink" Target="https://stfc.space/officers/3816036121" TargetMode="External"/><Relationship Id="rId31" Type="http://schemas.openxmlformats.org/officeDocument/2006/relationships/hyperlink" Target="https://stfc.space/officers/2959514562" TargetMode="External"/><Relationship Id="rId30" Type="http://schemas.openxmlformats.org/officeDocument/2006/relationships/hyperlink" Target="https://stfc.space/officers/656972203" TargetMode="External"/><Relationship Id="rId33" Type="http://schemas.openxmlformats.org/officeDocument/2006/relationships/hyperlink" Target="https://stfc.space/officers/1983456684" TargetMode="External"/><Relationship Id="rId32" Type="http://schemas.openxmlformats.org/officeDocument/2006/relationships/hyperlink" Target="https://stfc.space/officers/2959514562" TargetMode="External"/><Relationship Id="rId35" Type="http://schemas.openxmlformats.org/officeDocument/2006/relationships/hyperlink" Target="https://stfc.space/officers/2333021829" TargetMode="External"/><Relationship Id="rId34" Type="http://schemas.openxmlformats.org/officeDocument/2006/relationships/hyperlink" Target="https://stfc.space/officers/1983456684" TargetMode="External"/><Relationship Id="rId37" Type="http://schemas.openxmlformats.org/officeDocument/2006/relationships/hyperlink" Target="https://stfc.space/officers/339936167" TargetMode="External"/><Relationship Id="rId36" Type="http://schemas.openxmlformats.org/officeDocument/2006/relationships/hyperlink" Target="https://stfc.space/officers/2333021829" TargetMode="External"/><Relationship Id="rId39" Type="http://schemas.openxmlformats.org/officeDocument/2006/relationships/hyperlink" Target="https://stfc.space/officers/2235857051" TargetMode="External"/><Relationship Id="rId38" Type="http://schemas.openxmlformats.org/officeDocument/2006/relationships/hyperlink" Target="https://stfc.space/officers/339936167" TargetMode="External"/><Relationship Id="rId20" Type="http://schemas.openxmlformats.org/officeDocument/2006/relationships/hyperlink" Target="https://stfc.space/officers/3880112208" TargetMode="External"/><Relationship Id="rId22" Type="http://schemas.openxmlformats.org/officeDocument/2006/relationships/hyperlink" Target="https://stfc.space/officers/2475235160" TargetMode="External"/><Relationship Id="rId21" Type="http://schemas.openxmlformats.org/officeDocument/2006/relationships/hyperlink" Target="https://stfc.space/officers/2475235160" TargetMode="External"/><Relationship Id="rId24" Type="http://schemas.openxmlformats.org/officeDocument/2006/relationships/hyperlink" Target="https://stfc.space/officers/250991574" TargetMode="External"/><Relationship Id="rId23" Type="http://schemas.openxmlformats.org/officeDocument/2006/relationships/hyperlink" Target="https://stfc.space/officers/250991574" TargetMode="External"/><Relationship Id="rId409" Type="http://schemas.openxmlformats.org/officeDocument/2006/relationships/hyperlink" Target="https://stfc.space/officers/1116563882" TargetMode="External"/><Relationship Id="rId404" Type="http://schemas.openxmlformats.org/officeDocument/2006/relationships/hyperlink" Target="https://stfc.space/officers/2120397875" TargetMode="External"/><Relationship Id="rId525" Type="http://schemas.openxmlformats.org/officeDocument/2006/relationships/hyperlink" Target="https://stfc.space/officers/1352288560" TargetMode="External"/><Relationship Id="rId403" Type="http://schemas.openxmlformats.org/officeDocument/2006/relationships/hyperlink" Target="https://stfc.space/officers/2120397875" TargetMode="External"/><Relationship Id="rId524" Type="http://schemas.openxmlformats.org/officeDocument/2006/relationships/hyperlink" Target="https://stfc.space/officers/1352288560" TargetMode="External"/><Relationship Id="rId402" Type="http://schemas.openxmlformats.org/officeDocument/2006/relationships/hyperlink" Target="https://stfc.space/officers/3838190976" TargetMode="External"/><Relationship Id="rId523" Type="http://schemas.openxmlformats.org/officeDocument/2006/relationships/hyperlink" Target="https://stfc.space/officers/807303933" TargetMode="External"/><Relationship Id="rId401" Type="http://schemas.openxmlformats.org/officeDocument/2006/relationships/hyperlink" Target="https://stfc.space/officers/3838190976" TargetMode="External"/><Relationship Id="rId522" Type="http://schemas.openxmlformats.org/officeDocument/2006/relationships/hyperlink" Target="https://stfc.space/officers/807303933" TargetMode="External"/><Relationship Id="rId408" Type="http://schemas.openxmlformats.org/officeDocument/2006/relationships/hyperlink" Target="https://stfc.space/officers/497650232" TargetMode="External"/><Relationship Id="rId529" Type="http://schemas.openxmlformats.org/officeDocument/2006/relationships/hyperlink" Target="https://stfc.space/officers/3242236216" TargetMode="External"/><Relationship Id="rId407" Type="http://schemas.openxmlformats.org/officeDocument/2006/relationships/hyperlink" Target="https://stfc.space/officers/497650232" TargetMode="External"/><Relationship Id="rId528" Type="http://schemas.openxmlformats.org/officeDocument/2006/relationships/hyperlink" Target="https://stfc.space/officers/3242236216" TargetMode="External"/><Relationship Id="rId406" Type="http://schemas.openxmlformats.org/officeDocument/2006/relationships/hyperlink" Target="https://stfc.space/officers/2037089464" TargetMode="External"/><Relationship Id="rId527" Type="http://schemas.openxmlformats.org/officeDocument/2006/relationships/hyperlink" Target="https://stfc.space/officers/897691678" TargetMode="External"/><Relationship Id="rId405" Type="http://schemas.openxmlformats.org/officeDocument/2006/relationships/hyperlink" Target="https://stfc.space/officers/2037089464" TargetMode="External"/><Relationship Id="rId526" Type="http://schemas.openxmlformats.org/officeDocument/2006/relationships/hyperlink" Target="https://stfc.space/officers/897691678" TargetMode="External"/><Relationship Id="rId26" Type="http://schemas.openxmlformats.org/officeDocument/2006/relationships/hyperlink" Target="https://stfc.space/officers/98548875" TargetMode="External"/><Relationship Id="rId25" Type="http://schemas.openxmlformats.org/officeDocument/2006/relationships/hyperlink" Target="https://stfc.space/officers/98548875" TargetMode="External"/><Relationship Id="rId28" Type="http://schemas.openxmlformats.org/officeDocument/2006/relationships/hyperlink" Target="https://stfc.space/officers/3221819893" TargetMode="External"/><Relationship Id="rId27" Type="http://schemas.openxmlformats.org/officeDocument/2006/relationships/hyperlink" Target="https://stfc.space/officers/3221819893" TargetMode="External"/><Relationship Id="rId400" Type="http://schemas.openxmlformats.org/officeDocument/2006/relationships/hyperlink" Target="https://stfc.space/officers/1458469333" TargetMode="External"/><Relationship Id="rId521" Type="http://schemas.openxmlformats.org/officeDocument/2006/relationships/hyperlink" Target="https://stfc.space/officers/2100903263" TargetMode="External"/><Relationship Id="rId29" Type="http://schemas.openxmlformats.org/officeDocument/2006/relationships/hyperlink" Target="https://stfc.space/officers/656972203" TargetMode="External"/><Relationship Id="rId520" Type="http://schemas.openxmlformats.org/officeDocument/2006/relationships/hyperlink" Target="https://stfc.space/officers/2100903263" TargetMode="External"/><Relationship Id="rId11" Type="http://schemas.openxmlformats.org/officeDocument/2006/relationships/hyperlink" Target="https://stfc.space/officers/282462507" TargetMode="External"/><Relationship Id="rId10" Type="http://schemas.openxmlformats.org/officeDocument/2006/relationships/hyperlink" Target="https://stfc.space/officers/2520801863" TargetMode="External"/><Relationship Id="rId13" Type="http://schemas.openxmlformats.org/officeDocument/2006/relationships/hyperlink" Target="https://stfc.space/officers/2695272429" TargetMode="External"/><Relationship Id="rId12" Type="http://schemas.openxmlformats.org/officeDocument/2006/relationships/hyperlink" Target="https://stfc.space/officers/282462507" TargetMode="External"/><Relationship Id="rId519" Type="http://schemas.openxmlformats.org/officeDocument/2006/relationships/hyperlink" Target="https://stfc.space/officers/3814065186" TargetMode="External"/><Relationship Id="rId514" Type="http://schemas.openxmlformats.org/officeDocument/2006/relationships/hyperlink" Target="https://stfc.space/officers/1409510538" TargetMode="External"/><Relationship Id="rId513" Type="http://schemas.openxmlformats.org/officeDocument/2006/relationships/hyperlink" Target="https://stfc.space/officers/2923667463" TargetMode="External"/><Relationship Id="rId512" Type="http://schemas.openxmlformats.org/officeDocument/2006/relationships/hyperlink" Target="https://stfc.space/officers/2923667463" TargetMode="External"/><Relationship Id="rId511" Type="http://schemas.openxmlformats.org/officeDocument/2006/relationships/hyperlink" Target="https://stfc.space/officers/2173095604" TargetMode="External"/><Relationship Id="rId518" Type="http://schemas.openxmlformats.org/officeDocument/2006/relationships/hyperlink" Target="https://stfc.space/officers/3814065186" TargetMode="External"/><Relationship Id="rId517" Type="http://schemas.openxmlformats.org/officeDocument/2006/relationships/hyperlink" Target="https://stfc.space/officers/3594463469" TargetMode="External"/><Relationship Id="rId516" Type="http://schemas.openxmlformats.org/officeDocument/2006/relationships/hyperlink" Target="https://stfc.space/officers/3594463469" TargetMode="External"/><Relationship Id="rId515" Type="http://schemas.openxmlformats.org/officeDocument/2006/relationships/hyperlink" Target="https://stfc.space/officers/1409510538" TargetMode="External"/><Relationship Id="rId15" Type="http://schemas.openxmlformats.org/officeDocument/2006/relationships/hyperlink" Target="https://stfc.space/officers/1465017198" TargetMode="External"/><Relationship Id="rId14" Type="http://schemas.openxmlformats.org/officeDocument/2006/relationships/hyperlink" Target="https://stfc.space/officers/2695272429" TargetMode="External"/><Relationship Id="rId17" Type="http://schemas.openxmlformats.org/officeDocument/2006/relationships/hyperlink" Target="https://stfc.space/officers/1730335425" TargetMode="External"/><Relationship Id="rId16" Type="http://schemas.openxmlformats.org/officeDocument/2006/relationships/hyperlink" Target="https://stfc.space/officers/1465017198" TargetMode="External"/><Relationship Id="rId19" Type="http://schemas.openxmlformats.org/officeDocument/2006/relationships/hyperlink" Target="https://stfc.space/officers/3880112208" TargetMode="External"/><Relationship Id="rId510" Type="http://schemas.openxmlformats.org/officeDocument/2006/relationships/hyperlink" Target="https://stfc.space/officers/2173095604" TargetMode="External"/><Relationship Id="rId18" Type="http://schemas.openxmlformats.org/officeDocument/2006/relationships/hyperlink" Target="https://stfc.space/officers/1730335425" TargetMode="External"/><Relationship Id="rId84" Type="http://schemas.openxmlformats.org/officeDocument/2006/relationships/hyperlink" Target="https://stfc.space/officers/680147223" TargetMode="External"/><Relationship Id="rId83" Type="http://schemas.openxmlformats.org/officeDocument/2006/relationships/hyperlink" Target="https://stfc.space/officers/680147223" TargetMode="External"/><Relationship Id="rId86" Type="http://schemas.openxmlformats.org/officeDocument/2006/relationships/hyperlink" Target="https://stfc.space/officers/3394864658" TargetMode="External"/><Relationship Id="rId85" Type="http://schemas.openxmlformats.org/officeDocument/2006/relationships/hyperlink" Target="https://stfc.space/officers/3394864658" TargetMode="External"/><Relationship Id="rId88" Type="http://schemas.openxmlformats.org/officeDocument/2006/relationships/hyperlink" Target="https://stfc.space/officers/176044746" TargetMode="External"/><Relationship Id="rId87" Type="http://schemas.openxmlformats.org/officeDocument/2006/relationships/hyperlink" Target="https://stfc.space/officers/176044746" TargetMode="External"/><Relationship Id="rId89" Type="http://schemas.openxmlformats.org/officeDocument/2006/relationships/hyperlink" Target="https://stfc.space/officers/2963484044" TargetMode="External"/><Relationship Id="rId80" Type="http://schemas.openxmlformats.org/officeDocument/2006/relationships/hyperlink" Target="https://stfc.space/officers/4219901626" TargetMode="External"/><Relationship Id="rId82" Type="http://schemas.openxmlformats.org/officeDocument/2006/relationships/hyperlink" Target="https://stfc.space/officers/4132174205" TargetMode="External"/><Relationship Id="rId81" Type="http://schemas.openxmlformats.org/officeDocument/2006/relationships/hyperlink" Target="https://stfc.space/officers/4132174205" TargetMode="External"/><Relationship Id="rId73" Type="http://schemas.openxmlformats.org/officeDocument/2006/relationships/hyperlink" Target="https://stfc.space/officers/361377304" TargetMode="External"/><Relationship Id="rId72" Type="http://schemas.openxmlformats.org/officeDocument/2006/relationships/hyperlink" Target="https://stfc.space/officers/3001921707" TargetMode="External"/><Relationship Id="rId75" Type="http://schemas.openxmlformats.org/officeDocument/2006/relationships/hyperlink" Target="https://stfc.space/officers/513311144" TargetMode="External"/><Relationship Id="rId74" Type="http://schemas.openxmlformats.org/officeDocument/2006/relationships/hyperlink" Target="https://stfc.space/officers/361377304" TargetMode="External"/><Relationship Id="rId77" Type="http://schemas.openxmlformats.org/officeDocument/2006/relationships/hyperlink" Target="https://stfc.space/officers/3492633912" TargetMode="External"/><Relationship Id="rId76" Type="http://schemas.openxmlformats.org/officeDocument/2006/relationships/hyperlink" Target="https://stfc.space/officers/513311144" TargetMode="External"/><Relationship Id="rId79" Type="http://schemas.openxmlformats.org/officeDocument/2006/relationships/hyperlink" Target="https://stfc.space/officers/4219901626" TargetMode="External"/><Relationship Id="rId78" Type="http://schemas.openxmlformats.org/officeDocument/2006/relationships/hyperlink" Target="https://stfc.space/officers/3492633912" TargetMode="External"/><Relationship Id="rId71" Type="http://schemas.openxmlformats.org/officeDocument/2006/relationships/hyperlink" Target="https://stfc.space/officers/3001921707" TargetMode="External"/><Relationship Id="rId70" Type="http://schemas.openxmlformats.org/officeDocument/2006/relationships/hyperlink" Target="https://stfc.space/officers/913104893" TargetMode="External"/><Relationship Id="rId62" Type="http://schemas.openxmlformats.org/officeDocument/2006/relationships/hyperlink" Target="https://stfc.space/officers/2567136252" TargetMode="External"/><Relationship Id="rId61" Type="http://schemas.openxmlformats.org/officeDocument/2006/relationships/hyperlink" Target="https://stfc.space/officers/2567136252" TargetMode="External"/><Relationship Id="rId64" Type="http://schemas.openxmlformats.org/officeDocument/2006/relationships/hyperlink" Target="https://stfc.space/officers/1455040265" TargetMode="External"/><Relationship Id="rId63" Type="http://schemas.openxmlformats.org/officeDocument/2006/relationships/hyperlink" Target="https://stfc.space/officers/1455040265" TargetMode="External"/><Relationship Id="rId66" Type="http://schemas.openxmlformats.org/officeDocument/2006/relationships/hyperlink" Target="https://stfc.space/officers/3281026482" TargetMode="External"/><Relationship Id="rId65" Type="http://schemas.openxmlformats.org/officeDocument/2006/relationships/hyperlink" Target="https://stfc.space/officers/3281026482" TargetMode="External"/><Relationship Id="rId68" Type="http://schemas.openxmlformats.org/officeDocument/2006/relationships/hyperlink" Target="https://stfc.space/officers/2775384983" TargetMode="External"/><Relationship Id="rId67" Type="http://schemas.openxmlformats.org/officeDocument/2006/relationships/hyperlink" Target="https://stfc.space/officers/2775384983" TargetMode="External"/><Relationship Id="rId60" Type="http://schemas.openxmlformats.org/officeDocument/2006/relationships/hyperlink" Target="https://stfc.space/officers/776602621" TargetMode="External"/><Relationship Id="rId69" Type="http://schemas.openxmlformats.org/officeDocument/2006/relationships/hyperlink" Target="https://stfc.space/officers/913104893" TargetMode="External"/><Relationship Id="rId51" Type="http://schemas.openxmlformats.org/officeDocument/2006/relationships/hyperlink" Target="https://stfc.space/officers/2432668775" TargetMode="External"/><Relationship Id="rId50" Type="http://schemas.openxmlformats.org/officeDocument/2006/relationships/hyperlink" Target="https://stfc.space/officers/3816036121" TargetMode="External"/><Relationship Id="rId53" Type="http://schemas.openxmlformats.org/officeDocument/2006/relationships/hyperlink" Target="https://stfc.space/officers/3156736320" TargetMode="External"/><Relationship Id="rId52" Type="http://schemas.openxmlformats.org/officeDocument/2006/relationships/hyperlink" Target="https://stfc.space/officers/2432668775" TargetMode="External"/><Relationship Id="rId55" Type="http://schemas.openxmlformats.org/officeDocument/2006/relationships/hyperlink" Target="https://stfc.space/officers/2865735742" TargetMode="External"/><Relationship Id="rId54" Type="http://schemas.openxmlformats.org/officeDocument/2006/relationships/hyperlink" Target="https://stfc.space/officers/3156736320" TargetMode="External"/><Relationship Id="rId57" Type="http://schemas.openxmlformats.org/officeDocument/2006/relationships/hyperlink" Target="https://stfc.space/officers/2765885322" TargetMode="External"/><Relationship Id="rId56" Type="http://schemas.openxmlformats.org/officeDocument/2006/relationships/hyperlink" Target="https://stfc.space/officers/2865735742" TargetMode="External"/><Relationship Id="rId59" Type="http://schemas.openxmlformats.org/officeDocument/2006/relationships/hyperlink" Target="https://stfc.space/officers/776602621" TargetMode="External"/><Relationship Id="rId58" Type="http://schemas.openxmlformats.org/officeDocument/2006/relationships/hyperlink" Target="https://stfc.space/officers/2765885322" TargetMode="External"/><Relationship Id="rId107" Type="http://schemas.openxmlformats.org/officeDocument/2006/relationships/hyperlink" Target="https://stfc.space/officers/531187684" TargetMode="External"/><Relationship Id="rId228" Type="http://schemas.openxmlformats.org/officeDocument/2006/relationships/hyperlink" Target="https://stfc.space/officers/3769449499" TargetMode="External"/><Relationship Id="rId349" Type="http://schemas.openxmlformats.org/officeDocument/2006/relationships/hyperlink" Target="https://stfc.space/officers/2613379706" TargetMode="External"/><Relationship Id="rId106" Type="http://schemas.openxmlformats.org/officeDocument/2006/relationships/hyperlink" Target="https://stfc.space/officers/1250418815" TargetMode="External"/><Relationship Id="rId227" Type="http://schemas.openxmlformats.org/officeDocument/2006/relationships/hyperlink" Target="https://stfc.space/officers/3769449499" TargetMode="External"/><Relationship Id="rId348" Type="http://schemas.openxmlformats.org/officeDocument/2006/relationships/hyperlink" Target="https://stfc.space/officers/3681781473" TargetMode="External"/><Relationship Id="rId469" Type="http://schemas.openxmlformats.org/officeDocument/2006/relationships/hyperlink" Target="https://stfc.space/officers/3662189922" TargetMode="External"/><Relationship Id="rId105" Type="http://schemas.openxmlformats.org/officeDocument/2006/relationships/hyperlink" Target="https://stfc.space/officers/1250418815" TargetMode="External"/><Relationship Id="rId226" Type="http://schemas.openxmlformats.org/officeDocument/2006/relationships/hyperlink" Target="https://stfc.space/officers/1800794103" TargetMode="External"/><Relationship Id="rId347" Type="http://schemas.openxmlformats.org/officeDocument/2006/relationships/hyperlink" Target="https://stfc.space/officers/3681781473" TargetMode="External"/><Relationship Id="rId468" Type="http://schemas.openxmlformats.org/officeDocument/2006/relationships/hyperlink" Target="https://stfc.space/officers/2785409233" TargetMode="External"/><Relationship Id="rId104" Type="http://schemas.openxmlformats.org/officeDocument/2006/relationships/hyperlink" Target="https://stfc.space/officers/3114234402" TargetMode="External"/><Relationship Id="rId225" Type="http://schemas.openxmlformats.org/officeDocument/2006/relationships/hyperlink" Target="https://stfc.space/officers/1800794103" TargetMode="External"/><Relationship Id="rId346" Type="http://schemas.openxmlformats.org/officeDocument/2006/relationships/hyperlink" Target="https://stfc.space/officers/1310878702" TargetMode="External"/><Relationship Id="rId467" Type="http://schemas.openxmlformats.org/officeDocument/2006/relationships/hyperlink" Target="https://stfc.space/officers/2785409233" TargetMode="External"/><Relationship Id="rId109" Type="http://schemas.openxmlformats.org/officeDocument/2006/relationships/hyperlink" Target="https://stfc.space/officers/3079282844" TargetMode="External"/><Relationship Id="rId108" Type="http://schemas.openxmlformats.org/officeDocument/2006/relationships/hyperlink" Target="https://stfc.space/officers/531187684" TargetMode="External"/><Relationship Id="rId229" Type="http://schemas.openxmlformats.org/officeDocument/2006/relationships/hyperlink" Target="https://stfc.space/officers/440622131" TargetMode="External"/><Relationship Id="rId220" Type="http://schemas.openxmlformats.org/officeDocument/2006/relationships/hyperlink" Target="https://stfc.space/officers/56060748" TargetMode="External"/><Relationship Id="rId341" Type="http://schemas.openxmlformats.org/officeDocument/2006/relationships/hyperlink" Target="https://stfc.space/officers/2354305961" TargetMode="External"/><Relationship Id="rId462" Type="http://schemas.openxmlformats.org/officeDocument/2006/relationships/hyperlink" Target="https://stfc.space/officers/3598147546" TargetMode="External"/><Relationship Id="rId340" Type="http://schemas.openxmlformats.org/officeDocument/2006/relationships/hyperlink" Target="https://stfc.space/officers/3512227954" TargetMode="External"/><Relationship Id="rId461" Type="http://schemas.openxmlformats.org/officeDocument/2006/relationships/hyperlink" Target="https://stfc.space/officers/3598147546" TargetMode="External"/><Relationship Id="rId460" Type="http://schemas.openxmlformats.org/officeDocument/2006/relationships/hyperlink" Target="https://stfc.space/officers/901426684" TargetMode="External"/><Relationship Id="rId103" Type="http://schemas.openxmlformats.org/officeDocument/2006/relationships/hyperlink" Target="https://stfc.space/officers/3114234402" TargetMode="External"/><Relationship Id="rId224" Type="http://schemas.openxmlformats.org/officeDocument/2006/relationships/hyperlink" Target="https://stfc.space/officers/1580157615" TargetMode="External"/><Relationship Id="rId345" Type="http://schemas.openxmlformats.org/officeDocument/2006/relationships/hyperlink" Target="https://stfc.space/officers/1310878702" TargetMode="External"/><Relationship Id="rId466" Type="http://schemas.openxmlformats.org/officeDocument/2006/relationships/hyperlink" Target="https://stfc.space/officers/2339276935" TargetMode="External"/><Relationship Id="rId102" Type="http://schemas.openxmlformats.org/officeDocument/2006/relationships/hyperlink" Target="https://stfc.space/officers/3594947012" TargetMode="External"/><Relationship Id="rId223" Type="http://schemas.openxmlformats.org/officeDocument/2006/relationships/hyperlink" Target="https://stfc.space/officers/1580157615" TargetMode="External"/><Relationship Id="rId344" Type="http://schemas.openxmlformats.org/officeDocument/2006/relationships/hyperlink" Target="https://stfc.space/officers/1628322562" TargetMode="External"/><Relationship Id="rId465" Type="http://schemas.openxmlformats.org/officeDocument/2006/relationships/hyperlink" Target="https://stfc.space/officers/2339276935" TargetMode="External"/><Relationship Id="rId101" Type="http://schemas.openxmlformats.org/officeDocument/2006/relationships/hyperlink" Target="https://stfc.space/officers/3594947012" TargetMode="External"/><Relationship Id="rId222" Type="http://schemas.openxmlformats.org/officeDocument/2006/relationships/hyperlink" Target="https://stfc.space/officers/2030703558" TargetMode="External"/><Relationship Id="rId343" Type="http://schemas.openxmlformats.org/officeDocument/2006/relationships/hyperlink" Target="https://stfc.space/officers/1628322562" TargetMode="External"/><Relationship Id="rId464" Type="http://schemas.openxmlformats.org/officeDocument/2006/relationships/hyperlink" Target="https://stfc.space/officers/3643810820" TargetMode="External"/><Relationship Id="rId100" Type="http://schemas.openxmlformats.org/officeDocument/2006/relationships/hyperlink" Target="https://stfc.space/officers/3465002315" TargetMode="External"/><Relationship Id="rId221" Type="http://schemas.openxmlformats.org/officeDocument/2006/relationships/hyperlink" Target="https://stfc.space/officers/2030703558" TargetMode="External"/><Relationship Id="rId342" Type="http://schemas.openxmlformats.org/officeDocument/2006/relationships/hyperlink" Target="https://stfc.space/officers/2354305961" TargetMode="External"/><Relationship Id="rId463" Type="http://schemas.openxmlformats.org/officeDocument/2006/relationships/hyperlink" Target="https://stfc.space/officers/3643810820" TargetMode="External"/><Relationship Id="rId217" Type="http://schemas.openxmlformats.org/officeDocument/2006/relationships/hyperlink" Target="https://stfc.space/officers/3999633781" TargetMode="External"/><Relationship Id="rId338" Type="http://schemas.openxmlformats.org/officeDocument/2006/relationships/hyperlink" Target="https://stfc.space/officers/3479942533" TargetMode="External"/><Relationship Id="rId459" Type="http://schemas.openxmlformats.org/officeDocument/2006/relationships/hyperlink" Target="https://stfc.space/officers/901426684" TargetMode="External"/><Relationship Id="rId216" Type="http://schemas.openxmlformats.org/officeDocument/2006/relationships/hyperlink" Target="https://stfc.space/officers/868427019" TargetMode="External"/><Relationship Id="rId337" Type="http://schemas.openxmlformats.org/officeDocument/2006/relationships/hyperlink" Target="https://stfc.space/officers/3479942533" TargetMode="External"/><Relationship Id="rId458" Type="http://schemas.openxmlformats.org/officeDocument/2006/relationships/hyperlink" Target="https://stfc.space/officers/4235647200" TargetMode="External"/><Relationship Id="rId215" Type="http://schemas.openxmlformats.org/officeDocument/2006/relationships/hyperlink" Target="https://stfc.space/officers/868427019" TargetMode="External"/><Relationship Id="rId336" Type="http://schemas.openxmlformats.org/officeDocument/2006/relationships/hyperlink" Target="https://stfc.space/officers/3742595916" TargetMode="External"/><Relationship Id="rId457" Type="http://schemas.openxmlformats.org/officeDocument/2006/relationships/hyperlink" Target="https://stfc.space/officers/4235647200" TargetMode="External"/><Relationship Id="rId214" Type="http://schemas.openxmlformats.org/officeDocument/2006/relationships/hyperlink" Target="https://stfc.space/officers/3534264929" TargetMode="External"/><Relationship Id="rId335" Type="http://schemas.openxmlformats.org/officeDocument/2006/relationships/hyperlink" Target="https://stfc.space/officers/3742595916" TargetMode="External"/><Relationship Id="rId456" Type="http://schemas.openxmlformats.org/officeDocument/2006/relationships/hyperlink" Target="https://stfc.space/officers/435759625" TargetMode="External"/><Relationship Id="rId219" Type="http://schemas.openxmlformats.org/officeDocument/2006/relationships/hyperlink" Target="https://stfc.space/officers/56060748" TargetMode="External"/><Relationship Id="rId218" Type="http://schemas.openxmlformats.org/officeDocument/2006/relationships/hyperlink" Target="https://stfc.space/officers/3999633781" TargetMode="External"/><Relationship Id="rId339" Type="http://schemas.openxmlformats.org/officeDocument/2006/relationships/hyperlink" Target="https://stfc.space/officers/3512227954" TargetMode="External"/><Relationship Id="rId330" Type="http://schemas.openxmlformats.org/officeDocument/2006/relationships/hyperlink" Target="https://stfc.space/officers/1724793140" TargetMode="External"/><Relationship Id="rId451" Type="http://schemas.openxmlformats.org/officeDocument/2006/relationships/hyperlink" Target="https://stfc.space/officers/3936395808" TargetMode="External"/><Relationship Id="rId450" Type="http://schemas.openxmlformats.org/officeDocument/2006/relationships/hyperlink" Target="https://stfc.space/officers/3294474373" TargetMode="External"/><Relationship Id="rId213" Type="http://schemas.openxmlformats.org/officeDocument/2006/relationships/hyperlink" Target="https://stfc.space/officers/3534264929" TargetMode="External"/><Relationship Id="rId334" Type="http://schemas.openxmlformats.org/officeDocument/2006/relationships/hyperlink" Target="https://stfc.space/officers/1689277174" TargetMode="External"/><Relationship Id="rId455" Type="http://schemas.openxmlformats.org/officeDocument/2006/relationships/hyperlink" Target="https://stfc.space/officers/435759625" TargetMode="External"/><Relationship Id="rId212" Type="http://schemas.openxmlformats.org/officeDocument/2006/relationships/hyperlink" Target="https://stfc.space/officers/3245467973" TargetMode="External"/><Relationship Id="rId333" Type="http://schemas.openxmlformats.org/officeDocument/2006/relationships/hyperlink" Target="https://stfc.space/officers/1689277174" TargetMode="External"/><Relationship Id="rId454" Type="http://schemas.openxmlformats.org/officeDocument/2006/relationships/hyperlink" Target="https://stfc.space/officers/3131537917" TargetMode="External"/><Relationship Id="rId211" Type="http://schemas.openxmlformats.org/officeDocument/2006/relationships/hyperlink" Target="https://stfc.space/officers/3245467973" TargetMode="External"/><Relationship Id="rId332" Type="http://schemas.openxmlformats.org/officeDocument/2006/relationships/hyperlink" Target="https://stfc.space/officers/97787926" TargetMode="External"/><Relationship Id="rId453" Type="http://schemas.openxmlformats.org/officeDocument/2006/relationships/hyperlink" Target="https://stfc.space/officers/3131537917" TargetMode="External"/><Relationship Id="rId210" Type="http://schemas.openxmlformats.org/officeDocument/2006/relationships/hyperlink" Target="https://stfc.space/officers/370544309" TargetMode="External"/><Relationship Id="rId331" Type="http://schemas.openxmlformats.org/officeDocument/2006/relationships/hyperlink" Target="https://stfc.space/officers/97787926" TargetMode="External"/><Relationship Id="rId452" Type="http://schemas.openxmlformats.org/officeDocument/2006/relationships/hyperlink" Target="https://stfc.space/officers/3936395808" TargetMode="External"/><Relationship Id="rId370" Type="http://schemas.openxmlformats.org/officeDocument/2006/relationships/hyperlink" Target="https://stfc.space/officers/339027623" TargetMode="External"/><Relationship Id="rId491" Type="http://schemas.openxmlformats.org/officeDocument/2006/relationships/hyperlink" Target="https://stfc.space/officers/2341819707" TargetMode="External"/><Relationship Id="rId490" Type="http://schemas.openxmlformats.org/officeDocument/2006/relationships/hyperlink" Target="https://stfc.space/officers/2341819707" TargetMode="External"/><Relationship Id="rId129" Type="http://schemas.openxmlformats.org/officeDocument/2006/relationships/hyperlink" Target="https://stfc.space/officers/3628828668" TargetMode="External"/><Relationship Id="rId128" Type="http://schemas.openxmlformats.org/officeDocument/2006/relationships/hyperlink" Target="https://stfc.space/officers/3990993357" TargetMode="External"/><Relationship Id="rId249" Type="http://schemas.openxmlformats.org/officeDocument/2006/relationships/hyperlink" Target="https://stfc.space/officers/3579242146" TargetMode="External"/><Relationship Id="rId127" Type="http://schemas.openxmlformats.org/officeDocument/2006/relationships/hyperlink" Target="https://stfc.space/officers/3990993357" TargetMode="External"/><Relationship Id="rId248" Type="http://schemas.openxmlformats.org/officeDocument/2006/relationships/hyperlink" Target="https://stfc.space/officers/1670351312" TargetMode="External"/><Relationship Id="rId369" Type="http://schemas.openxmlformats.org/officeDocument/2006/relationships/hyperlink" Target="https://stfc.space/officers/339027623" TargetMode="External"/><Relationship Id="rId126" Type="http://schemas.openxmlformats.org/officeDocument/2006/relationships/hyperlink" Target="https://stfc.space/officers/329940464" TargetMode="External"/><Relationship Id="rId247" Type="http://schemas.openxmlformats.org/officeDocument/2006/relationships/hyperlink" Target="https://stfc.space/officers/1670351312" TargetMode="External"/><Relationship Id="rId368" Type="http://schemas.openxmlformats.org/officeDocument/2006/relationships/hyperlink" Target="https://stfc.space/officers/2620014350" TargetMode="External"/><Relationship Id="rId489" Type="http://schemas.openxmlformats.org/officeDocument/2006/relationships/hyperlink" Target="https://stfc.space/officers/2787886893" TargetMode="External"/><Relationship Id="rId121" Type="http://schemas.openxmlformats.org/officeDocument/2006/relationships/hyperlink" Target="https://stfc.space/officers/1143746577" TargetMode="External"/><Relationship Id="rId242" Type="http://schemas.openxmlformats.org/officeDocument/2006/relationships/hyperlink" Target="https://stfc.space/officers/2757127113" TargetMode="External"/><Relationship Id="rId363" Type="http://schemas.openxmlformats.org/officeDocument/2006/relationships/hyperlink" Target="https://stfc.space/officers/1916661181" TargetMode="External"/><Relationship Id="rId484" Type="http://schemas.openxmlformats.org/officeDocument/2006/relationships/hyperlink" Target="https://stfc.space/officers/3038078185" TargetMode="External"/><Relationship Id="rId120" Type="http://schemas.openxmlformats.org/officeDocument/2006/relationships/hyperlink" Target="https://stfc.space/officers/2446409392" TargetMode="External"/><Relationship Id="rId241" Type="http://schemas.openxmlformats.org/officeDocument/2006/relationships/hyperlink" Target="https://stfc.space/officers/2757127113" TargetMode="External"/><Relationship Id="rId362" Type="http://schemas.openxmlformats.org/officeDocument/2006/relationships/hyperlink" Target="https://stfc.space/officers/1860865109" TargetMode="External"/><Relationship Id="rId483" Type="http://schemas.openxmlformats.org/officeDocument/2006/relationships/hyperlink" Target="https://stfc.space/officers/3083230680" TargetMode="External"/><Relationship Id="rId240" Type="http://schemas.openxmlformats.org/officeDocument/2006/relationships/hyperlink" Target="https://stfc.space/officers/107451388" TargetMode="External"/><Relationship Id="rId361" Type="http://schemas.openxmlformats.org/officeDocument/2006/relationships/hyperlink" Target="https://stfc.space/officers/1860865109" TargetMode="External"/><Relationship Id="rId482" Type="http://schemas.openxmlformats.org/officeDocument/2006/relationships/hyperlink" Target="https://stfc.space/officers/3083230680" TargetMode="External"/><Relationship Id="rId360" Type="http://schemas.openxmlformats.org/officeDocument/2006/relationships/hyperlink" Target="https://stfc.space/officers/3835531386" TargetMode="External"/><Relationship Id="rId481" Type="http://schemas.openxmlformats.org/officeDocument/2006/relationships/hyperlink" Target="https://stfc.space/officers/473853704" TargetMode="External"/><Relationship Id="rId125" Type="http://schemas.openxmlformats.org/officeDocument/2006/relationships/hyperlink" Target="https://stfc.space/officers/329940464" TargetMode="External"/><Relationship Id="rId246" Type="http://schemas.openxmlformats.org/officeDocument/2006/relationships/hyperlink" Target="https://stfc.space/officers/423029416" TargetMode="External"/><Relationship Id="rId367" Type="http://schemas.openxmlformats.org/officeDocument/2006/relationships/hyperlink" Target="https://stfc.space/officers/2620014350" TargetMode="External"/><Relationship Id="rId488" Type="http://schemas.openxmlformats.org/officeDocument/2006/relationships/hyperlink" Target="https://stfc.space/officers/2787886893" TargetMode="External"/><Relationship Id="rId124" Type="http://schemas.openxmlformats.org/officeDocument/2006/relationships/hyperlink" Target="https://stfc.space/officers/3155462804" TargetMode="External"/><Relationship Id="rId245" Type="http://schemas.openxmlformats.org/officeDocument/2006/relationships/hyperlink" Target="https://stfc.space/officers/423029416" TargetMode="External"/><Relationship Id="rId366" Type="http://schemas.openxmlformats.org/officeDocument/2006/relationships/hyperlink" Target="https://stfc.space/officers/1028718336" TargetMode="External"/><Relationship Id="rId487" Type="http://schemas.openxmlformats.org/officeDocument/2006/relationships/hyperlink" Target="https://stfc.space/officers/4294120304" TargetMode="External"/><Relationship Id="rId123" Type="http://schemas.openxmlformats.org/officeDocument/2006/relationships/hyperlink" Target="https://stfc.space/officers/3155462804" TargetMode="External"/><Relationship Id="rId244" Type="http://schemas.openxmlformats.org/officeDocument/2006/relationships/hyperlink" Target="https://stfc.space/officers/1752126880" TargetMode="External"/><Relationship Id="rId365" Type="http://schemas.openxmlformats.org/officeDocument/2006/relationships/hyperlink" Target="https://stfc.space/officers/1028718336" TargetMode="External"/><Relationship Id="rId486" Type="http://schemas.openxmlformats.org/officeDocument/2006/relationships/hyperlink" Target="https://stfc.space/officers/4294120304" TargetMode="External"/><Relationship Id="rId122" Type="http://schemas.openxmlformats.org/officeDocument/2006/relationships/hyperlink" Target="https://stfc.space/officers/1143746577" TargetMode="External"/><Relationship Id="rId243" Type="http://schemas.openxmlformats.org/officeDocument/2006/relationships/hyperlink" Target="https://stfc.space/officers/1752126880" TargetMode="External"/><Relationship Id="rId364" Type="http://schemas.openxmlformats.org/officeDocument/2006/relationships/hyperlink" Target="https://stfc.space/officers/1916661181" TargetMode="External"/><Relationship Id="rId485" Type="http://schemas.openxmlformats.org/officeDocument/2006/relationships/hyperlink" Target="https://stfc.space/officers/3038078185" TargetMode="External"/><Relationship Id="rId95" Type="http://schemas.openxmlformats.org/officeDocument/2006/relationships/hyperlink" Target="https://stfc.space/officers/1608562191" TargetMode="External"/><Relationship Id="rId94" Type="http://schemas.openxmlformats.org/officeDocument/2006/relationships/hyperlink" Target="https://stfc.space/officers/3961190554" TargetMode="External"/><Relationship Id="rId97" Type="http://schemas.openxmlformats.org/officeDocument/2006/relationships/hyperlink" Target="https://stfc.space/officers/1353192478" TargetMode="External"/><Relationship Id="rId96" Type="http://schemas.openxmlformats.org/officeDocument/2006/relationships/hyperlink" Target="https://stfc.space/officers/1608562191" TargetMode="External"/><Relationship Id="rId99" Type="http://schemas.openxmlformats.org/officeDocument/2006/relationships/hyperlink" Target="https://stfc.space/officers/3465002315" TargetMode="External"/><Relationship Id="rId480" Type="http://schemas.openxmlformats.org/officeDocument/2006/relationships/hyperlink" Target="https://stfc.space/officers/473853704" TargetMode="External"/><Relationship Id="rId98" Type="http://schemas.openxmlformats.org/officeDocument/2006/relationships/hyperlink" Target="https://stfc.space/officers/1353192478" TargetMode="External"/><Relationship Id="rId91" Type="http://schemas.openxmlformats.org/officeDocument/2006/relationships/hyperlink" Target="https://stfc.space/officers/307877748" TargetMode="External"/><Relationship Id="rId90" Type="http://schemas.openxmlformats.org/officeDocument/2006/relationships/hyperlink" Target="https://stfc.space/officers/2963484044" TargetMode="External"/><Relationship Id="rId93" Type="http://schemas.openxmlformats.org/officeDocument/2006/relationships/hyperlink" Target="https://stfc.space/officers/3961190554" TargetMode="External"/><Relationship Id="rId92" Type="http://schemas.openxmlformats.org/officeDocument/2006/relationships/hyperlink" Target="https://stfc.space/officers/307877748" TargetMode="External"/><Relationship Id="rId118" Type="http://schemas.openxmlformats.org/officeDocument/2006/relationships/hyperlink" Target="https://stfc.space/officers/3553398304" TargetMode="External"/><Relationship Id="rId239" Type="http://schemas.openxmlformats.org/officeDocument/2006/relationships/hyperlink" Target="https://stfc.space/officers/107451388" TargetMode="External"/><Relationship Id="rId117" Type="http://schemas.openxmlformats.org/officeDocument/2006/relationships/hyperlink" Target="https://stfc.space/officers/3553398304" TargetMode="External"/><Relationship Id="rId238" Type="http://schemas.openxmlformats.org/officeDocument/2006/relationships/hyperlink" Target="https://stfc.space/officers/4110037371" TargetMode="External"/><Relationship Id="rId359" Type="http://schemas.openxmlformats.org/officeDocument/2006/relationships/hyperlink" Target="https://stfc.space/officers/3835531386" TargetMode="External"/><Relationship Id="rId116" Type="http://schemas.openxmlformats.org/officeDocument/2006/relationships/hyperlink" Target="https://stfc.space/officers/3381802332" TargetMode="External"/><Relationship Id="rId237" Type="http://schemas.openxmlformats.org/officeDocument/2006/relationships/hyperlink" Target="https://stfc.space/officers/4110037371" TargetMode="External"/><Relationship Id="rId358" Type="http://schemas.openxmlformats.org/officeDocument/2006/relationships/hyperlink" Target="https://stfc.space/officers/1925563045" TargetMode="External"/><Relationship Id="rId479" Type="http://schemas.openxmlformats.org/officeDocument/2006/relationships/hyperlink" Target="https://stfc.space/officers/2087036948" TargetMode="External"/><Relationship Id="rId115" Type="http://schemas.openxmlformats.org/officeDocument/2006/relationships/hyperlink" Target="https://stfc.space/officers/3381802332" TargetMode="External"/><Relationship Id="rId236" Type="http://schemas.openxmlformats.org/officeDocument/2006/relationships/hyperlink" Target="https://stfc.space/officers/1958876935" TargetMode="External"/><Relationship Id="rId357" Type="http://schemas.openxmlformats.org/officeDocument/2006/relationships/hyperlink" Target="https://stfc.space/officers/1925563045" TargetMode="External"/><Relationship Id="rId478" Type="http://schemas.openxmlformats.org/officeDocument/2006/relationships/hyperlink" Target="https://stfc.space/officers/2087036948" TargetMode="External"/><Relationship Id="rId119" Type="http://schemas.openxmlformats.org/officeDocument/2006/relationships/hyperlink" Target="https://stfc.space/officers/2446409392" TargetMode="External"/><Relationship Id="rId110" Type="http://schemas.openxmlformats.org/officeDocument/2006/relationships/hyperlink" Target="https://stfc.space/officers/3079282844" TargetMode="External"/><Relationship Id="rId231" Type="http://schemas.openxmlformats.org/officeDocument/2006/relationships/hyperlink" Target="https://stfc.space/officers/743931698" TargetMode="External"/><Relationship Id="rId352" Type="http://schemas.openxmlformats.org/officeDocument/2006/relationships/hyperlink" Target="https://stfc.space/officers/2178926216" TargetMode="External"/><Relationship Id="rId473" Type="http://schemas.openxmlformats.org/officeDocument/2006/relationships/hyperlink" Target="https://stfc.space/officers/2402639187" TargetMode="External"/><Relationship Id="rId230" Type="http://schemas.openxmlformats.org/officeDocument/2006/relationships/hyperlink" Target="https://stfc.space/officers/440622131" TargetMode="External"/><Relationship Id="rId351" Type="http://schemas.openxmlformats.org/officeDocument/2006/relationships/hyperlink" Target="https://stfc.space/officers/2178926216" TargetMode="External"/><Relationship Id="rId472" Type="http://schemas.openxmlformats.org/officeDocument/2006/relationships/hyperlink" Target="https://stfc.space/officers/2729881938" TargetMode="External"/><Relationship Id="rId350" Type="http://schemas.openxmlformats.org/officeDocument/2006/relationships/hyperlink" Target="https://stfc.space/officers/2613379706" TargetMode="External"/><Relationship Id="rId471" Type="http://schemas.openxmlformats.org/officeDocument/2006/relationships/hyperlink" Target="https://stfc.space/officers/2729881938" TargetMode="External"/><Relationship Id="rId470" Type="http://schemas.openxmlformats.org/officeDocument/2006/relationships/hyperlink" Target="https://stfc.space/officers/3662189922" TargetMode="External"/><Relationship Id="rId114" Type="http://schemas.openxmlformats.org/officeDocument/2006/relationships/hyperlink" Target="https://stfc.space/officers/1127234629" TargetMode="External"/><Relationship Id="rId235" Type="http://schemas.openxmlformats.org/officeDocument/2006/relationships/hyperlink" Target="https://stfc.space/officers/1958876935" TargetMode="External"/><Relationship Id="rId356" Type="http://schemas.openxmlformats.org/officeDocument/2006/relationships/hyperlink" Target="https://stfc.space/officers/2871265794" TargetMode="External"/><Relationship Id="rId477" Type="http://schemas.openxmlformats.org/officeDocument/2006/relationships/hyperlink" Target="https://stfc.space/officers/3739192827" TargetMode="External"/><Relationship Id="rId113" Type="http://schemas.openxmlformats.org/officeDocument/2006/relationships/hyperlink" Target="https://stfc.space/officers/1127234629" TargetMode="External"/><Relationship Id="rId234" Type="http://schemas.openxmlformats.org/officeDocument/2006/relationships/hyperlink" Target="https://stfc.space/officers/2449957978" TargetMode="External"/><Relationship Id="rId355" Type="http://schemas.openxmlformats.org/officeDocument/2006/relationships/hyperlink" Target="https://stfc.space/officers/2871265794" TargetMode="External"/><Relationship Id="rId476" Type="http://schemas.openxmlformats.org/officeDocument/2006/relationships/hyperlink" Target="https://stfc.space/officers/3739192827" TargetMode="External"/><Relationship Id="rId112" Type="http://schemas.openxmlformats.org/officeDocument/2006/relationships/hyperlink" Target="https://stfc.space/officers/161972881" TargetMode="External"/><Relationship Id="rId233" Type="http://schemas.openxmlformats.org/officeDocument/2006/relationships/hyperlink" Target="https://stfc.space/officers/2449957978" TargetMode="External"/><Relationship Id="rId354" Type="http://schemas.openxmlformats.org/officeDocument/2006/relationships/hyperlink" Target="https://stfc.space/officers/180486983" TargetMode="External"/><Relationship Id="rId475" Type="http://schemas.openxmlformats.org/officeDocument/2006/relationships/hyperlink" Target="https://stfc.space/officers/2402639187" TargetMode="External"/><Relationship Id="rId111" Type="http://schemas.openxmlformats.org/officeDocument/2006/relationships/hyperlink" Target="https://stfc.space/officers/161972881" TargetMode="External"/><Relationship Id="rId232" Type="http://schemas.openxmlformats.org/officeDocument/2006/relationships/hyperlink" Target="https://stfc.space/officers/743931698" TargetMode="External"/><Relationship Id="rId353" Type="http://schemas.openxmlformats.org/officeDocument/2006/relationships/hyperlink" Target="https://stfc.space/officers/180486983" TargetMode="External"/><Relationship Id="rId474" Type="http://schemas.openxmlformats.org/officeDocument/2006/relationships/hyperlink" Target="https://stfc.space/officers/2402639187" TargetMode="External"/><Relationship Id="rId305" Type="http://schemas.openxmlformats.org/officeDocument/2006/relationships/hyperlink" Target="https://stfc.space/officers/2334517642" TargetMode="External"/><Relationship Id="rId426" Type="http://schemas.openxmlformats.org/officeDocument/2006/relationships/hyperlink" Target="https://stfc.space/officers/1449938138" TargetMode="External"/><Relationship Id="rId547" Type="http://schemas.openxmlformats.org/officeDocument/2006/relationships/hyperlink" Target="https://stfc.space/officers/1878219859" TargetMode="External"/><Relationship Id="rId304" Type="http://schemas.openxmlformats.org/officeDocument/2006/relationships/hyperlink" Target="https://stfc.space/officers/3191841428" TargetMode="External"/><Relationship Id="rId425" Type="http://schemas.openxmlformats.org/officeDocument/2006/relationships/hyperlink" Target="https://stfc.space/officers/1449938138" TargetMode="External"/><Relationship Id="rId546" Type="http://schemas.openxmlformats.org/officeDocument/2006/relationships/hyperlink" Target="https://stfc.space/officers/1878219859" TargetMode="External"/><Relationship Id="rId303" Type="http://schemas.openxmlformats.org/officeDocument/2006/relationships/hyperlink" Target="https://stfc.space/officers/3191841428" TargetMode="External"/><Relationship Id="rId424" Type="http://schemas.openxmlformats.org/officeDocument/2006/relationships/hyperlink" Target="https://stfc.space/officers/2397371699" TargetMode="External"/><Relationship Id="rId545" Type="http://schemas.openxmlformats.org/officeDocument/2006/relationships/hyperlink" Target="https://stfc.space/officers/2033443887" TargetMode="External"/><Relationship Id="rId302" Type="http://schemas.openxmlformats.org/officeDocument/2006/relationships/hyperlink" Target="https://stfc.space/officers/1835829612" TargetMode="External"/><Relationship Id="rId423" Type="http://schemas.openxmlformats.org/officeDocument/2006/relationships/hyperlink" Target="https://stfc.space/officers/2397371699" TargetMode="External"/><Relationship Id="rId544" Type="http://schemas.openxmlformats.org/officeDocument/2006/relationships/hyperlink" Target="https://stfc.space/officers/2033443887" TargetMode="External"/><Relationship Id="rId309" Type="http://schemas.openxmlformats.org/officeDocument/2006/relationships/hyperlink" Target="https://stfc.space/officers/4019230068" TargetMode="External"/><Relationship Id="rId308" Type="http://schemas.openxmlformats.org/officeDocument/2006/relationships/hyperlink" Target="https://stfc.space/officers/1248750548" TargetMode="External"/><Relationship Id="rId429" Type="http://schemas.openxmlformats.org/officeDocument/2006/relationships/hyperlink" Target="https://stfc.space/officers/1903302017" TargetMode="External"/><Relationship Id="rId307" Type="http://schemas.openxmlformats.org/officeDocument/2006/relationships/hyperlink" Target="https://stfc.space/officers/1248750548" TargetMode="External"/><Relationship Id="rId428" Type="http://schemas.openxmlformats.org/officeDocument/2006/relationships/hyperlink" Target="https://stfc.space/officers/507415640" TargetMode="External"/><Relationship Id="rId549" Type="http://schemas.openxmlformats.org/officeDocument/2006/relationships/hyperlink" Target="https://stfc.space/officers/429857188" TargetMode="External"/><Relationship Id="rId306" Type="http://schemas.openxmlformats.org/officeDocument/2006/relationships/hyperlink" Target="https://stfc.space/officers/2334517642" TargetMode="External"/><Relationship Id="rId427" Type="http://schemas.openxmlformats.org/officeDocument/2006/relationships/hyperlink" Target="https://stfc.space/officers/507415640" TargetMode="External"/><Relationship Id="rId548" Type="http://schemas.openxmlformats.org/officeDocument/2006/relationships/hyperlink" Target="https://stfc.space/officers/429857188" TargetMode="External"/><Relationship Id="rId301" Type="http://schemas.openxmlformats.org/officeDocument/2006/relationships/hyperlink" Target="https://stfc.space/officers/1835829612" TargetMode="External"/><Relationship Id="rId422" Type="http://schemas.openxmlformats.org/officeDocument/2006/relationships/hyperlink" Target="https://stfc.space/officers/2852124874" TargetMode="External"/><Relationship Id="rId543" Type="http://schemas.openxmlformats.org/officeDocument/2006/relationships/hyperlink" Target="https://stfc.space/officers/2686255925" TargetMode="External"/><Relationship Id="rId300" Type="http://schemas.openxmlformats.org/officeDocument/2006/relationships/hyperlink" Target="https://stfc.space/officers/2639742910" TargetMode="External"/><Relationship Id="rId421" Type="http://schemas.openxmlformats.org/officeDocument/2006/relationships/hyperlink" Target="https://stfc.space/officers/2852124874" TargetMode="External"/><Relationship Id="rId542" Type="http://schemas.openxmlformats.org/officeDocument/2006/relationships/hyperlink" Target="https://stfc.space/officers/2686255925" TargetMode="External"/><Relationship Id="rId420" Type="http://schemas.openxmlformats.org/officeDocument/2006/relationships/hyperlink" Target="https://stfc.space/officers/3423547423" TargetMode="External"/><Relationship Id="rId541" Type="http://schemas.openxmlformats.org/officeDocument/2006/relationships/hyperlink" Target="https://stfc.space/officers/3258596709" TargetMode="External"/><Relationship Id="rId540" Type="http://schemas.openxmlformats.org/officeDocument/2006/relationships/hyperlink" Target="https://stfc.space/officers/3258596709" TargetMode="External"/><Relationship Id="rId415" Type="http://schemas.openxmlformats.org/officeDocument/2006/relationships/hyperlink" Target="https://stfc.space/officers/4151676212" TargetMode="External"/><Relationship Id="rId536" Type="http://schemas.openxmlformats.org/officeDocument/2006/relationships/hyperlink" Target="https://stfc.space/officers/598126845" TargetMode="External"/><Relationship Id="rId414" Type="http://schemas.openxmlformats.org/officeDocument/2006/relationships/hyperlink" Target="https://stfc.space/officers/3458822900" TargetMode="External"/><Relationship Id="rId535" Type="http://schemas.openxmlformats.org/officeDocument/2006/relationships/hyperlink" Target="https://stfc.space/officers/3339117238" TargetMode="External"/><Relationship Id="rId413" Type="http://schemas.openxmlformats.org/officeDocument/2006/relationships/hyperlink" Target="https://stfc.space/officers/3458822900" TargetMode="External"/><Relationship Id="rId534" Type="http://schemas.openxmlformats.org/officeDocument/2006/relationships/hyperlink" Target="https://stfc.space/officers/3339117238" TargetMode="External"/><Relationship Id="rId412" Type="http://schemas.openxmlformats.org/officeDocument/2006/relationships/hyperlink" Target="https://stfc.space/officers/2852482387" TargetMode="External"/><Relationship Id="rId533" Type="http://schemas.openxmlformats.org/officeDocument/2006/relationships/hyperlink" Target="https://stfc.space/officers/1536491613" TargetMode="External"/><Relationship Id="rId419" Type="http://schemas.openxmlformats.org/officeDocument/2006/relationships/hyperlink" Target="https://stfc.space/officers/3423547423" TargetMode="External"/><Relationship Id="rId418" Type="http://schemas.openxmlformats.org/officeDocument/2006/relationships/hyperlink" Target="https://stfc.space/officers/3013113875" TargetMode="External"/><Relationship Id="rId539" Type="http://schemas.openxmlformats.org/officeDocument/2006/relationships/hyperlink" Target="https://stfc.space/officers/901708334" TargetMode="External"/><Relationship Id="rId417" Type="http://schemas.openxmlformats.org/officeDocument/2006/relationships/hyperlink" Target="https://stfc.space/officers/3013113875" TargetMode="External"/><Relationship Id="rId538" Type="http://schemas.openxmlformats.org/officeDocument/2006/relationships/hyperlink" Target="https://stfc.space/officers/901708334" TargetMode="External"/><Relationship Id="rId416" Type="http://schemas.openxmlformats.org/officeDocument/2006/relationships/hyperlink" Target="https://stfc.space/officers/4151676212" TargetMode="External"/><Relationship Id="rId537" Type="http://schemas.openxmlformats.org/officeDocument/2006/relationships/hyperlink" Target="https://stfc.space/officers/598126845" TargetMode="External"/><Relationship Id="rId411" Type="http://schemas.openxmlformats.org/officeDocument/2006/relationships/hyperlink" Target="https://stfc.space/officers/2852482387" TargetMode="External"/><Relationship Id="rId532" Type="http://schemas.openxmlformats.org/officeDocument/2006/relationships/hyperlink" Target="https://stfc.space/officers/1536491613" TargetMode="External"/><Relationship Id="rId410" Type="http://schemas.openxmlformats.org/officeDocument/2006/relationships/hyperlink" Target="https://stfc.space/officers/1116563882" TargetMode="External"/><Relationship Id="rId531" Type="http://schemas.openxmlformats.org/officeDocument/2006/relationships/hyperlink" Target="https://stfc.space/officers/1738777089" TargetMode="External"/><Relationship Id="rId530" Type="http://schemas.openxmlformats.org/officeDocument/2006/relationships/hyperlink" Target="https://stfc.space/officers/1738777089" TargetMode="External"/><Relationship Id="rId206" Type="http://schemas.openxmlformats.org/officeDocument/2006/relationships/hyperlink" Target="https://stfc.space/officers/1131760724" TargetMode="External"/><Relationship Id="rId327" Type="http://schemas.openxmlformats.org/officeDocument/2006/relationships/hyperlink" Target="https://stfc.space/officers/3523093667" TargetMode="External"/><Relationship Id="rId448" Type="http://schemas.openxmlformats.org/officeDocument/2006/relationships/hyperlink" Target="https://stfc.space/officers/1426126747" TargetMode="External"/><Relationship Id="rId205" Type="http://schemas.openxmlformats.org/officeDocument/2006/relationships/hyperlink" Target="https://stfc.space/officers/1131760724" TargetMode="External"/><Relationship Id="rId326" Type="http://schemas.openxmlformats.org/officeDocument/2006/relationships/hyperlink" Target="https://stfc.space/officers/2543722471" TargetMode="External"/><Relationship Id="rId447" Type="http://schemas.openxmlformats.org/officeDocument/2006/relationships/hyperlink" Target="https://stfc.space/officers/1426126747" TargetMode="External"/><Relationship Id="rId204" Type="http://schemas.openxmlformats.org/officeDocument/2006/relationships/hyperlink" Target="https://stfc.space/officers/3304441016" TargetMode="External"/><Relationship Id="rId325" Type="http://schemas.openxmlformats.org/officeDocument/2006/relationships/hyperlink" Target="https://stfc.space/officers/2543722471" TargetMode="External"/><Relationship Id="rId446" Type="http://schemas.openxmlformats.org/officeDocument/2006/relationships/hyperlink" Target="https://stfc.space/officers/597303582" TargetMode="External"/><Relationship Id="rId203" Type="http://schemas.openxmlformats.org/officeDocument/2006/relationships/hyperlink" Target="https://stfc.space/officers/3304441016" TargetMode="External"/><Relationship Id="rId324" Type="http://schemas.openxmlformats.org/officeDocument/2006/relationships/hyperlink" Target="https://stfc.space/officers/2702893021" TargetMode="External"/><Relationship Id="rId445" Type="http://schemas.openxmlformats.org/officeDocument/2006/relationships/hyperlink" Target="https://stfc.space/officers/597303582" TargetMode="External"/><Relationship Id="rId209" Type="http://schemas.openxmlformats.org/officeDocument/2006/relationships/hyperlink" Target="https://stfc.space/officers/370544309" TargetMode="External"/><Relationship Id="rId208" Type="http://schemas.openxmlformats.org/officeDocument/2006/relationships/hyperlink" Target="https://stfc.space/officers/1859906553" TargetMode="External"/><Relationship Id="rId329" Type="http://schemas.openxmlformats.org/officeDocument/2006/relationships/hyperlink" Target="https://stfc.space/officers/1724793140" TargetMode="External"/><Relationship Id="rId207" Type="http://schemas.openxmlformats.org/officeDocument/2006/relationships/hyperlink" Target="https://stfc.space/officers/1859906553" TargetMode="External"/><Relationship Id="rId328" Type="http://schemas.openxmlformats.org/officeDocument/2006/relationships/hyperlink" Target="https://stfc.space/officers/3523093667" TargetMode="External"/><Relationship Id="rId449" Type="http://schemas.openxmlformats.org/officeDocument/2006/relationships/hyperlink" Target="https://stfc.space/officers/3294474373" TargetMode="External"/><Relationship Id="rId440" Type="http://schemas.openxmlformats.org/officeDocument/2006/relationships/hyperlink" Target="https://stfc.space/officers/1039659244" TargetMode="External"/><Relationship Id="rId202" Type="http://schemas.openxmlformats.org/officeDocument/2006/relationships/hyperlink" Target="https://stfc.space/officers/3627600020" TargetMode="External"/><Relationship Id="rId323" Type="http://schemas.openxmlformats.org/officeDocument/2006/relationships/hyperlink" Target="https://stfc.space/officers/2702893021" TargetMode="External"/><Relationship Id="rId444" Type="http://schemas.openxmlformats.org/officeDocument/2006/relationships/hyperlink" Target="https://stfc.space/officers/1532505261" TargetMode="External"/><Relationship Id="rId201" Type="http://schemas.openxmlformats.org/officeDocument/2006/relationships/hyperlink" Target="https://stfc.space/officers/3627600020" TargetMode="External"/><Relationship Id="rId322" Type="http://schemas.openxmlformats.org/officeDocument/2006/relationships/hyperlink" Target="https://stfc.space/officers/2241990218" TargetMode="External"/><Relationship Id="rId443" Type="http://schemas.openxmlformats.org/officeDocument/2006/relationships/hyperlink" Target="https://stfc.space/officers/1532505261" TargetMode="External"/><Relationship Id="rId200" Type="http://schemas.openxmlformats.org/officeDocument/2006/relationships/hyperlink" Target="https://stfc.space/officers/3583932904" TargetMode="External"/><Relationship Id="rId321" Type="http://schemas.openxmlformats.org/officeDocument/2006/relationships/hyperlink" Target="https://stfc.space/officers/2241990218" TargetMode="External"/><Relationship Id="rId442" Type="http://schemas.openxmlformats.org/officeDocument/2006/relationships/hyperlink" Target="https://stfc.space/officers/1848943130" TargetMode="External"/><Relationship Id="rId320" Type="http://schemas.openxmlformats.org/officeDocument/2006/relationships/hyperlink" Target="https://stfc.space/officers/47699744" TargetMode="External"/><Relationship Id="rId441" Type="http://schemas.openxmlformats.org/officeDocument/2006/relationships/hyperlink" Target="https://stfc.space/officers/1848943130" TargetMode="External"/><Relationship Id="rId316" Type="http://schemas.openxmlformats.org/officeDocument/2006/relationships/hyperlink" Target="https://stfc.space/officers/1437818828" TargetMode="External"/><Relationship Id="rId437" Type="http://schemas.openxmlformats.org/officeDocument/2006/relationships/hyperlink" Target="https://stfc.space/officers/182221633" TargetMode="External"/><Relationship Id="rId315" Type="http://schemas.openxmlformats.org/officeDocument/2006/relationships/hyperlink" Target="https://stfc.space/officers/1437818828" TargetMode="External"/><Relationship Id="rId436" Type="http://schemas.openxmlformats.org/officeDocument/2006/relationships/hyperlink" Target="https://stfc.space/officers/3221659017" TargetMode="External"/><Relationship Id="rId314" Type="http://schemas.openxmlformats.org/officeDocument/2006/relationships/hyperlink" Target="https://stfc.space/officers/2486433247" TargetMode="External"/><Relationship Id="rId435" Type="http://schemas.openxmlformats.org/officeDocument/2006/relationships/hyperlink" Target="https://stfc.space/officers/3221659017" TargetMode="External"/><Relationship Id="rId556" Type="http://schemas.openxmlformats.org/officeDocument/2006/relationships/drawing" Target="../drawings/drawing5.xml"/><Relationship Id="rId313" Type="http://schemas.openxmlformats.org/officeDocument/2006/relationships/hyperlink" Target="https://stfc.space/officers/2486433247" TargetMode="External"/><Relationship Id="rId434" Type="http://schemas.openxmlformats.org/officeDocument/2006/relationships/hyperlink" Target="https://stfc.space/officers/2679776436" TargetMode="External"/><Relationship Id="rId555" Type="http://schemas.openxmlformats.org/officeDocument/2006/relationships/hyperlink" Target="https://stfc.space/officers/1983933897" TargetMode="External"/><Relationship Id="rId319" Type="http://schemas.openxmlformats.org/officeDocument/2006/relationships/hyperlink" Target="https://stfc.space/officers/47699744" TargetMode="External"/><Relationship Id="rId318" Type="http://schemas.openxmlformats.org/officeDocument/2006/relationships/hyperlink" Target="https://stfc.space/officers/3865023367" TargetMode="External"/><Relationship Id="rId439" Type="http://schemas.openxmlformats.org/officeDocument/2006/relationships/hyperlink" Target="https://stfc.space/officers/1039659244" TargetMode="External"/><Relationship Id="rId317" Type="http://schemas.openxmlformats.org/officeDocument/2006/relationships/hyperlink" Target="https://stfc.space/officers/3865023367" TargetMode="External"/><Relationship Id="rId438" Type="http://schemas.openxmlformats.org/officeDocument/2006/relationships/hyperlink" Target="https://stfc.space/officers/182221633" TargetMode="External"/><Relationship Id="rId550" Type="http://schemas.openxmlformats.org/officeDocument/2006/relationships/hyperlink" Target="https://stfc.space/officers/1549505702" TargetMode="External"/><Relationship Id="rId312" Type="http://schemas.openxmlformats.org/officeDocument/2006/relationships/hyperlink" Target="https://stfc.space/officers/725106789" TargetMode="External"/><Relationship Id="rId433" Type="http://schemas.openxmlformats.org/officeDocument/2006/relationships/hyperlink" Target="https://stfc.space/officers/2679776436" TargetMode="External"/><Relationship Id="rId554" Type="http://schemas.openxmlformats.org/officeDocument/2006/relationships/hyperlink" Target="https://stfc.space/officers/1983933897" TargetMode="External"/><Relationship Id="rId311" Type="http://schemas.openxmlformats.org/officeDocument/2006/relationships/hyperlink" Target="https://stfc.space/officers/725106789" TargetMode="External"/><Relationship Id="rId432" Type="http://schemas.openxmlformats.org/officeDocument/2006/relationships/hyperlink" Target="https://stfc.space/officers/4114433540" TargetMode="External"/><Relationship Id="rId553" Type="http://schemas.openxmlformats.org/officeDocument/2006/relationships/hyperlink" Target="https://stfc.space/officers/328154093" TargetMode="External"/><Relationship Id="rId310" Type="http://schemas.openxmlformats.org/officeDocument/2006/relationships/hyperlink" Target="https://stfc.space/officers/4019230068" TargetMode="External"/><Relationship Id="rId431" Type="http://schemas.openxmlformats.org/officeDocument/2006/relationships/hyperlink" Target="https://stfc.space/officers/4114433540" TargetMode="External"/><Relationship Id="rId552" Type="http://schemas.openxmlformats.org/officeDocument/2006/relationships/hyperlink" Target="https://stfc.space/officers/328154093" TargetMode="External"/><Relationship Id="rId430" Type="http://schemas.openxmlformats.org/officeDocument/2006/relationships/hyperlink" Target="https://stfc.space/officers/1903302017" TargetMode="External"/><Relationship Id="rId551" Type="http://schemas.openxmlformats.org/officeDocument/2006/relationships/hyperlink" Target="https://stfc.space/officers/1549505702"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stfc.space/forbidden_and_chaos_tech/2509613550" TargetMode="External"/><Relationship Id="rId194" Type="http://schemas.openxmlformats.org/officeDocument/2006/relationships/hyperlink" Target="https://stfc.space/forbidden_and_chaos_tech/4017333545" TargetMode="External"/><Relationship Id="rId193" Type="http://schemas.openxmlformats.org/officeDocument/2006/relationships/hyperlink" Target="https://stfc.space/forbidden_and_chaos_tech/4017333545" TargetMode="External"/><Relationship Id="rId192" Type="http://schemas.openxmlformats.org/officeDocument/2006/relationships/hyperlink" Target="https://stfc.space/forbidden_and_chaos_tech/2509613550" TargetMode="External"/><Relationship Id="rId191" Type="http://schemas.openxmlformats.org/officeDocument/2006/relationships/hyperlink" Target="https://stfc.space/forbidden_and_chaos_tech/2509613550" TargetMode="External"/><Relationship Id="rId187" Type="http://schemas.openxmlformats.org/officeDocument/2006/relationships/hyperlink" Target="https://stfc.space/forbidden_and_chaos_tech/3616515003" TargetMode="External"/><Relationship Id="rId186" Type="http://schemas.openxmlformats.org/officeDocument/2006/relationships/hyperlink" Target="https://stfc.space/forbidden_and_chaos_tech/3620586365" TargetMode="External"/><Relationship Id="rId185" Type="http://schemas.openxmlformats.org/officeDocument/2006/relationships/hyperlink" Target="https://stfc.space/forbidden_and_chaos_tech/3620586365" TargetMode="External"/><Relationship Id="rId184" Type="http://schemas.openxmlformats.org/officeDocument/2006/relationships/hyperlink" Target="https://stfc.space/forbidden_and_chaos_tech/3620586365" TargetMode="External"/><Relationship Id="rId189" Type="http://schemas.openxmlformats.org/officeDocument/2006/relationships/hyperlink" Target="https://stfc.space/forbidden_and_chaos_tech/3616515003" TargetMode="External"/><Relationship Id="rId188" Type="http://schemas.openxmlformats.org/officeDocument/2006/relationships/hyperlink" Target="https://stfc.space/forbidden_and_chaos_tech/3616515003" TargetMode="External"/><Relationship Id="rId183" Type="http://schemas.openxmlformats.org/officeDocument/2006/relationships/hyperlink" Target="https://stfc.space/forbidden_and_chaos_tech/3620586365" TargetMode="External"/><Relationship Id="rId182" Type="http://schemas.openxmlformats.org/officeDocument/2006/relationships/hyperlink" Target="https://stfc.space/forbidden_and_chaos_tech/1032632179" TargetMode="External"/><Relationship Id="rId181" Type="http://schemas.openxmlformats.org/officeDocument/2006/relationships/hyperlink" Target="https://stfc.space/forbidden_and_chaos_tech/1032632179" TargetMode="External"/><Relationship Id="rId180" Type="http://schemas.openxmlformats.org/officeDocument/2006/relationships/hyperlink" Target="https://stfc.space/forbidden_and_chaos_tech/1032632179" TargetMode="External"/><Relationship Id="rId176" Type="http://schemas.openxmlformats.org/officeDocument/2006/relationships/hyperlink" Target="https://stfc.space/forbidden_and_chaos_tech/4243652761" TargetMode="External"/><Relationship Id="rId175" Type="http://schemas.openxmlformats.org/officeDocument/2006/relationships/hyperlink" Target="https://stfc.space/forbidden_and_chaos_tech/4243652761" TargetMode="External"/><Relationship Id="rId174" Type="http://schemas.openxmlformats.org/officeDocument/2006/relationships/hyperlink" Target="https://stfc.space/forbidden_and_chaos_tech/1978548115" TargetMode="External"/><Relationship Id="rId173" Type="http://schemas.openxmlformats.org/officeDocument/2006/relationships/hyperlink" Target="https://stfc.space/forbidden_and_chaos_tech/1978548115" TargetMode="External"/><Relationship Id="rId179" Type="http://schemas.openxmlformats.org/officeDocument/2006/relationships/hyperlink" Target="https://stfc.space/forbidden_and_chaos_tech/1032632179" TargetMode="External"/><Relationship Id="rId178" Type="http://schemas.openxmlformats.org/officeDocument/2006/relationships/hyperlink" Target="https://stfc.space/forbidden_and_chaos_tech/4243652761" TargetMode="External"/><Relationship Id="rId177" Type="http://schemas.openxmlformats.org/officeDocument/2006/relationships/hyperlink" Target="https://stfc.space/forbidden_and_chaos_tech/4243652761" TargetMode="External"/><Relationship Id="rId198" Type="http://schemas.openxmlformats.org/officeDocument/2006/relationships/hyperlink" Target="https://stfc.space/forbidden_and_chaos_tech/3498200313" TargetMode="External"/><Relationship Id="rId197" Type="http://schemas.openxmlformats.org/officeDocument/2006/relationships/hyperlink" Target="https://stfc.space/forbidden_and_chaos_tech/3498200313" TargetMode="External"/><Relationship Id="rId196" Type="http://schemas.openxmlformats.org/officeDocument/2006/relationships/hyperlink" Target="https://stfc.space/forbidden_and_chaos_tech/3498200313" TargetMode="External"/><Relationship Id="rId195" Type="http://schemas.openxmlformats.org/officeDocument/2006/relationships/hyperlink" Target="https://stfc.space/forbidden_and_chaos_tech/4017333545" TargetMode="External"/><Relationship Id="rId199" Type="http://schemas.openxmlformats.org/officeDocument/2006/relationships/hyperlink" Target="https://stfc.space/forbidden_and_chaos_tech/3980484968" TargetMode="External"/><Relationship Id="rId150" Type="http://schemas.openxmlformats.org/officeDocument/2006/relationships/hyperlink" Target="https://stfc.space/forbidden_and_chaos_tech/3992201594" TargetMode="External"/><Relationship Id="rId1" Type="http://schemas.openxmlformats.org/officeDocument/2006/relationships/hyperlink" Target="https://stfc.space/forbidden_and_chaos_tech/1941930528" TargetMode="External"/><Relationship Id="rId2" Type="http://schemas.openxmlformats.org/officeDocument/2006/relationships/hyperlink" Target="https://stfc.space/forbidden_and_chaos_tech/482782456" TargetMode="External"/><Relationship Id="rId3" Type="http://schemas.openxmlformats.org/officeDocument/2006/relationships/hyperlink" Target="https://stfc.space/forbidden_and_chaos_tech/482782456" TargetMode="External"/><Relationship Id="rId149" Type="http://schemas.openxmlformats.org/officeDocument/2006/relationships/hyperlink" Target="https://stfc.space/forbidden_and_chaos_tech/2325864718" TargetMode="External"/><Relationship Id="rId4" Type="http://schemas.openxmlformats.org/officeDocument/2006/relationships/hyperlink" Target="https://stfc.space/forbidden_and_chaos_tech/3126332652" TargetMode="External"/><Relationship Id="rId148" Type="http://schemas.openxmlformats.org/officeDocument/2006/relationships/hyperlink" Target="https://stfc.space/forbidden_and_chaos_tech/2325864718" TargetMode="External"/><Relationship Id="rId9" Type="http://schemas.openxmlformats.org/officeDocument/2006/relationships/hyperlink" Target="https://stfc.space/forbidden_and_chaos_tech/1151304323" TargetMode="External"/><Relationship Id="rId143" Type="http://schemas.openxmlformats.org/officeDocument/2006/relationships/hyperlink" Target="https://stfc.space/forbidden_and_chaos_tech/3643189775" TargetMode="External"/><Relationship Id="rId142" Type="http://schemas.openxmlformats.org/officeDocument/2006/relationships/hyperlink" Target="https://stfc.space/forbidden_and_chaos_tech/3643189775" TargetMode="External"/><Relationship Id="rId141" Type="http://schemas.openxmlformats.org/officeDocument/2006/relationships/hyperlink" Target="https://stfc.space/forbidden_and_chaos_tech/3440676742" TargetMode="External"/><Relationship Id="rId140" Type="http://schemas.openxmlformats.org/officeDocument/2006/relationships/hyperlink" Target="https://stfc.space/forbidden_and_chaos_tech/3440676742" TargetMode="External"/><Relationship Id="rId5" Type="http://schemas.openxmlformats.org/officeDocument/2006/relationships/hyperlink" Target="https://stfc.space/forbidden_and_chaos_tech/3126332652" TargetMode="External"/><Relationship Id="rId147" Type="http://schemas.openxmlformats.org/officeDocument/2006/relationships/hyperlink" Target="https://stfc.space/forbidden_and_chaos_tech/2325864718" TargetMode="External"/><Relationship Id="rId6" Type="http://schemas.openxmlformats.org/officeDocument/2006/relationships/hyperlink" Target="https://stfc.space/forbidden_and_chaos_tech/2788591552" TargetMode="External"/><Relationship Id="rId146" Type="http://schemas.openxmlformats.org/officeDocument/2006/relationships/hyperlink" Target="https://stfc.space/forbidden_and_chaos_tech/4283494851" TargetMode="External"/><Relationship Id="rId7" Type="http://schemas.openxmlformats.org/officeDocument/2006/relationships/hyperlink" Target="https://stfc.space/forbidden_and_chaos_tech/2788591552" TargetMode="External"/><Relationship Id="rId145" Type="http://schemas.openxmlformats.org/officeDocument/2006/relationships/hyperlink" Target="https://stfc.space/forbidden_and_chaos_tech/4283494851" TargetMode="External"/><Relationship Id="rId8" Type="http://schemas.openxmlformats.org/officeDocument/2006/relationships/hyperlink" Target="https://stfc.space/forbidden_and_chaos_tech/2788591552" TargetMode="External"/><Relationship Id="rId144" Type="http://schemas.openxmlformats.org/officeDocument/2006/relationships/hyperlink" Target="https://stfc.space/forbidden_and_chaos_tech/3643189775" TargetMode="External"/><Relationship Id="rId139" Type="http://schemas.openxmlformats.org/officeDocument/2006/relationships/hyperlink" Target="https://stfc.space/forbidden_and_chaos_tech/3440676742" TargetMode="External"/><Relationship Id="rId138" Type="http://schemas.openxmlformats.org/officeDocument/2006/relationships/hyperlink" Target="https://stfc.space/forbidden_and_chaos_tech/1747080465" TargetMode="External"/><Relationship Id="rId137" Type="http://schemas.openxmlformats.org/officeDocument/2006/relationships/hyperlink" Target="https://stfc.space/forbidden_and_chaos_tech/1747080465" TargetMode="External"/><Relationship Id="rId132" Type="http://schemas.openxmlformats.org/officeDocument/2006/relationships/hyperlink" Target="https://stfc.space/forbidden_and_chaos_tech/3266867064" TargetMode="External"/><Relationship Id="rId131" Type="http://schemas.openxmlformats.org/officeDocument/2006/relationships/hyperlink" Target="https://stfc.space/forbidden_and_chaos_tech/3266867064" TargetMode="External"/><Relationship Id="rId130" Type="http://schemas.openxmlformats.org/officeDocument/2006/relationships/hyperlink" Target="https://stfc.space/forbidden_and_chaos_tech/3838074426" TargetMode="External"/><Relationship Id="rId136" Type="http://schemas.openxmlformats.org/officeDocument/2006/relationships/hyperlink" Target="https://stfc.space/forbidden_and_chaos_tech/1747080465" TargetMode="External"/><Relationship Id="rId135" Type="http://schemas.openxmlformats.org/officeDocument/2006/relationships/hyperlink" Target="https://stfc.space/forbidden_and_chaos_tech/3388471847" TargetMode="External"/><Relationship Id="rId134" Type="http://schemas.openxmlformats.org/officeDocument/2006/relationships/hyperlink" Target="https://stfc.space/forbidden_and_chaos_tech/3388471847" TargetMode="External"/><Relationship Id="rId133" Type="http://schemas.openxmlformats.org/officeDocument/2006/relationships/hyperlink" Target="https://stfc.space/forbidden_and_chaos_tech/3266867064" TargetMode="External"/><Relationship Id="rId172" Type="http://schemas.openxmlformats.org/officeDocument/2006/relationships/hyperlink" Target="https://stfc.space/forbidden_and_chaos_tech/1978548115" TargetMode="External"/><Relationship Id="rId171" Type="http://schemas.openxmlformats.org/officeDocument/2006/relationships/hyperlink" Target="https://stfc.space/forbidden_and_chaos_tech/1978548115" TargetMode="External"/><Relationship Id="rId170" Type="http://schemas.openxmlformats.org/officeDocument/2006/relationships/hyperlink" Target="https://stfc.space/forbidden_and_chaos_tech/3861775054" TargetMode="External"/><Relationship Id="rId165" Type="http://schemas.openxmlformats.org/officeDocument/2006/relationships/hyperlink" Target="https://stfc.space/forbidden_and_chaos_tech/2766262625" TargetMode="External"/><Relationship Id="rId164" Type="http://schemas.openxmlformats.org/officeDocument/2006/relationships/hyperlink" Target="https://stfc.space/forbidden_and_chaos_tech/2278545156" TargetMode="External"/><Relationship Id="rId163" Type="http://schemas.openxmlformats.org/officeDocument/2006/relationships/hyperlink" Target="https://stfc.space/forbidden_and_chaos_tech/2278545156" TargetMode="External"/><Relationship Id="rId162" Type="http://schemas.openxmlformats.org/officeDocument/2006/relationships/hyperlink" Target="https://stfc.space/forbidden_and_chaos_tech/2278545156" TargetMode="External"/><Relationship Id="rId169" Type="http://schemas.openxmlformats.org/officeDocument/2006/relationships/hyperlink" Target="https://stfc.space/forbidden_and_chaos_tech/3861775054" TargetMode="External"/><Relationship Id="rId168" Type="http://schemas.openxmlformats.org/officeDocument/2006/relationships/hyperlink" Target="https://stfc.space/forbidden_and_chaos_tech/3861775054" TargetMode="External"/><Relationship Id="rId167" Type="http://schemas.openxmlformats.org/officeDocument/2006/relationships/hyperlink" Target="https://stfc.space/forbidden_and_chaos_tech/3861775054" TargetMode="External"/><Relationship Id="rId166" Type="http://schemas.openxmlformats.org/officeDocument/2006/relationships/hyperlink" Target="https://stfc.space/forbidden_and_chaos_tech/2766262625" TargetMode="External"/><Relationship Id="rId161" Type="http://schemas.openxmlformats.org/officeDocument/2006/relationships/hyperlink" Target="https://stfc.space/forbidden_and_chaos_tech/1240927405" TargetMode="External"/><Relationship Id="rId160" Type="http://schemas.openxmlformats.org/officeDocument/2006/relationships/hyperlink" Target="https://stfc.space/forbidden_and_chaos_tech/1240927405" TargetMode="External"/><Relationship Id="rId159" Type="http://schemas.openxmlformats.org/officeDocument/2006/relationships/hyperlink" Target="https://stfc.space/forbidden_and_chaos_tech/1240927405" TargetMode="External"/><Relationship Id="rId154" Type="http://schemas.openxmlformats.org/officeDocument/2006/relationships/hyperlink" Target="https://stfc.space/forbidden_and_chaos_tech/4081411215" TargetMode="External"/><Relationship Id="rId153" Type="http://schemas.openxmlformats.org/officeDocument/2006/relationships/hyperlink" Target="https://stfc.space/forbidden_and_chaos_tech/4081411215" TargetMode="External"/><Relationship Id="rId152" Type="http://schemas.openxmlformats.org/officeDocument/2006/relationships/hyperlink" Target="https://stfc.space/forbidden_and_chaos_tech/3992201594" TargetMode="External"/><Relationship Id="rId151" Type="http://schemas.openxmlformats.org/officeDocument/2006/relationships/hyperlink" Target="https://stfc.space/forbidden_and_chaos_tech/3992201594" TargetMode="External"/><Relationship Id="rId158" Type="http://schemas.openxmlformats.org/officeDocument/2006/relationships/hyperlink" Target="https://stfc.space/forbidden_and_chaos_tech/587246835" TargetMode="External"/><Relationship Id="rId157" Type="http://schemas.openxmlformats.org/officeDocument/2006/relationships/hyperlink" Target="https://stfc.space/forbidden_and_chaos_tech/587246835" TargetMode="External"/><Relationship Id="rId156" Type="http://schemas.openxmlformats.org/officeDocument/2006/relationships/hyperlink" Target="https://stfc.space/forbidden_and_chaos_tech/587246835" TargetMode="External"/><Relationship Id="rId155" Type="http://schemas.openxmlformats.org/officeDocument/2006/relationships/hyperlink" Target="https://stfc.space/forbidden_and_chaos_tech/4081411215" TargetMode="External"/><Relationship Id="rId40" Type="http://schemas.openxmlformats.org/officeDocument/2006/relationships/hyperlink" Target="https://stfc.space/forbidden_and_chaos_tech/2923149282" TargetMode="External"/><Relationship Id="rId42" Type="http://schemas.openxmlformats.org/officeDocument/2006/relationships/hyperlink" Target="https://stfc.space/forbidden_and_chaos_tech/2923149282" TargetMode="External"/><Relationship Id="rId41" Type="http://schemas.openxmlformats.org/officeDocument/2006/relationships/hyperlink" Target="https://stfc.space/forbidden_and_chaos_tech/2923149282" TargetMode="External"/><Relationship Id="rId44" Type="http://schemas.openxmlformats.org/officeDocument/2006/relationships/hyperlink" Target="https://stfc.space/forbidden_and_chaos_tech/1930376004" TargetMode="External"/><Relationship Id="rId43" Type="http://schemas.openxmlformats.org/officeDocument/2006/relationships/hyperlink" Target="https://stfc.space/forbidden_and_chaos_tech/2923149282" TargetMode="External"/><Relationship Id="rId46" Type="http://schemas.openxmlformats.org/officeDocument/2006/relationships/hyperlink" Target="https://stfc.space/forbidden_and_chaos_tech/1930376004" TargetMode="External"/><Relationship Id="rId45" Type="http://schemas.openxmlformats.org/officeDocument/2006/relationships/hyperlink" Target="https://stfc.space/forbidden_and_chaos_tech/1930376004" TargetMode="External"/><Relationship Id="rId48" Type="http://schemas.openxmlformats.org/officeDocument/2006/relationships/hyperlink" Target="https://stfc.space/forbidden_and_chaos_tech/850351327" TargetMode="External"/><Relationship Id="rId47" Type="http://schemas.openxmlformats.org/officeDocument/2006/relationships/hyperlink" Target="https://stfc.space/forbidden_and_chaos_tech/1930376004" TargetMode="External"/><Relationship Id="rId49" Type="http://schemas.openxmlformats.org/officeDocument/2006/relationships/hyperlink" Target="https://stfc.space/forbidden_and_chaos_tech/850351327" TargetMode="External"/><Relationship Id="rId31" Type="http://schemas.openxmlformats.org/officeDocument/2006/relationships/hyperlink" Target="https://stfc.space/forbidden_and_chaos_tech/733381942" TargetMode="External"/><Relationship Id="rId30" Type="http://schemas.openxmlformats.org/officeDocument/2006/relationships/hyperlink" Target="https://stfc.space/forbidden_and_chaos_tech/733381942" TargetMode="External"/><Relationship Id="rId33" Type="http://schemas.openxmlformats.org/officeDocument/2006/relationships/hyperlink" Target="https://stfc.space/forbidden_and_chaos_tech/1848611163" TargetMode="External"/><Relationship Id="rId32" Type="http://schemas.openxmlformats.org/officeDocument/2006/relationships/hyperlink" Target="https://stfc.space/forbidden_and_chaos_tech/1848611163" TargetMode="External"/><Relationship Id="rId35" Type="http://schemas.openxmlformats.org/officeDocument/2006/relationships/hyperlink" Target="https://stfc.space/forbidden_and_chaos_tech/1848611163" TargetMode="External"/><Relationship Id="rId34" Type="http://schemas.openxmlformats.org/officeDocument/2006/relationships/hyperlink" Target="https://stfc.space/forbidden_and_chaos_tech/1848611163" TargetMode="External"/><Relationship Id="rId37" Type="http://schemas.openxmlformats.org/officeDocument/2006/relationships/hyperlink" Target="https://stfc.space/forbidden_and_chaos_tech/1296092881" TargetMode="External"/><Relationship Id="rId36" Type="http://schemas.openxmlformats.org/officeDocument/2006/relationships/hyperlink" Target="https://stfc.space/forbidden_and_chaos_tech/1296092881" TargetMode="External"/><Relationship Id="rId39" Type="http://schemas.openxmlformats.org/officeDocument/2006/relationships/hyperlink" Target="https://stfc.space/forbidden_and_chaos_tech/1296092881" TargetMode="External"/><Relationship Id="rId38" Type="http://schemas.openxmlformats.org/officeDocument/2006/relationships/hyperlink" Target="https://stfc.space/forbidden_and_chaos_tech/1296092881" TargetMode="External"/><Relationship Id="rId20" Type="http://schemas.openxmlformats.org/officeDocument/2006/relationships/hyperlink" Target="https://stfc.space/forbidden_and_chaos_tech/2399101438" TargetMode="External"/><Relationship Id="rId22" Type="http://schemas.openxmlformats.org/officeDocument/2006/relationships/hyperlink" Target="https://stfc.space/forbidden_and_chaos_tech/2399101438" TargetMode="External"/><Relationship Id="rId21" Type="http://schemas.openxmlformats.org/officeDocument/2006/relationships/hyperlink" Target="https://stfc.space/forbidden_and_chaos_tech/2399101438" TargetMode="External"/><Relationship Id="rId24" Type="http://schemas.openxmlformats.org/officeDocument/2006/relationships/hyperlink" Target="https://stfc.space/forbidden_and_chaos_tech/3510037081" TargetMode="External"/><Relationship Id="rId23" Type="http://schemas.openxmlformats.org/officeDocument/2006/relationships/hyperlink" Target="https://stfc.space/forbidden_and_chaos_tech/2399101438" TargetMode="External"/><Relationship Id="rId26" Type="http://schemas.openxmlformats.org/officeDocument/2006/relationships/hyperlink" Target="https://stfc.space/forbidden_and_chaos_tech/3510037081" TargetMode="External"/><Relationship Id="rId25" Type="http://schemas.openxmlformats.org/officeDocument/2006/relationships/hyperlink" Target="https://stfc.space/forbidden_and_chaos_tech/3510037081" TargetMode="External"/><Relationship Id="rId28" Type="http://schemas.openxmlformats.org/officeDocument/2006/relationships/hyperlink" Target="https://stfc.space/forbidden_and_chaos_tech/733381942" TargetMode="External"/><Relationship Id="rId27" Type="http://schemas.openxmlformats.org/officeDocument/2006/relationships/hyperlink" Target="https://stfc.space/forbidden_and_chaos_tech/3510037081" TargetMode="External"/><Relationship Id="rId29" Type="http://schemas.openxmlformats.org/officeDocument/2006/relationships/hyperlink" Target="https://stfc.space/forbidden_and_chaos_tech/733381942" TargetMode="External"/><Relationship Id="rId11" Type="http://schemas.openxmlformats.org/officeDocument/2006/relationships/hyperlink" Target="https://stfc.space/forbidden_and_chaos_tech/1151304323" TargetMode="External"/><Relationship Id="rId10" Type="http://schemas.openxmlformats.org/officeDocument/2006/relationships/hyperlink" Target="https://stfc.space/forbidden_and_chaos_tech/1151304323" TargetMode="External"/><Relationship Id="rId13" Type="http://schemas.openxmlformats.org/officeDocument/2006/relationships/hyperlink" Target="https://stfc.space/forbidden_and_chaos_tech/3044733190" TargetMode="External"/><Relationship Id="rId12" Type="http://schemas.openxmlformats.org/officeDocument/2006/relationships/hyperlink" Target="https://stfc.space/forbidden_and_chaos_tech/3044733190" TargetMode="External"/><Relationship Id="rId15" Type="http://schemas.openxmlformats.org/officeDocument/2006/relationships/hyperlink" Target="https://stfc.space/forbidden_and_chaos_tech/3044733190" TargetMode="External"/><Relationship Id="rId14" Type="http://schemas.openxmlformats.org/officeDocument/2006/relationships/hyperlink" Target="https://stfc.space/forbidden_and_chaos_tech/3044733190" TargetMode="External"/><Relationship Id="rId17" Type="http://schemas.openxmlformats.org/officeDocument/2006/relationships/hyperlink" Target="https://stfc.space/forbidden_and_chaos_tech/115391048" TargetMode="External"/><Relationship Id="rId16" Type="http://schemas.openxmlformats.org/officeDocument/2006/relationships/hyperlink" Target="https://stfc.space/forbidden_and_chaos_tech/115391048" TargetMode="External"/><Relationship Id="rId19" Type="http://schemas.openxmlformats.org/officeDocument/2006/relationships/hyperlink" Target="https://stfc.space/forbidden_and_chaos_tech/115391048" TargetMode="External"/><Relationship Id="rId18" Type="http://schemas.openxmlformats.org/officeDocument/2006/relationships/hyperlink" Target="https://stfc.space/forbidden_and_chaos_tech/115391048" TargetMode="External"/><Relationship Id="rId84" Type="http://schemas.openxmlformats.org/officeDocument/2006/relationships/hyperlink" Target="https://stfc.space/forbidden_and_chaos_tech/747823611" TargetMode="External"/><Relationship Id="rId83" Type="http://schemas.openxmlformats.org/officeDocument/2006/relationships/hyperlink" Target="https://stfc.space/forbidden_and_chaos_tech/1338824773" TargetMode="External"/><Relationship Id="rId86" Type="http://schemas.openxmlformats.org/officeDocument/2006/relationships/hyperlink" Target="https://stfc.space/forbidden_and_chaos_tech/747823611" TargetMode="External"/><Relationship Id="rId85" Type="http://schemas.openxmlformats.org/officeDocument/2006/relationships/hyperlink" Target="https://stfc.space/forbidden_and_chaos_tech/747823611" TargetMode="External"/><Relationship Id="rId88" Type="http://schemas.openxmlformats.org/officeDocument/2006/relationships/hyperlink" Target="https://stfc.space/forbidden_and_chaos_tech/1451787875" TargetMode="External"/><Relationship Id="rId87" Type="http://schemas.openxmlformats.org/officeDocument/2006/relationships/hyperlink" Target="https://stfc.space/forbidden_and_chaos_tech/747823611" TargetMode="External"/><Relationship Id="rId89" Type="http://schemas.openxmlformats.org/officeDocument/2006/relationships/hyperlink" Target="https://stfc.space/forbidden_and_chaos_tech/1451787875" TargetMode="External"/><Relationship Id="rId80" Type="http://schemas.openxmlformats.org/officeDocument/2006/relationships/hyperlink" Target="https://stfc.space/forbidden_and_chaos_tech/1338824773" TargetMode="External"/><Relationship Id="rId82" Type="http://schemas.openxmlformats.org/officeDocument/2006/relationships/hyperlink" Target="https://stfc.space/forbidden_and_chaos_tech/1338824773" TargetMode="External"/><Relationship Id="rId81" Type="http://schemas.openxmlformats.org/officeDocument/2006/relationships/hyperlink" Target="https://stfc.space/forbidden_and_chaos_tech/1338824773" TargetMode="External"/><Relationship Id="rId73" Type="http://schemas.openxmlformats.org/officeDocument/2006/relationships/hyperlink" Target="https://stfc.space/forbidden_and_chaos_tech/1206498925" TargetMode="External"/><Relationship Id="rId72" Type="http://schemas.openxmlformats.org/officeDocument/2006/relationships/hyperlink" Target="https://stfc.space/forbidden_and_chaos_tech/1206498925" TargetMode="External"/><Relationship Id="rId75" Type="http://schemas.openxmlformats.org/officeDocument/2006/relationships/hyperlink" Target="https://stfc.space/forbidden_and_chaos_tech/1206498925" TargetMode="External"/><Relationship Id="rId74" Type="http://schemas.openxmlformats.org/officeDocument/2006/relationships/hyperlink" Target="https://stfc.space/forbidden_and_chaos_tech/1206498925" TargetMode="External"/><Relationship Id="rId77" Type="http://schemas.openxmlformats.org/officeDocument/2006/relationships/hyperlink" Target="https://stfc.space/forbidden_and_chaos_tech/3814128430" TargetMode="External"/><Relationship Id="rId76" Type="http://schemas.openxmlformats.org/officeDocument/2006/relationships/hyperlink" Target="https://stfc.space/forbidden_and_chaos_tech/3814128430" TargetMode="External"/><Relationship Id="rId79" Type="http://schemas.openxmlformats.org/officeDocument/2006/relationships/hyperlink" Target="https://stfc.space/forbidden_and_chaos_tech/3814128430" TargetMode="External"/><Relationship Id="rId78" Type="http://schemas.openxmlformats.org/officeDocument/2006/relationships/hyperlink" Target="https://stfc.space/forbidden_and_chaos_tech/3814128430" TargetMode="External"/><Relationship Id="rId71" Type="http://schemas.openxmlformats.org/officeDocument/2006/relationships/hyperlink" Target="https://stfc.space/forbidden_and_chaos_tech/2088471777" TargetMode="External"/><Relationship Id="rId70" Type="http://schemas.openxmlformats.org/officeDocument/2006/relationships/hyperlink" Target="https://stfc.space/forbidden_and_chaos_tech/2088471777" TargetMode="External"/><Relationship Id="rId62" Type="http://schemas.openxmlformats.org/officeDocument/2006/relationships/hyperlink" Target="https://stfc.space/forbidden_and_chaos_tech/473132032" TargetMode="External"/><Relationship Id="rId61" Type="http://schemas.openxmlformats.org/officeDocument/2006/relationships/hyperlink" Target="https://stfc.space/forbidden_and_chaos_tech/473132032" TargetMode="External"/><Relationship Id="rId64" Type="http://schemas.openxmlformats.org/officeDocument/2006/relationships/hyperlink" Target="https://stfc.space/forbidden_and_chaos_tech/1382120997" TargetMode="External"/><Relationship Id="rId63" Type="http://schemas.openxmlformats.org/officeDocument/2006/relationships/hyperlink" Target="https://stfc.space/forbidden_and_chaos_tech/473132032" TargetMode="External"/><Relationship Id="rId66" Type="http://schemas.openxmlformats.org/officeDocument/2006/relationships/hyperlink" Target="https://stfc.space/forbidden_and_chaos_tech/1382120997" TargetMode="External"/><Relationship Id="rId65" Type="http://schemas.openxmlformats.org/officeDocument/2006/relationships/hyperlink" Target="https://stfc.space/forbidden_and_chaos_tech/1382120997" TargetMode="External"/><Relationship Id="rId68" Type="http://schemas.openxmlformats.org/officeDocument/2006/relationships/hyperlink" Target="https://stfc.space/forbidden_and_chaos_tech/2088471777" TargetMode="External"/><Relationship Id="rId67" Type="http://schemas.openxmlformats.org/officeDocument/2006/relationships/hyperlink" Target="https://stfc.space/forbidden_and_chaos_tech/1382120997" TargetMode="External"/><Relationship Id="rId60" Type="http://schemas.openxmlformats.org/officeDocument/2006/relationships/hyperlink" Target="https://stfc.space/forbidden_and_chaos_tech/473132032" TargetMode="External"/><Relationship Id="rId69" Type="http://schemas.openxmlformats.org/officeDocument/2006/relationships/hyperlink" Target="https://stfc.space/forbidden_and_chaos_tech/2088471777" TargetMode="External"/><Relationship Id="rId51" Type="http://schemas.openxmlformats.org/officeDocument/2006/relationships/hyperlink" Target="https://stfc.space/forbidden_and_chaos_tech/850351327" TargetMode="External"/><Relationship Id="rId50" Type="http://schemas.openxmlformats.org/officeDocument/2006/relationships/hyperlink" Target="https://stfc.space/forbidden_and_chaos_tech/850351327" TargetMode="External"/><Relationship Id="rId53" Type="http://schemas.openxmlformats.org/officeDocument/2006/relationships/hyperlink" Target="https://stfc.space/forbidden_and_chaos_tech/2423550592" TargetMode="External"/><Relationship Id="rId52" Type="http://schemas.openxmlformats.org/officeDocument/2006/relationships/hyperlink" Target="https://stfc.space/forbidden_and_chaos_tech/2423550592" TargetMode="External"/><Relationship Id="rId55" Type="http://schemas.openxmlformats.org/officeDocument/2006/relationships/hyperlink" Target="https://stfc.space/forbidden_and_chaos_tech/2423550592" TargetMode="External"/><Relationship Id="rId54" Type="http://schemas.openxmlformats.org/officeDocument/2006/relationships/hyperlink" Target="https://stfc.space/forbidden_and_chaos_tech/2423550592" TargetMode="External"/><Relationship Id="rId57" Type="http://schemas.openxmlformats.org/officeDocument/2006/relationships/hyperlink" Target="https://stfc.space/forbidden_and_chaos_tech/1364700249" TargetMode="External"/><Relationship Id="rId56" Type="http://schemas.openxmlformats.org/officeDocument/2006/relationships/hyperlink" Target="https://stfc.space/forbidden_and_chaos_tech/1364700249" TargetMode="External"/><Relationship Id="rId59" Type="http://schemas.openxmlformats.org/officeDocument/2006/relationships/hyperlink" Target="https://stfc.space/forbidden_and_chaos_tech/1364700249" TargetMode="External"/><Relationship Id="rId58" Type="http://schemas.openxmlformats.org/officeDocument/2006/relationships/hyperlink" Target="https://stfc.space/forbidden_and_chaos_tech/1364700249" TargetMode="External"/><Relationship Id="rId107" Type="http://schemas.openxmlformats.org/officeDocument/2006/relationships/hyperlink" Target="https://stfc.space/forbidden_and_chaos_tech/3289179957" TargetMode="External"/><Relationship Id="rId106" Type="http://schemas.openxmlformats.org/officeDocument/2006/relationships/hyperlink" Target="https://stfc.space/forbidden_and_chaos_tech/3289179957" TargetMode="External"/><Relationship Id="rId105" Type="http://schemas.openxmlformats.org/officeDocument/2006/relationships/hyperlink" Target="https://stfc.space/forbidden_and_chaos_tech/3289179957" TargetMode="External"/><Relationship Id="rId104" Type="http://schemas.openxmlformats.org/officeDocument/2006/relationships/hyperlink" Target="https://stfc.space/forbidden_and_chaos_tech/3289179957" TargetMode="External"/><Relationship Id="rId109" Type="http://schemas.openxmlformats.org/officeDocument/2006/relationships/hyperlink" Target="https://stfc.space/forbidden_and_chaos_tech/2439729135" TargetMode="External"/><Relationship Id="rId108" Type="http://schemas.openxmlformats.org/officeDocument/2006/relationships/hyperlink" Target="https://stfc.space/forbidden_and_chaos_tech/2439729135" TargetMode="External"/><Relationship Id="rId103" Type="http://schemas.openxmlformats.org/officeDocument/2006/relationships/hyperlink" Target="https://stfc.space/forbidden_and_chaos_tech/240329436" TargetMode="External"/><Relationship Id="rId102" Type="http://schemas.openxmlformats.org/officeDocument/2006/relationships/hyperlink" Target="https://stfc.space/forbidden_and_chaos_tech/240329436" TargetMode="External"/><Relationship Id="rId101" Type="http://schemas.openxmlformats.org/officeDocument/2006/relationships/hyperlink" Target="https://stfc.space/forbidden_and_chaos_tech/240329436" TargetMode="External"/><Relationship Id="rId100" Type="http://schemas.openxmlformats.org/officeDocument/2006/relationships/hyperlink" Target="https://stfc.space/forbidden_and_chaos_tech/240329436" TargetMode="External"/><Relationship Id="rId211" Type="http://schemas.openxmlformats.org/officeDocument/2006/relationships/drawing" Target="../drawings/drawing6.xml"/><Relationship Id="rId210" Type="http://schemas.openxmlformats.org/officeDocument/2006/relationships/hyperlink" Target="https://stfc.space/forbidden_and_chaos_tech/2933290933" TargetMode="External"/><Relationship Id="rId129" Type="http://schemas.openxmlformats.org/officeDocument/2006/relationships/hyperlink" Target="https://stfc.space/forbidden_and_chaos_tech/3838074426" TargetMode="External"/><Relationship Id="rId128" Type="http://schemas.openxmlformats.org/officeDocument/2006/relationships/hyperlink" Target="https://stfc.space/forbidden_and_chaos_tech/3838074426" TargetMode="External"/><Relationship Id="rId127" Type="http://schemas.openxmlformats.org/officeDocument/2006/relationships/hyperlink" Target="https://stfc.space/forbidden_and_chaos_tech/2810835688" TargetMode="External"/><Relationship Id="rId126" Type="http://schemas.openxmlformats.org/officeDocument/2006/relationships/hyperlink" Target="https://stfc.space/forbidden_and_chaos_tech/2810835688" TargetMode="External"/><Relationship Id="rId121" Type="http://schemas.openxmlformats.org/officeDocument/2006/relationships/hyperlink" Target="https://stfc.space/forbidden_and_chaos_tech/1212779022" TargetMode="External"/><Relationship Id="rId120" Type="http://schemas.openxmlformats.org/officeDocument/2006/relationships/hyperlink" Target="https://stfc.space/forbidden_and_chaos_tech/1212779022" TargetMode="External"/><Relationship Id="rId125" Type="http://schemas.openxmlformats.org/officeDocument/2006/relationships/hyperlink" Target="https://stfc.space/forbidden_and_chaos_tech/2810835688" TargetMode="External"/><Relationship Id="rId124" Type="http://schemas.openxmlformats.org/officeDocument/2006/relationships/hyperlink" Target="https://stfc.space/forbidden_and_chaos_tech/2820752375" TargetMode="External"/><Relationship Id="rId123" Type="http://schemas.openxmlformats.org/officeDocument/2006/relationships/hyperlink" Target="https://stfc.space/forbidden_and_chaos_tech/2820752375" TargetMode="External"/><Relationship Id="rId122" Type="http://schemas.openxmlformats.org/officeDocument/2006/relationships/hyperlink" Target="https://stfc.space/forbidden_and_chaos_tech/1212779022" TargetMode="External"/><Relationship Id="rId95" Type="http://schemas.openxmlformats.org/officeDocument/2006/relationships/hyperlink" Target="https://stfc.space/forbidden_and_chaos_tech/1003489828" TargetMode="External"/><Relationship Id="rId94" Type="http://schemas.openxmlformats.org/officeDocument/2006/relationships/hyperlink" Target="https://stfc.space/forbidden_and_chaos_tech/1003489828" TargetMode="External"/><Relationship Id="rId97" Type="http://schemas.openxmlformats.org/officeDocument/2006/relationships/hyperlink" Target="https://stfc.space/forbidden_and_chaos_tech/4187367166" TargetMode="External"/><Relationship Id="rId96" Type="http://schemas.openxmlformats.org/officeDocument/2006/relationships/hyperlink" Target="https://stfc.space/forbidden_and_chaos_tech/4187367166" TargetMode="External"/><Relationship Id="rId99" Type="http://schemas.openxmlformats.org/officeDocument/2006/relationships/hyperlink" Target="https://stfc.space/forbidden_and_chaos_tech/4187367166" TargetMode="External"/><Relationship Id="rId98" Type="http://schemas.openxmlformats.org/officeDocument/2006/relationships/hyperlink" Target="https://stfc.space/forbidden_and_chaos_tech/4187367166" TargetMode="External"/><Relationship Id="rId91" Type="http://schemas.openxmlformats.org/officeDocument/2006/relationships/hyperlink" Target="https://stfc.space/forbidden_and_chaos_tech/1451787875" TargetMode="External"/><Relationship Id="rId90" Type="http://schemas.openxmlformats.org/officeDocument/2006/relationships/hyperlink" Target="https://stfc.space/forbidden_and_chaos_tech/1451787875" TargetMode="External"/><Relationship Id="rId93" Type="http://schemas.openxmlformats.org/officeDocument/2006/relationships/hyperlink" Target="https://stfc.space/forbidden_and_chaos_tech/1003489828" TargetMode="External"/><Relationship Id="rId92" Type="http://schemas.openxmlformats.org/officeDocument/2006/relationships/hyperlink" Target="https://stfc.space/forbidden_and_chaos_tech/1003489828" TargetMode="External"/><Relationship Id="rId118" Type="http://schemas.openxmlformats.org/officeDocument/2006/relationships/hyperlink" Target="https://stfc.space/forbidden_and_chaos_tech/1024185972" TargetMode="External"/><Relationship Id="rId117" Type="http://schemas.openxmlformats.org/officeDocument/2006/relationships/hyperlink" Target="https://stfc.space/forbidden_and_chaos_tech/258464522" TargetMode="External"/><Relationship Id="rId116" Type="http://schemas.openxmlformats.org/officeDocument/2006/relationships/hyperlink" Target="https://stfc.space/forbidden_and_chaos_tech/258464522" TargetMode="External"/><Relationship Id="rId115" Type="http://schemas.openxmlformats.org/officeDocument/2006/relationships/hyperlink" Target="https://stfc.space/forbidden_and_chaos_tech/258464522" TargetMode="External"/><Relationship Id="rId119" Type="http://schemas.openxmlformats.org/officeDocument/2006/relationships/hyperlink" Target="https://stfc.space/forbidden_and_chaos_tech/1024185972" TargetMode="External"/><Relationship Id="rId110" Type="http://schemas.openxmlformats.org/officeDocument/2006/relationships/hyperlink" Target="https://stfc.space/forbidden_and_chaos_tech/2439729135" TargetMode="External"/><Relationship Id="rId114" Type="http://schemas.openxmlformats.org/officeDocument/2006/relationships/hyperlink" Target="https://stfc.space/forbidden_and_chaos_tech/704754072" TargetMode="External"/><Relationship Id="rId113" Type="http://schemas.openxmlformats.org/officeDocument/2006/relationships/hyperlink" Target="https://stfc.space/forbidden_and_chaos_tech/704754072" TargetMode="External"/><Relationship Id="rId112" Type="http://schemas.openxmlformats.org/officeDocument/2006/relationships/hyperlink" Target="https://stfc.space/forbidden_and_chaos_tech/704754072" TargetMode="External"/><Relationship Id="rId111" Type="http://schemas.openxmlformats.org/officeDocument/2006/relationships/hyperlink" Target="https://stfc.space/forbidden_and_chaos_tech/2439729135" TargetMode="External"/><Relationship Id="rId206" Type="http://schemas.openxmlformats.org/officeDocument/2006/relationships/hyperlink" Target="https://stfc.space/forbidden_and_chaos_tech/3246756421" TargetMode="External"/><Relationship Id="rId205" Type="http://schemas.openxmlformats.org/officeDocument/2006/relationships/hyperlink" Target="https://stfc.space/forbidden_and_chaos_tech/3246756421" TargetMode="External"/><Relationship Id="rId204" Type="http://schemas.openxmlformats.org/officeDocument/2006/relationships/hyperlink" Target="https://stfc.space/forbidden_and_chaos_tech/3246756421" TargetMode="External"/><Relationship Id="rId203" Type="http://schemas.openxmlformats.org/officeDocument/2006/relationships/hyperlink" Target="https://stfc.space/forbidden_and_chaos_tech/3246756421" TargetMode="External"/><Relationship Id="rId209" Type="http://schemas.openxmlformats.org/officeDocument/2006/relationships/hyperlink" Target="https://stfc.space/forbidden_and_chaos_tech/2933290933" TargetMode="External"/><Relationship Id="rId208" Type="http://schemas.openxmlformats.org/officeDocument/2006/relationships/hyperlink" Target="https://stfc.space/forbidden_and_chaos_tech/2933290933" TargetMode="External"/><Relationship Id="rId207" Type="http://schemas.openxmlformats.org/officeDocument/2006/relationships/hyperlink" Target="https://stfc.space/forbidden_and_chaos_tech/2933290933" TargetMode="External"/><Relationship Id="rId202" Type="http://schemas.openxmlformats.org/officeDocument/2006/relationships/hyperlink" Target="https://stfc.space/forbidden_and_chaos_tech/3980484968" TargetMode="External"/><Relationship Id="rId201" Type="http://schemas.openxmlformats.org/officeDocument/2006/relationships/hyperlink" Target="https://stfc.space/forbidden_and_chaos_tech/3980484968" TargetMode="External"/><Relationship Id="rId200" Type="http://schemas.openxmlformats.org/officeDocument/2006/relationships/hyperlink" Target="https://stfc.space/forbidden_and_chaos_tech/398048496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tfc.cc/"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u/1/d/1QjZ9x30Kr7HxhDpzcFsVYvbXGwq1Pc3JOdW7VKJxCck/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showGridLines="0" workbookViewId="0"/>
  </sheetViews>
  <sheetFormatPr customHeight="1" defaultColWidth="12.63" defaultRowHeight="15.75"/>
  <cols>
    <col customWidth="1" min="1" max="1" width="2.75"/>
    <col customWidth="1" min="2" max="2" width="12.63"/>
    <col customWidth="1" min="3" max="3" width="5.5"/>
    <col customWidth="1" min="4" max="4" width="27.88"/>
    <col customWidth="1" min="5" max="7" width="12.63"/>
    <col customWidth="1" min="8" max="8" width="2.75"/>
    <col customWidth="1" min="9" max="9" width="27.88"/>
    <col customWidth="1" min="10" max="10" width="2.75"/>
    <col customWidth="1" min="11" max="12" width="12.63"/>
    <col customWidth="1" min="14" max="14" width="2.75"/>
    <col customWidth="1" min="16" max="16" width="2.75"/>
  </cols>
  <sheetData>
    <row r="1" ht="54.75" customHeight="1">
      <c r="A1" s="1"/>
      <c r="B1" s="2"/>
      <c r="C1" s="2"/>
      <c r="D1" s="2"/>
      <c r="E1" s="2"/>
      <c r="F1" s="2"/>
      <c r="G1" s="2"/>
      <c r="H1" s="2"/>
      <c r="I1" s="2"/>
      <c r="J1" s="2"/>
      <c r="K1" s="2"/>
      <c r="L1" s="2"/>
      <c r="M1" s="2"/>
      <c r="N1" s="2"/>
      <c r="O1" s="2"/>
      <c r="P1" s="2"/>
    </row>
    <row r="2" ht="16.5" customHeight="1">
      <c r="A2" s="2"/>
      <c r="B2" s="3"/>
      <c r="C2" s="3"/>
      <c r="D2" s="3"/>
      <c r="E2" s="3"/>
      <c r="F2" s="4"/>
      <c r="G2" s="5" t="s">
        <v>0</v>
      </c>
      <c r="H2" s="6"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7"/>
      <c r="J2" s="7"/>
      <c r="K2" s="7"/>
      <c r="L2" s="8"/>
      <c r="M2" s="8"/>
      <c r="N2" s="8"/>
      <c r="O2" s="8"/>
      <c r="P2" s="8"/>
    </row>
    <row r="3" ht="16.5" customHeight="1">
      <c r="A3" s="2"/>
      <c r="B3" s="9"/>
      <c r="C3" s="10"/>
      <c r="D3" s="10"/>
      <c r="E3" s="10"/>
      <c r="F3" s="11"/>
      <c r="G3" s="12"/>
      <c r="H3" s="2"/>
      <c r="I3" s="2"/>
      <c r="J3" s="2"/>
      <c r="K3" s="2"/>
      <c r="L3" s="2"/>
      <c r="M3" s="13"/>
      <c r="N3" s="2"/>
      <c r="O3" s="2"/>
      <c r="P3" s="2"/>
    </row>
    <row r="4" ht="33.75" customHeight="1">
      <c r="A4" s="2"/>
      <c r="B4" s="14"/>
      <c r="C4" s="15"/>
      <c r="D4" s="16" t="s">
        <v>1</v>
      </c>
      <c r="E4" s="17"/>
      <c r="F4" s="17"/>
      <c r="G4" s="18"/>
      <c r="H4" s="2"/>
      <c r="I4" s="2"/>
      <c r="J4" s="2"/>
      <c r="K4" s="1"/>
      <c r="L4" s="2"/>
      <c r="M4" s="19"/>
      <c r="N4" s="20"/>
      <c r="O4" s="20"/>
      <c r="P4" s="2"/>
    </row>
    <row r="5">
      <c r="A5" s="2"/>
      <c r="B5" s="21"/>
      <c r="C5" s="22"/>
      <c r="D5" s="23"/>
      <c r="E5" s="23"/>
      <c r="F5" s="23"/>
      <c r="G5" s="24"/>
      <c r="H5" s="2"/>
      <c r="I5" s="2"/>
      <c r="J5" s="2"/>
      <c r="K5" s="2"/>
      <c r="L5" s="2"/>
      <c r="M5" s="25"/>
      <c r="P5" s="2"/>
    </row>
    <row r="6" ht="15.75" customHeight="1">
      <c r="A6" s="2"/>
      <c r="B6" s="26"/>
      <c r="C6" s="27"/>
      <c r="D6" s="27"/>
      <c r="E6" s="28"/>
      <c r="F6" s="28"/>
      <c r="G6" s="28"/>
      <c r="H6" s="2"/>
      <c r="I6" s="2"/>
      <c r="J6" s="2"/>
      <c r="K6" s="2"/>
      <c r="L6" s="2"/>
      <c r="M6" s="29"/>
      <c r="P6" s="2"/>
    </row>
    <row r="7" ht="15.75" customHeight="1">
      <c r="A7" s="2"/>
      <c r="B7" s="26"/>
      <c r="C7" s="27"/>
      <c r="D7" s="27"/>
      <c r="E7" s="30" t="s">
        <v>2</v>
      </c>
      <c r="H7" s="2"/>
      <c r="I7" s="2"/>
      <c r="J7" s="2"/>
      <c r="K7" s="2"/>
      <c r="L7" s="2"/>
      <c r="M7" s="31"/>
      <c r="N7" s="32"/>
      <c r="O7" s="32"/>
      <c r="P7" s="2"/>
    </row>
    <row r="8" ht="15.75" customHeight="1">
      <c r="A8" s="2"/>
      <c r="B8" s="33" t="s">
        <v>3</v>
      </c>
      <c r="C8" s="34"/>
      <c r="D8" s="35"/>
      <c r="H8" s="2"/>
      <c r="I8" s="2"/>
      <c r="J8" s="2"/>
      <c r="K8" s="2"/>
      <c r="L8" s="2"/>
      <c r="M8" s="25"/>
      <c r="N8" s="27"/>
      <c r="O8" s="27"/>
      <c r="P8" s="2"/>
    </row>
    <row r="9" ht="15.75" customHeight="1">
      <c r="A9" s="2"/>
      <c r="B9" s="36"/>
      <c r="C9" s="2"/>
      <c r="D9" s="37" t="s">
        <v>4</v>
      </c>
      <c r="E9" s="38" t="s">
        <v>5</v>
      </c>
      <c r="F9" s="39"/>
      <c r="G9" s="40"/>
      <c r="H9" s="2"/>
      <c r="I9" s="2"/>
      <c r="J9" s="2"/>
      <c r="K9" s="2"/>
      <c r="L9" s="2"/>
      <c r="M9" s="41"/>
      <c r="P9" s="2"/>
    </row>
    <row r="10" ht="15.75" customHeight="1">
      <c r="A10" s="2"/>
      <c r="B10" s="26"/>
      <c r="C10" s="28"/>
      <c r="D10" s="42"/>
      <c r="E10" s="43"/>
      <c r="F10" s="44"/>
      <c r="G10" s="45"/>
      <c r="H10" s="2"/>
      <c r="I10" s="2"/>
      <c r="J10" s="2"/>
      <c r="K10" s="2"/>
      <c r="L10" s="2"/>
      <c r="M10" s="25"/>
      <c r="N10" s="46"/>
      <c r="O10" s="46"/>
      <c r="P10" s="2"/>
    </row>
    <row r="11" ht="15.75" customHeight="1">
      <c r="A11" s="2"/>
      <c r="B11" s="26"/>
      <c r="C11" s="2"/>
      <c r="D11" s="47" t="s">
        <v>6</v>
      </c>
      <c r="E11" s="48" t="s">
        <v>7</v>
      </c>
      <c r="F11" s="39"/>
      <c r="G11" s="39"/>
      <c r="H11" s="2"/>
      <c r="I11" s="2"/>
      <c r="J11" s="2"/>
      <c r="K11" s="2"/>
      <c r="L11" s="2"/>
      <c r="M11" s="25"/>
      <c r="N11" s="27"/>
      <c r="O11" s="27"/>
      <c r="P11" s="2"/>
    </row>
    <row r="12" ht="15.75" customHeight="1">
      <c r="A12" s="2"/>
      <c r="B12" s="26"/>
      <c r="C12" s="28"/>
      <c r="D12" s="42"/>
      <c r="E12" s="49"/>
      <c r="H12" s="2"/>
      <c r="I12" s="2"/>
      <c r="J12" s="2"/>
      <c r="K12" s="2"/>
      <c r="L12" s="2"/>
      <c r="M12" s="25"/>
      <c r="N12" s="27"/>
      <c r="O12" s="27"/>
      <c r="P12" s="2"/>
    </row>
    <row r="13" ht="15.75" customHeight="1">
      <c r="A13" s="2"/>
      <c r="B13" s="26"/>
      <c r="C13" s="2"/>
      <c r="D13" s="37" t="s">
        <v>8</v>
      </c>
      <c r="E13" s="38" t="s">
        <v>9</v>
      </c>
      <c r="F13" s="39"/>
      <c r="G13" s="40"/>
      <c r="H13" s="50"/>
      <c r="I13" s="50"/>
      <c r="J13" s="50"/>
      <c r="K13" s="50"/>
      <c r="L13" s="50"/>
      <c r="M13" s="51"/>
      <c r="N13" s="50"/>
      <c r="O13" s="50"/>
      <c r="P13" s="2"/>
    </row>
    <row r="14" ht="15.75" customHeight="1">
      <c r="A14" s="2"/>
      <c r="B14" s="52" t="s">
        <v>10</v>
      </c>
      <c r="C14" s="2"/>
      <c r="D14" s="42"/>
      <c r="E14" s="43"/>
      <c r="F14" s="44"/>
      <c r="G14" s="45"/>
      <c r="H14" s="2"/>
      <c r="I14" s="2"/>
      <c r="J14" s="2"/>
      <c r="K14" s="2"/>
      <c r="L14" s="2"/>
      <c r="M14" s="13"/>
      <c r="N14" s="2"/>
      <c r="O14" s="2"/>
      <c r="P14" s="2"/>
    </row>
    <row r="15" ht="15.75" customHeight="1">
      <c r="A15" s="2"/>
      <c r="B15" s="53" t="s">
        <v>11</v>
      </c>
      <c r="C15" s="2"/>
      <c r="D15" s="37" t="s">
        <v>12</v>
      </c>
      <c r="E15" s="48" t="s">
        <v>7</v>
      </c>
      <c r="F15" s="39"/>
      <c r="G15" s="39"/>
      <c r="H15" s="2"/>
      <c r="I15" s="2"/>
      <c r="J15" s="2"/>
      <c r="K15" s="2"/>
      <c r="L15" s="2"/>
      <c r="M15" s="2"/>
      <c r="N15" s="2"/>
      <c r="O15" s="2"/>
      <c r="P15" s="2"/>
    </row>
    <row r="16" ht="15.75" customHeight="1">
      <c r="A16" s="2"/>
      <c r="B16" s="36"/>
      <c r="C16" s="2"/>
      <c r="D16" s="42"/>
      <c r="E16" s="49"/>
      <c r="H16" s="2"/>
      <c r="I16" s="2"/>
      <c r="J16" s="2"/>
      <c r="K16" s="2"/>
      <c r="L16" s="2"/>
      <c r="M16" s="2"/>
      <c r="N16" s="2"/>
      <c r="O16" s="2"/>
      <c r="P16" s="2"/>
    </row>
    <row r="17" ht="15.75" customHeight="1">
      <c r="A17" s="2"/>
      <c r="B17" s="54"/>
      <c r="C17" s="2"/>
      <c r="D17" s="28"/>
      <c r="E17" s="28"/>
      <c r="F17" s="28"/>
      <c r="G17" s="28"/>
      <c r="H17" s="2"/>
      <c r="I17" s="2"/>
      <c r="J17" s="2"/>
      <c r="K17" s="2"/>
      <c r="L17" s="2"/>
      <c r="M17" s="2"/>
      <c r="N17" s="2"/>
      <c r="O17" s="2"/>
      <c r="P17" s="2"/>
    </row>
    <row r="18" ht="15.75" customHeight="1">
      <c r="A18" s="2"/>
      <c r="B18" s="55"/>
      <c r="C18" s="2"/>
      <c r="D18" s="56"/>
      <c r="E18" s="57"/>
      <c r="H18" s="2"/>
      <c r="I18" s="56"/>
      <c r="J18" s="57"/>
      <c r="N18" s="2"/>
      <c r="O18" s="2"/>
      <c r="P18" s="2"/>
    </row>
    <row r="19" ht="15.75" customHeight="1">
      <c r="A19" s="2"/>
      <c r="B19" s="8"/>
      <c r="C19" s="2"/>
      <c r="D19" s="37" t="s">
        <v>13</v>
      </c>
      <c r="E19" s="58" t="s">
        <v>14</v>
      </c>
      <c r="F19" s="39"/>
      <c r="G19" s="40"/>
      <c r="H19" s="2"/>
      <c r="I19" s="37" t="s">
        <v>15</v>
      </c>
      <c r="J19" s="38" t="s">
        <v>16</v>
      </c>
      <c r="K19" s="39"/>
      <c r="L19" s="39"/>
      <c r="M19" s="40"/>
      <c r="N19" s="2"/>
      <c r="O19" s="2"/>
      <c r="P19" s="2"/>
    </row>
    <row r="20" ht="15.75" customHeight="1">
      <c r="A20" s="2"/>
      <c r="B20" s="8"/>
      <c r="C20" s="2"/>
      <c r="D20" s="42"/>
      <c r="E20" s="43"/>
      <c r="F20" s="44"/>
      <c r="G20" s="45"/>
      <c r="H20" s="2"/>
      <c r="I20" s="59"/>
      <c r="J20" s="49"/>
      <c r="M20" s="60"/>
      <c r="N20" s="2"/>
      <c r="O20" s="2"/>
      <c r="P20" s="2"/>
    </row>
    <row r="21" ht="15.75" customHeight="1">
      <c r="A21" s="2"/>
      <c r="B21" s="61"/>
      <c r="C21" s="2"/>
      <c r="D21" s="47" t="s">
        <v>17</v>
      </c>
      <c r="E21" s="38" t="s">
        <v>18</v>
      </c>
      <c r="F21" s="39"/>
      <c r="G21" s="40"/>
      <c r="H21" s="2"/>
      <c r="I21" s="42"/>
      <c r="J21" s="43"/>
      <c r="K21" s="44"/>
      <c r="L21" s="44"/>
      <c r="M21" s="45"/>
      <c r="N21" s="2"/>
      <c r="O21" s="2"/>
      <c r="P21" s="2"/>
    </row>
    <row r="22" ht="15.75" customHeight="1">
      <c r="A22" s="2"/>
      <c r="B22" s="61"/>
      <c r="C22" s="2"/>
      <c r="D22" s="42"/>
      <c r="E22" s="43"/>
      <c r="F22" s="44"/>
      <c r="G22" s="45"/>
      <c r="H22" s="2"/>
      <c r="I22" s="37" t="s">
        <v>19</v>
      </c>
      <c r="J22" s="38" t="s">
        <v>20</v>
      </c>
      <c r="K22" s="39"/>
      <c r="L22" s="39"/>
      <c r="M22" s="40"/>
      <c r="N22" s="2"/>
      <c r="O22" s="2"/>
      <c r="P22" s="2"/>
    </row>
    <row r="23" ht="15.75" customHeight="1">
      <c r="A23" s="2"/>
      <c r="B23" s="62">
        <v>45663.0</v>
      </c>
      <c r="C23" s="2"/>
      <c r="D23" s="47" t="s">
        <v>21</v>
      </c>
      <c r="E23" s="38" t="s">
        <v>22</v>
      </c>
      <c r="F23" s="39"/>
      <c r="G23" s="40"/>
      <c r="H23" s="2"/>
      <c r="I23" s="59"/>
      <c r="J23" s="49"/>
      <c r="M23" s="60"/>
      <c r="N23" s="2"/>
      <c r="O23" s="2"/>
      <c r="P23" s="2"/>
    </row>
    <row r="24" ht="15.75" customHeight="1">
      <c r="A24" s="2"/>
      <c r="B24" s="63"/>
      <c r="C24" s="2"/>
      <c r="D24" s="42"/>
      <c r="E24" s="43"/>
      <c r="F24" s="44"/>
      <c r="G24" s="45"/>
      <c r="H24" s="64"/>
      <c r="I24" s="42"/>
      <c r="J24" s="43"/>
      <c r="K24" s="44"/>
      <c r="L24" s="44"/>
      <c r="M24" s="45"/>
      <c r="N24" s="28"/>
      <c r="O24" s="2"/>
      <c r="P24" s="28"/>
    </row>
    <row r="25" ht="15.75" customHeight="1">
      <c r="A25" s="2"/>
      <c r="B25" s="63"/>
      <c r="C25" s="2"/>
      <c r="D25" s="47" t="s">
        <v>23</v>
      </c>
      <c r="E25" s="38" t="s">
        <v>22</v>
      </c>
      <c r="F25" s="39"/>
      <c r="G25" s="40"/>
      <c r="H25" s="65"/>
      <c r="I25" s="37" t="s">
        <v>24</v>
      </c>
      <c r="J25" s="38" t="s">
        <v>25</v>
      </c>
      <c r="K25" s="39"/>
      <c r="L25" s="39"/>
      <c r="M25" s="40"/>
      <c r="N25" s="65"/>
      <c r="O25" s="2"/>
      <c r="P25" s="65"/>
    </row>
    <row r="26" ht="15.75" customHeight="1">
      <c r="A26" s="2"/>
      <c r="B26" s="63"/>
      <c r="C26" s="2"/>
      <c r="D26" s="42"/>
      <c r="E26" s="43"/>
      <c r="F26" s="44"/>
      <c r="G26" s="45"/>
      <c r="H26" s="35"/>
      <c r="I26" s="42"/>
      <c r="J26" s="43"/>
      <c r="K26" s="44"/>
      <c r="L26" s="44"/>
      <c r="M26" s="45"/>
      <c r="N26" s="65"/>
      <c r="O26" s="2"/>
      <c r="P26" s="65"/>
    </row>
    <row r="27" ht="15.75" customHeight="1">
      <c r="A27" s="2"/>
      <c r="B27" s="63"/>
      <c r="C27" s="2"/>
      <c r="D27" s="47"/>
      <c r="E27" s="38"/>
      <c r="F27" s="39"/>
      <c r="G27" s="39"/>
      <c r="H27" s="35"/>
      <c r="I27" s="66"/>
      <c r="J27" s="67"/>
      <c r="K27" s="67"/>
      <c r="L27" s="67"/>
      <c r="M27" s="67"/>
      <c r="N27" s="65"/>
      <c r="O27" s="2"/>
      <c r="P27" s="65"/>
    </row>
    <row r="28" ht="15.75" customHeight="1">
      <c r="A28" s="2"/>
      <c r="B28" s="63"/>
      <c r="C28" s="2"/>
      <c r="D28" s="59"/>
      <c r="E28" s="49"/>
      <c r="H28" s="35"/>
      <c r="I28" s="66"/>
      <c r="J28" s="67"/>
      <c r="K28" s="67"/>
      <c r="L28" s="67"/>
      <c r="M28" s="67"/>
      <c r="N28" s="65"/>
      <c r="O28" s="2"/>
      <c r="P28" s="65"/>
    </row>
    <row r="29" ht="15.75" customHeight="1">
      <c r="A29" s="68"/>
      <c r="B29" s="63"/>
      <c r="C29" s="69"/>
      <c r="D29" s="56" t="s">
        <v>26</v>
      </c>
      <c r="E29" s="57" t="s">
        <v>27</v>
      </c>
      <c r="H29" s="68"/>
      <c r="I29" s="35"/>
      <c r="J29" s="57"/>
      <c r="K29" s="57" t="s">
        <v>28</v>
      </c>
      <c r="N29" s="68"/>
      <c r="O29" s="2"/>
      <c r="P29" s="68"/>
    </row>
    <row r="30" ht="15.75" customHeight="1">
      <c r="A30" s="68"/>
      <c r="B30" s="63"/>
      <c r="C30" s="69"/>
      <c r="H30" s="68"/>
      <c r="J30" s="57"/>
      <c r="N30" s="68"/>
      <c r="O30" s="2"/>
      <c r="P30" s="68"/>
    </row>
    <row r="31" ht="15.75" customHeight="1">
      <c r="A31" s="68"/>
      <c r="B31" s="63"/>
      <c r="C31" s="69"/>
      <c r="D31" s="70" t="s">
        <v>29</v>
      </c>
      <c r="E31" s="38" t="s">
        <v>30</v>
      </c>
      <c r="F31" s="39"/>
      <c r="G31" s="40"/>
      <c r="H31" s="68"/>
      <c r="I31" s="71" t="s">
        <v>31</v>
      </c>
      <c r="J31" s="28"/>
      <c r="K31" s="72" t="s">
        <v>32</v>
      </c>
      <c r="L31" s="73"/>
      <c r="M31" s="74"/>
      <c r="N31" s="68"/>
      <c r="O31" s="2"/>
      <c r="P31" s="68"/>
    </row>
    <row r="32" ht="15.75" customHeight="1">
      <c r="A32" s="68"/>
      <c r="B32" s="63"/>
      <c r="C32" s="69"/>
      <c r="D32" s="59"/>
      <c r="E32" s="49"/>
      <c r="G32" s="60"/>
      <c r="H32" s="68"/>
      <c r="I32" s="75" t="s">
        <v>33</v>
      </c>
      <c r="J32" s="76"/>
      <c r="K32" s="77"/>
      <c r="L32" s="78"/>
      <c r="M32" s="79"/>
      <c r="N32" s="68"/>
      <c r="O32" s="2"/>
      <c r="P32" s="68"/>
    </row>
    <row r="33" ht="15.75" customHeight="1">
      <c r="A33" s="68"/>
      <c r="B33" s="63"/>
      <c r="C33" s="69"/>
      <c r="D33" s="42"/>
      <c r="E33" s="43"/>
      <c r="F33" s="44"/>
      <c r="G33" s="45"/>
      <c r="H33" s="68"/>
      <c r="I33" s="80"/>
      <c r="J33" s="28"/>
      <c r="K33" s="72" t="s">
        <v>34</v>
      </c>
      <c r="L33" s="73"/>
      <c r="M33" s="74"/>
      <c r="N33" s="68"/>
      <c r="O33" s="2"/>
      <c r="P33" s="68"/>
    </row>
    <row r="34" ht="15.75" customHeight="1">
      <c r="A34" s="68"/>
      <c r="B34" s="63"/>
      <c r="C34" s="69"/>
      <c r="D34" s="28"/>
      <c r="E34" s="28"/>
      <c r="F34" s="28"/>
      <c r="G34" s="28"/>
      <c r="H34" s="68"/>
      <c r="I34" s="71" t="s">
        <v>35</v>
      </c>
      <c r="J34" s="76"/>
      <c r="K34" s="77"/>
      <c r="L34" s="78"/>
      <c r="M34" s="79"/>
      <c r="N34" s="68"/>
      <c r="O34" s="2"/>
      <c r="P34" s="68"/>
    </row>
    <row r="35" ht="15.75" customHeight="1">
      <c r="A35" s="68"/>
      <c r="B35" s="63"/>
      <c r="C35" s="81"/>
      <c r="D35" s="56" t="s">
        <v>36</v>
      </c>
      <c r="E35" s="28"/>
      <c r="H35" s="68"/>
      <c r="I35" s="56" t="s">
        <v>37</v>
      </c>
      <c r="J35" s="28"/>
      <c r="K35" s="72" t="s">
        <v>38</v>
      </c>
      <c r="L35" s="73"/>
      <c r="M35" s="74"/>
      <c r="N35" s="68"/>
      <c r="O35" s="2"/>
      <c r="P35" s="68"/>
    </row>
    <row r="36" ht="15.75" customHeight="1">
      <c r="A36" s="68"/>
      <c r="B36" s="63"/>
      <c r="C36" s="82"/>
      <c r="H36" s="68"/>
      <c r="J36" s="76"/>
      <c r="K36" s="77"/>
      <c r="L36" s="78"/>
      <c r="M36" s="79"/>
      <c r="N36" s="68"/>
      <c r="O36" s="2"/>
      <c r="P36" s="68"/>
    </row>
    <row r="37" ht="15.75" customHeight="1">
      <c r="A37" s="68"/>
      <c r="B37" s="63"/>
      <c r="C37" s="83"/>
      <c r="D37" s="70" t="s">
        <v>39</v>
      </c>
      <c r="E37" s="38" t="s">
        <v>40</v>
      </c>
      <c r="F37" s="39"/>
      <c r="G37" s="40"/>
      <c r="H37" s="68"/>
      <c r="I37" s="28"/>
      <c r="J37" s="28"/>
      <c r="K37" s="28"/>
      <c r="L37" s="28"/>
      <c r="M37" s="28"/>
      <c r="N37" s="68"/>
      <c r="O37" s="2"/>
      <c r="P37" s="68"/>
    </row>
    <row r="38" ht="15.75" customHeight="1">
      <c r="A38" s="68"/>
      <c r="B38" s="63"/>
      <c r="C38" s="68"/>
      <c r="D38" s="42"/>
      <c r="E38" s="43"/>
      <c r="F38" s="44"/>
      <c r="G38" s="45"/>
      <c r="H38" s="68"/>
      <c r="I38" s="84" t="s">
        <v>41</v>
      </c>
      <c r="J38" s="85" t="s">
        <v>42</v>
      </c>
      <c r="K38" s="39"/>
      <c r="L38" s="39"/>
      <c r="M38" s="40"/>
      <c r="N38" s="68"/>
      <c r="O38" s="2"/>
      <c r="P38" s="68"/>
    </row>
    <row r="39" ht="15.75" customHeight="1">
      <c r="A39" s="68"/>
      <c r="B39" s="63"/>
      <c r="C39" s="68"/>
      <c r="D39" s="47" t="s">
        <v>43</v>
      </c>
      <c r="E39" s="38" t="s">
        <v>44</v>
      </c>
      <c r="F39" s="39"/>
      <c r="G39" s="40"/>
      <c r="H39" s="68"/>
      <c r="I39" s="86" t="s">
        <v>45</v>
      </c>
      <c r="J39" s="49"/>
      <c r="M39" s="60"/>
      <c r="N39" s="68"/>
      <c r="O39" s="2"/>
      <c r="P39" s="68"/>
    </row>
    <row r="40" ht="15.75" customHeight="1">
      <c r="A40" s="68"/>
      <c r="B40" s="63"/>
      <c r="C40" s="68"/>
      <c r="D40" s="42"/>
      <c r="E40" s="43"/>
      <c r="F40" s="44"/>
      <c r="G40" s="45"/>
      <c r="H40" s="68"/>
      <c r="I40" s="87" t="s">
        <v>46</v>
      </c>
      <c r="J40" s="49"/>
      <c r="M40" s="60"/>
      <c r="N40" s="68"/>
      <c r="O40" s="2"/>
      <c r="P40" s="68"/>
    </row>
    <row r="41" ht="15.75" customHeight="1">
      <c r="A41" s="68"/>
      <c r="B41" s="63"/>
      <c r="C41" s="68"/>
      <c r="D41" s="28"/>
      <c r="E41" s="28"/>
      <c r="F41" s="28"/>
      <c r="G41" s="28"/>
      <c r="H41" s="68"/>
      <c r="I41" s="88" t="s">
        <v>47</v>
      </c>
      <c r="J41" s="43"/>
      <c r="K41" s="44"/>
      <c r="L41" s="44"/>
      <c r="M41" s="45"/>
      <c r="N41" s="68"/>
      <c r="O41" s="2"/>
      <c r="P41" s="68"/>
    </row>
    <row r="42" ht="15.75" customHeight="1">
      <c r="A42" s="68"/>
      <c r="B42" s="89"/>
      <c r="C42" s="68"/>
      <c r="D42" s="28"/>
      <c r="E42" s="28"/>
      <c r="F42" s="28"/>
      <c r="G42" s="28"/>
      <c r="H42" s="68"/>
      <c r="I42" s="28"/>
      <c r="J42" s="28"/>
      <c r="K42" s="28"/>
      <c r="L42" s="28"/>
      <c r="M42" s="28"/>
      <c r="N42" s="68"/>
      <c r="O42" s="2"/>
      <c r="P42" s="68"/>
    </row>
    <row r="43" ht="15.75" customHeight="1">
      <c r="A43" s="68"/>
      <c r="B43" s="90"/>
      <c r="C43" s="91"/>
      <c r="D43" s="92"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E43" s="92"/>
      <c r="F43" s="93"/>
      <c r="G43" s="94"/>
      <c r="H43" s="94"/>
      <c r="I43" s="94"/>
      <c r="J43" s="94"/>
      <c r="K43" s="95"/>
      <c r="L43" s="95"/>
      <c r="M43" s="95"/>
      <c r="N43" s="95"/>
      <c r="O43" s="95"/>
      <c r="P43" s="95"/>
    </row>
    <row r="44" ht="15.75" customHeight="1">
      <c r="A44" s="68"/>
      <c r="B44" s="68"/>
      <c r="C44" s="96"/>
      <c r="D44" s="97"/>
      <c r="E44" s="68"/>
      <c r="F44" s="98"/>
      <c r="G44" s="98"/>
      <c r="H44" s="98"/>
      <c r="I44" s="98"/>
      <c r="J44" s="98"/>
      <c r="K44" s="98"/>
      <c r="L44" s="98"/>
      <c r="M44" s="68"/>
      <c r="N44" s="68"/>
      <c r="O44" s="2"/>
      <c r="P44" s="68"/>
    </row>
  </sheetData>
  <mergeCells count="50">
    <mergeCell ref="D4:G5"/>
    <mergeCell ref="M5:O6"/>
    <mergeCell ref="E7:G8"/>
    <mergeCell ref="B8:B9"/>
    <mergeCell ref="D9:D10"/>
    <mergeCell ref="E9:G10"/>
    <mergeCell ref="M9:O9"/>
    <mergeCell ref="D11:D12"/>
    <mergeCell ref="E11:G12"/>
    <mergeCell ref="D13:D14"/>
    <mergeCell ref="E13:G14"/>
    <mergeCell ref="B15:B16"/>
    <mergeCell ref="D15:D16"/>
    <mergeCell ref="E15:G16"/>
    <mergeCell ref="I19:I21"/>
    <mergeCell ref="I22:I24"/>
    <mergeCell ref="I25:I26"/>
    <mergeCell ref="I29:I30"/>
    <mergeCell ref="I32:I33"/>
    <mergeCell ref="I35:I36"/>
    <mergeCell ref="J22:M24"/>
    <mergeCell ref="J25:M26"/>
    <mergeCell ref="K29:M30"/>
    <mergeCell ref="K31:M32"/>
    <mergeCell ref="K33:M34"/>
    <mergeCell ref="K35:M36"/>
    <mergeCell ref="J38:M41"/>
    <mergeCell ref="E18:G18"/>
    <mergeCell ref="J18:M18"/>
    <mergeCell ref="D19:D20"/>
    <mergeCell ref="E19:G20"/>
    <mergeCell ref="J19:M21"/>
    <mergeCell ref="E21:G22"/>
    <mergeCell ref="E23:G24"/>
    <mergeCell ref="D29:D30"/>
    <mergeCell ref="D31:D33"/>
    <mergeCell ref="D35:D36"/>
    <mergeCell ref="D37:D38"/>
    <mergeCell ref="D39:D40"/>
    <mergeCell ref="E31:G33"/>
    <mergeCell ref="E35:G36"/>
    <mergeCell ref="E37:G38"/>
    <mergeCell ref="E39:G40"/>
    <mergeCell ref="D21:D22"/>
    <mergeCell ref="D23:D24"/>
    <mergeCell ref="D25:D26"/>
    <mergeCell ref="E25:G26"/>
    <mergeCell ref="D27:D28"/>
    <mergeCell ref="E27:G28"/>
    <mergeCell ref="E29:G30"/>
  </mergeCells>
  <conditionalFormatting sqref="F3">
    <cfRule type="expression" dxfId="0" priority="1">
      <formula>$F3="OA"</formula>
    </cfRule>
  </conditionalFormatting>
  <conditionalFormatting sqref="F3">
    <cfRule type="expression" dxfId="1" priority="2">
      <formula>$F3="CM"</formula>
    </cfRule>
  </conditionalFormatting>
  <conditionalFormatting sqref="F3">
    <cfRule type="expression" dxfId="2" priority="3">
      <formula>$F3="BDA"</formula>
    </cfRule>
  </conditionalFormatting>
  <hyperlinks>
    <hyperlink r:id="rId1" ref="B8"/>
    <hyperlink display="➤   Crew - Does it work?" location="null!A1" ref="D9"/>
    <hyperlink display="➤   officers search" location="'Officers - Search '!A1" ref="D11"/>
    <hyperlink display="➤   Sourcing Guide" location="'Sourcing Guide'!A1" ref="D13"/>
    <hyperlink r:id="rId2" ref="B15"/>
    <hyperlink display="➤   FT &amp; CT  search" location="'CT&amp;FT - Search '!A1" ref="D15"/>
    <hyperlink display="➤   Glossary" location="Glossary!A1" ref="D19"/>
    <hyperlink r:id="rId3" ref="I19"/>
    <hyperlink r:id="rId4" ref="I22"/>
    <hyperlink display="➤   Officers Master Table " location="MasterOfficers!A1" ref="D23"/>
    <hyperlink display="➤   Tech Master Table" location="MasterTech!A1" ref="D25"/>
    <hyperlink r:id="rId5" ref="I25"/>
    <hyperlink r:id="rId6" ref="D39"/>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showGridLines="0" workbookViewId="0"/>
  </sheetViews>
  <sheetFormatPr customHeight="1" defaultColWidth="12.63" defaultRowHeight="15.75"/>
  <cols>
    <col customWidth="1" min="1" max="1" width="2.88"/>
    <col customWidth="1" min="2" max="2" width="12.5"/>
    <col customWidth="1" min="3" max="3" width="5.5"/>
    <col customWidth="1" min="4" max="4" width="24.25"/>
    <col customWidth="1" min="5" max="15" width="17.75"/>
  </cols>
  <sheetData>
    <row r="1" ht="54.75" customHeight="1">
      <c r="A1" s="99" t="s">
        <v>48</v>
      </c>
      <c r="B1" s="2"/>
      <c r="C1" s="2"/>
      <c r="D1" s="2"/>
      <c r="E1" s="2"/>
      <c r="F1" s="2"/>
      <c r="G1" s="28"/>
      <c r="H1" s="28"/>
      <c r="I1" s="28"/>
      <c r="J1" s="28"/>
      <c r="K1" s="28"/>
      <c r="L1" s="28"/>
      <c r="M1" s="28"/>
      <c r="N1" s="28"/>
      <c r="O1" s="28"/>
    </row>
    <row r="2" ht="16.5" customHeight="1">
      <c r="A2" s="28"/>
      <c r="B2" s="3"/>
      <c r="C2" s="3"/>
      <c r="D2" s="3"/>
      <c r="E2" s="3"/>
      <c r="F2" s="3"/>
      <c r="G2" s="100" t="str">
        <f>'Infos - Start Here!'!G2</f>
        <v>1.4-RC M86</v>
      </c>
      <c r="H2" s="101"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102"/>
      <c r="J2" s="102"/>
      <c r="K2" s="102"/>
      <c r="L2" s="102"/>
      <c r="M2" s="102"/>
      <c r="N2" s="102"/>
      <c r="O2" s="102"/>
    </row>
    <row r="3" ht="16.5" customHeight="1">
      <c r="A3" s="28"/>
      <c r="B3" s="28"/>
      <c r="C3" s="28"/>
      <c r="D3" s="28"/>
      <c r="E3" s="28"/>
      <c r="F3" s="28"/>
      <c r="G3" s="28"/>
      <c r="H3" s="28"/>
      <c r="I3" s="28"/>
      <c r="J3" s="28"/>
      <c r="K3" s="28"/>
      <c r="L3" s="28"/>
      <c r="M3" s="28"/>
      <c r="N3" s="28"/>
      <c r="O3" s="28"/>
    </row>
    <row r="4">
      <c r="A4" s="103"/>
      <c r="B4" s="104"/>
      <c r="C4" s="105"/>
      <c r="D4" s="106" t="s">
        <v>49</v>
      </c>
      <c r="E4" s="107"/>
      <c r="F4" s="107"/>
      <c r="G4" s="108" t="s">
        <v>50</v>
      </c>
      <c r="H4" s="28"/>
      <c r="I4" s="109"/>
      <c r="J4" s="110"/>
      <c r="L4" s="2"/>
      <c r="M4" s="2"/>
      <c r="N4" s="2"/>
      <c r="O4" s="2"/>
    </row>
    <row r="5">
      <c r="A5" s="103"/>
      <c r="B5" s="111"/>
      <c r="C5" s="103"/>
      <c r="D5" s="112"/>
      <c r="E5" s="112"/>
      <c r="F5" s="112"/>
      <c r="G5" s="113"/>
      <c r="H5" s="114"/>
      <c r="I5" s="114"/>
      <c r="J5" s="114"/>
      <c r="K5" s="114"/>
      <c r="L5" s="115"/>
      <c r="M5" s="115"/>
      <c r="N5" s="115"/>
      <c r="O5" s="115"/>
    </row>
    <row r="6">
      <c r="A6" s="103"/>
      <c r="B6" s="111"/>
      <c r="C6" s="103"/>
      <c r="D6" s="112"/>
      <c r="E6" s="112"/>
      <c r="F6" s="112"/>
      <c r="G6" s="113"/>
      <c r="H6" s="114"/>
      <c r="I6" s="114"/>
      <c r="J6" s="116" t="str">
        <f t="array" ref="J6">IFNA(
XLOOKUP(J$10,LCARS_Tech[TechName],LCARS_Tech[Art]), "")</f>
        <v/>
      </c>
      <c r="K6" s="116" t="str">
        <f t="array" ref="K6">IFNA(
XLOOKUP(K$10,LCARS_Tech[TechName],LCARS_Tech[Art]), "")</f>
        <v/>
      </c>
      <c r="L6" s="115"/>
      <c r="M6" s="115"/>
      <c r="N6" s="115"/>
      <c r="O6" s="115"/>
    </row>
    <row r="7">
      <c r="A7" s="117"/>
      <c r="B7" s="111"/>
      <c r="C7" s="118" t="s">
        <v>51</v>
      </c>
      <c r="D7" s="119" t="s">
        <v>52</v>
      </c>
      <c r="E7" s="120" t="s">
        <v>53</v>
      </c>
      <c r="G7" s="2"/>
      <c r="H7" s="2"/>
      <c r="I7" s="121"/>
      <c r="L7" s="122"/>
      <c r="M7" s="122"/>
      <c r="N7" s="122"/>
      <c r="O7" s="122"/>
    </row>
    <row r="8">
      <c r="A8" s="103"/>
      <c r="B8" s="111"/>
      <c r="C8" s="103"/>
      <c r="D8" s="123"/>
      <c r="E8" s="121"/>
      <c r="F8" s="121"/>
      <c r="G8" s="121"/>
      <c r="H8" s="121"/>
      <c r="I8" s="2"/>
      <c r="L8" s="2"/>
      <c r="M8" s="2"/>
      <c r="N8" s="2"/>
      <c r="O8" s="2"/>
    </row>
    <row r="9">
      <c r="A9" s="103"/>
      <c r="B9" s="111"/>
      <c r="C9" s="103"/>
      <c r="D9" s="124"/>
      <c r="E9" s="121" t="str">
        <f t="array" ref="E9">IFNA(
XLOOKUP(E$12,LCARS_Off[OfficerName],LCARS_Off[Art]), "")</f>
        <v/>
      </c>
      <c r="F9" s="125" t="str">
        <f t="array" ref="F9">IFNA(
XLOOKUP(F$12,LCARS_Off[OfficerName],LCARS_Off[Art]), "")</f>
        <v/>
      </c>
      <c r="G9" s="121" t="str">
        <f t="array" ref="G9">IFNA(
XLOOKUP(G$12,LCARS_Off[OfficerName],LCARS_Off[Art]), "")</f>
        <v/>
      </c>
      <c r="H9" s="2"/>
      <c r="I9" s="2"/>
      <c r="L9" s="2"/>
      <c r="M9" s="2"/>
      <c r="N9" s="2"/>
      <c r="O9" s="2"/>
    </row>
    <row r="10">
      <c r="A10" s="103"/>
      <c r="B10" s="126"/>
      <c r="C10" s="103"/>
      <c r="D10" s="124"/>
      <c r="H10" s="118" t="s">
        <v>51</v>
      </c>
      <c r="I10" s="119" t="s">
        <v>54</v>
      </c>
      <c r="J10" s="120" t="s">
        <v>55</v>
      </c>
      <c r="K10" s="120" t="s">
        <v>56</v>
      </c>
      <c r="L10" s="127"/>
      <c r="M10" s="127"/>
      <c r="N10" s="127"/>
      <c r="O10" s="127"/>
    </row>
    <row r="11">
      <c r="A11" s="103"/>
      <c r="B11" s="128"/>
      <c r="C11" s="103"/>
      <c r="D11" s="124"/>
      <c r="H11" s="2"/>
      <c r="I11" s="129" t="s">
        <v>57</v>
      </c>
      <c r="J11" s="130" t="str">
        <f>IFERROR(__xludf.DUMMYFUNCTION("FILTER(
FILTER(LCARS_Tech[#ALL] , CONDITION_ONE_OF_RANGE( LCARS_Tech[#HEADERS] , E7)),
CONDITION_ONE_OF_RANGE( LCARS_Tech[[#ALL],[TechName]] , J10)
)"),"➖")</f>
        <v>➖</v>
      </c>
      <c r="K11" s="130" t="str">
        <f>IFERROR(__xludf.DUMMYFUNCTION("FILTER(
FILTER(LCARS_Tech[#ALL] , CONDITION_ONE_OF_RANGE( LCARS_Tech[#HEADERS] , E7)),
CONDITION_ONE_OF_RANGE( LCARS_Tech[[#ALL],[TechName]] , K10)
)"),"➖")</f>
        <v>➖</v>
      </c>
      <c r="L11" s="127"/>
      <c r="M11" s="127"/>
      <c r="N11" s="127"/>
      <c r="O11" s="127"/>
    </row>
    <row r="12">
      <c r="A12" s="131"/>
      <c r="B12" s="132"/>
      <c r="C12" s="118" t="s">
        <v>51</v>
      </c>
      <c r="D12" s="119" t="s">
        <v>58</v>
      </c>
      <c r="E12" s="120" t="s">
        <v>59</v>
      </c>
      <c r="F12" s="120" t="s">
        <v>60</v>
      </c>
      <c r="G12" s="120" t="s">
        <v>61</v>
      </c>
      <c r="H12" s="2"/>
      <c r="I12" s="133" t="s">
        <v>62</v>
      </c>
      <c r="J12" s="134" t="str">
        <f>IFERROR(__xludf.DUMMYFUNCTION("""COMPUTED_VALUE"""),"➖")</f>
        <v>➖</v>
      </c>
      <c r="K12" s="134" t="str">
        <f>IFERROR(__xludf.DUMMYFUNCTION("""COMPUTED_VALUE"""),"➖")</f>
        <v>➖</v>
      </c>
      <c r="L12" s="127"/>
      <c r="M12" s="127"/>
      <c r="N12" s="127"/>
      <c r="O12" s="127"/>
    </row>
    <row r="13">
      <c r="A13" s="103"/>
      <c r="B13" s="128"/>
      <c r="C13" s="103"/>
      <c r="D13" s="135" t="s">
        <v>63</v>
      </c>
      <c r="E13" s="136"/>
      <c r="F13" s="137" t="str">
        <f>IFERROR(__xludf.DUMMYFUNCTION("IFNA(
FILTER(
FILTER(LCARS_Off[#ALL] , CONDITION_ONE_OF_RANGE( LCARS_Off[#HEADERS] , $E$7)),
CONDITION_ONE_OF_RANGE( LCARS_Off[[#ALL],[OfficerName]] ,F12)*( LCARS_Off[[#ALL],[AbilityType]] = ""CM"" )
), ""⃠"" )"),"➖")</f>
        <v>➖</v>
      </c>
      <c r="G13" s="138"/>
      <c r="H13" s="139"/>
      <c r="I13" s="133" t="s">
        <v>64</v>
      </c>
      <c r="J13" s="134" t="str">
        <f>IFERROR(__xludf.DUMMYFUNCTION("""COMPUTED_VALUE"""),"➖")</f>
        <v>➖</v>
      </c>
      <c r="K13" s="134" t="str">
        <f>IFERROR(__xludf.DUMMYFUNCTION("""COMPUTED_VALUE"""),"✅")</f>
        <v>✅</v>
      </c>
      <c r="L13" s="127"/>
      <c r="M13" s="127"/>
      <c r="N13" s="127"/>
      <c r="O13" s="127"/>
    </row>
    <row r="14">
      <c r="A14" s="103"/>
      <c r="B14" s="128"/>
      <c r="C14" s="103"/>
      <c r="D14" s="140" t="s">
        <v>65</v>
      </c>
      <c r="E14" s="141" t="str">
        <f>IFERROR(__xludf.DUMMYFUNCTION("IFNA(
FILTER(
FILTER(LCARS_Off[#ALL] , CONDITION_ONE_OF_RANGE( LCARS_Off[#HEADERS] , $E$7)),
CONDITION_ONE_OF_RANGE( LCARS_Off[[#ALL],[OfficerName]] ,E12)*( LCARS_Off[[#ALL],[AbilityType]] = ""OA"" )
), ""➖"" )"),"➖")</f>
        <v>➖</v>
      </c>
      <c r="F14" s="141" t="str">
        <f>IFERROR(__xludf.DUMMYFUNCTION("IFNA(
FILTER(
FILTER(LCARS_Off[#ALL] , CONDITION_ONE_OF_RANGE( LCARS_Off[#HEADERS] , $E$7)),
CONDITION_ONE_OF_RANGE( LCARS_Off[[#ALL],[OfficerName]] ,F12)*( LCARS_Off[[#ALL],[AbilityType]] = ""OA"" )
), ""➖"" )"),"➖")</f>
        <v>➖</v>
      </c>
      <c r="G14" s="142" t="str">
        <f>IFERROR(__xludf.DUMMYFUNCTION("IFNA(
FILTER(
FILTER(LCARS_Off[#ALL] , CONDITION_ONE_OF_RANGE( LCARS_Off[#HEADERS] , $E$7)),
CONDITION_ONE_OF_RANGE( LCARS_Off[[#ALL],[OfficerName]] ,G12)*( LCARS_Off[[#ALL],[AbilityType]] = ""OA"" )
), ""➖"" )"),"➖")</f>
        <v>➖</v>
      </c>
      <c r="H14" s="2"/>
      <c r="I14" s="133" t="s">
        <v>66</v>
      </c>
      <c r="J14" s="134" t="str">
        <f>IFERROR(__xludf.DUMMYFUNCTION("""COMPUTED_VALUE"""),"➖")</f>
        <v>➖</v>
      </c>
      <c r="K14" s="143"/>
      <c r="L14" s="127"/>
      <c r="M14" s="127"/>
      <c r="N14" s="127"/>
      <c r="O14" s="127"/>
    </row>
    <row r="15">
      <c r="A15" s="103"/>
      <c r="B15" s="128"/>
      <c r="C15" s="103"/>
      <c r="D15" s="144"/>
      <c r="E15" s="145" t="str">
        <f t="array" ref="E15">IFERROR(XLOOKUP(E$19,LCARS_Off[OfficerName],LCARS_Off[Art]), "")</f>
        <v/>
      </c>
      <c r="F15" s="145" t="str">
        <f t="array" ref="F15">IFERROR(XLOOKUP(F$19,LCARS_Off[OfficerName],LCARS_Off[Art]), "")</f>
        <v/>
      </c>
      <c r="G15" s="145" t="str">
        <f t="array" ref="G15">IFERROR(XLOOKUP(G$19,LCARS_Off[OfficerName],LCARS_Off[Art]), "")</f>
        <v/>
      </c>
      <c r="H15" s="145" t="str">
        <f t="array" ref="H15">IFERROR(XLOOKUP(H$19,LCARS_Off[OfficerName],LCARS_Off[Art]), "")</f>
        <v/>
      </c>
      <c r="I15" s="145" t="str">
        <f t="array" ref="I15">IFERROR(XLOOKUP(I$19,LCARS_Off[OfficerName],LCARS_Off[Art]), "")</f>
        <v/>
      </c>
      <c r="J15" s="145" t="str">
        <f t="array" ref="J15">IFERROR(XLOOKUP(J$19,LCARS_Off[OfficerName],LCARS_Off[Art]), "")</f>
        <v/>
      </c>
      <c r="K15" s="145" t="str">
        <f t="array" ref="K15">IFERROR(XLOOKUP(K$19,LCARS_Off[OfficerName],LCARS_Off[Art]), "")</f>
        <v/>
      </c>
      <c r="L15" s="115"/>
      <c r="M15" s="115"/>
      <c r="N15" s="115"/>
      <c r="O15" s="143"/>
    </row>
    <row r="16">
      <c r="A16" s="103"/>
      <c r="B16" s="128"/>
      <c r="C16" s="103"/>
      <c r="D16" s="144"/>
      <c r="L16" s="122"/>
      <c r="M16" s="122"/>
      <c r="N16" s="122"/>
      <c r="O16" s="143"/>
    </row>
    <row r="17">
      <c r="A17" s="103"/>
      <c r="B17" s="128"/>
      <c r="C17" s="103"/>
      <c r="D17" s="144"/>
      <c r="L17" s="2"/>
      <c r="M17" s="2"/>
      <c r="N17" s="2"/>
      <c r="O17" s="121"/>
    </row>
    <row r="18">
      <c r="A18" s="103"/>
      <c r="B18" s="128"/>
      <c r="C18" s="103"/>
      <c r="D18" s="144"/>
      <c r="L18" s="2"/>
      <c r="M18" s="2"/>
      <c r="N18" s="2"/>
      <c r="O18" s="121"/>
    </row>
    <row r="19">
      <c r="A19" s="131"/>
      <c r="B19" s="132"/>
      <c r="C19" s="118" t="s">
        <v>51</v>
      </c>
      <c r="D19" s="119" t="s">
        <v>67</v>
      </c>
      <c r="E19" s="120" t="s">
        <v>68</v>
      </c>
      <c r="F19" s="120" t="s">
        <v>69</v>
      </c>
      <c r="G19" s="120" t="s">
        <v>70</v>
      </c>
      <c r="H19" s="120"/>
      <c r="I19" s="120"/>
      <c r="J19" s="120"/>
      <c r="K19" s="120"/>
      <c r="L19" s="127"/>
      <c r="M19" s="127"/>
      <c r="N19" s="127"/>
      <c r="O19" s="2"/>
    </row>
    <row r="20">
      <c r="A20" s="146"/>
      <c r="B20" s="147"/>
      <c r="C20" s="146"/>
      <c r="D20" s="148" t="s">
        <v>71</v>
      </c>
      <c r="E20" s="149" t="str">
        <f>IFERROR(__xludf.DUMMYFUNCTION("IFNA(
FILTER(
FILTER(LCARS_Off[#ALL] , CONDITION_ONE_OF_RANGE( LCARS_Off[#HEADERS] , $E$7)),
CONDITION_ONE_OF_RANGE( LCARS_Off[[#ALL],[OfficerName]] ,E19)*( LCARS_Off[[#ALL],[AbilityType]] = ""BDA"" )
), ""⃠"" )"),"⃠")</f>
        <v>⃠</v>
      </c>
      <c r="F20" s="149" t="str">
        <f>IFERROR(__xludf.DUMMYFUNCTION("IFNA(
FILTER(
FILTER(LCARS_Off[#ALL] , CONDITION_ONE_OF_RANGE( LCARS_Off[#HEADERS] , $E$7)),
CONDITION_ONE_OF_RANGE( LCARS_Off[[#ALL],[OfficerName]] ,F19)*( LCARS_Off[[#ALL],[AbilityType]] = ""BDA"" )
), ""⃠"" )"),"➖")</f>
        <v>➖</v>
      </c>
      <c r="G20" s="149" t="str">
        <f>IFERROR(__xludf.DUMMYFUNCTION("IFNA(
FILTER(
FILTER(LCARS_Off[#ALL] , CONDITION_ONE_OF_RANGE( LCARS_Off[#HEADERS] , $E$7)),
CONDITION_ONE_OF_RANGE( LCARS_Off[[#ALL],[OfficerName]] ,G19)*( LCARS_Off[[#ALL],[AbilityType]] = ""BDA"" )
), ""⃠"" )"),"➖")</f>
        <v>➖</v>
      </c>
      <c r="H20" s="149" t="str">
        <f>IFERROR(__xludf.DUMMYFUNCTION("IFNA(
FILTER(
FILTER(LCARS_Off[#ALL] , CONDITION_ONE_OF_RANGE( LCARS_Off[#HEADERS] , $E$7)),
CONDITION_ONE_OF_RANGE( LCARS_Off[[#ALL],[OfficerName]] ,H19)*( LCARS_Off[[#ALL],[AbilityType]] = ""BDA"" )
), ""⃠"" )"),"⃠")</f>
        <v>⃠</v>
      </c>
      <c r="I20" s="149" t="str">
        <f>IFERROR(__xludf.DUMMYFUNCTION("IFNA(
FILTER(
FILTER(LCARS_Off[#ALL] , CONDITION_ONE_OF_RANGE( LCARS_Off[#HEADERS] , $E$7)),
CONDITION_ONE_OF_RANGE( LCARS_Off[[#ALL],[OfficerName]] ,I19)*( LCARS_Off[[#ALL],[AbilityType]] = ""BDA"" )
), ""⃠"" )"),"⃠")</f>
        <v>⃠</v>
      </c>
      <c r="J20" s="149" t="str">
        <f>IFERROR(__xludf.DUMMYFUNCTION("IFNA(
FILTER(
FILTER(LCARS_Off[#ALL] , CONDITION_ONE_OF_RANGE( LCARS_Off[#HEADERS] , $E$7)),
CONDITION_ONE_OF_RANGE( LCARS_Off[[#ALL],[OfficerName]] ,J19)*( LCARS_Off[[#ALL],[AbilityType]] = ""BDA"" )
), ""⃠"" )"),"⃠")</f>
        <v>⃠</v>
      </c>
      <c r="K20" s="149" t="str">
        <f>IFERROR(__xludf.DUMMYFUNCTION("IFNA(
FILTER(
FILTER(LCARS_Off[#ALL] , CONDITION_ONE_OF_RANGE( LCARS_Off[#HEADERS] , $E$7)),
CONDITION_ONE_OF_RANGE( LCARS_Off[[#ALL],[OfficerName]] ,K19)*( LCARS_Off[[#ALL],[AbilityType]] = ""BDA"" )
), ""⃠"" )"),"⃠")</f>
        <v>⃠</v>
      </c>
      <c r="L20" s="150"/>
      <c r="M20" s="151"/>
      <c r="N20" s="151"/>
      <c r="O20" s="151"/>
    </row>
    <row r="21">
      <c r="A21" s="146"/>
      <c r="B21" s="147"/>
      <c r="C21" s="146"/>
      <c r="D21" s="124"/>
      <c r="E21" s="124"/>
      <c r="F21" s="124"/>
      <c r="G21" s="124"/>
      <c r="H21" s="124"/>
      <c r="I21" s="124"/>
      <c r="J21" s="124"/>
      <c r="K21" s="124"/>
      <c r="L21" s="150"/>
      <c r="M21" s="124"/>
      <c r="N21" s="124"/>
      <c r="O21" s="124"/>
    </row>
    <row r="22">
      <c r="A22" s="146"/>
      <c r="B22" s="147"/>
      <c r="C22" s="146"/>
      <c r="D22" s="124"/>
      <c r="E22" s="124"/>
      <c r="F22" s="124"/>
      <c r="G22" s="124"/>
      <c r="H22" s="124"/>
      <c r="I22" s="124"/>
      <c r="J22" s="124"/>
      <c r="K22" s="124"/>
      <c r="L22" s="124"/>
      <c r="M22" s="124"/>
      <c r="N22" s="124"/>
      <c r="O22" s="124"/>
    </row>
    <row r="23">
      <c r="A23" s="146"/>
      <c r="B23" s="147"/>
      <c r="C23" s="146"/>
      <c r="D23" s="124"/>
      <c r="E23" s="124"/>
      <c r="F23" s="124"/>
      <c r="G23" s="124"/>
      <c r="H23" s="124"/>
      <c r="I23" s="124"/>
      <c r="J23" s="124"/>
      <c r="K23" s="124"/>
      <c r="L23" s="124"/>
      <c r="M23" s="124"/>
      <c r="N23" s="124"/>
      <c r="O23" s="124"/>
    </row>
    <row r="24">
      <c r="A24" s="152"/>
      <c r="B24" s="153">
        <f>'Infos - Start Here!'!B23</f>
        <v>45663</v>
      </c>
      <c r="C24" s="118" t="s">
        <v>51</v>
      </c>
      <c r="D24" s="119" t="str">
        <f>"Target: " &amp; E7</f>
        <v>Target: PvP Station</v>
      </c>
      <c r="F24" s="154" t="s">
        <v>72</v>
      </c>
      <c r="I24" s="150"/>
      <c r="J24" s="34" t="s">
        <v>37</v>
      </c>
      <c r="L24" s="150"/>
      <c r="M24" s="150"/>
      <c r="N24" s="150"/>
      <c r="O24" s="150"/>
    </row>
    <row r="25">
      <c r="A25" s="152"/>
      <c r="B25" s="155"/>
      <c r="C25" s="152"/>
      <c r="D25" s="156" t="s">
        <v>63</v>
      </c>
      <c r="E25" s="157" t="str">
        <f>IFERROR(__xludf.DUMMYFUNCTION("IFNA(
FILTER(
FILTER(LCARS_Off[#ALL] , CONDITION_ONE_OF_RANGE( LCARS_Off[#HEADERS] , settings[DoesItWork])),
CONDITION_ONE_OF_RANGE( LCARS_Off[[#ALL],[OfficerName]] ,F12)*( LCARS_Off[[#ALL],[AbilityType]] = ""CM"" )
), Transpose({F12;F13}))"),"NAGA DELVOS")</f>
        <v>NAGA DELVOS</v>
      </c>
      <c r="F25" s="158" t="str">
        <f>IFERROR(__xludf.DUMMYFUNCTION("""COMPUTED_VALUE"""),"Increases the Cost Efficiency of the Borg Cube's Transwarp Jump by X.")</f>
        <v>Increases the Cost Efficiency of the Borg Cube's Transwarp Jump by X.</v>
      </c>
      <c r="G25" s="159"/>
      <c r="H25" s="160"/>
      <c r="I25" s="161" t="str">
        <f>IFERROR(__xludf.DUMMYFUNCTION("IFNA(
FILTER(
FILTER(LCARS_Off[#ALL] , CONDITION_ONE_OF_RANGE( LCARS_Off[#HEADERS] , $E$7)),
CONDITION_ONE_OF_RANGE( LCARS_Off[[#ALL],[OfficerName]] ,E25)*( LCARS_Off[[#ALL],[AbilityType]] = ""CM"" )
), ""⃠"" )"),"   ➖")</f>
        <v>➖</v>
      </c>
      <c r="J25" s="162" t="s">
        <v>73</v>
      </c>
      <c r="K25" s="163" t="s">
        <v>74</v>
      </c>
      <c r="L25" s="150"/>
      <c r="M25" s="150"/>
      <c r="N25" s="150"/>
      <c r="O25" s="150"/>
    </row>
    <row r="26">
      <c r="A26" s="152"/>
      <c r="B26" s="164"/>
      <c r="C26" s="152"/>
      <c r="D26" s="156" t="s">
        <v>65</v>
      </c>
      <c r="E26" s="157" t="str">
        <f>IFERROR(__xludf.DUMMYFUNCTION("FILTER(
FILTER(LCARS_Off[#ALL] , CONDITION_ONE_OF_RANGE( LCARS_Off[#HEADERS] , settings[DoesItWork])),
CONDITION_ONE_OF_RANGE( LCARS_Off[[#ALL],[OfficerName]] ,E12:G12)*( LCARS_Off[[#ALL],[AbilityType]] = ""OA"" )
)"),"NAGA DELVOS")</f>
        <v>NAGA DELVOS</v>
      </c>
      <c r="F26" s="158" t="str">
        <f>IFERROR(__xludf.DUMMYFUNCTION("""COMPUTED_VALUE"""),"Increases the base damage of the Borg Cube's Cutting Beam against players by X (X at rank X).")</f>
        <v>Increases the base damage of the Borg Cube's Cutting Beam against players by X (X at rank X).</v>
      </c>
      <c r="G26" s="159"/>
      <c r="H26" s="160"/>
      <c r="I26" s="165" t="str">
        <f>IFERROR(__xludf.DUMMYFUNCTION("IFNA(
FILTER(
FILTER(LCARS_Off[#ALL] , CONDITION_ONE_OF_RANGE( LCARS_Off[#HEADERS] , $E$7)),
CONDITION_ONE_OF_RANGE( LCARS_Off[[#ALL],[OfficerName]] ,E26)*( LCARS_Off[[#ALL],[AbilityType]] = ""OA"" )
), ""➖"" )"),"   ➖")</f>
        <v>➖</v>
      </c>
      <c r="J26" s="162" t="s">
        <v>75</v>
      </c>
      <c r="K26" s="163" t="s">
        <v>76</v>
      </c>
      <c r="L26" s="150"/>
      <c r="M26" s="150"/>
      <c r="N26" s="150"/>
      <c r="O26" s="150"/>
    </row>
    <row r="27">
      <c r="A27" s="152"/>
      <c r="B27" s="164"/>
      <c r="C27" s="152"/>
      <c r="D27" s="166"/>
      <c r="E27" s="167" t="str">
        <f>IFERROR(__xludf.DUMMYFUNCTION("""COMPUTED_VALUE"""),"SESKA")</f>
        <v>SESKA</v>
      </c>
      <c r="F27" s="168" t="str">
        <f>IFERROR(__xludf.DUMMYFUNCTION("""COMPUTED_VALUE"""),"Restores the Shield Health of your ship every round by X (X at rank X) when fighting hostiles.")</f>
        <v>Restores the Shield Health of your ship every round by X (X at rank X) when fighting hostiles.</v>
      </c>
      <c r="H27" s="169"/>
      <c r="I27" s="165" t="str">
        <f>IFERROR(__xludf.DUMMYFUNCTION("IFNA(
FILTER(
FILTER(LCARS_Off[#ALL] , CONDITION_ONE_OF_RANGE( LCARS_Off[#HEADERS] , $E$7)),
CONDITION_ONE_OF_RANGE( LCARS_Off[[#ALL],[OfficerName]] ,E27)*( LCARS_Off[[#ALL],[AbilityType]] = ""OA"" )
), ""➖"" )"),"   ➖")</f>
        <v>➖</v>
      </c>
      <c r="J27" s="170" t="s">
        <v>77</v>
      </c>
      <c r="K27" s="163" t="s">
        <v>78</v>
      </c>
      <c r="L27" s="150"/>
      <c r="M27" s="150"/>
      <c r="N27" s="150"/>
      <c r="O27" s="150"/>
    </row>
    <row r="28">
      <c r="A28" s="152"/>
      <c r="B28" s="164"/>
      <c r="C28" s="152"/>
      <c r="D28" s="171"/>
      <c r="E28" s="172" t="str">
        <f>IFERROR(__xludf.DUMMYFUNCTION("""COMPUTED_VALUE"""),"WOK SCOTTY")</f>
        <v>WOK SCOTTY</v>
      </c>
      <c r="F28" s="173" t="str">
        <f>IFERROR(__xludf.DUMMYFUNCTION("""COMPUTED_VALUE"""),"WOK Montgomery Scott increases loot gained from Armadas by X (X at rank X).")</f>
        <v>WOK Montgomery Scott increases loot gained from Armadas by X (X at rank X).</v>
      </c>
      <c r="G28" s="174"/>
      <c r="H28" s="175"/>
      <c r="I28" s="165" t="str">
        <f>IFERROR(__xludf.DUMMYFUNCTION("IFNA(
FILTER(
FILTER(LCARS_Off[#ALL] , CONDITION_ONE_OF_RANGE( LCARS_Off[#HEADERS] , $E$7)),
CONDITION_ONE_OF_RANGE( LCARS_Off[[#ALL],[OfficerName]] ,E28)*( LCARS_Off[[#ALL],[AbilityType]] = ""OA"" )
), ""➖"" )"),"   ➖")</f>
        <v>➖</v>
      </c>
      <c r="J28" s="162" t="s">
        <v>79</v>
      </c>
      <c r="K28" s="163" t="s">
        <v>80</v>
      </c>
      <c r="L28" s="150"/>
      <c r="M28" s="150"/>
      <c r="N28" s="150"/>
      <c r="O28" s="150"/>
    </row>
    <row r="29">
      <c r="A29" s="152"/>
      <c r="B29" s="164"/>
      <c r="C29" s="152"/>
      <c r="D29" s="156" t="s">
        <v>81</v>
      </c>
      <c r="E29" s="157" t="str">
        <f>IFERROR(__xludf.DUMMYFUNCTION("IFNA(
FILTER(
FILTER(LCARS_Off[#ALL] , CONDITION_ONE_OF_RANGE( LCARS_Off[#HEADERS] , settings[DoesItWork])),
CONDITION_ONE_OF_RANGE( LCARS_Off[[#ALL],[OfficerName]] , E19:K19)*( LCARS_Off[[#ALL],[AbilityType]] = ""BDA"" )
), ""➖"")"),"B'ELANNA TORRES")</f>
        <v>B'ELANNA TORRES</v>
      </c>
      <c r="F29" s="176" t="str">
        <f>IFERROR(__xludf.DUMMYFUNCTION("""COMPUTED_VALUE"""),"X chance each round to apply Hull Breach to non-Player hostiles or Armada for 1 round.")</f>
        <v>X chance each round to apply Hull Breach to non-Player hostiles or Armada for 1 round.</v>
      </c>
      <c r="G29" s="159"/>
      <c r="H29" s="160"/>
      <c r="I29" s="165" t="str">
        <f>IFERROR(__xludf.DUMMYFUNCTION("IFNA(
FILTER(
FILTER(LCARS_Off[#ALL] , CONDITION_ONE_OF_RANGE( LCARS_Off[#HEADERS] , $E$7)),
CONDITION_ONE_OF_RANGE( LCARS_Off[[#ALL],[OfficerName]] ,E29)*( LCARS_Off[[#ALL],[AbilityType]] = ""BDA"" )
), "" ⃠"" )"),"   ➖")</f>
        <v>➖</v>
      </c>
      <c r="J29" s="177" t="s">
        <v>82</v>
      </c>
      <c r="K29" s="163" t="s">
        <v>83</v>
      </c>
      <c r="L29" s="150"/>
      <c r="M29" s="150"/>
      <c r="N29" s="150"/>
      <c r="O29" s="150"/>
    </row>
    <row r="30">
      <c r="A30" s="152"/>
      <c r="B30" s="164"/>
      <c r="C30" s="152"/>
      <c r="D30" s="166"/>
      <c r="E30" s="167" t="str">
        <f>IFERROR(__xludf.DUMMYFUNCTION("""COMPUTED_VALUE"""),"TMP NYOTA UHURA")</f>
        <v>TMP NYOTA UHURA</v>
      </c>
      <c r="F30" s="178" t="str">
        <f>IFERROR(__xludf.DUMMYFUNCTION("""COMPUTED_VALUE"""),"TMP Nyota Uhura increases your ship's Isolytic Cascade Damage by X (X at rank X) when fighting non-Armada Hostiles, Outposts, or Retaliation Hostiles.")</f>
        <v>TMP Nyota Uhura increases your ship's Isolytic Cascade Damage by X (X at rank X) when fighting non-Armada Hostiles, Outposts, or Retaliation Hostiles.</v>
      </c>
      <c r="H30" s="169"/>
      <c r="I30" s="165" t="str">
        <f>IFERROR(__xludf.DUMMYFUNCTION("IFNA(
FILTER(
FILTER(LCARS_Off[#ALL] , CONDITION_ONE_OF_RANGE( LCARS_Off[#HEADERS] , $E$7)),
CONDITION_ONE_OF_RANGE( LCARS_Off[[#ALL],[OfficerName]] ,E30)*( LCARS_Off[[#ALL],[AbilityType]] = ""BDA"" )
), "" ⃠"" )"),"   ➖")</f>
        <v>➖</v>
      </c>
      <c r="J30" s="179" t="s">
        <v>84</v>
      </c>
      <c r="K30" s="163" t="s">
        <v>85</v>
      </c>
      <c r="L30" s="150"/>
      <c r="M30" s="150"/>
      <c r="N30" s="150"/>
      <c r="O30" s="150"/>
    </row>
    <row r="31">
      <c r="A31" s="152"/>
      <c r="B31" s="164"/>
      <c r="C31" s="152"/>
      <c r="D31" s="166"/>
      <c r="E31" s="180"/>
      <c r="F31" s="178"/>
      <c r="H31" s="169"/>
      <c r="I31" s="165" t="str">
        <f>IFERROR(__xludf.DUMMYFUNCTION("IFNA(
FILTER(
FILTER(LCARS_Off[#ALL] , CONDITION_ONE_OF_RANGE( LCARS_Off[#HEADERS] , $E$7)),
CONDITION_ONE_OF_RANGE( LCARS_Off[[#ALL],[OfficerName]] ,E31)*( LCARS_Off[[#ALL],[AbilityType]] = ""BDA"" )
), "" ⃠"" )"),"    ⃠")</f>
        <v> ⃠</v>
      </c>
      <c r="J31" s="181" t="s">
        <v>86</v>
      </c>
      <c r="K31" s="163" t="s">
        <v>87</v>
      </c>
      <c r="L31" s="150"/>
      <c r="M31" s="150"/>
      <c r="N31" s="150"/>
      <c r="O31" s="150"/>
    </row>
    <row r="32">
      <c r="A32" s="152"/>
      <c r="B32" s="182"/>
      <c r="C32" s="152"/>
      <c r="D32" s="166"/>
      <c r="E32" s="180"/>
      <c r="F32" s="178"/>
      <c r="H32" s="169"/>
      <c r="I32" s="165" t="str">
        <f>IFERROR(__xludf.DUMMYFUNCTION("IFNA(
FILTER(
FILTER(LCARS_Off[#ALL] , CONDITION_ONE_OF_RANGE( LCARS_Off[#HEADERS] , $E$7)),
CONDITION_ONE_OF_RANGE( LCARS_Off[[#ALL],[OfficerName]] ,E32)*( LCARS_Off[[#ALL],[AbilityType]] = ""BDA"" )
), "" ⃠"" )"),"    ⃠")</f>
        <v> ⃠</v>
      </c>
      <c r="J32" s="183" t="s">
        <v>88</v>
      </c>
      <c r="L32" s="150"/>
      <c r="M32" s="150"/>
      <c r="N32" s="150"/>
      <c r="O32" s="150"/>
    </row>
    <row r="33">
      <c r="A33" s="152"/>
      <c r="B33" s="184"/>
      <c r="C33" s="152"/>
      <c r="D33" s="166"/>
      <c r="E33" s="180"/>
      <c r="F33" s="178"/>
      <c r="H33" s="169"/>
      <c r="I33" s="165" t="str">
        <f>IFERROR(__xludf.DUMMYFUNCTION("IFNA(
FILTER(
FILTER(LCARS_Off[#ALL] , CONDITION_ONE_OF_RANGE( LCARS_Off[#HEADERS] , $E$7)),
CONDITION_ONE_OF_RANGE( LCARS_Off[[#ALL],[OfficerName]] ,E33)*( LCARS_Off[[#ALL],[AbilityType]] = ""BDA"" )
), "" ⃠"" )"),"    ⃠")</f>
        <v> ⃠</v>
      </c>
      <c r="J33" s="2"/>
      <c r="K33" s="2"/>
      <c r="L33" s="150"/>
      <c r="M33" s="150"/>
      <c r="N33" s="150"/>
      <c r="O33" s="150"/>
    </row>
    <row r="34">
      <c r="A34" s="152"/>
      <c r="B34" s="184"/>
      <c r="C34" s="152"/>
      <c r="D34" s="166"/>
      <c r="E34" s="180"/>
      <c r="F34" s="178"/>
      <c r="H34" s="169"/>
      <c r="I34" s="165" t="str">
        <f>IFERROR(__xludf.DUMMYFUNCTION("IFNA(
FILTER(
FILTER(LCARS_Off[#ALL] , CONDITION_ONE_OF_RANGE( LCARS_Off[#HEADERS] , $E$7)),
CONDITION_ONE_OF_RANGE( LCARS_Off[[#ALL],[OfficerName]] ,E34)*( LCARS_Off[[#ALL],[AbilityType]] = ""BDA"" )
), "" ⃠"" )"),"    ⃠")</f>
        <v> ⃠</v>
      </c>
      <c r="J34" s="124"/>
      <c r="K34" s="124"/>
      <c r="L34" s="150"/>
      <c r="M34" s="150"/>
      <c r="N34" s="150"/>
      <c r="O34" s="150"/>
    </row>
    <row r="35">
      <c r="A35" s="152"/>
      <c r="B35" s="184"/>
      <c r="C35" s="152"/>
      <c r="D35" s="171"/>
      <c r="E35" s="185"/>
      <c r="F35" s="186"/>
      <c r="G35" s="174"/>
      <c r="H35" s="175"/>
      <c r="I35" s="165" t="str">
        <f>IFERROR(__xludf.DUMMYFUNCTION("IFNA(
FILTER(
FILTER(LCARS_Off[#ALL] , CONDITION_ONE_OF_RANGE( LCARS_Off[#HEADERS] , $E$7)),
CONDITION_ONE_OF_RANGE( LCARS_Off[[#ALL],[OfficerName]] ,E35)*( LCARS_Off[[#ALL],[AbilityType]] = ""BDA"" )
), "" ⃠"" )"),"    ⃠")</f>
        <v> ⃠</v>
      </c>
      <c r="J35" s="187" t="s">
        <v>10</v>
      </c>
      <c r="K35" s="124"/>
      <c r="L35" s="150"/>
      <c r="M35" s="150"/>
      <c r="N35" s="150"/>
      <c r="O35" s="150"/>
    </row>
    <row r="36">
      <c r="A36" s="152"/>
      <c r="B36" s="184"/>
      <c r="C36" s="152"/>
      <c r="D36" s="188" t="s">
        <v>89</v>
      </c>
      <c r="E36" s="189" t="str">
        <f>IFERROR(__xludf.DUMMYFUNCTION("FILTER(
FILTER(LCARS_Tech[#ALL] , CONDITION_ONE_OF_RANGE( LCARS_Tech[#HEADERS] , settings[DoesItWork])),
CONDITION_ONE_OF_RANGE( LCARS_Tech[[#ALL],[TechName]] , J10)
)"),"[PRO] M-5 Multitronic Unit")</f>
        <v>[PRO] M-5 Multitronic Unit</v>
      </c>
      <c r="F36" s="190" t="str">
        <f>IFERROR(__xludf.DUMMYFUNCTION("""COMPUTED_VALUE"""),"Increases Critical Hit Chance against Outposts by X.")</f>
        <v>Increases Critical Hit Chance against Outposts by X.</v>
      </c>
      <c r="G36" s="159"/>
      <c r="H36" s="160"/>
      <c r="I36" s="191" t="str">
        <f>IFERROR(__xludf.DUMMYFUNCTION("FILTER(
FILTER(LCARS_Tech[#ALL] , CONDITION_ONE_OF_RANGE( LCARS_Tech[#HEADERS] , E7)),
CONDITION_ONE_OF_RANGE( LCARS_Tech[[#ALL],[TechName]] , J10)
)"),"   ➖")</f>
        <v>➖</v>
      </c>
      <c r="J36" s="192" t="s">
        <v>90</v>
      </c>
      <c r="K36" s="124"/>
      <c r="L36" s="150"/>
      <c r="M36" s="150"/>
      <c r="N36" s="150"/>
      <c r="O36" s="150"/>
    </row>
    <row r="37">
      <c r="A37" s="146"/>
      <c r="B37" s="147"/>
      <c r="C37" s="146"/>
      <c r="D37" s="193"/>
      <c r="F37" s="194" t="str">
        <f>IFERROR(__xludf.DUMMYFUNCTION("""COMPUTED_VALUE"""),"Increase all Mitigation stats against Outposts and Outpost Retaliation Hostiles by X.")</f>
        <v>Increase all Mitigation stats against Outposts and Outpost Retaliation Hostiles by X.</v>
      </c>
      <c r="H37" s="169"/>
      <c r="I37" s="191" t="str">
        <f>IFERROR(__xludf.DUMMYFUNCTION("""COMPUTED_VALUE"""),"   ➖")</f>
        <v>➖</v>
      </c>
      <c r="J37" s="124"/>
      <c r="K37" s="124"/>
      <c r="L37" s="124"/>
      <c r="M37" s="124"/>
      <c r="N37" s="124"/>
      <c r="O37" s="124"/>
    </row>
    <row r="38">
      <c r="A38" s="146"/>
      <c r="B38" s="147"/>
      <c r="C38" s="146"/>
      <c r="D38" s="193"/>
      <c r="F38" s="194" t="str">
        <f>IFERROR(__xludf.DUMMYFUNCTION("""COMPUTED_VALUE"""),"Increases Base Damage against Borg Outpost Retaliation Hostiles by X.")</f>
        <v>Increases Base Damage against Borg Outpost Retaliation Hostiles by X.</v>
      </c>
      <c r="H38" s="169"/>
      <c r="I38" s="191" t="str">
        <f>IFERROR(__xludf.DUMMYFUNCTION("""COMPUTED_VALUE"""),"   ➖")</f>
        <v>➖</v>
      </c>
      <c r="J38" s="187" t="s">
        <v>91</v>
      </c>
      <c r="K38" s="124"/>
      <c r="L38" s="124"/>
      <c r="M38" s="124"/>
      <c r="N38" s="124"/>
      <c r="O38" s="124"/>
    </row>
    <row r="39">
      <c r="A39" s="146"/>
      <c r="B39" s="147"/>
      <c r="C39" s="146"/>
      <c r="D39" s="195"/>
      <c r="E39" s="174"/>
      <c r="F39" s="196" t="str">
        <f>IFERROR(__xludf.DUMMYFUNCTION("""COMPUTED_VALUE"""),"Increases Apex Barrier against Borg Outposts and Borg Outpost Retaliation Hostiles by X. Does not apply when Tal is assigned to the bridge.")</f>
        <v>Increases Apex Barrier against Borg Outposts and Borg Outpost Retaliation Hostiles by X. Does not apply when Tal is assigned to the bridge.</v>
      </c>
      <c r="G39" s="174"/>
      <c r="H39" s="175"/>
      <c r="I39" s="191" t="str">
        <f>IFERROR(__xludf.DUMMYFUNCTION("""COMPUTED_VALUE"""),"   ➖")</f>
        <v>➖</v>
      </c>
      <c r="J39" s="192" t="s">
        <v>92</v>
      </c>
      <c r="K39" s="124"/>
      <c r="L39" s="124"/>
      <c r="M39" s="124"/>
      <c r="N39" s="124"/>
      <c r="O39" s="124"/>
    </row>
    <row r="40">
      <c r="A40" s="146"/>
      <c r="B40" s="147"/>
      <c r="C40" s="146"/>
      <c r="D40" s="197" t="s">
        <v>93</v>
      </c>
      <c r="E40" s="198" t="str">
        <f>IFERROR(__xludf.DUMMYFUNCTION("FILTER(
FILTER(LCARS_Tech[#ALL] , CONDITION_ONE_OF_RANGE( LCARS_Tech[#HEADERS] , settings[DoesItWork])),
CONDITION_ONE_OF_RANGE( LCARS_Tech[[#ALL],[TechName]] , K10)
)"),"Mark VI Photon Torpedo")</f>
        <v>Mark VI Photon Torpedo</v>
      </c>
      <c r="F40" s="199" t="str">
        <f>IFERROR(__xludf.DUMMYFUNCTION("""COMPUTED_VALUE"""),"On round start, has a X chance to apply Hull Breach to [WOK] Hostiles for 3 rounds when commanding the U.S.S. Reliant.")</f>
        <v>On round start, has a X chance to apply Hull Breach to [WOK] Hostiles for 3 rounds when commanding the U.S.S. Reliant.</v>
      </c>
      <c r="G40" s="159"/>
      <c r="H40" s="160"/>
      <c r="I40" s="191" t="str">
        <f>IFERROR(__xludf.DUMMYFUNCTION("FILTER(
FILTER(LCARS_Tech[#ALL] , CONDITION_ONE_OF_RANGE( LCARS_Tech[#HEADERS] , E7)),
CONDITION_ONE_OF_RANGE( LCARS_Tech[[#ALL],[TechName]] , K10)
)"),"   ➖")</f>
        <v>➖</v>
      </c>
      <c r="J40" s="124"/>
      <c r="K40" s="124"/>
      <c r="L40" s="124"/>
      <c r="M40" s="124"/>
      <c r="N40" s="124"/>
      <c r="O40" s="124"/>
    </row>
    <row r="41">
      <c r="A41" s="200"/>
      <c r="B41" s="201"/>
      <c r="C41" s="200"/>
      <c r="D41" s="202"/>
      <c r="F41" s="203" t="str">
        <f>IFERROR(__xludf.DUMMYFUNCTION("""COMPUTED_VALUE"""),"Increases Champion Trophy rewards from hostile chests by X of base value when commanding the U.S.S. Reliant.")</f>
        <v>Increases Champion Trophy rewards from hostile chests by X of base value when commanding the U.S.S. Reliant.</v>
      </c>
      <c r="H41" s="169"/>
      <c r="I41" s="204" t="str">
        <f>IFERROR(__xludf.DUMMYFUNCTION("""COMPUTED_VALUE"""),"   ➖")</f>
        <v>➖</v>
      </c>
      <c r="J41" s="124"/>
      <c r="K41" s="124"/>
      <c r="L41" s="205"/>
      <c r="M41" s="205"/>
      <c r="N41" s="205"/>
      <c r="O41" s="205"/>
    </row>
    <row r="42">
      <c r="A42" s="200"/>
      <c r="B42" s="201"/>
      <c r="C42" s="200"/>
      <c r="D42" s="206"/>
      <c r="E42" s="174"/>
      <c r="F42" s="207" t="str">
        <f>IFERROR(__xludf.DUMMYFUNCTION("""COMPUTED_VALUE"""),"Increases base Hull Health by X.")</f>
        <v>Increases base Hull Health by X.</v>
      </c>
      <c r="G42" s="174"/>
      <c r="H42" s="175"/>
      <c r="I42" s="204" t="str">
        <f>IFERROR(__xludf.DUMMYFUNCTION("""COMPUTED_VALUE"""),"   ✅")</f>
        <v>✅</v>
      </c>
      <c r="J42" s="205"/>
      <c r="K42" s="205"/>
      <c r="L42" s="205"/>
      <c r="M42" s="205"/>
      <c r="N42" s="205"/>
      <c r="O42" s="205"/>
    </row>
    <row r="43">
      <c r="A43" s="200"/>
      <c r="B43" s="201"/>
      <c r="C43" s="200"/>
      <c r="D43" s="208"/>
      <c r="E43" s="209"/>
      <c r="F43" s="210"/>
      <c r="I43" s="211"/>
      <c r="J43" s="205"/>
      <c r="K43" s="205"/>
      <c r="L43" s="205"/>
      <c r="M43" s="205"/>
      <c r="N43" s="205"/>
      <c r="O43" s="205"/>
    </row>
    <row r="44">
      <c r="A44" s="103"/>
      <c r="B44" s="128"/>
      <c r="C44" s="103"/>
      <c r="D44" s="2"/>
      <c r="E44" s="2"/>
      <c r="F44" s="2"/>
      <c r="I44" s="211"/>
      <c r="J44" s="205"/>
      <c r="K44" s="205"/>
      <c r="L44" s="212"/>
      <c r="M44" s="212"/>
      <c r="N44" s="212"/>
      <c r="O44" s="212"/>
    </row>
    <row r="45">
      <c r="A45" s="213"/>
      <c r="B45" s="214"/>
      <c r="C45" s="21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D45" s="216"/>
      <c r="E45" s="2"/>
      <c r="F45" s="2"/>
      <c r="G45" s="2"/>
      <c r="H45" s="2"/>
      <c r="I45" s="217"/>
      <c r="J45" s="210"/>
      <c r="K45" s="210"/>
      <c r="L45" s="2"/>
      <c r="M45" s="2"/>
      <c r="N45" s="2"/>
      <c r="O45" s="2"/>
    </row>
    <row r="46">
      <c r="A46" s="213"/>
      <c r="B46" s="218"/>
      <c r="C46" s="215"/>
      <c r="D46" s="216"/>
      <c r="E46" s="2"/>
      <c r="F46" s="2"/>
      <c r="G46" s="2"/>
      <c r="H46" s="2"/>
      <c r="I46" s="217"/>
      <c r="J46" s="2"/>
      <c r="K46" s="2"/>
      <c r="L46" s="2"/>
      <c r="M46" s="2"/>
      <c r="N46" s="2"/>
      <c r="O46" s="2"/>
    </row>
    <row r="47">
      <c r="A47" s="213"/>
      <c r="B47" s="218"/>
      <c r="C47" s="215"/>
      <c r="D47" s="216"/>
      <c r="E47" s="2"/>
      <c r="F47" s="2"/>
      <c r="G47" s="2"/>
      <c r="H47" s="2"/>
      <c r="I47" s="217"/>
      <c r="J47" s="2"/>
      <c r="K47" s="2"/>
      <c r="L47" s="2"/>
      <c r="M47" s="2"/>
      <c r="N47" s="2"/>
      <c r="O47" s="2"/>
    </row>
    <row r="48">
      <c r="A48" s="213"/>
      <c r="B48" s="218"/>
      <c r="C48" s="215"/>
      <c r="D48" s="216"/>
      <c r="E48" s="2"/>
      <c r="F48" s="2"/>
      <c r="G48" s="2"/>
      <c r="H48" s="2"/>
      <c r="I48" s="217"/>
      <c r="J48" s="2"/>
      <c r="K48" s="2"/>
      <c r="L48" s="2"/>
      <c r="M48" s="2"/>
      <c r="N48" s="2"/>
      <c r="O48" s="2"/>
    </row>
    <row r="49">
      <c r="A49" s="213"/>
      <c r="B49" s="218"/>
      <c r="C49" s="215"/>
      <c r="D49" s="216"/>
      <c r="E49" s="2"/>
      <c r="F49" s="2"/>
      <c r="G49" s="2"/>
      <c r="H49" s="2"/>
      <c r="I49" s="217"/>
      <c r="J49" s="2"/>
      <c r="K49" s="2"/>
      <c r="L49" s="2"/>
      <c r="M49" s="2"/>
      <c r="N49" s="2"/>
      <c r="O49" s="2"/>
    </row>
    <row r="50">
      <c r="A50" s="213"/>
      <c r="B50" s="218"/>
      <c r="C50" s="216"/>
      <c r="D50" s="2"/>
      <c r="E50" s="2"/>
      <c r="F50" s="2"/>
      <c r="G50" s="2"/>
      <c r="H50" s="2"/>
      <c r="I50" s="217"/>
      <c r="J50" s="2"/>
      <c r="K50" s="2"/>
      <c r="L50" s="2"/>
      <c r="M50" s="2"/>
      <c r="N50" s="2"/>
      <c r="O50" s="2"/>
    </row>
  </sheetData>
  <mergeCells count="40">
    <mergeCell ref="J4:K4"/>
    <mergeCell ref="J6:J9"/>
    <mergeCell ref="K6:K9"/>
    <mergeCell ref="E7:F7"/>
    <mergeCell ref="E9:E11"/>
    <mergeCell ref="F9:F11"/>
    <mergeCell ref="G9:G11"/>
    <mergeCell ref="E15:E18"/>
    <mergeCell ref="F15:F18"/>
    <mergeCell ref="G15:G18"/>
    <mergeCell ref="H15:H18"/>
    <mergeCell ref="I15:I18"/>
    <mergeCell ref="J15:J18"/>
    <mergeCell ref="K15:K18"/>
    <mergeCell ref="D24:E24"/>
    <mergeCell ref="F24:H24"/>
    <mergeCell ref="J24:K24"/>
    <mergeCell ref="F25:H25"/>
    <mergeCell ref="F26:H26"/>
    <mergeCell ref="F27:H27"/>
    <mergeCell ref="F28:H28"/>
    <mergeCell ref="F29:H29"/>
    <mergeCell ref="F30:H30"/>
    <mergeCell ref="F31:H31"/>
    <mergeCell ref="F32:H32"/>
    <mergeCell ref="J32:K32"/>
    <mergeCell ref="F33:H33"/>
    <mergeCell ref="F34:H34"/>
    <mergeCell ref="F40:H40"/>
    <mergeCell ref="F41:H41"/>
    <mergeCell ref="F42:H42"/>
    <mergeCell ref="F43:H43"/>
    <mergeCell ref="F44:H44"/>
    <mergeCell ref="F35:H35"/>
    <mergeCell ref="E36:E39"/>
    <mergeCell ref="F36:H36"/>
    <mergeCell ref="F37:H37"/>
    <mergeCell ref="F38:H38"/>
    <mergeCell ref="F39:H39"/>
    <mergeCell ref="E40:E42"/>
  </mergeCells>
  <conditionalFormatting sqref="C45:D50 B46:B50">
    <cfRule type="expression" dxfId="0" priority="1">
      <formula>$G45="OA"</formula>
    </cfRule>
  </conditionalFormatting>
  <conditionalFormatting sqref="C45:D50 B46:B50">
    <cfRule type="expression" dxfId="1" priority="2">
      <formula>$G45="CM"</formula>
    </cfRule>
  </conditionalFormatting>
  <conditionalFormatting sqref="C45:D50 B46:B50">
    <cfRule type="expression" dxfId="2" priority="3">
      <formula>$G45="BDA"</formula>
    </cfRule>
  </conditionalFormatting>
  <conditionalFormatting sqref="I4:J4">
    <cfRule type="expression" dxfId="3" priority="4">
      <formula>$C4="Epic"</formula>
    </cfRule>
  </conditionalFormatting>
  <conditionalFormatting sqref="I4:J4">
    <cfRule type="expression" dxfId="4" priority="5">
      <formula>$C4="Rare"</formula>
    </cfRule>
  </conditionalFormatting>
  <conditionalFormatting sqref="I4:J4">
    <cfRule type="expression" dxfId="5" priority="6">
      <formula>$C4="Uncommon"</formula>
    </cfRule>
  </conditionalFormatting>
  <conditionalFormatting sqref="I4:J4">
    <cfRule type="expression" dxfId="6" priority="7">
      <formula>$C4="Common"</formula>
    </cfRule>
  </conditionalFormatting>
  <conditionalFormatting sqref="L7:O7 L16:N16">
    <cfRule type="expression" dxfId="7" priority="8">
      <formula>$H23="CM"</formula>
    </cfRule>
  </conditionalFormatting>
  <conditionalFormatting sqref="L7:O7 L16:N16">
    <cfRule type="expression" dxfId="8" priority="9">
      <formula>$H23="OA"</formula>
    </cfRule>
  </conditionalFormatting>
  <conditionalFormatting sqref="L7:O7 L16:N16">
    <cfRule type="expression" dxfId="9" priority="10">
      <formula>$H23="BDA"</formula>
    </cfRule>
  </conditionalFormatting>
  <conditionalFormatting sqref="C4:C19 L7:O7 D8 H10 B11:B19 D15:D18 L16:N16 C24 D40:D44 E40:H43 B41:C44 I41:I43 J41:K44 L41:O43">
    <cfRule type="expression" dxfId="3" priority="11">
      <formula>#REF!="Epic"</formula>
    </cfRule>
  </conditionalFormatting>
  <conditionalFormatting sqref="C4:C19 L7:O7 D8 H10 B11:B19 D15:D18 L16:N16 C24 D40:D44 E40:H43 B41:C44 I41:I43 J41:K44 L41:O43">
    <cfRule type="expression" dxfId="4" priority="12">
      <formula>#REF!="Rare"</formula>
    </cfRule>
  </conditionalFormatting>
  <conditionalFormatting sqref="C4:C19 L7:O7 D8 H10 B11:B19 D15:D18 L16:N16 C24 D40:D44 E40:H43 B41:C44 I41:I43 J41:K44 L41:O43">
    <cfRule type="expression" dxfId="5" priority="13">
      <formula>#REF!="Uncommon"</formula>
    </cfRule>
  </conditionalFormatting>
  <conditionalFormatting sqref="C4:C19 L7:O7 D8 H10 B11:B19 D15:D18 L16:N16 C24 D40:D44 E40:H43 B41:C44 I41:I43 J41:K44 L41:O43">
    <cfRule type="expression" dxfId="6" priority="14">
      <formula>#REF!="Common"</formula>
    </cfRule>
  </conditionalFormatting>
  <conditionalFormatting sqref="L41:O44">
    <cfRule type="expression" dxfId="10" priority="15">
      <formula>#REF!=TRUE</formula>
    </cfRule>
  </conditionalFormatting>
  <conditionalFormatting sqref="C4:C19 D8 H10 B11:B19 D15:D18 C24 D40:D44 E40:H43 B41:C44 I41:I43 J41:K44 L41:O43">
    <cfRule type="expression" dxfId="7" priority="16">
      <formula>$H4="CM"</formula>
    </cfRule>
  </conditionalFormatting>
  <conditionalFormatting sqref="C4:C19 D8 H10 B11:B19 D15:D18 C24 D40:D44 E40:H43 B41:C44 I41:I43 J41:K44 L41:O43">
    <cfRule type="expression" dxfId="8" priority="17">
      <formula>$H4="OA"</formula>
    </cfRule>
  </conditionalFormatting>
  <conditionalFormatting sqref="C4:C19 D8 H10 B11:B19 D15:D18 C24 D40:D44 E40:H43 B41:C44 I41:I43 J41:K44 L41:O43">
    <cfRule type="expression" dxfId="9" priority="18">
      <formula>$H4="BDA"</formula>
    </cfRule>
  </conditionalFormatting>
  <conditionalFormatting sqref="K41:K45">
    <cfRule type="expression" dxfId="10" priority="19">
      <formula>#REF!=TRUE</formula>
    </cfRule>
  </conditionalFormatting>
  <conditionalFormatting sqref="D4 F4 J4 L7:O7 L16:N16 D40:H43 A41:C43 I41:I43 J41:K44 L41:O43">
    <cfRule type="expression" dxfId="3" priority="20">
      <formula>#REF!="Epic"</formula>
    </cfRule>
  </conditionalFormatting>
  <conditionalFormatting sqref="D4 F4 J4 L7:O7 L16:N16 D40:H43 A41:C43 I41:I43 J41:K44 L41:O43">
    <cfRule type="expression" dxfId="4" priority="21">
      <formula>#REF!="Rare"</formula>
    </cfRule>
  </conditionalFormatting>
  <conditionalFormatting sqref="D4 F4 J4 L7:O7 L16:N16 D40:H43 A41:C43 I41:I43 J41:K44 L41:O43">
    <cfRule type="expression" dxfId="5" priority="22">
      <formula>#REF!="Uncommon"</formula>
    </cfRule>
  </conditionalFormatting>
  <conditionalFormatting sqref="D4 F4 J4 L7:O7 L16:N16 D40:H43 A41:C43 I41:I43 J41:K44 L41:O43">
    <cfRule type="expression" dxfId="6" priority="23">
      <formula>#REF!="Common"</formula>
    </cfRule>
  </conditionalFormatting>
  <dataValidations>
    <dataValidation type="list" allowBlank="1" showErrorMessage="1" sqref="K10">
      <formula1>settings[CT]</formula1>
    </dataValidation>
    <dataValidation type="list" allowBlank="1" showErrorMessage="1" sqref="J10">
      <formula1>settings[FT]</formula1>
    </dataValidation>
    <dataValidation type="list" allowBlank="1" showErrorMessage="1" sqref="E12:G12 E19:K19">
      <formula1>LCARS_Off[OfficerName]</formula1>
    </dataValidation>
    <dataValidation type="list" allowBlank="1" showErrorMessage="1" sqref="E7">
      <formula1>settings[Target]</formula1>
    </dataValidation>
  </dataValidations>
  <hyperlinks>
    <hyperlink r:id="rId1" ref="G4"/>
    <hyperlink r:id="rId2" ref="E27"/>
    <hyperlink r:id="rId3" ref="E28"/>
    <hyperlink r:id="rId4" ref="E30"/>
    <hyperlink display="If the definition isn't here, try the Glossary." location="Glossary!A1" ref="J32"/>
    <hyperlink r:id="rId5" ref="J36"/>
    <hyperlink r:id="rId6" ref="J39"/>
  </hyperlinks>
  <printOptions gridLines="1" horizontalCentered="1"/>
  <pageMargins bottom="0.75" footer="0.0" header="0.0" left="0.7" right="0.7" top="0.75"/>
  <pageSetup fitToHeight="0" paperSize="3" cellComments="atEnd" orientation="portrait" pageOrder="overThenDown"/>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pane xSplit="7.0" ySplit="8.0" topLeftCell="H9" activePane="bottomRight" state="frozen"/>
      <selection activeCell="H1" sqref="H1" pane="topRight"/>
      <selection activeCell="A9" sqref="A9" pane="bottomLeft"/>
      <selection activeCell="H9" sqref="H9" pane="bottomRight"/>
    </sheetView>
  </sheetViews>
  <sheetFormatPr customHeight="1" defaultColWidth="12.63" defaultRowHeight="15.75"/>
  <cols>
    <col customWidth="1" min="1" max="1" width="2.75"/>
    <col customWidth="1" min="2" max="2" width="12.5"/>
    <col customWidth="1" min="3" max="3" width="2.75"/>
    <col customWidth="1" min="4" max="4" width="4.25"/>
    <col customWidth="1" min="5" max="5" width="18.0"/>
    <col customWidth="1" min="6" max="6" width="5.13"/>
    <col customWidth="1" min="7" max="7" width="4.38"/>
    <col customWidth="1" min="8" max="8" width="21.13"/>
    <col customWidth="1" min="9" max="9" width="20.75"/>
    <col customWidth="1" min="10" max="10" width="64.0"/>
    <col customWidth="1" min="11" max="11" width="11.38"/>
    <col customWidth="1" min="12" max="22" width="16.5"/>
  </cols>
  <sheetData>
    <row r="1" ht="54.75" customHeight="1">
      <c r="A1" s="28"/>
      <c r="B1" s="2"/>
      <c r="C1" s="2"/>
      <c r="D1" s="2"/>
      <c r="E1" s="2"/>
      <c r="F1" s="219"/>
      <c r="G1" s="28"/>
      <c r="H1" s="220"/>
      <c r="I1" s="28"/>
      <c r="J1" s="28"/>
      <c r="K1" s="221"/>
      <c r="L1" s="28"/>
      <c r="M1" s="28"/>
      <c r="N1" s="28"/>
      <c r="O1" s="28"/>
      <c r="P1" s="28"/>
      <c r="Q1" s="28"/>
      <c r="R1" s="28"/>
      <c r="S1" s="28"/>
      <c r="T1" s="28"/>
      <c r="U1" s="28"/>
      <c r="V1" s="28"/>
    </row>
    <row r="2" ht="16.5" customHeight="1">
      <c r="A2" s="28"/>
      <c r="B2" s="3"/>
      <c r="C2" s="3"/>
      <c r="D2" s="3"/>
      <c r="E2" s="3"/>
      <c r="F2" s="222"/>
      <c r="G2" s="100" t="str">
        <f>'Infos - Start Here!'!G2</f>
        <v>1.4-RC M86</v>
      </c>
      <c r="H2" s="101"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102"/>
      <c r="J2" s="102"/>
      <c r="K2" s="102"/>
      <c r="L2" s="102"/>
      <c r="M2" s="102"/>
      <c r="N2" s="102"/>
      <c r="O2" s="102"/>
      <c r="P2" s="102"/>
      <c r="Q2" s="102"/>
      <c r="R2" s="102"/>
      <c r="S2" s="102"/>
      <c r="T2" s="102"/>
      <c r="U2" s="102"/>
      <c r="V2" s="102"/>
    </row>
    <row r="3" ht="16.5" customHeight="1">
      <c r="A3" s="28"/>
      <c r="B3" s="223"/>
      <c r="C3" s="224"/>
      <c r="D3" s="224"/>
      <c r="E3" s="224"/>
      <c r="F3" s="224"/>
      <c r="G3" s="225"/>
      <c r="H3" s="226"/>
      <c r="I3" s="226"/>
      <c r="J3" s="226"/>
      <c r="K3" s="28"/>
      <c r="L3" s="28"/>
      <c r="M3" s="28"/>
      <c r="N3" s="28"/>
      <c r="O3" s="28"/>
      <c r="P3" s="28"/>
      <c r="Q3" s="28"/>
      <c r="R3" s="28"/>
      <c r="S3" s="28"/>
      <c r="T3" s="28"/>
      <c r="U3" s="28"/>
      <c r="V3" s="28"/>
    </row>
    <row r="4" ht="23.25" customHeight="1">
      <c r="A4" s="227"/>
      <c r="B4" s="111"/>
      <c r="C4" s="224"/>
      <c r="D4" s="228" t="s">
        <v>51</v>
      </c>
      <c r="E4" s="229" t="s">
        <v>53</v>
      </c>
      <c r="F4" s="23"/>
      <c r="G4" s="24"/>
      <c r="H4" s="230" t="s">
        <v>94</v>
      </c>
      <c r="I4" s="231"/>
      <c r="J4" s="232" t="s">
        <v>95</v>
      </c>
      <c r="K4" s="221"/>
      <c r="L4" s="221"/>
      <c r="M4" s="221"/>
      <c r="N4" s="221"/>
      <c r="O4" s="221"/>
      <c r="P4" s="221"/>
      <c r="Q4" s="221"/>
      <c r="R4" s="221"/>
      <c r="S4" s="221"/>
      <c r="T4" s="221"/>
      <c r="U4" s="221"/>
      <c r="V4" s="221"/>
    </row>
    <row r="5" ht="23.25" customHeight="1">
      <c r="A5" s="227"/>
      <c r="B5" s="111"/>
      <c r="C5" s="224"/>
      <c r="D5" s="228" t="s">
        <v>51</v>
      </c>
      <c r="E5" s="233" t="s">
        <v>96</v>
      </c>
      <c r="F5" s="234"/>
      <c r="G5" s="235"/>
      <c r="H5" s="230" t="s">
        <v>97</v>
      </c>
      <c r="I5" s="231"/>
      <c r="J5" s="231"/>
      <c r="K5" s="221"/>
      <c r="L5" s="236"/>
      <c r="M5" s="221"/>
      <c r="N5" s="231"/>
      <c r="O5" s="231"/>
      <c r="P5" s="231"/>
      <c r="Q5" s="231"/>
      <c r="R5" s="231"/>
      <c r="S5" s="231"/>
      <c r="T5" s="231"/>
      <c r="U5" s="231"/>
      <c r="V5" s="231"/>
    </row>
    <row r="6" ht="23.25" customHeight="1">
      <c r="A6" s="227"/>
      <c r="B6" s="111"/>
      <c r="C6" s="224"/>
      <c r="D6" s="228" t="s">
        <v>51</v>
      </c>
      <c r="E6" s="237"/>
      <c r="F6" s="17"/>
      <c r="G6" s="18"/>
      <c r="H6" s="230" t="s">
        <v>98</v>
      </c>
      <c r="I6" s="231"/>
      <c r="J6" s="231"/>
      <c r="K6" s="221"/>
      <c r="L6" s="238"/>
      <c r="M6" s="221"/>
      <c r="N6" s="231"/>
      <c r="O6" s="231"/>
      <c r="P6" s="231"/>
      <c r="Q6" s="231"/>
      <c r="R6" s="231"/>
      <c r="S6" s="231"/>
      <c r="T6" s="231"/>
      <c r="U6" s="231"/>
      <c r="V6" s="231"/>
    </row>
    <row r="7">
      <c r="A7" s="28"/>
      <c r="B7" s="111"/>
      <c r="C7" s="2"/>
      <c r="D7" s="239"/>
      <c r="E7" s="239"/>
      <c r="F7" s="240"/>
      <c r="G7" s="221"/>
      <c r="H7" s="241"/>
      <c r="I7" s="242"/>
      <c r="J7" s="243"/>
      <c r="K7" s="221"/>
      <c r="L7" s="221"/>
      <c r="M7" s="221"/>
      <c r="N7" s="226"/>
      <c r="O7" s="226"/>
      <c r="P7" s="226"/>
      <c r="Q7" s="226"/>
      <c r="R7" s="226"/>
      <c r="S7" s="226"/>
      <c r="T7" s="226"/>
      <c r="U7" s="226"/>
      <c r="V7" s="226"/>
    </row>
    <row r="8">
      <c r="A8" s="244"/>
      <c r="B8" s="245"/>
      <c r="C8" s="244"/>
      <c r="D8" s="246" t="str">
        <f>IFERROR(__xludf.DUMMYFUNCTION("Query(
FILTER(
FILTER(LCARS_Off[#ALL] ,
CONDITION_ONE_OF_RANGE( LCARS_Off[#HEADERS] , settings[Minimum])
+(LCARS_Off[#HEADERS] = E4)
),
ISNUMBER(SEARCH( E6, LCARS_Off[[#ALL],[Ability Description]])) + (LCARS_Off[[#ALL],[AbilityID]]=""AbilityID""), CONDITI"&amp;"ON_ONE_OF_RANGE( LCARS_Off[[#ALL],[AbilityType]], SPLIT(E5, "", "", false, true)) + (LCARS_Off[[#ALL],[AbilityID]]=""AbilityID"")
)
, ""SELECT * WHERE Col4 != '➖' ORDER BY Col4, Col2"",1
)"),"   Rarity")</f>
        <v>Rarity</v>
      </c>
      <c r="E8" s="247" t="str">
        <f>IFERROR(__xludf.DUMMYFUNCTION("""COMPUTED_VALUE"""),"OfficerName")</f>
        <v>OfficerName</v>
      </c>
      <c r="H8" s="241" t="str">
        <f>IFERROR(__xludf.DUMMYFUNCTION("""COMPUTED_VALUE"""),"Reason")</f>
        <v>Reason</v>
      </c>
      <c r="I8" s="241" t="str">
        <f>IFERROR(__xludf.DUMMYFUNCTION("""COMPUTED_VALUE"""),"Ability Modifier")</f>
        <v>Ability Modifier</v>
      </c>
      <c r="J8" s="241" t="str">
        <f>IFERROR(__xludf.DUMMYFUNCTION("""COMPUTED_VALUE"""),"Ability Description")</f>
        <v>Ability Description</v>
      </c>
      <c r="K8" s="241"/>
      <c r="L8" s="241"/>
      <c r="M8" s="241"/>
      <c r="N8" s="241"/>
      <c r="O8" s="241"/>
      <c r="P8" s="241"/>
      <c r="Q8" s="241"/>
      <c r="R8" s="248"/>
      <c r="S8" s="249"/>
      <c r="T8" s="241"/>
      <c r="U8" s="249"/>
      <c r="V8" s="249"/>
    </row>
    <row r="9">
      <c r="A9" s="28"/>
      <c r="B9" s="128"/>
      <c r="C9" s="28"/>
      <c r="D9" s="250" t="str">
        <f>IFERROR(__xludf.DUMMYFUNCTION("""COMPUTED_VALUE"""),"   U")</f>
        <v>U</v>
      </c>
      <c r="E9" s="251" t="str">
        <f>IFERROR(__xludf.DUMMYFUNCTION("""COMPUTED_VALUE"""),"718")</f>
        <v>718</v>
      </c>
      <c r="F9" s="252" t="str">
        <f>IFERROR(__xludf.DUMMYFUNCTION("""COMPUTED_VALUE"""),"CM")</f>
        <v>CM</v>
      </c>
      <c r="G9" s="253" t="str">
        <f>IFERROR(__xludf.DUMMYFUNCTION("""COMPUTED_VALUE"""),"✅")</f>
        <v>✅</v>
      </c>
      <c r="H9" s="254"/>
      <c r="I9" s="254" t="str">
        <f>IFERROR(__xludf.DUMMYFUNCTION("""COMPUTED_VALUE"""),"CritChance")</f>
        <v>CritChance</v>
      </c>
      <c r="J9" s="254" t="str">
        <f>IFERROR(__xludf.DUMMYFUNCTION("""COMPUTED_VALUE"""),"0718 Increases the Critical Hit Chances by X when defending the Station.")</f>
        <v>0718 Increases the Critical Hit Chances by X when defending the Station.</v>
      </c>
      <c r="K9" s="255"/>
      <c r="L9" s="255"/>
      <c r="M9" s="255"/>
      <c r="N9" s="255"/>
      <c r="O9" s="255"/>
      <c r="P9" s="255"/>
      <c r="Q9" s="256"/>
      <c r="R9" s="257"/>
      <c r="S9" s="258"/>
      <c r="T9" s="255"/>
      <c r="U9" s="258"/>
      <c r="V9" s="259"/>
    </row>
    <row r="10">
      <c r="A10" s="28"/>
      <c r="B10" s="132"/>
      <c r="C10" s="28"/>
      <c r="D10" s="260" t="str">
        <f>IFERROR(__xludf.DUMMYFUNCTION("""COMPUTED_VALUE"""),"   U")</f>
        <v>U</v>
      </c>
      <c r="E10" s="261" t="str">
        <f>IFERROR(__xludf.DUMMYFUNCTION("""COMPUTED_VALUE"""),"718")</f>
        <v>718</v>
      </c>
      <c r="F10" s="240" t="str">
        <f>IFERROR(__xludf.DUMMYFUNCTION("""COMPUTED_VALUE"""),"OA")</f>
        <v>OA</v>
      </c>
      <c r="G10" s="239" t="str">
        <f>IFERROR(__xludf.DUMMYFUNCTION("""COMPUTED_VALUE"""),"✅")</f>
        <v>✅</v>
      </c>
      <c r="H10" s="243"/>
      <c r="I10" s="243" t="str">
        <f>IFERROR(__xludf.DUMMYFUNCTION("""COMPUTED_VALUE"""),"OfficerStatDefense")</f>
        <v>OfficerStatDefense</v>
      </c>
      <c r="J10" s="243" t="str">
        <f>IFERROR(__xludf.DUMMYFUNCTION("""COMPUTED_VALUE"""),"0718 increases the Defense of all Officers on the ship by X.")</f>
        <v>0718 increases the Defense of all Officers on the ship by X.</v>
      </c>
      <c r="K10" s="255"/>
      <c r="L10" s="255"/>
      <c r="M10" s="255"/>
      <c r="N10" s="255"/>
      <c r="O10" s="255"/>
      <c r="P10" s="255"/>
      <c r="Q10" s="256"/>
      <c r="R10" s="257"/>
      <c r="S10" s="258"/>
      <c r="T10" s="255"/>
      <c r="U10" s="258"/>
      <c r="V10" s="259"/>
    </row>
    <row r="11">
      <c r="A11" s="28"/>
      <c r="B11" s="128"/>
      <c r="C11" s="28"/>
      <c r="D11" s="250" t="str">
        <f>IFERROR(__xludf.DUMMYFUNCTION("""COMPUTED_VALUE"""),"   U")</f>
        <v>U</v>
      </c>
      <c r="E11" s="251" t="str">
        <f>IFERROR(__xludf.DUMMYFUNCTION("""COMPUTED_VALUE"""),"ARKADY")</f>
        <v>ARKADY</v>
      </c>
      <c r="F11" s="252" t="str">
        <f>IFERROR(__xludf.DUMMYFUNCTION("""COMPUTED_VALUE"""),"CM")</f>
        <v>CM</v>
      </c>
      <c r="G11" s="253" t="str">
        <f>IFERROR(__xludf.DUMMYFUNCTION("""COMPUTED_VALUE"""),"✅")</f>
        <v>✅</v>
      </c>
      <c r="H11" s="254"/>
      <c r="I11" s="254" t="str">
        <f>IFERROR(__xludf.DUMMYFUNCTION("""COMPUTED_VALUE"""),"AddState")</f>
        <v>AddState</v>
      </c>
      <c r="J11" s="254" t="str">
        <f>IFERROR(__xludf.DUMMYFUNCTION("""COMPUTED_VALUE"""),"When the shield is depleted, Arkady has a X chance of inspiring Morale to the ship for 3 rounds.")</f>
        <v>When the shield is depleted, Arkady has a X chance of inspiring Morale to the ship for 3 rounds.</v>
      </c>
      <c r="K11" s="255"/>
      <c r="L11" s="255"/>
      <c r="M11" s="255"/>
      <c r="N11" s="255"/>
      <c r="O11" s="255"/>
      <c r="P11" s="255"/>
      <c r="Q11" s="256"/>
      <c r="R11" s="257"/>
      <c r="S11" s="258"/>
      <c r="T11" s="255"/>
      <c r="U11" s="258"/>
      <c r="V11" s="259"/>
    </row>
    <row r="12">
      <c r="A12" s="28"/>
      <c r="B12" s="128"/>
      <c r="C12" s="28"/>
      <c r="D12" s="260" t="str">
        <f>IFERROR(__xludf.DUMMYFUNCTION("""COMPUTED_VALUE"""),"   U")</f>
        <v>U</v>
      </c>
      <c r="E12" s="261" t="str">
        <f>IFERROR(__xludf.DUMMYFUNCTION("""COMPUTED_VALUE"""),"ARKADY")</f>
        <v>ARKADY</v>
      </c>
      <c r="F12" s="240" t="str">
        <f>IFERROR(__xludf.DUMMYFUNCTION("""COMPUTED_VALUE"""),"OA")</f>
        <v>OA</v>
      </c>
      <c r="G12" s="239" t="str">
        <f>IFERROR(__xludf.DUMMYFUNCTION("""COMPUTED_VALUE"""),"✅")</f>
        <v>✅</v>
      </c>
      <c r="H12" s="243"/>
      <c r="I12" s="243" t="str">
        <f>IFERROR(__xludf.DUMMYFUNCTION("""COMPUTED_VALUE"""),"ShieldHPMax")</f>
        <v>ShieldHPMax</v>
      </c>
      <c r="J12" s="243" t="str">
        <f>IFERROR(__xludf.DUMMYFUNCTION("""COMPUTED_VALUE"""),"Arkady increases the Shield Health of the ship by X.")</f>
        <v>Arkady increases the Shield Health of the ship by X.</v>
      </c>
      <c r="K12" s="255"/>
      <c r="L12" s="255"/>
      <c r="M12" s="255"/>
      <c r="N12" s="255"/>
      <c r="O12" s="255"/>
      <c r="P12" s="255"/>
      <c r="Q12" s="256"/>
      <c r="R12" s="257"/>
      <c r="S12" s="258"/>
      <c r="T12" s="255"/>
      <c r="U12" s="258"/>
      <c r="V12" s="259"/>
    </row>
    <row r="13">
      <c r="A13" s="28"/>
      <c r="B13" s="128"/>
      <c r="C13" s="28"/>
      <c r="D13" s="250" t="str">
        <f>IFERROR(__xludf.DUMMYFUNCTION("""COMPUTED_VALUE"""),"   R")</f>
        <v>R</v>
      </c>
      <c r="E13" s="251" t="str">
        <f>IFERROR(__xludf.DUMMYFUNCTION("""COMPUTED_VALUE"""),"AZETBUR")</f>
        <v>AZETBUR</v>
      </c>
      <c r="F13" s="252" t="str">
        <f>IFERROR(__xludf.DUMMYFUNCTION("""COMPUTED_VALUE"""),"OA")</f>
        <v>OA</v>
      </c>
      <c r="G13" s="253" t="str">
        <f>IFERROR(__xludf.DUMMYFUNCTION("""COMPUTED_VALUE"""),"✅")</f>
        <v>✅</v>
      </c>
      <c r="H13" s="254"/>
      <c r="I13" s="254" t="str">
        <f>IFERROR(__xludf.DUMMYFUNCTION("""COMPUTED_VALUE"""),"ArmorPiercing")</f>
        <v>ArmorPiercing</v>
      </c>
      <c r="J13" s="254" t="str">
        <f>IFERROR(__xludf.DUMMYFUNCTION("""COMPUTED_VALUE"""),"Every time the ship hits the opponent with a weapon attack, Azetbur increases the Armor Piercing of the ship by X. -- (Weapons with multiple shots will only trigger this ability once per attack.)")</f>
        <v>Every time the ship hits the opponent with a weapon attack, Azetbur increases the Armor Piercing of the ship by X. -- (Weapons with multiple shots will only trigger this ability once per attack.)</v>
      </c>
      <c r="K13" s="255"/>
      <c r="L13" s="255"/>
      <c r="M13" s="255"/>
      <c r="N13" s="255"/>
      <c r="O13" s="255"/>
      <c r="P13" s="255"/>
      <c r="Q13" s="256"/>
      <c r="R13" s="257"/>
      <c r="S13" s="258"/>
      <c r="T13" s="255"/>
      <c r="U13" s="258"/>
      <c r="V13" s="259"/>
    </row>
    <row r="14">
      <c r="A14" s="28"/>
      <c r="B14" s="128"/>
      <c r="C14" s="28"/>
      <c r="D14" s="260" t="str">
        <f>IFERROR(__xludf.DUMMYFUNCTION("""COMPUTED_VALUE"""),"   R")</f>
        <v>R</v>
      </c>
      <c r="E14" s="261" t="str">
        <f>IFERROR(__xludf.DUMMYFUNCTION("""COMPUTED_VALUE"""),"BA'EL")</f>
        <v>BA'EL</v>
      </c>
      <c r="F14" s="240" t="str">
        <f>IFERROR(__xludf.DUMMYFUNCTION("""COMPUTED_VALUE"""),"CM")</f>
        <v>CM</v>
      </c>
      <c r="G14" s="239" t="str">
        <f>IFERROR(__xludf.DUMMYFUNCTION("""COMPUTED_VALUE"""),"✅")</f>
        <v>✅</v>
      </c>
      <c r="H14" s="243"/>
      <c r="I14" s="243" t="str">
        <f>IFERROR(__xludf.DUMMYFUNCTION("""COMPUTED_VALUE"""),"AllDamage")</f>
        <v>AllDamage</v>
      </c>
      <c r="J14" s="243" t="str">
        <f>IFERROR(__xludf.DUMMYFUNCTION("""COMPUTED_VALUE"""),"Ba'el increases the ship's Weapon Damage by X.")</f>
        <v>Ba'el increases the ship's Weapon Damage by X.</v>
      </c>
      <c r="K14" s="255"/>
      <c r="L14" s="255"/>
      <c r="M14" s="255"/>
      <c r="N14" s="255"/>
      <c r="O14" s="255"/>
      <c r="P14" s="255"/>
      <c r="Q14" s="256"/>
      <c r="R14" s="257"/>
      <c r="S14" s="258"/>
      <c r="T14" s="255"/>
      <c r="U14" s="258"/>
      <c r="V14" s="259"/>
    </row>
    <row r="15">
      <c r="A15" s="28"/>
      <c r="B15" s="128"/>
      <c r="C15" s="28"/>
      <c r="D15" s="250" t="str">
        <f>IFERROR(__xludf.DUMMYFUNCTION("""COMPUTED_VALUE"""),"   R")</f>
        <v>R</v>
      </c>
      <c r="E15" s="251" t="str">
        <f>IFERROR(__xludf.DUMMYFUNCTION("""COMPUTED_VALUE"""),"BA'EL")</f>
        <v>BA'EL</v>
      </c>
      <c r="F15" s="252" t="str">
        <f>IFERROR(__xludf.DUMMYFUNCTION("""COMPUTED_VALUE"""),"OA")</f>
        <v>OA</v>
      </c>
      <c r="G15" s="253" t="str">
        <f>IFERROR(__xludf.DUMMYFUNCTION("""COMPUTED_VALUE"""),"✅")</f>
        <v>✅</v>
      </c>
      <c r="H15" s="254"/>
      <c r="I15" s="254" t="str">
        <f>IFERROR(__xludf.DUMMYFUNCTION("""COMPUTED_VALUE"""),"ShipArmor")</f>
        <v>ShipArmor</v>
      </c>
      <c r="J15" s="254" t="str">
        <f>IFERROR(__xludf.DUMMYFUNCTION("""COMPUTED_VALUE"""),"Ba'el increases the ship's Armor by X of total Crew Attack.")</f>
        <v>Ba'el increases the ship's Armor by X of total Crew Attack.</v>
      </c>
      <c r="K15" s="255"/>
      <c r="L15" s="255"/>
      <c r="M15" s="255"/>
      <c r="N15" s="255"/>
      <c r="O15" s="255"/>
      <c r="P15" s="255"/>
      <c r="Q15" s="256"/>
      <c r="R15" s="257"/>
      <c r="S15" s="258"/>
      <c r="T15" s="255"/>
      <c r="U15" s="258"/>
      <c r="V15" s="259"/>
    </row>
    <row r="16">
      <c r="A16" s="28"/>
      <c r="B16" s="128"/>
      <c r="C16" s="28"/>
      <c r="D16" s="260" t="str">
        <f>IFERROR(__xludf.DUMMYFUNCTION("""COMPUTED_VALUE"""),"   U")</f>
        <v>U</v>
      </c>
      <c r="E16" s="261" t="str">
        <f>IFERROR(__xludf.DUMMYFUNCTION("""COMPUTED_VALUE"""),"BADGEY")</f>
        <v>BADGEY</v>
      </c>
      <c r="F16" s="240" t="str">
        <f>IFERROR(__xludf.DUMMYFUNCTION("""COMPUTED_VALUE"""),"OA")</f>
        <v>OA</v>
      </c>
      <c r="G16" s="239" t="str">
        <f>IFERROR(__xludf.DUMMYFUNCTION("""COMPUTED_VALUE"""),"✅")</f>
        <v>✅</v>
      </c>
      <c r="H16" s="243"/>
      <c r="I16" s="243" t="str">
        <f>IFERROR(__xludf.DUMMYFUNCTION("""COMPUTED_VALUE"""),"AllDefenses")</f>
        <v>AllDefenses</v>
      </c>
      <c r="J16" s="243" t="str">
        <f>IFERROR(__xludf.DUMMYFUNCTION("""COMPUTED_VALUE"""),"Badgey decreases the Armor, Shield Deflection, and Dodge of enemy ships by X.")</f>
        <v>Badgey decreases the Armor, Shield Deflection, and Dodge of enemy ships by X.</v>
      </c>
      <c r="K16" s="255"/>
      <c r="L16" s="255"/>
      <c r="M16" s="255"/>
      <c r="N16" s="255"/>
      <c r="O16" s="255"/>
      <c r="P16" s="255"/>
      <c r="Q16" s="256"/>
      <c r="R16" s="257"/>
      <c r="S16" s="258"/>
      <c r="T16" s="255"/>
      <c r="U16" s="258"/>
      <c r="V16" s="259"/>
    </row>
    <row r="17">
      <c r="A17" s="68"/>
      <c r="B17" s="132"/>
      <c r="C17" s="68"/>
      <c r="D17" s="250" t="str">
        <f>IFERROR(__xludf.DUMMYFUNCTION("""COMPUTED_VALUE"""),"   U")</f>
        <v>U</v>
      </c>
      <c r="E17" s="251" t="str">
        <f>IFERROR(__xludf.DUMMYFUNCTION("""COMPUTED_VALUE"""),"BADGEY")</f>
        <v>BADGEY</v>
      </c>
      <c r="F17" s="252" t="str">
        <f>IFERROR(__xludf.DUMMYFUNCTION("""COMPUTED_VALUE"""),"BDA")</f>
        <v>BDA</v>
      </c>
      <c r="G17" s="253" t="str">
        <f>IFERROR(__xludf.DUMMYFUNCTION("""COMPUTED_VALUE"""),"✅")</f>
        <v>✅</v>
      </c>
      <c r="H17" s="254"/>
      <c r="I17" s="254" t="str">
        <f>IFERROR(__xludf.DUMMYFUNCTION("""COMPUTED_VALUE"""),"AllPiercing")</f>
        <v>AllPiercing</v>
      </c>
      <c r="J17" s="254" t="str">
        <f>IFERROR(__xludf.DUMMYFUNCTION("""COMPUTED_VALUE"""),"Badgey increases Armor Penetration, Shield Penetration, and Accuracy by X.")</f>
        <v>Badgey increases Armor Penetration, Shield Penetration, and Accuracy by X.</v>
      </c>
      <c r="K17" s="255"/>
      <c r="L17" s="255"/>
      <c r="M17" s="255"/>
      <c r="N17" s="255"/>
      <c r="O17" s="255"/>
      <c r="P17" s="255"/>
      <c r="Q17" s="256"/>
      <c r="R17" s="257"/>
      <c r="S17" s="258"/>
      <c r="T17" s="255"/>
      <c r="U17" s="258"/>
      <c r="V17" s="259"/>
    </row>
    <row r="18">
      <c r="A18" s="68"/>
      <c r="B18" s="147"/>
      <c r="C18" s="68"/>
      <c r="D18" s="260" t="str">
        <f>IFERROR(__xludf.DUMMYFUNCTION("""COMPUTED_VALUE"""),"   E")</f>
        <v>E</v>
      </c>
      <c r="E18" s="261" t="str">
        <f>IFERROR(__xludf.DUMMYFUNCTION("""COMPUTED_VALUE"""),"BECKETT MARINER")</f>
        <v>BECKETT MARINER</v>
      </c>
      <c r="F18" s="240" t="str">
        <f>IFERROR(__xludf.DUMMYFUNCTION("""COMPUTED_VALUE"""),"OA")</f>
        <v>OA</v>
      </c>
      <c r="G18" s="239" t="str">
        <f>IFERROR(__xludf.DUMMYFUNCTION("""COMPUTED_VALUE"""),"✅")</f>
        <v>✅</v>
      </c>
      <c r="H18" s="243"/>
      <c r="I18" s="243" t="str">
        <f>IFERROR(__xludf.DUMMYFUNCTION("""COMPUTED_VALUE"""),"OfficerStatAttack")</f>
        <v>OfficerStatAttack</v>
      </c>
      <c r="J18" s="243" t="str">
        <f>IFERROR(__xludf.DUMMYFUNCTION("""COMPUTED_VALUE"""),"Beckett Mariner increases the Attack of all Officers on the ship by X.")</f>
        <v>Beckett Mariner increases the Attack of all Officers on the ship by X.</v>
      </c>
      <c r="K18" s="255"/>
      <c r="L18" s="255"/>
      <c r="M18" s="255"/>
      <c r="N18" s="255"/>
      <c r="O18" s="255"/>
      <c r="P18" s="255"/>
      <c r="Q18" s="256"/>
      <c r="R18" s="257"/>
      <c r="S18" s="258"/>
      <c r="T18" s="255"/>
      <c r="U18" s="258"/>
      <c r="V18" s="259"/>
    </row>
    <row r="19">
      <c r="A19" s="68"/>
      <c r="B19" s="147"/>
      <c r="C19" s="68"/>
      <c r="D19" s="250" t="str">
        <f>IFERROR(__xludf.DUMMYFUNCTION("""COMPUTED_VALUE"""),"   E")</f>
        <v>E</v>
      </c>
      <c r="E19" s="251" t="str">
        <f>IFERROR(__xludf.DUMMYFUNCTION("""COMPUTED_VALUE"""),"BECKETT MARINER")</f>
        <v>BECKETT MARINER</v>
      </c>
      <c r="F19" s="252" t="str">
        <f>IFERROR(__xludf.DUMMYFUNCTION("""COMPUTED_VALUE"""),"BDA")</f>
        <v>BDA</v>
      </c>
      <c r="G19" s="253" t="str">
        <f>IFERROR(__xludf.DUMMYFUNCTION("""COMPUTED_VALUE"""),"✅")</f>
        <v>✅</v>
      </c>
      <c r="H19" s="254"/>
      <c r="I19" s="254" t="str">
        <f>IFERROR(__xludf.DUMMYFUNCTION("""COMPUTED_VALUE"""),"AllDamage")</f>
        <v>AllDamage</v>
      </c>
      <c r="J19" s="254" t="str">
        <f>IFERROR(__xludf.DUMMYFUNCTION("""COMPUTED_VALUE"""),"Beckett Mariner increases the ship's Weapon Damage by X.")</f>
        <v>Beckett Mariner increases the ship's Weapon Damage by X.</v>
      </c>
      <c r="K19" s="255"/>
      <c r="L19" s="255"/>
      <c r="M19" s="255"/>
      <c r="N19" s="255"/>
      <c r="O19" s="255"/>
      <c r="P19" s="255"/>
      <c r="Q19" s="256"/>
      <c r="R19" s="257"/>
      <c r="S19" s="258"/>
      <c r="T19" s="255"/>
      <c r="U19" s="258"/>
      <c r="V19" s="259"/>
    </row>
    <row r="20">
      <c r="A20" s="68"/>
      <c r="B20" s="147"/>
      <c r="C20" s="68"/>
      <c r="D20" s="260" t="str">
        <f>IFERROR(__xludf.DUMMYFUNCTION("""COMPUTED_VALUE"""),"   R")</f>
        <v>R</v>
      </c>
      <c r="E20" s="261" t="str">
        <f>IFERROR(__xludf.DUMMYFUNCTION("""COMPUTED_VALUE"""),"BLACK OPS CHAPEL")</f>
        <v>BLACK OPS CHAPEL</v>
      </c>
      <c r="F20" s="240" t="str">
        <f>IFERROR(__xludf.DUMMYFUNCTION("""COMPUTED_VALUE"""),"BDA")</f>
        <v>BDA</v>
      </c>
      <c r="G20" s="239" t="str">
        <f>IFERROR(__xludf.DUMMYFUNCTION("""COMPUTED_VALUE"""),"✅")</f>
        <v>✅</v>
      </c>
      <c r="H20" s="243"/>
      <c r="I20" s="243" t="str">
        <f>IFERROR(__xludf.DUMMYFUNCTION("""COMPUTED_VALUE"""),"HullHPMax")</f>
        <v>HullHPMax</v>
      </c>
      <c r="J20" s="243" t="str">
        <f>IFERROR(__xludf.DUMMYFUNCTION("""COMPUTED_VALUE"""),"SNW Black Ops Chapel increases the ship's base Hull Health by X (X at rank X).")</f>
        <v>SNW Black Ops Chapel increases the ship's base Hull Health by X (X at rank X).</v>
      </c>
      <c r="K20" s="255"/>
      <c r="L20" s="255"/>
      <c r="M20" s="255"/>
      <c r="N20" s="255"/>
      <c r="O20" s="255"/>
      <c r="P20" s="255"/>
      <c r="Q20" s="256"/>
      <c r="R20" s="257"/>
      <c r="S20" s="258"/>
      <c r="T20" s="255"/>
      <c r="U20" s="258"/>
      <c r="V20" s="259"/>
    </row>
    <row r="21">
      <c r="A21" s="68"/>
      <c r="B21" s="147"/>
      <c r="C21" s="68"/>
      <c r="D21" s="250" t="str">
        <f>IFERROR(__xludf.DUMMYFUNCTION("""COMPUTED_VALUE"""),"   R")</f>
        <v>R</v>
      </c>
      <c r="E21" s="251" t="str">
        <f>IFERROR(__xludf.DUMMYFUNCTION("""COMPUTED_VALUE"""),"BRAD BOIMLER")</f>
        <v>BRAD BOIMLER</v>
      </c>
      <c r="F21" s="252" t="str">
        <f>IFERROR(__xludf.DUMMYFUNCTION("""COMPUTED_VALUE"""),"OA")</f>
        <v>OA</v>
      </c>
      <c r="G21" s="253" t="str">
        <f>IFERROR(__xludf.DUMMYFUNCTION("""COMPUTED_VALUE"""),"✅")</f>
        <v>✅</v>
      </c>
      <c r="H21" s="254"/>
      <c r="I21" s="254" t="str">
        <f>IFERROR(__xludf.DUMMYFUNCTION("""COMPUTED_VALUE"""),"AllPiercing")</f>
        <v>AllPiercing</v>
      </c>
      <c r="J21" s="254" t="str">
        <f>IFERROR(__xludf.DUMMYFUNCTION("""COMPUTED_VALUE"""),"Brad Boimler increases Armor Piercing, Shield Piercing, and Accuracy by X.")</f>
        <v>Brad Boimler increases Armor Piercing, Shield Piercing, and Accuracy by X.</v>
      </c>
      <c r="K21" s="255"/>
      <c r="L21" s="255"/>
      <c r="M21" s="255"/>
      <c r="N21" s="255"/>
      <c r="O21" s="255"/>
      <c r="P21" s="255"/>
      <c r="Q21" s="256"/>
      <c r="R21" s="257"/>
      <c r="S21" s="258"/>
      <c r="T21" s="255"/>
      <c r="U21" s="258"/>
      <c r="V21" s="259"/>
    </row>
    <row r="22">
      <c r="A22" s="68"/>
      <c r="B22" s="153" t="str">
        <f>'Infos - Start Here!'!B22</f>
        <v/>
      </c>
      <c r="C22" s="68"/>
      <c r="D22" s="260" t="str">
        <f>IFERROR(__xludf.DUMMYFUNCTION("""COMPUTED_VALUE"""),"   R")</f>
        <v>R</v>
      </c>
      <c r="E22" s="261" t="str">
        <f>IFERROR(__xludf.DUMMYFUNCTION("""COMPUTED_VALUE"""),"BRAD BOIMLER")</f>
        <v>BRAD BOIMLER</v>
      </c>
      <c r="F22" s="240" t="str">
        <f>IFERROR(__xludf.DUMMYFUNCTION("""COMPUTED_VALUE"""),"BDA")</f>
        <v>BDA</v>
      </c>
      <c r="G22" s="239" t="str">
        <f>IFERROR(__xludf.DUMMYFUNCTION("""COMPUTED_VALUE"""),"✅")</f>
        <v>✅</v>
      </c>
      <c r="H22" s="243"/>
      <c r="I22" s="243" t="str">
        <f>IFERROR(__xludf.DUMMYFUNCTION("""COMPUTED_VALUE"""),"AllDefenses")</f>
        <v>AllDefenses</v>
      </c>
      <c r="J22" s="243" t="str">
        <f>IFERROR(__xludf.DUMMYFUNCTION("""COMPUTED_VALUE"""),"Brad Boimler increases Armor, Shield Deflection, and Dodge by X.")</f>
        <v>Brad Boimler increases Armor, Shield Deflection, and Dodge by X.</v>
      </c>
      <c r="K22" s="255"/>
      <c r="L22" s="255"/>
      <c r="M22" s="255"/>
      <c r="N22" s="255"/>
      <c r="O22" s="255"/>
      <c r="P22" s="255"/>
      <c r="Q22" s="256"/>
      <c r="R22" s="257"/>
      <c r="S22" s="258"/>
      <c r="T22" s="255"/>
      <c r="U22" s="258"/>
      <c r="V22" s="259"/>
    </row>
    <row r="23">
      <c r="A23" s="68"/>
      <c r="B23" s="155"/>
      <c r="C23" s="68"/>
      <c r="D23" s="250" t="str">
        <f>IFERROR(__xludf.DUMMYFUNCTION("""COMPUTED_VALUE"""),"   C")</f>
        <v>C</v>
      </c>
      <c r="E23" s="251" t="str">
        <f>IFERROR(__xludf.DUMMYFUNCTION("""COMPUTED_VALUE"""),"CADET KIRK")</f>
        <v>CADET KIRK</v>
      </c>
      <c r="F23" s="252" t="str">
        <f>IFERROR(__xludf.DUMMYFUNCTION("""COMPUTED_VALUE"""),"CM")</f>
        <v>CM</v>
      </c>
      <c r="G23" s="253" t="str">
        <f>IFERROR(__xludf.DUMMYFUNCTION("""COMPUTED_VALUE"""),"✅")</f>
        <v>✅</v>
      </c>
      <c r="H23" s="254"/>
      <c r="I23" s="254" t="str">
        <f>IFERROR(__xludf.DUMMYFUNCTION("""COMPUTED_VALUE"""),"OfficerStatAll")</f>
        <v>OfficerStatAll</v>
      </c>
      <c r="J23" s="254" t="str">
        <f>IFERROR(__xludf.DUMMYFUNCTION("""COMPUTED_VALUE"""),"Cadet Kirk increases the Attack, Defense and Health of all Officers on the Bridge by X.")</f>
        <v>Cadet Kirk increases the Attack, Defense and Health of all Officers on the Bridge by X.</v>
      </c>
      <c r="K23" s="255"/>
      <c r="L23" s="255"/>
      <c r="M23" s="255"/>
      <c r="N23" s="255"/>
      <c r="O23" s="255"/>
      <c r="P23" s="255"/>
      <c r="Q23" s="256"/>
      <c r="R23" s="257"/>
      <c r="S23" s="258"/>
      <c r="T23" s="255"/>
      <c r="U23" s="258"/>
      <c r="V23" s="259"/>
    </row>
    <row r="24">
      <c r="A24" s="68"/>
      <c r="B24" s="164"/>
      <c r="C24" s="68"/>
      <c r="D24" s="260" t="str">
        <f>IFERROR(__xludf.DUMMYFUNCTION("""COMPUTED_VALUE"""),"   C")</f>
        <v>C</v>
      </c>
      <c r="E24" s="261" t="str">
        <f>IFERROR(__xludf.DUMMYFUNCTION("""COMPUTED_VALUE"""),"CADET KIRK")</f>
        <v>CADET KIRK</v>
      </c>
      <c r="F24" s="240" t="str">
        <f>IFERROR(__xludf.DUMMYFUNCTION("""COMPUTED_VALUE"""),"OA")</f>
        <v>OA</v>
      </c>
      <c r="G24" s="239" t="str">
        <f>IFERROR(__xludf.DUMMYFUNCTION("""COMPUTED_VALUE"""),"✅")</f>
        <v>✅</v>
      </c>
      <c r="H24" s="243"/>
      <c r="I24" s="243" t="str">
        <f>IFERROR(__xludf.DUMMYFUNCTION("""COMPUTED_VALUE"""),"AllDamage")</f>
        <v>AllDamage</v>
      </c>
      <c r="J24" s="243" t="str">
        <f>IFERROR(__xludf.DUMMYFUNCTION("""COMPUTED_VALUE"""),"Kirk increases the Weapon damage of the ship by X.")</f>
        <v>Kirk increases the Weapon damage of the ship by X.</v>
      </c>
      <c r="K24" s="255"/>
      <c r="L24" s="255"/>
      <c r="M24" s="255"/>
      <c r="N24" s="255"/>
      <c r="O24" s="255"/>
      <c r="P24" s="255"/>
      <c r="Q24" s="256"/>
      <c r="R24" s="257"/>
      <c r="S24" s="258"/>
      <c r="T24" s="255"/>
      <c r="U24" s="258"/>
      <c r="V24" s="259"/>
    </row>
    <row r="25">
      <c r="A25" s="68"/>
      <c r="B25" s="164"/>
      <c r="C25" s="68"/>
      <c r="D25" s="250" t="str">
        <f>IFERROR(__xludf.DUMMYFUNCTION("""COMPUTED_VALUE"""),"   C")</f>
        <v>C</v>
      </c>
      <c r="E25" s="251" t="str">
        <f>IFERROR(__xludf.DUMMYFUNCTION("""COMPUTED_VALUE"""),"CADET MCCOY")</f>
        <v>CADET MCCOY</v>
      </c>
      <c r="F25" s="252" t="str">
        <f>IFERROR(__xludf.DUMMYFUNCTION("""COMPUTED_VALUE"""),"CM")</f>
        <v>CM</v>
      </c>
      <c r="G25" s="253" t="str">
        <f>IFERROR(__xludf.DUMMYFUNCTION("""COMPUTED_VALUE"""),"✅")</f>
        <v>✅</v>
      </c>
      <c r="H25" s="254"/>
      <c r="I25" s="254" t="str">
        <f>IFERROR(__xludf.DUMMYFUNCTION("""COMPUTED_VALUE"""),"OfficerStatHealth")</f>
        <v>OfficerStatHealth</v>
      </c>
      <c r="J25" s="254" t="str">
        <f>IFERROR(__xludf.DUMMYFUNCTION("""COMPUTED_VALUE"""),"Cadet McCoy increases the Health of all Officers on the ship by X.")</f>
        <v>Cadet McCoy increases the Health of all Officers on the ship by X.</v>
      </c>
      <c r="K25" s="255"/>
      <c r="L25" s="255"/>
      <c r="M25" s="255"/>
      <c r="N25" s="255"/>
      <c r="O25" s="255"/>
      <c r="P25" s="255"/>
      <c r="Q25" s="256"/>
      <c r="R25" s="257"/>
      <c r="S25" s="258"/>
      <c r="T25" s="255"/>
      <c r="U25" s="258"/>
      <c r="V25" s="259"/>
    </row>
    <row r="26">
      <c r="A26" s="68"/>
      <c r="B26" s="164"/>
      <c r="C26" s="68"/>
      <c r="D26" s="260" t="str">
        <f>IFERROR(__xludf.DUMMYFUNCTION("""COMPUTED_VALUE"""),"   C")</f>
        <v>C</v>
      </c>
      <c r="E26" s="261" t="str">
        <f>IFERROR(__xludf.DUMMYFUNCTION("""COMPUTED_VALUE"""),"CADET MCCOY")</f>
        <v>CADET MCCOY</v>
      </c>
      <c r="F26" s="240" t="str">
        <f>IFERROR(__xludf.DUMMYFUNCTION("""COMPUTED_VALUE"""),"OA")</f>
        <v>OA</v>
      </c>
      <c r="G26" s="239" t="str">
        <f>IFERROR(__xludf.DUMMYFUNCTION("""COMPUTED_VALUE"""),"✅")</f>
        <v>✅</v>
      </c>
      <c r="H26" s="243"/>
      <c r="I26" s="243" t="str">
        <f>IFERROR(__xludf.DUMMYFUNCTION("""COMPUTED_VALUE"""),"CptManeuverEffect")</f>
        <v>CptManeuverEffect</v>
      </c>
      <c r="J26" s="243" t="str">
        <f>IFERROR(__xludf.DUMMYFUNCTION("""COMPUTED_VALUE"""),"During combat, Cadet McCoy increases the effectiveness of the Captain Maneuver by X.")</f>
        <v>During combat, Cadet McCoy increases the effectiveness of the Captain Maneuver by X.</v>
      </c>
      <c r="K26" s="255"/>
      <c r="L26" s="255"/>
      <c r="M26" s="255"/>
      <c r="N26" s="255"/>
      <c r="O26" s="255"/>
      <c r="P26" s="255"/>
      <c r="Q26" s="256"/>
      <c r="R26" s="257"/>
      <c r="S26" s="258"/>
      <c r="T26" s="255"/>
      <c r="U26" s="258"/>
      <c r="V26" s="259"/>
    </row>
    <row r="27">
      <c r="A27" s="68"/>
      <c r="B27" s="164"/>
      <c r="C27" s="68"/>
      <c r="D27" s="250" t="str">
        <f>IFERROR(__xludf.DUMMYFUNCTION("""COMPUTED_VALUE"""),"   C")</f>
        <v>C</v>
      </c>
      <c r="E27" s="251" t="str">
        <f>IFERROR(__xludf.DUMMYFUNCTION("""COMPUTED_VALUE"""),"CADET SCOTTY")</f>
        <v>CADET SCOTTY</v>
      </c>
      <c r="F27" s="252" t="str">
        <f>IFERROR(__xludf.DUMMYFUNCTION("""COMPUTED_VALUE"""),"CM")</f>
        <v>CM</v>
      </c>
      <c r="G27" s="253" t="str">
        <f>IFERROR(__xludf.DUMMYFUNCTION("""COMPUTED_VALUE"""),"✅")</f>
        <v>✅</v>
      </c>
      <c r="H27" s="254"/>
      <c r="I27" s="254" t="str">
        <f>IFERROR(__xludf.DUMMYFUNCTION("""COMPUTED_VALUE"""),"HullHPMax")</f>
        <v>HullHPMax</v>
      </c>
      <c r="J27" s="254" t="str">
        <f>IFERROR(__xludf.DUMMYFUNCTION("""COMPUTED_VALUE"""),"Cadet Scotty increases the Ship Hull Health by X.")</f>
        <v>Cadet Scotty increases the Ship Hull Health by X.</v>
      </c>
      <c r="K27" s="255"/>
      <c r="L27" s="255"/>
      <c r="M27" s="255"/>
      <c r="N27" s="255"/>
      <c r="O27" s="255"/>
      <c r="P27" s="255"/>
      <c r="Q27" s="256"/>
      <c r="R27" s="257"/>
      <c r="S27" s="258"/>
      <c r="T27" s="255"/>
      <c r="U27" s="258"/>
      <c r="V27" s="259"/>
    </row>
    <row r="28">
      <c r="A28" s="68"/>
      <c r="B28" s="164"/>
      <c r="C28" s="68"/>
      <c r="D28" s="260" t="str">
        <f>IFERROR(__xludf.DUMMYFUNCTION("""COMPUTED_VALUE"""),"   C")</f>
        <v>C</v>
      </c>
      <c r="E28" s="261" t="str">
        <f>IFERROR(__xludf.DUMMYFUNCTION("""COMPUTED_VALUE"""),"CADET SULU")</f>
        <v>CADET SULU</v>
      </c>
      <c r="F28" s="240" t="str">
        <f>IFERROR(__xludf.DUMMYFUNCTION("""COMPUTED_VALUE"""),"CM")</f>
        <v>CM</v>
      </c>
      <c r="G28" s="239" t="str">
        <f>IFERROR(__xludf.DUMMYFUNCTION("""COMPUTED_VALUE"""),"✅")</f>
        <v>✅</v>
      </c>
      <c r="H28" s="243"/>
      <c r="I28" s="243" t="str">
        <f>IFERROR(__xludf.DUMMYFUNCTION("""COMPUTED_VALUE"""),"AllDamage")</f>
        <v>AllDamage</v>
      </c>
      <c r="J28" s="243" t="str">
        <f>IFERROR(__xludf.DUMMYFUNCTION("""COMPUTED_VALUE"""),"Cadet Sulu increases the damage of the first shots of the ship by X for the first round.")</f>
        <v>Cadet Sulu increases the damage of the first shots of the ship by X for the first round.</v>
      </c>
      <c r="K28" s="255"/>
      <c r="L28" s="255"/>
      <c r="M28" s="255"/>
      <c r="N28" s="255"/>
      <c r="O28" s="255"/>
      <c r="P28" s="255"/>
      <c r="Q28" s="256"/>
      <c r="R28" s="257"/>
      <c r="S28" s="258"/>
      <c r="T28" s="255"/>
      <c r="U28" s="258"/>
      <c r="V28" s="259"/>
    </row>
    <row r="29">
      <c r="A29" s="68"/>
      <c r="B29" s="164"/>
      <c r="C29" s="68"/>
      <c r="D29" s="250" t="str">
        <f>IFERROR(__xludf.DUMMYFUNCTION("""COMPUTED_VALUE"""),"   C")</f>
        <v>C</v>
      </c>
      <c r="E29" s="251" t="str">
        <f>IFERROR(__xludf.DUMMYFUNCTION("""COMPUTED_VALUE"""),"CADET SULU")</f>
        <v>CADET SULU</v>
      </c>
      <c r="F29" s="252" t="str">
        <f>IFERROR(__xludf.DUMMYFUNCTION("""COMPUTED_VALUE"""),"OA")</f>
        <v>OA</v>
      </c>
      <c r="G29" s="253" t="str">
        <f>IFERROR(__xludf.DUMMYFUNCTION("""COMPUTED_VALUE"""),"✅")</f>
        <v>✅</v>
      </c>
      <c r="H29" s="254"/>
      <c r="I29" s="254" t="str">
        <f>IFERROR(__xludf.DUMMYFUNCTION("""COMPUTED_VALUE"""),"OfficerStatAttack")</f>
        <v>OfficerStatAttack</v>
      </c>
      <c r="J29" s="254" t="str">
        <f>IFERROR(__xludf.DUMMYFUNCTION("""COMPUTED_VALUE"""),"Cadet Sulu increases the Attack of all the Officers on the ship by X.")</f>
        <v>Cadet Sulu increases the Attack of all the Officers on the ship by X.</v>
      </c>
      <c r="K29" s="255"/>
      <c r="L29" s="255"/>
      <c r="M29" s="255"/>
      <c r="N29" s="255"/>
      <c r="O29" s="255"/>
      <c r="P29" s="255"/>
      <c r="Q29" s="256"/>
      <c r="R29" s="257"/>
      <c r="S29" s="258"/>
      <c r="T29" s="255"/>
      <c r="U29" s="258"/>
      <c r="V29" s="259"/>
    </row>
    <row r="30">
      <c r="A30" s="68"/>
      <c r="B30" s="182"/>
      <c r="C30" s="68"/>
      <c r="D30" s="260" t="str">
        <f>IFERROR(__xludf.DUMMYFUNCTION("""COMPUTED_VALUE"""),"   C")</f>
        <v>C</v>
      </c>
      <c r="E30" s="261" t="str">
        <f>IFERROR(__xludf.DUMMYFUNCTION("""COMPUTED_VALUE"""),"CADET UHURA")</f>
        <v>CADET UHURA</v>
      </c>
      <c r="F30" s="240" t="str">
        <f>IFERROR(__xludf.DUMMYFUNCTION("""COMPUTED_VALUE"""),"CM")</f>
        <v>CM</v>
      </c>
      <c r="G30" s="239" t="str">
        <f>IFERROR(__xludf.DUMMYFUNCTION("""COMPUTED_VALUE"""),"✅")</f>
        <v>✅</v>
      </c>
      <c r="H30" s="243"/>
      <c r="I30" s="243" t="str">
        <f>IFERROR(__xludf.DUMMYFUNCTION("""COMPUTED_VALUE"""),"AllDamage")</f>
        <v>AllDamage</v>
      </c>
      <c r="J30" s="243" t="str">
        <f>IFERROR(__xludf.DUMMYFUNCTION("""COMPUTED_VALUE"""),"Cadet Uhura decreases the Weapon Damage of the opponent's ship by X.")</f>
        <v>Cadet Uhura decreases the Weapon Damage of the opponent's ship by X.</v>
      </c>
      <c r="K30" s="255"/>
      <c r="L30" s="255"/>
      <c r="M30" s="255"/>
      <c r="N30" s="255"/>
      <c r="O30" s="255"/>
      <c r="P30" s="255"/>
      <c r="Q30" s="256"/>
      <c r="R30" s="257"/>
      <c r="S30" s="258"/>
      <c r="T30" s="255"/>
      <c r="U30" s="258"/>
      <c r="V30" s="259"/>
    </row>
    <row r="31">
      <c r="A31" s="68"/>
      <c r="B31" s="184"/>
      <c r="C31" s="68"/>
      <c r="D31" s="250" t="str">
        <f>IFERROR(__xludf.DUMMYFUNCTION("""COMPUTED_VALUE"""),"   C")</f>
        <v>C</v>
      </c>
      <c r="E31" s="251" t="str">
        <f>IFERROR(__xludf.DUMMYFUNCTION("""COMPUTED_VALUE"""),"CADET UHURA")</f>
        <v>CADET UHURA</v>
      </c>
      <c r="F31" s="252" t="str">
        <f>IFERROR(__xludf.DUMMYFUNCTION("""COMPUTED_VALUE"""),"OA")</f>
        <v>OA</v>
      </c>
      <c r="G31" s="253" t="str">
        <f>IFERROR(__xludf.DUMMYFUNCTION("""COMPUTED_VALUE"""),"✅")</f>
        <v>✅</v>
      </c>
      <c r="H31" s="254"/>
      <c r="I31" s="254" t="str">
        <f>IFERROR(__xludf.DUMMYFUNCTION("""COMPUTED_VALUE"""),"ShieldHPMax")</f>
        <v>ShieldHPMax</v>
      </c>
      <c r="J31" s="254" t="str">
        <f>IFERROR(__xludf.DUMMYFUNCTION("""COMPUTED_VALUE"""),"Cadet Uhura increases the Shield Health of the ship by X.")</f>
        <v>Cadet Uhura increases the Shield Health of the ship by X.</v>
      </c>
      <c r="K31" s="255"/>
      <c r="L31" s="255"/>
      <c r="M31" s="255"/>
      <c r="N31" s="255"/>
      <c r="O31" s="255"/>
      <c r="P31" s="255"/>
      <c r="Q31" s="256"/>
      <c r="R31" s="257"/>
      <c r="S31" s="258"/>
      <c r="T31" s="255"/>
      <c r="U31" s="258"/>
      <c r="V31" s="259"/>
    </row>
    <row r="32">
      <c r="A32" s="68"/>
      <c r="B32" s="184"/>
      <c r="C32" s="68"/>
      <c r="D32" s="260" t="str">
        <f>IFERROR(__xludf.DUMMYFUNCTION("""COMPUTED_VALUE"""),"   E")</f>
        <v>E</v>
      </c>
      <c r="E32" s="261" t="str">
        <f>IFERROR(__xludf.DUMMYFUNCTION("""COMPUTED_VALUE"""),"CAROL")</f>
        <v>CAROL</v>
      </c>
      <c r="F32" s="240" t="str">
        <f>IFERROR(__xludf.DUMMYFUNCTION("""COMPUTED_VALUE"""),"CM")</f>
        <v>CM</v>
      </c>
      <c r="G32" s="239" t="str">
        <f>IFERROR(__xludf.DUMMYFUNCTION("""COMPUTED_VALUE"""),"✅")</f>
        <v>✅</v>
      </c>
      <c r="H32" s="243"/>
      <c r="I32" s="243" t="str">
        <f>IFERROR(__xludf.DUMMYFUNCTION("""COMPUTED_VALUE"""),"AllDamage")</f>
        <v>AllDamage</v>
      </c>
      <c r="J32" s="243" t="str">
        <f>IFERROR(__xludf.DUMMYFUNCTION("""COMPUTED_VALUE"""),"When defending in battle against a player, Carol decreases the Weapon Damage from opponents by X.")</f>
        <v>When defending in battle against a player, Carol decreases the Weapon Damage from opponents by X.</v>
      </c>
      <c r="K32" s="255"/>
      <c r="L32" s="255"/>
      <c r="M32" s="255"/>
      <c r="N32" s="255"/>
      <c r="O32" s="255"/>
      <c r="P32" s="255"/>
      <c r="Q32" s="256"/>
      <c r="R32" s="257"/>
      <c r="S32" s="258"/>
      <c r="T32" s="255"/>
      <c r="U32" s="258"/>
      <c r="V32" s="259"/>
    </row>
    <row r="33">
      <c r="A33" s="68"/>
      <c r="B33" s="184"/>
      <c r="C33" s="68"/>
      <c r="D33" s="250" t="str">
        <f>IFERROR(__xludf.DUMMYFUNCTION("""COMPUTED_VALUE"""),"   E")</f>
        <v>E</v>
      </c>
      <c r="E33" s="251" t="str">
        <f>IFERROR(__xludf.DUMMYFUNCTION("""COMPUTED_VALUE"""),"CAROL")</f>
        <v>CAROL</v>
      </c>
      <c r="F33" s="252" t="str">
        <f>IFERROR(__xludf.DUMMYFUNCTION("""COMPUTED_VALUE"""),"OA")</f>
        <v>OA</v>
      </c>
      <c r="G33" s="253" t="str">
        <f>IFERROR(__xludf.DUMMYFUNCTION("""COMPUTED_VALUE"""),"✅")</f>
        <v>✅</v>
      </c>
      <c r="H33" s="254"/>
      <c r="I33" s="254" t="str">
        <f>IFERROR(__xludf.DUMMYFUNCTION("""COMPUTED_VALUE"""),"AllDamage")</f>
        <v>AllDamage</v>
      </c>
      <c r="J33" s="254" t="str">
        <f>IFERROR(__xludf.DUMMYFUNCTION("""COMPUTED_VALUE"""),"Carol increases the Weapon Damage by X.")</f>
        <v>Carol increases the Weapon Damage by X.</v>
      </c>
      <c r="K33" s="255"/>
      <c r="L33" s="255"/>
      <c r="M33" s="255"/>
      <c r="N33" s="255"/>
      <c r="O33" s="255"/>
      <c r="P33" s="255"/>
      <c r="Q33" s="256"/>
      <c r="R33" s="257"/>
      <c r="S33" s="258"/>
      <c r="T33" s="255"/>
      <c r="U33" s="258"/>
      <c r="V33" s="259"/>
    </row>
    <row r="34">
      <c r="A34" s="68"/>
      <c r="B34" s="184"/>
      <c r="C34" s="68"/>
      <c r="D34" s="260" t="str">
        <f>IFERROR(__xludf.DUMMYFUNCTION("""COMPUTED_VALUE"""),"   E")</f>
        <v>E</v>
      </c>
      <c r="E34" s="261" t="str">
        <f>IFERROR(__xludf.DUMMYFUNCTION("""COMPUTED_VALUE"""),"CAROL FREEMAN")</f>
        <v>CAROL FREEMAN</v>
      </c>
      <c r="F34" s="240" t="str">
        <f>IFERROR(__xludf.DUMMYFUNCTION("""COMPUTED_VALUE"""),"CM")</f>
        <v>CM</v>
      </c>
      <c r="G34" s="239" t="str">
        <f>IFERROR(__xludf.DUMMYFUNCTION("""COMPUTED_VALUE"""),"✅")</f>
        <v>✅</v>
      </c>
      <c r="H34" s="243"/>
      <c r="I34" s="243" t="str">
        <f>IFERROR(__xludf.DUMMYFUNCTION("""COMPUTED_VALUE"""),"ShotsPerAttack")</f>
        <v>ShotsPerAttack</v>
      </c>
      <c r="J34" s="243" t="str">
        <f>IFERROR(__xludf.DUMMYFUNCTION("""COMPUTED_VALUE"""),"On combat start against players, Carol Freeman increases your shots by X.")</f>
        <v>On combat start against players, Carol Freeman increases your shots by X.</v>
      </c>
      <c r="K34" s="255"/>
      <c r="L34" s="255"/>
      <c r="M34" s="255"/>
      <c r="N34" s="255"/>
      <c r="O34" s="255"/>
      <c r="P34" s="255"/>
      <c r="Q34" s="256"/>
      <c r="R34" s="257"/>
      <c r="S34" s="258"/>
      <c r="T34" s="255"/>
      <c r="U34" s="258"/>
      <c r="V34" s="259"/>
    </row>
    <row r="35">
      <c r="A35" s="68"/>
      <c r="B35" s="147"/>
      <c r="C35" s="68"/>
      <c r="D35" s="250" t="str">
        <f>IFERROR(__xludf.DUMMYFUNCTION("""COMPUTED_VALUE"""),"   E")</f>
        <v>E</v>
      </c>
      <c r="E35" s="251" t="str">
        <f>IFERROR(__xludf.DUMMYFUNCTION("""COMPUTED_VALUE"""),"CHARVANEK")</f>
        <v>CHARVANEK</v>
      </c>
      <c r="F35" s="252" t="str">
        <f>IFERROR(__xludf.DUMMYFUNCTION("""COMPUTED_VALUE"""),"OA")</f>
        <v>OA</v>
      </c>
      <c r="G35" s="253" t="str">
        <f>IFERROR(__xludf.DUMMYFUNCTION("""COMPUTED_VALUE"""),"✅")</f>
        <v>✅</v>
      </c>
      <c r="H35" s="254"/>
      <c r="I35" s="254" t="str">
        <f>IFERROR(__xludf.DUMMYFUNCTION("""COMPUTED_VALUE"""),"ArmorPiercing")</f>
        <v>ArmorPiercing</v>
      </c>
      <c r="J35" s="254" t="str">
        <f>IFERROR(__xludf.DUMMYFUNCTION("""COMPUTED_VALUE"""),"At the start of combat, Charvanek increases the Armor Piercing of the ship by X of the Health of the crew on the ship.")</f>
        <v>At the start of combat, Charvanek increases the Armor Piercing of the ship by X of the Health of the crew on the ship.</v>
      </c>
      <c r="K35" s="255"/>
      <c r="L35" s="255"/>
      <c r="M35" s="255"/>
      <c r="N35" s="255"/>
      <c r="O35" s="255"/>
      <c r="P35" s="255"/>
      <c r="Q35" s="256"/>
      <c r="R35" s="257"/>
      <c r="S35" s="258"/>
      <c r="T35" s="255"/>
      <c r="U35" s="258"/>
      <c r="V35" s="259"/>
    </row>
    <row r="36">
      <c r="A36" s="68"/>
      <c r="B36" s="147"/>
      <c r="C36" s="68"/>
      <c r="D36" s="260" t="str">
        <f>IFERROR(__xludf.DUMMYFUNCTION("""COMPUTED_VALUE"""),"   U")</f>
        <v>U</v>
      </c>
      <c r="E36" s="261" t="str">
        <f>IFERROR(__xludf.DUMMYFUNCTION("""COMPUTED_VALUE"""),"D'JAOKI")</f>
        <v>D'JAOKI</v>
      </c>
      <c r="F36" s="240" t="str">
        <f>IFERROR(__xludf.DUMMYFUNCTION("""COMPUTED_VALUE"""),"CM")</f>
        <v>CM</v>
      </c>
      <c r="G36" s="239" t="str">
        <f>IFERROR(__xludf.DUMMYFUNCTION("""COMPUTED_VALUE"""),"✅")</f>
        <v>✅</v>
      </c>
      <c r="H36" s="243"/>
      <c r="I36" s="243" t="str">
        <f>IFERROR(__xludf.DUMMYFUNCTION("""COMPUTED_VALUE"""),"OfficerStatHealth")</f>
        <v>OfficerStatHealth</v>
      </c>
      <c r="J36" s="243" t="str">
        <f>IFERROR(__xludf.DUMMYFUNCTION("""COMPUTED_VALUE"""),"After winning a combat, D'jaoki increases the Health of all officers on the ship by X for 1 minute.")</f>
        <v>After winning a combat, D'jaoki increases the Health of all officers on the ship by X for 1 minute.</v>
      </c>
      <c r="K36" s="255"/>
      <c r="L36" s="255"/>
      <c r="M36" s="255"/>
      <c r="N36" s="255"/>
      <c r="O36" s="255"/>
      <c r="P36" s="255"/>
      <c r="Q36" s="256"/>
      <c r="R36" s="257"/>
      <c r="S36" s="258"/>
      <c r="T36" s="255"/>
      <c r="U36" s="258"/>
      <c r="V36" s="259"/>
    </row>
    <row r="37">
      <c r="A37" s="68"/>
      <c r="B37" s="147"/>
      <c r="C37" s="68"/>
      <c r="D37" s="250" t="str">
        <f>IFERROR(__xludf.DUMMYFUNCTION("""COMPUTED_VALUE"""),"   E")</f>
        <v>E</v>
      </c>
      <c r="E37" s="251" t="str">
        <f>IFERROR(__xludf.DUMMYFUNCTION("""COMPUTED_VALUE"""),"D'VANA TENDI")</f>
        <v>D'VANA TENDI</v>
      </c>
      <c r="F37" s="252" t="str">
        <f>IFERROR(__xludf.DUMMYFUNCTION("""COMPUTED_VALUE"""),"OA")</f>
        <v>OA</v>
      </c>
      <c r="G37" s="253" t="str">
        <f>IFERROR(__xludf.DUMMYFUNCTION("""COMPUTED_VALUE"""),"✅")</f>
        <v>✅</v>
      </c>
      <c r="H37" s="254"/>
      <c r="I37" s="254" t="str">
        <f>IFERROR(__xludf.DUMMYFUNCTION("""COMPUTED_VALUE"""),"OfficerStatHealth")</f>
        <v>OfficerStatHealth</v>
      </c>
      <c r="J37" s="254" t="str">
        <f>IFERROR(__xludf.DUMMYFUNCTION("""COMPUTED_VALUE"""),"D'Vana Tendi increases the Health of all Officers on the ship by X.")</f>
        <v>D'Vana Tendi increases the Health of all Officers on the ship by X.</v>
      </c>
      <c r="K37" s="255"/>
      <c r="L37" s="255"/>
      <c r="M37" s="255"/>
      <c r="N37" s="255"/>
      <c r="O37" s="255"/>
      <c r="P37" s="255"/>
      <c r="Q37" s="256"/>
      <c r="R37" s="257"/>
      <c r="S37" s="258"/>
      <c r="T37" s="255"/>
      <c r="U37" s="258"/>
      <c r="V37" s="259"/>
    </row>
    <row r="38">
      <c r="A38" s="68"/>
      <c r="B38" s="147"/>
      <c r="C38" s="68"/>
      <c r="D38" s="260" t="str">
        <f>IFERROR(__xludf.DUMMYFUNCTION("""COMPUTED_VALUE"""),"   E")</f>
        <v>E</v>
      </c>
      <c r="E38" s="261" t="str">
        <f>IFERROR(__xludf.DUMMYFUNCTION("""COMPUTED_VALUE"""),"D'VANA TENDI")</f>
        <v>D'VANA TENDI</v>
      </c>
      <c r="F38" s="240" t="str">
        <f>IFERROR(__xludf.DUMMYFUNCTION("""COMPUTED_VALUE"""),"BDA")</f>
        <v>BDA</v>
      </c>
      <c r="G38" s="239" t="str">
        <f>IFERROR(__xludf.DUMMYFUNCTION("""COMPUTED_VALUE"""),"✅")</f>
        <v>✅</v>
      </c>
      <c r="H38" s="243"/>
      <c r="I38" s="243" t="str">
        <f>IFERROR(__xludf.DUMMYFUNCTION("""COMPUTED_VALUE"""),"HullHPMax")</f>
        <v>HullHPMax</v>
      </c>
      <c r="J38" s="243" t="str">
        <f>IFERROR(__xludf.DUMMYFUNCTION("""COMPUTED_VALUE"""),"D'Vana Tendi increases the ship's Hull Health by X.")</f>
        <v>D'Vana Tendi increases the ship's Hull Health by X.</v>
      </c>
      <c r="K38" s="255"/>
      <c r="L38" s="255"/>
      <c r="M38" s="255"/>
      <c r="N38" s="255"/>
      <c r="O38" s="255"/>
      <c r="P38" s="255"/>
      <c r="Q38" s="256"/>
      <c r="R38" s="257"/>
      <c r="S38" s="258"/>
      <c r="T38" s="255"/>
      <c r="U38" s="258"/>
      <c r="V38" s="259"/>
    </row>
    <row r="39">
      <c r="A39" s="68"/>
      <c r="B39" s="201"/>
      <c r="C39" s="68"/>
      <c r="D39" s="250" t="str">
        <f>IFERROR(__xludf.DUMMYFUNCTION("""COMPUTED_VALUE"""),"   C")</f>
        <v>C</v>
      </c>
      <c r="E39" s="251" t="str">
        <f>IFERROR(__xludf.DUMMYFUNCTION("""COMPUTED_VALUE"""),"DARWIN")</f>
        <v>DARWIN</v>
      </c>
      <c r="F39" s="252" t="str">
        <f>IFERROR(__xludf.DUMMYFUNCTION("""COMPUTED_VALUE"""),"CM")</f>
        <v>CM</v>
      </c>
      <c r="G39" s="253" t="str">
        <f>IFERROR(__xludf.DUMMYFUNCTION("""COMPUTED_VALUE"""),"✅")</f>
        <v>✅</v>
      </c>
      <c r="H39" s="254"/>
      <c r="I39" s="254" t="str">
        <f>IFERROR(__xludf.DUMMYFUNCTION("""COMPUTED_VALUE"""),"AllDamage")</f>
        <v>AllDamage</v>
      </c>
      <c r="J39" s="254" t="str">
        <f>IFERROR(__xludf.DUMMYFUNCTION("""COMPUTED_VALUE"""),"When the ship is attacked by a player, Darwin increases the Weapon Damage by X.")</f>
        <v>When the ship is attacked by a player, Darwin increases the Weapon Damage by X.</v>
      </c>
      <c r="K39" s="255"/>
      <c r="L39" s="255"/>
      <c r="M39" s="255"/>
      <c r="N39" s="255"/>
      <c r="O39" s="255"/>
      <c r="P39" s="255"/>
      <c r="Q39" s="256"/>
      <c r="R39" s="257"/>
      <c r="S39" s="258"/>
      <c r="T39" s="255"/>
      <c r="U39" s="258"/>
      <c r="V39" s="259"/>
    </row>
    <row r="40">
      <c r="A40" s="68"/>
      <c r="B40" s="201"/>
      <c r="C40" s="68"/>
      <c r="D40" s="260" t="str">
        <f>IFERROR(__xludf.DUMMYFUNCTION("""COMPUTED_VALUE"""),"   R")</f>
        <v>R</v>
      </c>
      <c r="E40" s="261" t="str">
        <f>IFERROR(__xludf.DUMMYFUNCTION("""COMPUTED_VALUE"""),"DECIUS")</f>
        <v>DECIUS</v>
      </c>
      <c r="F40" s="240" t="str">
        <f>IFERROR(__xludf.DUMMYFUNCTION("""COMPUTED_VALUE"""),"OA")</f>
        <v>OA</v>
      </c>
      <c r="G40" s="239" t="str">
        <f>IFERROR(__xludf.DUMMYFUNCTION("""COMPUTED_VALUE"""),"✅")</f>
        <v>✅</v>
      </c>
      <c r="H40" s="243"/>
      <c r="I40" s="243" t="str">
        <f>IFERROR(__xludf.DUMMYFUNCTION("""COMPUTED_VALUE"""),"AllDamage")</f>
        <v>AllDamage</v>
      </c>
      <c r="J40" s="243" t="str">
        <f>IFERROR(__xludf.DUMMYFUNCTION("""COMPUTED_VALUE"""),"Every time the ship gets hit by a weapon attack, Decius increases its Weapon Damage by X. -- (Weapons with multiple shots will only trigger this ability once per attack.)")</f>
        <v>Every time the ship gets hit by a weapon attack, Decius increases its Weapon Damage by X. -- (Weapons with multiple shots will only trigger this ability once per attack.)</v>
      </c>
      <c r="K40" s="255"/>
      <c r="L40" s="255"/>
      <c r="M40" s="255"/>
      <c r="N40" s="255"/>
      <c r="O40" s="255"/>
      <c r="P40" s="255"/>
      <c r="Q40" s="256"/>
      <c r="R40" s="257"/>
      <c r="S40" s="258"/>
      <c r="T40" s="255"/>
      <c r="U40" s="258"/>
      <c r="V40" s="259"/>
    </row>
    <row r="41">
      <c r="A41" s="68"/>
      <c r="B41" s="201"/>
      <c r="C41" s="68"/>
      <c r="D41" s="250" t="str">
        <f>IFERROR(__xludf.DUMMYFUNCTION("""COMPUTED_VALUE"""),"   E")</f>
        <v>E</v>
      </c>
      <c r="E41" s="251" t="str">
        <f>IFERROR(__xludf.DUMMYFUNCTION("""COMPUTED_VALUE"""),"DOCTOR T'ANA")</f>
        <v>DOCTOR T'ANA</v>
      </c>
      <c r="F41" s="252" t="str">
        <f>IFERROR(__xludf.DUMMYFUNCTION("""COMPUTED_VALUE"""),"OA")</f>
        <v>OA</v>
      </c>
      <c r="G41" s="253" t="str">
        <f>IFERROR(__xludf.DUMMYFUNCTION("""COMPUTED_VALUE"""),"✅")</f>
        <v>✅</v>
      </c>
      <c r="H41" s="254"/>
      <c r="I41" s="254" t="str">
        <f>IFERROR(__xludf.DUMMYFUNCTION("""COMPUTED_VALUE"""),"AddRandomState")</f>
        <v>AddRandomState</v>
      </c>
      <c r="J41" s="254" t="str">
        <f>IFERROR(__xludf.DUMMYFUNCTION("""COMPUTED_VALUE"""),"On round start, Dr. T'Ana has X chance to apply a random State to the enemy player's ship for 3 rounds. -- Random States: Morale, Burning, Hull Breach")</f>
        <v>On round start, Dr. T'Ana has X chance to apply a random State to the enemy player's ship for 3 rounds. -- Random States: Morale, Burning, Hull Breach</v>
      </c>
      <c r="K41" s="255"/>
      <c r="L41" s="255"/>
      <c r="M41" s="255"/>
      <c r="N41" s="255"/>
      <c r="O41" s="255"/>
      <c r="P41" s="255"/>
      <c r="Q41" s="256"/>
      <c r="R41" s="257"/>
      <c r="S41" s="258"/>
      <c r="T41" s="255"/>
      <c r="U41" s="258"/>
      <c r="V41" s="259"/>
    </row>
    <row r="42">
      <c r="A42" s="68"/>
      <c r="B42" s="128"/>
      <c r="C42" s="68"/>
      <c r="D42" s="260" t="str">
        <f>IFERROR(__xludf.DUMMYFUNCTION("""COMPUTED_VALUE"""),"   E")</f>
        <v>E</v>
      </c>
      <c r="E42" s="261" t="str">
        <f>IFERROR(__xludf.DUMMYFUNCTION("""COMPUTED_VALUE"""),"DOCTOR T'ANA")</f>
        <v>DOCTOR T'ANA</v>
      </c>
      <c r="F42" s="240" t="str">
        <f>IFERROR(__xludf.DUMMYFUNCTION("""COMPUTED_VALUE"""),"BDA")</f>
        <v>BDA</v>
      </c>
      <c r="G42" s="239" t="str">
        <f>IFERROR(__xludf.DUMMYFUNCTION("""COMPUTED_VALUE"""),"✅")</f>
        <v>✅</v>
      </c>
      <c r="H42" s="243"/>
      <c r="I42" s="243" t="str">
        <f>IFERROR(__xludf.DUMMYFUNCTION("""COMPUTED_VALUE"""),"IsolyticDefense")</f>
        <v>IsolyticDefense</v>
      </c>
      <c r="J42" s="243" t="str">
        <f>IFERROR(__xludf.DUMMYFUNCTION("""COMPUTED_VALUE"""),"On round start against players, Dr. T'Ana increases your Isolytic Defense by X for 1 round.")</f>
        <v>On round start against players, Dr. T'Ana increases your Isolytic Defense by X for 1 round.</v>
      </c>
      <c r="K42" s="255"/>
      <c r="L42" s="255"/>
      <c r="M42" s="255"/>
      <c r="N42" s="255"/>
      <c r="O42" s="255"/>
      <c r="P42" s="255"/>
      <c r="Q42" s="256"/>
      <c r="R42" s="257"/>
      <c r="S42" s="258"/>
      <c r="T42" s="255"/>
      <c r="U42" s="258"/>
      <c r="V42" s="259"/>
    </row>
    <row r="43">
      <c r="A43" s="68"/>
      <c r="B43" s="214"/>
      <c r="C43" s="68"/>
      <c r="D43" s="250" t="str">
        <f>IFERROR(__xludf.DUMMYFUNCTION("""COMPUTED_VALUE"""),"   U")</f>
        <v>U</v>
      </c>
      <c r="E43" s="251" t="str">
        <f>IFERROR(__xludf.DUMMYFUNCTION("""COMPUTED_VALUE"""),"EIGHT OF ELEVEN")</f>
        <v>EIGHT OF ELEVEN</v>
      </c>
      <c r="F43" s="252" t="str">
        <f>IFERROR(__xludf.DUMMYFUNCTION("""COMPUTED_VALUE"""),"OA")</f>
        <v>OA</v>
      </c>
      <c r="G43" s="253" t="str">
        <f>IFERROR(__xludf.DUMMYFUNCTION("""COMPUTED_VALUE"""),"✅")</f>
        <v>✅</v>
      </c>
      <c r="H43" s="254"/>
      <c r="I43" s="254" t="str">
        <f>IFERROR(__xludf.DUMMYFUNCTION("""COMPUTED_VALUE"""),"OfficerStatAttack")</f>
        <v>OfficerStatAttack</v>
      </c>
      <c r="J43" s="254" t="str">
        <f>IFERROR(__xludf.DUMMYFUNCTION("""COMPUTED_VALUE"""),"Eight of Eleven increases the Attack of every Officer on the ship by X.")</f>
        <v>Eight of Eleven increases the Attack of every Officer on the ship by X.</v>
      </c>
      <c r="K43" s="255"/>
      <c r="L43" s="255"/>
      <c r="M43" s="255"/>
      <c r="N43" s="255"/>
      <c r="O43" s="255"/>
      <c r="P43" s="255"/>
      <c r="Q43" s="256"/>
      <c r="R43" s="257"/>
      <c r="S43" s="258"/>
      <c r="T43" s="255"/>
      <c r="U43" s="258"/>
      <c r="V43" s="259"/>
    </row>
    <row r="44">
      <c r="A44" s="68"/>
      <c r="B44" s="218"/>
      <c r="C44" s="68"/>
      <c r="D44" s="260" t="str">
        <f>IFERROR(__xludf.DUMMYFUNCTION("""COMPUTED_VALUE"""),"   E")</f>
        <v>E</v>
      </c>
      <c r="E44" s="261" t="str">
        <f>IFERROR(__xludf.DUMMYFUNCTION("""COMPUTED_VALUE"""),"ENT-E RIKER")</f>
        <v>ENT-E RIKER</v>
      </c>
      <c r="F44" s="240" t="str">
        <f>IFERROR(__xludf.DUMMYFUNCTION("""COMPUTED_VALUE"""),"OA")</f>
        <v>OA</v>
      </c>
      <c r="G44" s="239" t="str">
        <f>IFERROR(__xludf.DUMMYFUNCTION("""COMPUTED_VALUE"""),"✅")</f>
        <v>✅</v>
      </c>
      <c r="H44" s="243"/>
      <c r="I44" s="243" t="str">
        <f>IFERROR(__xludf.DUMMYFUNCTION("""COMPUTED_VALUE"""),"CritChance")</f>
        <v>CritChance</v>
      </c>
      <c r="J44" s="243" t="str">
        <f>IFERROR(__xludf.DUMMYFUNCTION("""COMPUTED_VALUE"""),"Increases Critical Hit Chance by X for 4 rounds each time you score a hit (Once per weapon).")</f>
        <v>Increases Critical Hit Chance by X for 4 rounds each time you score a hit (Once per weapon).</v>
      </c>
      <c r="K44" s="255"/>
      <c r="L44" s="255"/>
      <c r="M44" s="255"/>
      <c r="N44" s="255"/>
      <c r="O44" s="255"/>
      <c r="P44" s="255"/>
      <c r="Q44" s="256"/>
      <c r="R44" s="257"/>
      <c r="S44" s="258"/>
      <c r="T44" s="255"/>
      <c r="U44" s="258"/>
      <c r="V44" s="259"/>
    </row>
    <row r="45">
      <c r="A45" s="68"/>
      <c r="B45" s="218"/>
      <c r="C45" s="68"/>
      <c r="D45" s="250" t="str">
        <f>IFERROR(__xludf.DUMMYFUNCTION("""COMPUTED_VALUE"""),"   E")</f>
        <v>E</v>
      </c>
      <c r="E45" s="251" t="str">
        <f>IFERROR(__xludf.DUMMYFUNCTION("""COMPUTED_VALUE"""),"FIVE OF ELEVEN")</f>
        <v>FIVE OF ELEVEN</v>
      </c>
      <c r="F45" s="252" t="str">
        <f>IFERROR(__xludf.DUMMYFUNCTION("""COMPUTED_VALUE"""),"CM")</f>
        <v>CM</v>
      </c>
      <c r="G45" s="253" t="str">
        <f>IFERROR(__xludf.DUMMYFUNCTION("""COMPUTED_VALUE"""),"✅")</f>
        <v>✅</v>
      </c>
      <c r="H45" s="254"/>
      <c r="I45" s="254" t="str">
        <f>IFERROR(__xludf.DUMMYFUNCTION("""COMPUTED_VALUE"""),"AllDefenses")</f>
        <v>AllDefenses</v>
      </c>
      <c r="J45" s="254" t="str">
        <f>IFERROR(__xludf.DUMMYFUNCTION("""COMPUTED_VALUE"""),"Five of Eleven Increases the Shield deflection, Armor and Dodge by X of the total Health of all Officers on the ship.")</f>
        <v>Five of Eleven Increases the Shield deflection, Armor and Dodge by X of the total Health of all Officers on the ship.</v>
      </c>
      <c r="K45" s="255"/>
      <c r="L45" s="255"/>
      <c r="M45" s="255"/>
      <c r="N45" s="255"/>
      <c r="O45" s="255"/>
      <c r="P45" s="255"/>
      <c r="Q45" s="256"/>
      <c r="R45" s="257"/>
      <c r="S45" s="258"/>
      <c r="T45" s="255"/>
      <c r="U45" s="258"/>
      <c r="V45" s="259"/>
    </row>
    <row r="46">
      <c r="A46" s="68"/>
      <c r="B46" s="218"/>
      <c r="C46" s="68"/>
      <c r="D46" s="260" t="str">
        <f>IFERROR(__xludf.DUMMYFUNCTION("""COMPUTED_VALUE"""),"   C")</f>
        <v>C</v>
      </c>
      <c r="E46" s="261" t="str">
        <f>IFERROR(__xludf.DUMMYFUNCTION("""COMPUTED_VALUE"""),"GAILA")</f>
        <v>GAILA</v>
      </c>
      <c r="F46" s="240" t="str">
        <f>IFERROR(__xludf.DUMMYFUNCTION("""COMPUTED_VALUE"""),"CM")</f>
        <v>CM</v>
      </c>
      <c r="G46" s="239" t="str">
        <f>IFERROR(__xludf.DUMMYFUNCTION("""COMPUTED_VALUE"""),"✅")</f>
        <v>✅</v>
      </c>
      <c r="H46" s="243"/>
      <c r="I46" s="243" t="str">
        <f>IFERROR(__xludf.DUMMYFUNCTION("""COMPUTED_VALUE"""),"CombatParsteelReward")</f>
        <v>CombatParsteelReward</v>
      </c>
      <c r="J46" s="243" t="str">
        <f>IFERROR(__xludf.DUMMYFUNCTION("""COMPUTED_VALUE"""),"Gaila increases the Parsteel rewards for defeating a Hostile by X.")</f>
        <v>Gaila increases the Parsteel rewards for defeating a Hostile by X.</v>
      </c>
      <c r="K46" s="255"/>
      <c r="L46" s="255"/>
      <c r="M46" s="255"/>
      <c r="N46" s="255"/>
      <c r="O46" s="255"/>
      <c r="P46" s="255"/>
      <c r="Q46" s="256"/>
      <c r="R46" s="257"/>
      <c r="S46" s="258"/>
      <c r="T46" s="255"/>
      <c r="U46" s="258"/>
      <c r="V46" s="259"/>
    </row>
    <row r="47">
      <c r="A47" s="68"/>
      <c r="B47" s="218"/>
      <c r="C47" s="68"/>
      <c r="D47" s="250" t="str">
        <f>IFERROR(__xludf.DUMMYFUNCTION("""COMPUTED_VALUE"""),"   E")</f>
        <v>E</v>
      </c>
      <c r="E47" s="251" t="str">
        <f>IFERROR(__xludf.DUMMYFUNCTION("""COMPUTED_VALUE"""),"GEORGIOU")</f>
        <v>GEORGIOU</v>
      </c>
      <c r="F47" s="252" t="str">
        <f>IFERROR(__xludf.DUMMYFUNCTION("""COMPUTED_VALUE"""),"OA")</f>
        <v>OA</v>
      </c>
      <c r="G47" s="253" t="str">
        <f>IFERROR(__xludf.DUMMYFUNCTION("""COMPUTED_VALUE"""),"✅")</f>
        <v>✅</v>
      </c>
      <c r="H47" s="254"/>
      <c r="I47" s="254" t="str">
        <f>IFERROR(__xludf.DUMMYFUNCTION("""COMPUTED_VALUE"""),"AddState")</f>
        <v>AddState</v>
      </c>
      <c r="J47" s="254" t="str">
        <f>IFERROR(__xludf.DUMMYFUNCTION("""COMPUTED_VALUE"""),"At the beginning of each round, Georgiou has a X chance of Burning the opponent's ship for 2 rounds.")</f>
        <v>At the beginning of each round, Georgiou has a X chance of Burning the opponent's ship for 2 rounds.</v>
      </c>
      <c r="K47" s="255"/>
      <c r="L47" s="255"/>
      <c r="M47" s="255"/>
      <c r="N47" s="255"/>
      <c r="O47" s="255"/>
      <c r="P47" s="255"/>
      <c r="Q47" s="256"/>
      <c r="R47" s="257"/>
      <c r="S47" s="258"/>
      <c r="T47" s="255"/>
      <c r="U47" s="258"/>
      <c r="V47" s="259"/>
    </row>
    <row r="48">
      <c r="A48" s="68"/>
      <c r="B48" s="218"/>
      <c r="C48" s="68"/>
      <c r="D48" s="260" t="str">
        <f>IFERROR(__xludf.DUMMYFUNCTION("""COMPUTED_VALUE"""),"   E")</f>
        <v>E</v>
      </c>
      <c r="E48" s="261" t="str">
        <f>IFERROR(__xludf.DUMMYFUNCTION("""COMPUTED_VALUE"""),"GORKON")</f>
        <v>GORKON</v>
      </c>
      <c r="F48" s="240" t="str">
        <f>IFERROR(__xludf.DUMMYFUNCTION("""COMPUTED_VALUE"""),"CM")</f>
        <v>CM</v>
      </c>
      <c r="G48" s="239" t="str">
        <f>IFERROR(__xludf.DUMMYFUNCTION("""COMPUTED_VALUE"""),"✅")</f>
        <v>✅</v>
      </c>
      <c r="H48" s="243"/>
      <c r="I48" s="243" t="str">
        <f>IFERROR(__xludf.DUMMYFUNCTION("""COMPUTED_VALUE"""),"CritChance")</f>
        <v>CritChance</v>
      </c>
      <c r="J48" s="243" t="str">
        <f>IFERROR(__xludf.DUMMYFUNCTION("""COMPUTED_VALUE"""),"Gorkon increases the chances of dealing a Critical Hit by  X for the first 2 Rounds.")</f>
        <v>Gorkon increases the chances of dealing a Critical Hit by  X for the first 2 Rounds.</v>
      </c>
      <c r="K48" s="255"/>
      <c r="L48" s="255"/>
      <c r="M48" s="255"/>
      <c r="N48" s="255"/>
      <c r="O48" s="255"/>
      <c r="P48" s="255"/>
      <c r="Q48" s="256"/>
      <c r="R48" s="257"/>
      <c r="S48" s="258"/>
      <c r="T48" s="255"/>
      <c r="U48" s="258"/>
      <c r="V48" s="259"/>
    </row>
    <row r="49">
      <c r="A49" s="68"/>
      <c r="B49" s="104"/>
      <c r="C49" s="68"/>
      <c r="D49" s="250" t="str">
        <f>IFERROR(__xludf.DUMMYFUNCTION("""COMPUTED_VALUE"""),"   E")</f>
        <v>E</v>
      </c>
      <c r="E49" s="251" t="str">
        <f>IFERROR(__xludf.DUMMYFUNCTION("""COMPUTED_VALUE"""),"GORKON")</f>
        <v>GORKON</v>
      </c>
      <c r="F49" s="252" t="str">
        <f>IFERROR(__xludf.DUMMYFUNCTION("""COMPUTED_VALUE"""),"OA")</f>
        <v>OA</v>
      </c>
      <c r="G49" s="253" t="str">
        <f>IFERROR(__xludf.DUMMYFUNCTION("""COMPUTED_VALUE"""),"✅")</f>
        <v>✅</v>
      </c>
      <c r="H49" s="254"/>
      <c r="I49" s="254" t="str">
        <f>IFERROR(__xludf.DUMMYFUNCTION("""COMPUTED_VALUE"""),"AddState")</f>
        <v>AddState</v>
      </c>
      <c r="J49" s="254" t="str">
        <f>IFERROR(__xludf.DUMMYFUNCTION("""COMPUTED_VALUE"""),"When the ship hits the opponent with a Critical Hit, Gorkon has a X chance of causing a Hull Breach for three rounds on the opponent's ship.")</f>
        <v>When the ship hits the opponent with a Critical Hit, Gorkon has a X chance of causing a Hull Breach for three rounds on the opponent's ship.</v>
      </c>
      <c r="K49" s="255"/>
      <c r="L49" s="255"/>
      <c r="M49" s="255"/>
      <c r="N49" s="255"/>
      <c r="O49" s="255"/>
      <c r="P49" s="255"/>
      <c r="Q49" s="256"/>
      <c r="R49" s="257"/>
      <c r="S49" s="258"/>
      <c r="T49" s="255"/>
      <c r="U49" s="258"/>
      <c r="V49" s="259"/>
    </row>
    <row r="50">
      <c r="A50" s="68"/>
      <c r="B50" s="111"/>
      <c r="C50" s="68"/>
      <c r="D50" s="260" t="str">
        <f>IFERROR(__xludf.DUMMYFUNCTION("""COMPUTED_VALUE"""),"   R")</f>
        <v>R</v>
      </c>
      <c r="E50" s="261" t="str">
        <f>IFERROR(__xludf.DUMMYFUNCTION("""COMPUTED_VALUE"""),"GOWRON")</f>
        <v>GOWRON</v>
      </c>
      <c r="F50" s="240" t="str">
        <f>IFERROR(__xludf.DUMMYFUNCTION("""COMPUTED_VALUE"""),"OA")</f>
        <v>OA</v>
      </c>
      <c r="G50" s="239" t="str">
        <f>IFERROR(__xludf.DUMMYFUNCTION("""COMPUTED_VALUE"""),"✅")</f>
        <v>✅</v>
      </c>
      <c r="H50" s="243"/>
      <c r="I50" s="243" t="str">
        <f>IFERROR(__xludf.DUMMYFUNCTION("""COMPUTED_VALUE"""),"Shields")</f>
        <v>Shields</v>
      </c>
      <c r="J50" s="243" t="str">
        <f>IFERROR(__xludf.DUMMYFUNCTION("""COMPUTED_VALUE"""),"Gowron increases the ship's Shield Deflection by X of total Crew Health.")</f>
        <v>Gowron increases the ship's Shield Deflection by X of total Crew Health.</v>
      </c>
      <c r="K50" s="255"/>
      <c r="L50" s="255"/>
      <c r="M50" s="255"/>
      <c r="N50" s="255"/>
      <c r="O50" s="255"/>
      <c r="P50" s="255"/>
      <c r="Q50" s="256"/>
      <c r="R50" s="257"/>
      <c r="S50" s="258"/>
      <c r="T50" s="255"/>
      <c r="U50" s="258"/>
      <c r="V50" s="259"/>
    </row>
    <row r="51">
      <c r="A51" s="68"/>
      <c r="B51" s="111"/>
      <c r="C51" s="68"/>
      <c r="D51" s="250" t="str">
        <f>IFERROR(__xludf.DUMMYFUNCTION("""COMPUTED_VALUE"""),"   E")</f>
        <v>E</v>
      </c>
      <c r="E51" s="251" t="str">
        <f>IFERROR(__xludf.DUMMYFUNCTION("""COMPUTED_VALUE"""),"HONORGUARD WORF")</f>
        <v>HONORGUARD WORF</v>
      </c>
      <c r="F51" s="252" t="str">
        <f>IFERROR(__xludf.DUMMYFUNCTION("""COMPUTED_VALUE"""),"CM")</f>
        <v>CM</v>
      </c>
      <c r="G51" s="253" t="str">
        <f>IFERROR(__xludf.DUMMYFUNCTION("""COMPUTED_VALUE"""),"✅")</f>
        <v>✅</v>
      </c>
      <c r="H51" s="254"/>
      <c r="I51" s="254" t="str">
        <f>IFERROR(__xludf.DUMMYFUNCTION("""COMPUTED_VALUE"""),"ArmorPiercing")</f>
        <v>ArmorPiercing</v>
      </c>
      <c r="J51" s="254" t="str">
        <f>IFERROR(__xludf.DUMMYFUNCTION("""COMPUTED_VALUE"""),"When fighting other players, Honorguard Worf increases the ship's Armor Piercing by X of Crew Attack whenever the ship scores a critical hit.")</f>
        <v>When fighting other players, Honorguard Worf increases the ship's Armor Piercing by X of Crew Attack whenever the ship scores a critical hit.</v>
      </c>
      <c r="K51" s="255"/>
      <c r="L51" s="255"/>
      <c r="M51" s="255"/>
      <c r="N51" s="255"/>
      <c r="O51" s="255"/>
      <c r="P51" s="255"/>
      <c r="Q51" s="256"/>
      <c r="R51" s="257"/>
      <c r="S51" s="258"/>
      <c r="T51" s="255"/>
      <c r="U51" s="258"/>
      <c r="V51" s="259"/>
    </row>
    <row r="52">
      <c r="A52" s="68"/>
      <c r="B52" s="111"/>
      <c r="C52" s="68"/>
      <c r="D52" s="260" t="str">
        <f>IFERROR(__xludf.DUMMYFUNCTION("""COMPUTED_VALUE"""),"   E")</f>
        <v>E</v>
      </c>
      <c r="E52" s="261" t="str">
        <f>IFERROR(__xludf.DUMMYFUNCTION("""COMPUTED_VALUE"""),"HONORGUARD WORF")</f>
        <v>HONORGUARD WORF</v>
      </c>
      <c r="F52" s="240" t="str">
        <f>IFERROR(__xludf.DUMMYFUNCTION("""COMPUTED_VALUE"""),"OA")</f>
        <v>OA</v>
      </c>
      <c r="G52" s="239" t="str">
        <f>IFERROR(__xludf.DUMMYFUNCTION("""COMPUTED_VALUE"""),"✅")</f>
        <v>✅</v>
      </c>
      <c r="H52" s="243"/>
      <c r="I52" s="243" t="str">
        <f>IFERROR(__xludf.DUMMYFUNCTION("""COMPUTED_VALUE"""),"CritChance")</f>
        <v>CritChance</v>
      </c>
      <c r="J52" s="243" t="str">
        <f>IFERROR(__xludf.DUMMYFUNCTION("""COMPUTED_VALUE"""),"For the first 8 rounds of combat against other players, Honorguard Worf increases the Critical Hit Chance of the ship by X.")</f>
        <v>For the first 8 rounds of combat against other players, Honorguard Worf increases the Critical Hit Chance of the ship by X.</v>
      </c>
      <c r="K52" s="255"/>
      <c r="L52" s="255"/>
      <c r="M52" s="255"/>
      <c r="N52" s="255"/>
      <c r="O52" s="255"/>
      <c r="P52" s="255"/>
      <c r="Q52" s="256"/>
      <c r="R52" s="257"/>
      <c r="S52" s="258"/>
      <c r="T52" s="255"/>
      <c r="U52" s="258"/>
      <c r="V52" s="259"/>
    </row>
    <row r="53">
      <c r="A53" s="68"/>
      <c r="B53" s="111"/>
      <c r="C53" s="68"/>
      <c r="D53" s="250" t="str">
        <f>IFERROR(__xludf.DUMMYFUNCTION("""COMPUTED_VALUE"""),"   C")</f>
        <v>C</v>
      </c>
      <c r="E53" s="251" t="str">
        <f>IFERROR(__xludf.DUMMYFUNCTION("""COMPUTED_VALUE"""),"INSTR. SPOCK")</f>
        <v>INSTR. SPOCK</v>
      </c>
      <c r="F53" s="252" t="str">
        <f>IFERROR(__xludf.DUMMYFUNCTION("""COMPUTED_VALUE"""),"CM")</f>
        <v>CM</v>
      </c>
      <c r="G53" s="253" t="str">
        <f>IFERROR(__xludf.DUMMYFUNCTION("""COMPUTED_VALUE"""),"✅")</f>
        <v>✅</v>
      </c>
      <c r="H53" s="254"/>
      <c r="I53" s="254" t="str">
        <f>IFERROR(__xludf.DUMMYFUNCTION("""COMPUTED_VALUE"""),"AllDamage")</f>
        <v>AllDamage</v>
      </c>
      <c r="J53" s="254" t="str">
        <f>IFERROR(__xludf.DUMMYFUNCTION("""COMPUTED_VALUE"""),"Instructor Spock increases the Weapon Damage of the ship by X.")</f>
        <v>Instructor Spock increases the Weapon Damage of the ship by X.</v>
      </c>
      <c r="K53" s="255"/>
      <c r="L53" s="255"/>
      <c r="M53" s="255"/>
      <c r="N53" s="255"/>
      <c r="O53" s="255"/>
      <c r="P53" s="255"/>
      <c r="Q53" s="256"/>
      <c r="R53" s="257"/>
      <c r="S53" s="258"/>
      <c r="T53" s="255"/>
      <c r="U53" s="258"/>
      <c r="V53" s="259"/>
    </row>
    <row r="54">
      <c r="A54" s="68"/>
      <c r="B54" s="111"/>
      <c r="C54" s="68"/>
      <c r="D54" s="260" t="str">
        <f>IFERROR(__xludf.DUMMYFUNCTION("""COMPUTED_VALUE"""),"   C")</f>
        <v>C</v>
      </c>
      <c r="E54" s="261" t="str">
        <f>IFERROR(__xludf.DUMMYFUNCTION("""COMPUTED_VALUE"""),"INSTR. SPOCK")</f>
        <v>INSTR. SPOCK</v>
      </c>
      <c r="F54" s="240" t="str">
        <f>IFERROR(__xludf.DUMMYFUNCTION("""COMPUTED_VALUE"""),"OA")</f>
        <v>OA</v>
      </c>
      <c r="G54" s="239" t="str">
        <f>IFERROR(__xludf.DUMMYFUNCTION("""COMPUTED_VALUE"""),"✅")</f>
        <v>✅</v>
      </c>
      <c r="H54" s="243"/>
      <c r="I54" s="243" t="str">
        <f>IFERROR(__xludf.DUMMYFUNCTION("""COMPUTED_VALUE"""),"AllDefenses")</f>
        <v>AllDefenses</v>
      </c>
      <c r="J54" s="243" t="str">
        <f>IFERROR(__xludf.DUMMYFUNCTION("""COMPUTED_VALUE"""),"Instructor Spock increases the Shield Deflection, Armor and Dodge of the ship by X.")</f>
        <v>Instructor Spock increases the Shield Deflection, Armor and Dodge of the ship by X.</v>
      </c>
      <c r="K54" s="255"/>
      <c r="L54" s="255"/>
      <c r="M54" s="255"/>
      <c r="N54" s="255"/>
      <c r="O54" s="255"/>
      <c r="P54" s="255"/>
      <c r="Q54" s="256"/>
      <c r="R54" s="257"/>
      <c r="S54" s="258"/>
      <c r="T54" s="255"/>
      <c r="U54" s="258"/>
      <c r="V54" s="259"/>
    </row>
    <row r="55">
      <c r="A55" s="68"/>
      <c r="B55" s="126"/>
      <c r="C55" s="68"/>
      <c r="D55" s="250" t="str">
        <f>IFERROR(__xludf.DUMMYFUNCTION("""COMPUTED_VALUE"""),"   U")</f>
        <v>U</v>
      </c>
      <c r="E55" s="251" t="str">
        <f>IFERROR(__xludf.DUMMYFUNCTION("""COMPUTED_VALUE"""),"JAVAID")</f>
        <v>JAVAID</v>
      </c>
      <c r="F55" s="252" t="str">
        <f>IFERROR(__xludf.DUMMYFUNCTION("""COMPUTED_VALUE"""),"CM")</f>
        <v>CM</v>
      </c>
      <c r="G55" s="253" t="str">
        <f>IFERROR(__xludf.DUMMYFUNCTION("""COMPUTED_VALUE"""),"✅")</f>
        <v>✅</v>
      </c>
      <c r="H55" s="254"/>
      <c r="I55" s="254" t="str">
        <f>IFERROR(__xludf.DUMMYFUNCTION("""COMPUTED_VALUE"""),"ShieldPiercing")</f>
        <v>ShieldPiercing</v>
      </c>
      <c r="J55" s="254" t="str">
        <f>IFERROR(__xludf.DUMMYFUNCTION("""COMPUTED_VALUE"""),"Javaid increases the Shield Piercing of the ship by X.")</f>
        <v>Javaid increases the Shield Piercing of the ship by X.</v>
      </c>
      <c r="K55" s="255"/>
      <c r="L55" s="255"/>
      <c r="M55" s="255"/>
      <c r="N55" s="255"/>
      <c r="O55" s="255"/>
      <c r="P55" s="255"/>
      <c r="Q55" s="256"/>
      <c r="R55" s="257"/>
      <c r="S55" s="258"/>
      <c r="T55" s="255"/>
      <c r="U55" s="258"/>
      <c r="V55" s="259"/>
    </row>
    <row r="56">
      <c r="A56" s="68"/>
      <c r="B56" s="128"/>
      <c r="C56" s="68"/>
      <c r="D56" s="260" t="str">
        <f>IFERROR(__xludf.DUMMYFUNCTION("""COMPUTED_VALUE"""),"   E")</f>
        <v>E</v>
      </c>
      <c r="E56" s="261" t="str">
        <f>IFERROR(__xludf.DUMMYFUNCTION("""COMPUTED_VALUE"""),"JEAN-LUC PICARD")</f>
        <v>JEAN-LUC PICARD</v>
      </c>
      <c r="F56" s="240" t="str">
        <f>IFERROR(__xludf.DUMMYFUNCTION("""COMPUTED_VALUE"""),"OA")</f>
        <v>OA</v>
      </c>
      <c r="G56" s="239" t="str">
        <f>IFERROR(__xludf.DUMMYFUNCTION("""COMPUTED_VALUE"""),"✅")</f>
        <v>✅</v>
      </c>
      <c r="H56" s="243"/>
      <c r="I56" s="243" t="str">
        <f>IFERROR(__xludf.DUMMYFUNCTION("""COMPUTED_VALUE"""),"CritDamage")</f>
        <v>CritDamage</v>
      </c>
      <c r="J56" s="243" t="str">
        <f>IFERROR(__xludf.DUMMYFUNCTION("""COMPUTED_VALUE"""),"Jean-Luc Picard increases your Critical Hit Damage by X.")</f>
        <v>Jean-Luc Picard increases your Critical Hit Damage by X.</v>
      </c>
      <c r="K56" s="255"/>
      <c r="L56" s="255"/>
      <c r="M56" s="255"/>
      <c r="N56" s="255"/>
      <c r="O56" s="255"/>
      <c r="P56" s="255"/>
      <c r="Q56" s="256"/>
      <c r="R56" s="257"/>
      <c r="S56" s="258"/>
      <c r="T56" s="255"/>
      <c r="U56" s="258"/>
      <c r="V56" s="259"/>
    </row>
    <row r="57">
      <c r="A57" s="68"/>
      <c r="B57" s="132"/>
      <c r="C57" s="68"/>
      <c r="D57" s="250" t="str">
        <f>IFERROR(__xludf.DUMMYFUNCTION("""COMPUTED_VALUE"""),"   R")</f>
        <v>R</v>
      </c>
      <c r="E57" s="251" t="str">
        <f>IFERROR(__xludf.DUMMYFUNCTION("""COMPUTED_VALUE"""),"JOACHIM")</f>
        <v>JOACHIM</v>
      </c>
      <c r="F57" s="252" t="str">
        <f>IFERROR(__xludf.DUMMYFUNCTION("""COMPUTED_VALUE"""),"CM")</f>
        <v>CM</v>
      </c>
      <c r="G57" s="253" t="str">
        <f>IFERROR(__xludf.DUMMYFUNCTION("""COMPUTED_VALUE"""),"✅")</f>
        <v>✅</v>
      </c>
      <c r="H57" s="254"/>
      <c r="I57" s="254" t="str">
        <f>IFERROR(__xludf.DUMMYFUNCTION("""COMPUTED_VALUE"""),"AllDefenses")</f>
        <v>AllDefenses</v>
      </c>
      <c r="J57" s="254" t="str">
        <f>IFERROR(__xludf.DUMMYFUNCTION("""COMPUTED_VALUE"""),"When attacking a Station, Joachim has X chances of greatly increasing the mitigation of the ship for the first round of combat.")</f>
        <v>When attacking a Station, Joachim has X chances of greatly increasing the mitigation of the ship for the first round of combat.</v>
      </c>
      <c r="K57" s="255"/>
      <c r="L57" s="255"/>
      <c r="M57" s="255"/>
      <c r="N57" s="255"/>
      <c r="O57" s="255"/>
      <c r="P57" s="255"/>
      <c r="Q57" s="256"/>
      <c r="R57" s="257"/>
      <c r="S57" s="258"/>
      <c r="T57" s="255"/>
      <c r="U57" s="258"/>
      <c r="V57" s="259"/>
    </row>
    <row r="58">
      <c r="A58" s="68"/>
      <c r="B58" s="128"/>
      <c r="C58" s="68"/>
      <c r="D58" s="260" t="str">
        <f>IFERROR(__xludf.DUMMYFUNCTION("""COMPUTED_VALUE"""),"   R")</f>
        <v>R</v>
      </c>
      <c r="E58" s="261" t="str">
        <f>IFERROR(__xludf.DUMMYFUNCTION("""COMPUTED_VALUE"""),"JOACHIM")</f>
        <v>JOACHIM</v>
      </c>
      <c r="F58" s="240" t="str">
        <f>IFERROR(__xludf.DUMMYFUNCTION("""COMPUTED_VALUE"""),"OA")</f>
        <v>OA</v>
      </c>
      <c r="G58" s="239" t="str">
        <f>IFERROR(__xludf.DUMMYFUNCTION("""COMPUTED_VALUE"""),"✅")</f>
        <v>✅</v>
      </c>
      <c r="H58" s="243"/>
      <c r="I58" s="243" t="str">
        <f>IFERROR(__xludf.DUMMYFUNCTION("""COMPUTED_VALUE"""),"AllDamage")</f>
        <v>AllDamage</v>
      </c>
      <c r="J58" s="243" t="str">
        <f>IFERROR(__xludf.DUMMYFUNCTION("""COMPUTED_VALUE"""),"When attacking a Station, Joachim decreases the Weapon Damage of all opponent's Ships and Defense Platforms by X")</f>
        <v>When attacking a Station, Joachim decreases the Weapon Damage of all opponent's Ships and Defense Platforms by X</v>
      </c>
      <c r="K58" s="255"/>
      <c r="L58" s="255"/>
      <c r="M58" s="255"/>
      <c r="N58" s="255"/>
      <c r="O58" s="255"/>
      <c r="P58" s="255"/>
      <c r="Q58" s="256"/>
      <c r="R58" s="257"/>
      <c r="S58" s="258"/>
      <c r="T58" s="255"/>
      <c r="U58" s="258"/>
      <c r="V58" s="259"/>
    </row>
    <row r="59">
      <c r="A59" s="68"/>
      <c r="B59" s="128"/>
      <c r="C59" s="68"/>
      <c r="D59" s="250" t="str">
        <f>IFERROR(__xludf.DUMMYFUNCTION("""COMPUTED_VALUE"""),"   E")</f>
        <v>E</v>
      </c>
      <c r="E59" s="251" t="str">
        <f>IFERROR(__xludf.DUMMYFUNCTION("""COMPUTED_VALUE"""),"JONATHAN ARCHER")</f>
        <v>JONATHAN ARCHER</v>
      </c>
      <c r="F59" s="252" t="str">
        <f>IFERROR(__xludf.DUMMYFUNCTION("""COMPUTED_VALUE"""),"OA")</f>
        <v>OA</v>
      </c>
      <c r="G59" s="253" t="str">
        <f>IFERROR(__xludf.DUMMYFUNCTION("""COMPUTED_VALUE"""),"✅")</f>
        <v>✅</v>
      </c>
      <c r="H59" s="254"/>
      <c r="I59" s="254" t="str">
        <f>IFERROR(__xludf.DUMMYFUNCTION("""COMPUTED_VALUE"""),"CritDamage")</f>
        <v>CritDamage</v>
      </c>
      <c r="J59" s="254" t="str">
        <f>IFERROR(__xludf.DUMMYFUNCTION("""COMPUTED_VALUE"""),"When you take damage from a hostile or another player, Jonathan Archer increases your Critical Hit damage by X (X at rank X) for 2 rounds. (This ability can stack) (Does not trigger at Armadas or Assaults) (Weapons with multiple shots will only trigger th"&amp;"is ability once per attack)")</f>
        <v>When you take damage from a hostile or another player, Jonathan Archer increases your Critical Hit damage by X (X at rank X) for 2 rounds. (This ability can stack) (Does not trigger at Armadas or Assaults) (Weapons with multiple shots will only trigger this ability once per attack)</v>
      </c>
      <c r="K59" s="255"/>
      <c r="L59" s="255"/>
      <c r="M59" s="255"/>
      <c r="N59" s="255"/>
      <c r="O59" s="255"/>
      <c r="P59" s="255"/>
      <c r="Q59" s="256"/>
      <c r="R59" s="257"/>
      <c r="S59" s="258"/>
      <c r="T59" s="255"/>
      <c r="U59" s="258"/>
      <c r="V59" s="259"/>
    </row>
    <row r="60">
      <c r="A60" s="68"/>
      <c r="B60" s="128"/>
      <c r="C60" s="68"/>
      <c r="D60" s="260" t="str">
        <f>IFERROR(__xludf.DUMMYFUNCTION("""COMPUTED_VALUE"""),"   E")</f>
        <v>E</v>
      </c>
      <c r="E60" s="261" t="str">
        <f>IFERROR(__xludf.DUMMYFUNCTION("""COMPUTED_VALUE"""),"KANG")</f>
        <v>KANG</v>
      </c>
      <c r="F60" s="240" t="str">
        <f>IFERROR(__xludf.DUMMYFUNCTION("""COMPUTED_VALUE"""),"CM")</f>
        <v>CM</v>
      </c>
      <c r="G60" s="239" t="str">
        <f>IFERROR(__xludf.DUMMYFUNCTION("""COMPUTED_VALUE"""),"✅")</f>
        <v>✅</v>
      </c>
      <c r="H60" s="243"/>
      <c r="I60" s="243" t="str">
        <f>IFERROR(__xludf.DUMMYFUNCTION("""COMPUTED_VALUE"""),"AddState")</f>
        <v>AddState</v>
      </c>
      <c r="J60" s="243" t="str">
        <f>IFERROR(__xludf.DUMMYFUNCTION("""COMPUTED_VALUE"""),"At the start of battle, Kang has a X chance of dealing a Hull Breach to the opponent for 3 rounds.")</f>
        <v>At the start of battle, Kang has a X chance of dealing a Hull Breach to the opponent for 3 rounds.</v>
      </c>
      <c r="K60" s="255"/>
      <c r="L60" s="255"/>
      <c r="M60" s="255"/>
      <c r="N60" s="255"/>
      <c r="O60" s="255"/>
      <c r="P60" s="255"/>
      <c r="Q60" s="256"/>
      <c r="R60" s="257"/>
      <c r="S60" s="258"/>
      <c r="T60" s="255"/>
      <c r="U60" s="258"/>
      <c r="V60" s="259"/>
    </row>
    <row r="61">
      <c r="A61" s="68"/>
      <c r="B61" s="128"/>
      <c r="C61" s="68"/>
      <c r="D61" s="250" t="str">
        <f>IFERROR(__xludf.DUMMYFUNCTION("""COMPUTED_VALUE"""),"   E")</f>
        <v>E</v>
      </c>
      <c r="E61" s="251" t="str">
        <f>IFERROR(__xludf.DUMMYFUNCTION("""COMPUTED_VALUE"""),"KANG")</f>
        <v>KANG</v>
      </c>
      <c r="F61" s="252" t="str">
        <f>IFERROR(__xludf.DUMMYFUNCTION("""COMPUTED_VALUE"""),"OA")</f>
        <v>OA</v>
      </c>
      <c r="G61" s="253" t="str">
        <f>IFERROR(__xludf.DUMMYFUNCTION("""COMPUTED_VALUE"""),"✅")</f>
        <v>✅</v>
      </c>
      <c r="H61" s="254"/>
      <c r="I61" s="254" t="str">
        <f>IFERROR(__xludf.DUMMYFUNCTION("""COMPUTED_VALUE"""),"Accuracy")</f>
        <v>Accuracy</v>
      </c>
      <c r="J61" s="254" t="str">
        <f>IFERROR(__xludf.DUMMYFUNCTION("""COMPUTED_VALUE"""),"At the start of battle, Kang increases the Accuracy of the ship by X of the Attack of the crew on the ship.")</f>
        <v>At the start of battle, Kang increases the Accuracy of the ship by X of the Attack of the crew on the ship.</v>
      </c>
      <c r="K61" s="255"/>
      <c r="L61" s="255"/>
      <c r="M61" s="255"/>
      <c r="N61" s="255"/>
      <c r="O61" s="255"/>
      <c r="P61" s="255"/>
      <c r="Q61" s="256"/>
      <c r="R61" s="257"/>
      <c r="S61" s="258"/>
      <c r="T61" s="255"/>
      <c r="U61" s="258"/>
      <c r="V61" s="259"/>
    </row>
    <row r="62">
      <c r="A62" s="68"/>
      <c r="B62" s="128"/>
      <c r="C62" s="68"/>
      <c r="D62" s="260" t="str">
        <f>IFERROR(__xludf.DUMMYFUNCTION("""COMPUTED_VALUE"""),"   U")</f>
        <v>U</v>
      </c>
      <c r="E62" s="261" t="str">
        <f>IFERROR(__xludf.DUMMYFUNCTION("""COMPUTED_VALUE"""),"KATI")</f>
        <v>KATI</v>
      </c>
      <c r="F62" s="240" t="str">
        <f>IFERROR(__xludf.DUMMYFUNCTION("""COMPUTED_VALUE"""),"CM")</f>
        <v>CM</v>
      </c>
      <c r="G62" s="239" t="str">
        <f>IFERROR(__xludf.DUMMYFUNCTION("""COMPUTED_VALUE"""),"✅")</f>
        <v>✅</v>
      </c>
      <c r="H62" s="243"/>
      <c r="I62" s="243" t="str">
        <f>IFERROR(__xludf.DUMMYFUNCTION("""COMPUTED_VALUE"""),"CritChance")</f>
        <v>CritChance</v>
      </c>
      <c r="J62" s="243" t="str">
        <f>IFERROR(__xludf.DUMMYFUNCTION("""COMPUTED_VALUE"""),"At the start of each round, if the target of the ship is a Defense Platform, Kati increases the Chances of a Critical Hit by X for that round.")</f>
        <v>At the start of each round, if the target of the ship is a Defense Platform, Kati increases the Chances of a Critical Hit by X for that round.</v>
      </c>
      <c r="K62" s="255"/>
      <c r="L62" s="255"/>
      <c r="M62" s="255"/>
      <c r="N62" s="255"/>
      <c r="O62" s="255"/>
      <c r="P62" s="255"/>
      <c r="Q62" s="256"/>
      <c r="R62" s="257"/>
      <c r="S62" s="258"/>
      <c r="T62" s="255"/>
      <c r="U62" s="258"/>
      <c r="V62" s="259"/>
    </row>
    <row r="63">
      <c r="A63" s="68"/>
      <c r="B63" s="128"/>
      <c r="C63" s="68"/>
      <c r="D63" s="250" t="str">
        <f>IFERROR(__xludf.DUMMYFUNCTION("""COMPUTED_VALUE"""),"   U")</f>
        <v>U</v>
      </c>
      <c r="E63" s="251" t="str">
        <f>IFERROR(__xludf.DUMMYFUNCTION("""COMPUTED_VALUE"""),"KATI")</f>
        <v>KATI</v>
      </c>
      <c r="F63" s="252" t="str">
        <f>IFERROR(__xludf.DUMMYFUNCTION("""COMPUTED_VALUE"""),"OA")</f>
        <v>OA</v>
      </c>
      <c r="G63" s="253" t="str">
        <f>IFERROR(__xludf.DUMMYFUNCTION("""COMPUTED_VALUE"""),"✅")</f>
        <v>✅</v>
      </c>
      <c r="H63" s="254"/>
      <c r="I63" s="254" t="str">
        <f>IFERROR(__xludf.DUMMYFUNCTION("""COMPUTED_VALUE"""),"CritDamage")</f>
        <v>CritDamage</v>
      </c>
      <c r="J63" s="254" t="str">
        <f>IFERROR(__xludf.DUMMYFUNCTION("""COMPUTED_VALUE"""),"When attacking a Station, Kati increases the Critical Hit Damage by X.")</f>
        <v>When attacking a Station, Kati increases the Critical Hit Damage by X.</v>
      </c>
      <c r="K63" s="255"/>
      <c r="L63" s="255"/>
      <c r="M63" s="255"/>
      <c r="N63" s="255"/>
      <c r="O63" s="255"/>
      <c r="P63" s="255"/>
      <c r="Q63" s="256"/>
      <c r="R63" s="257"/>
      <c r="S63" s="258"/>
      <c r="T63" s="255"/>
      <c r="U63" s="258"/>
      <c r="V63" s="259"/>
    </row>
    <row r="64">
      <c r="A64" s="68"/>
      <c r="B64" s="132"/>
      <c r="C64" s="68"/>
      <c r="D64" s="260" t="str">
        <f>IFERROR(__xludf.DUMMYFUNCTION("""COMPUTED_VALUE"""),"   R")</f>
        <v>R</v>
      </c>
      <c r="E64" s="261" t="str">
        <f>IFERROR(__xludf.DUMMYFUNCTION("""COMPUTED_VALUE"""),"KEENSER")</f>
        <v>KEENSER</v>
      </c>
      <c r="F64" s="240" t="str">
        <f>IFERROR(__xludf.DUMMYFUNCTION("""COMPUTED_VALUE"""),"CM")</f>
        <v>CM</v>
      </c>
      <c r="G64" s="239" t="str">
        <f>IFERROR(__xludf.DUMMYFUNCTION("""COMPUTED_VALUE"""),"✅")</f>
        <v>✅</v>
      </c>
      <c r="H64" s="243"/>
      <c r="I64" s="243" t="str">
        <f>IFERROR(__xludf.DUMMYFUNCTION("""COMPUTED_VALUE"""),"HullHPMax")</f>
        <v>HullHPMax</v>
      </c>
      <c r="J64" s="243" t="str">
        <f>IFERROR(__xludf.DUMMYFUNCTION("""COMPUTED_VALUE"""),"As long as it is in the Station, Keenser increases the Hull Health of the ship by  X.")</f>
        <v>As long as it is in the Station, Keenser increases the Hull Health of the ship by  X.</v>
      </c>
      <c r="K64" s="255"/>
      <c r="L64" s="255"/>
      <c r="M64" s="255"/>
      <c r="N64" s="255"/>
      <c r="O64" s="255"/>
      <c r="P64" s="255"/>
      <c r="Q64" s="256"/>
      <c r="R64" s="257"/>
      <c r="S64" s="258"/>
      <c r="T64" s="255"/>
      <c r="U64" s="258"/>
      <c r="V64" s="259"/>
    </row>
    <row r="65">
      <c r="A65" s="68"/>
      <c r="B65" s="147"/>
      <c r="C65" s="68"/>
      <c r="D65" s="250" t="str">
        <f>IFERROR(__xludf.DUMMYFUNCTION("""COMPUTED_VALUE"""),"   R")</f>
        <v>R</v>
      </c>
      <c r="E65" s="251" t="str">
        <f>IFERROR(__xludf.DUMMYFUNCTION("""COMPUTED_VALUE"""),"KEENSER")</f>
        <v>KEENSER</v>
      </c>
      <c r="F65" s="252" t="str">
        <f>IFERROR(__xludf.DUMMYFUNCTION("""COMPUTED_VALUE"""),"OA")</f>
        <v>OA</v>
      </c>
      <c r="G65" s="253" t="str">
        <f>IFERROR(__xludf.DUMMYFUNCTION("""COMPUTED_VALUE"""),"✅")</f>
        <v>✅</v>
      </c>
      <c r="H65" s="254"/>
      <c r="I65" s="254" t="str">
        <f>IFERROR(__xludf.DUMMYFUNCTION("""COMPUTED_VALUE"""),"ShieldHPMax")</f>
        <v>ShieldHPMax</v>
      </c>
      <c r="J65" s="254" t="str">
        <f>IFERROR(__xludf.DUMMYFUNCTION("""COMPUTED_VALUE"""),"As long as it is in the station, Keenser increases the Shield Health of the ship by X.")</f>
        <v>As long as it is in the station, Keenser increases the Shield Health of the ship by X.</v>
      </c>
      <c r="K65" s="255"/>
      <c r="L65" s="255"/>
      <c r="M65" s="255"/>
      <c r="N65" s="255"/>
      <c r="O65" s="255"/>
      <c r="P65" s="255"/>
      <c r="Q65" s="256"/>
      <c r="R65" s="257"/>
      <c r="S65" s="258"/>
      <c r="T65" s="255"/>
      <c r="U65" s="258"/>
      <c r="V65" s="259"/>
    </row>
    <row r="66">
      <c r="A66" s="68"/>
      <c r="B66" s="147"/>
      <c r="C66" s="68"/>
      <c r="D66" s="260" t="str">
        <f>IFERROR(__xludf.DUMMYFUNCTION("""COMPUTED_VALUE"""),"   R")</f>
        <v>R</v>
      </c>
      <c r="E66" s="261" t="str">
        <f>IFERROR(__xludf.DUMMYFUNCTION("""COMPUTED_VALUE"""),"KERLA")</f>
        <v>KERLA</v>
      </c>
      <c r="F66" s="240" t="str">
        <f>IFERROR(__xludf.DUMMYFUNCTION("""COMPUTED_VALUE"""),"CM")</f>
        <v>CM</v>
      </c>
      <c r="G66" s="239" t="str">
        <f>IFERROR(__xludf.DUMMYFUNCTION("""COMPUTED_VALUE"""),"✅")</f>
        <v>✅</v>
      </c>
      <c r="H66" s="243"/>
      <c r="I66" s="243" t="str">
        <f>IFERROR(__xludf.DUMMYFUNCTION("""COMPUTED_VALUE"""),"ShipDodge")</f>
        <v>ShipDodge</v>
      </c>
      <c r="J66" s="243" t="str">
        <f>IFERROR(__xludf.DUMMYFUNCTION("""COMPUTED_VALUE"""),"When the shields are depleted during battle, Kerla increases the Dodge of the ship by X.")</f>
        <v>When the shields are depleted during battle, Kerla increases the Dodge of the ship by X.</v>
      </c>
      <c r="K66" s="255"/>
      <c r="L66" s="255"/>
      <c r="M66" s="255"/>
      <c r="N66" s="255"/>
      <c r="O66" s="255"/>
      <c r="P66" s="255"/>
      <c r="Q66" s="256"/>
      <c r="R66" s="257"/>
      <c r="S66" s="258"/>
      <c r="T66" s="255"/>
      <c r="U66" s="258"/>
      <c r="V66" s="259"/>
    </row>
    <row r="67">
      <c r="A67" s="68"/>
      <c r="B67" s="147"/>
      <c r="C67" s="68"/>
      <c r="D67" s="250" t="str">
        <f>IFERROR(__xludf.DUMMYFUNCTION("""COMPUTED_VALUE"""),"   E")</f>
        <v>E</v>
      </c>
      <c r="E67" s="251" t="str">
        <f>IFERROR(__xludf.DUMMYFUNCTION("""COMPUTED_VALUE"""),"KHAN")</f>
        <v>KHAN</v>
      </c>
      <c r="F67" s="252" t="str">
        <f>IFERROR(__xludf.DUMMYFUNCTION("""COMPUTED_VALUE"""),"CM")</f>
        <v>CM</v>
      </c>
      <c r="G67" s="253" t="str">
        <f>IFERROR(__xludf.DUMMYFUNCTION("""COMPUTED_VALUE"""),"✅")</f>
        <v>✅</v>
      </c>
      <c r="H67" s="254"/>
      <c r="I67" s="254" t="str">
        <f>IFERROR(__xludf.DUMMYFUNCTION("""COMPUTED_VALUE"""),"AllDefenses")</f>
        <v>AllDefenses</v>
      </c>
      <c r="J67" s="254" t="str">
        <f>IFERROR(__xludf.DUMMYFUNCTION("""COMPUTED_VALUE"""),"When attacking a Station, Khan has X chances of drastically reducing the mitigation of all opponent's ships and defense platforms for two rounds.")</f>
        <v>When attacking a Station, Khan has X chances of drastically reducing the mitigation of all opponent's ships and defense platforms for two rounds.</v>
      </c>
      <c r="K67" s="255"/>
      <c r="L67" s="255"/>
      <c r="M67" s="255"/>
      <c r="N67" s="255"/>
      <c r="O67" s="255"/>
      <c r="P67" s="255"/>
      <c r="Q67" s="256"/>
      <c r="R67" s="257"/>
      <c r="S67" s="258"/>
      <c r="T67" s="255"/>
      <c r="U67" s="258"/>
      <c r="V67" s="259"/>
    </row>
    <row r="68">
      <c r="A68" s="68"/>
      <c r="B68" s="147"/>
      <c r="C68" s="68"/>
      <c r="D68" s="260" t="str">
        <f>IFERROR(__xludf.DUMMYFUNCTION("""COMPUTED_VALUE"""),"   E")</f>
        <v>E</v>
      </c>
      <c r="E68" s="261" t="str">
        <f>IFERROR(__xludf.DUMMYFUNCTION("""COMPUTED_VALUE"""),"KHAN")</f>
        <v>KHAN</v>
      </c>
      <c r="F68" s="240" t="str">
        <f>IFERROR(__xludf.DUMMYFUNCTION("""COMPUTED_VALUE"""),"OA")</f>
        <v>OA</v>
      </c>
      <c r="G68" s="239" t="str">
        <f>IFERROR(__xludf.DUMMYFUNCTION("""COMPUTED_VALUE"""),"✅")</f>
        <v>✅</v>
      </c>
      <c r="H68" s="243"/>
      <c r="I68" s="243" t="str">
        <f>IFERROR(__xludf.DUMMYFUNCTION("""COMPUTED_VALUE"""),"CritChance")</f>
        <v>CritChance</v>
      </c>
      <c r="J68" s="243" t="str">
        <f>IFERROR(__xludf.DUMMYFUNCTION("""COMPUTED_VALUE"""),"Every time the Ship is hit by a Ship or Defense Platform weapon attack, Khan increases the Critical Hit Chances by X (cumulative). -- (Weapons with multiple shots will only trigger this ability once per attack.)")</f>
        <v>Every time the Ship is hit by a Ship or Defense Platform weapon attack, Khan increases the Critical Hit Chances by X (cumulative). -- (Weapons with multiple shots will only trigger this ability once per attack.)</v>
      </c>
      <c r="K68" s="255"/>
      <c r="L68" s="255"/>
      <c r="M68" s="255"/>
      <c r="N68" s="255"/>
      <c r="O68" s="255"/>
      <c r="P68" s="255"/>
      <c r="Q68" s="256"/>
      <c r="R68" s="257"/>
      <c r="S68" s="258"/>
      <c r="T68" s="255"/>
      <c r="U68" s="258"/>
      <c r="V68" s="259"/>
    </row>
    <row r="69">
      <c r="A69" s="68"/>
      <c r="B69" s="153" t="str">
        <f>'Infos - Start Here!'!B67</f>
        <v/>
      </c>
      <c r="C69" s="68"/>
      <c r="D69" s="250" t="str">
        <f>IFERROR(__xludf.DUMMYFUNCTION("""COMPUTED_VALUE"""),"   R")</f>
        <v>R</v>
      </c>
      <c r="E69" s="251" t="str">
        <f>IFERROR(__xludf.DUMMYFUNCTION("""COMPUTED_VALUE"""),"KIRA NERYS")</f>
        <v>KIRA NERYS</v>
      </c>
      <c r="F69" s="252" t="str">
        <f>IFERROR(__xludf.DUMMYFUNCTION("""COMPUTED_VALUE"""),"BDA")</f>
        <v>BDA</v>
      </c>
      <c r="G69" s="253" t="str">
        <f>IFERROR(__xludf.DUMMYFUNCTION("""COMPUTED_VALUE"""),"✅")</f>
        <v>✅</v>
      </c>
      <c r="H69" s="254"/>
      <c r="I69" s="254" t="str">
        <f>IFERROR(__xludf.DUMMYFUNCTION("""COMPUTED_VALUE"""),"CritChance")</f>
        <v>CritChance</v>
      </c>
      <c r="J69" s="254" t="str">
        <f>IFERROR(__xludf.DUMMYFUNCTION("""COMPUTED_VALUE"""),"Kira Nerys reduces opponent player Critical Hit Chance by X.")</f>
        <v>Kira Nerys reduces opponent player Critical Hit Chance by X.</v>
      </c>
      <c r="K69" s="255"/>
      <c r="L69" s="255"/>
      <c r="M69" s="255"/>
      <c r="N69" s="255"/>
      <c r="O69" s="255"/>
      <c r="P69" s="255"/>
      <c r="Q69" s="256"/>
      <c r="R69" s="257"/>
      <c r="S69" s="258"/>
      <c r="T69" s="255"/>
      <c r="U69" s="258"/>
      <c r="V69" s="259"/>
    </row>
    <row r="70">
      <c r="A70" s="68"/>
      <c r="B70" s="155"/>
      <c r="C70" s="68"/>
      <c r="D70" s="260" t="str">
        <f>IFERROR(__xludf.DUMMYFUNCTION("""COMPUTED_VALUE"""),"   E")</f>
        <v>E</v>
      </c>
      <c r="E70" s="261" t="str">
        <f>IFERROR(__xludf.DUMMYFUNCTION("""COMPUTED_VALUE"""),"KIRK")</f>
        <v>KIRK</v>
      </c>
      <c r="F70" s="240" t="str">
        <f>IFERROR(__xludf.DUMMYFUNCTION("""COMPUTED_VALUE"""),"OA")</f>
        <v>OA</v>
      </c>
      <c r="G70" s="239" t="str">
        <f>IFERROR(__xludf.DUMMYFUNCTION("""COMPUTED_VALUE"""),"✅")</f>
        <v>✅</v>
      </c>
      <c r="H70" s="243"/>
      <c r="I70" s="243" t="str">
        <f>IFERROR(__xludf.DUMMYFUNCTION("""COMPUTED_VALUE"""),"AddState")</f>
        <v>AddState</v>
      </c>
      <c r="J70" s="243" t="str">
        <f>IFERROR(__xludf.DUMMYFUNCTION("""COMPUTED_VALUE"""),"At the beginning of each round, Kirk has a X chance of inspiring Morale to the ship for 2 rounds.")</f>
        <v>At the beginning of each round, Kirk has a X chance of inspiring Morale to the ship for 2 rounds.</v>
      </c>
      <c r="K70" s="255"/>
      <c r="L70" s="255"/>
      <c r="M70" s="255"/>
      <c r="N70" s="255"/>
      <c r="O70" s="255"/>
      <c r="P70" s="255"/>
      <c r="Q70" s="256"/>
      <c r="R70" s="257"/>
      <c r="S70" s="258"/>
      <c r="T70" s="255"/>
      <c r="U70" s="258"/>
      <c r="V70" s="259"/>
    </row>
    <row r="71">
      <c r="A71" s="68"/>
      <c r="B71" s="164"/>
      <c r="C71" s="68"/>
      <c r="D71" s="250" t="str">
        <f>IFERROR(__xludf.DUMMYFUNCTION("""COMPUTED_VALUE"""),"   U")</f>
        <v>U</v>
      </c>
      <c r="E71" s="251" t="str">
        <f>IFERROR(__xludf.DUMMYFUNCTION("""COMPUTED_VALUE"""),"KLAA")</f>
        <v>KLAA</v>
      </c>
      <c r="F71" s="252" t="str">
        <f>IFERROR(__xludf.DUMMYFUNCTION("""COMPUTED_VALUE"""),"OA")</f>
        <v>OA</v>
      </c>
      <c r="G71" s="253" t="str">
        <f>IFERROR(__xludf.DUMMYFUNCTION("""COMPUTED_VALUE"""),"✅")</f>
        <v>✅</v>
      </c>
      <c r="H71" s="254"/>
      <c r="I71" s="254" t="str">
        <f>IFERROR(__xludf.DUMMYFUNCTION("""COMPUTED_VALUE"""),"CritDamage")</f>
        <v>CritDamage</v>
      </c>
      <c r="J71" s="254" t="str">
        <f>IFERROR(__xludf.DUMMYFUNCTION("""COMPUTED_VALUE"""),"Klaa increases the Critical Hit Damage of the ship by X.")</f>
        <v>Klaa increases the Critical Hit Damage of the ship by X.</v>
      </c>
      <c r="K71" s="255"/>
      <c r="L71" s="255"/>
      <c r="M71" s="255"/>
      <c r="N71" s="255"/>
      <c r="O71" s="255"/>
      <c r="P71" s="255"/>
      <c r="Q71" s="256"/>
      <c r="R71" s="257"/>
      <c r="S71" s="258"/>
      <c r="T71" s="255"/>
      <c r="U71" s="258"/>
      <c r="V71" s="259"/>
    </row>
    <row r="72">
      <c r="A72" s="68"/>
      <c r="B72" s="164"/>
      <c r="C72" s="68"/>
      <c r="D72" s="260" t="str">
        <f>IFERROR(__xludf.DUMMYFUNCTION("""COMPUTED_VALUE"""),"   E")</f>
        <v>E</v>
      </c>
      <c r="E72" s="261" t="str">
        <f>IFERROR(__xludf.DUMMYFUNCTION("""COMPUTED_VALUE"""),"KRAS")</f>
        <v>KRAS</v>
      </c>
      <c r="F72" s="240" t="str">
        <f>IFERROR(__xludf.DUMMYFUNCTION("""COMPUTED_VALUE"""),"CM")</f>
        <v>CM</v>
      </c>
      <c r="G72" s="239" t="str">
        <f>IFERROR(__xludf.DUMMYFUNCTION("""COMPUTED_VALUE"""),"✅")</f>
        <v>✅</v>
      </c>
      <c r="H72" s="243"/>
      <c r="I72" s="243" t="str">
        <f>IFERROR(__xludf.DUMMYFUNCTION("""COMPUTED_VALUE"""),"CptManeuverEffect")</f>
        <v>CptManeuverEffect</v>
      </c>
      <c r="J72" s="243" t="str">
        <f>IFERROR(__xludf.DUMMYFUNCTION("""COMPUTED_VALUE"""),"Kras decreases the effectiveness of the opponent's Captain's Maneuver by X.")</f>
        <v>Kras decreases the effectiveness of the opponent's Captain's Maneuver by X.</v>
      </c>
      <c r="K72" s="255"/>
      <c r="L72" s="255"/>
      <c r="M72" s="255"/>
      <c r="N72" s="255"/>
      <c r="O72" s="255"/>
      <c r="P72" s="255"/>
      <c r="Q72" s="256"/>
      <c r="R72" s="257"/>
      <c r="S72" s="258"/>
      <c r="T72" s="255"/>
      <c r="U72" s="258"/>
      <c r="V72" s="259"/>
    </row>
    <row r="73">
      <c r="A73" s="68"/>
      <c r="B73" s="164"/>
      <c r="C73" s="68"/>
      <c r="D73" s="250" t="str">
        <f>IFERROR(__xludf.DUMMYFUNCTION("""COMPUTED_VALUE"""),"   E")</f>
        <v>E</v>
      </c>
      <c r="E73" s="251" t="str">
        <f>IFERROR(__xludf.DUMMYFUNCTION("""COMPUTED_VALUE"""),"KRAS")</f>
        <v>KRAS</v>
      </c>
      <c r="F73" s="252" t="str">
        <f>IFERROR(__xludf.DUMMYFUNCTION("""COMPUTED_VALUE"""),"OA")</f>
        <v>OA</v>
      </c>
      <c r="G73" s="253" t="str">
        <f>IFERROR(__xludf.DUMMYFUNCTION("""COMPUTED_VALUE"""),"✅")</f>
        <v>✅</v>
      </c>
      <c r="H73" s="254"/>
      <c r="I73" s="254" t="str">
        <f>IFERROR(__xludf.DUMMYFUNCTION("""COMPUTED_VALUE"""),"OfficerStatAll")</f>
        <v>OfficerStatAll</v>
      </c>
      <c r="J73" s="254" t="str">
        <f>IFERROR(__xludf.DUMMYFUNCTION("""COMPUTED_VALUE"""),"Kras decreases the Attack, Defense and Health of all the Officers on the Bridge of the opponent's ship by X.")</f>
        <v>Kras decreases the Attack, Defense and Health of all the Officers on the Bridge of the opponent's ship by X.</v>
      </c>
      <c r="K73" s="255"/>
      <c r="L73" s="255"/>
      <c r="M73" s="255"/>
      <c r="N73" s="255"/>
      <c r="O73" s="255"/>
      <c r="P73" s="255"/>
      <c r="Q73" s="256"/>
      <c r="R73" s="257"/>
      <c r="S73" s="258"/>
      <c r="T73" s="255"/>
      <c r="U73" s="258"/>
      <c r="V73" s="259"/>
    </row>
    <row r="74">
      <c r="A74" s="68"/>
      <c r="B74" s="164"/>
      <c r="C74" s="68"/>
      <c r="D74" s="260" t="str">
        <f>IFERROR(__xludf.DUMMYFUNCTION("""COMPUTED_VALUE"""),"   R")</f>
        <v>R</v>
      </c>
      <c r="E74" s="261" t="str">
        <f>IFERROR(__xludf.DUMMYFUNCTION("""COMPUTED_VALUE"""),"KRELL")</f>
        <v>KRELL</v>
      </c>
      <c r="F74" s="240" t="str">
        <f>IFERROR(__xludf.DUMMYFUNCTION("""COMPUTED_VALUE"""),"CM")</f>
        <v>CM</v>
      </c>
      <c r="G74" s="239" t="str">
        <f>IFERROR(__xludf.DUMMYFUNCTION("""COMPUTED_VALUE"""),"✅")</f>
        <v>✅</v>
      </c>
      <c r="H74" s="243"/>
      <c r="I74" s="243" t="str">
        <f>IFERROR(__xludf.DUMMYFUNCTION("""COMPUTED_VALUE"""),"AddState")</f>
        <v>AddState</v>
      </c>
      <c r="J74" s="243" t="str">
        <f>IFERROR(__xludf.DUMMYFUNCTION("""COMPUTED_VALUE"""),"Every time the ship loses Shield Health from a weapon attack, Krell has a X chance of dealing a Hull Breach to the opponent for 1 round. -- (Weapons with multiple shots will only trigger this maneuver once per attack.)")</f>
        <v>Every time the ship loses Shield Health from a weapon attack, Krell has a X chance of dealing a Hull Breach to the opponent for 1 round. -- (Weapons with multiple shots will only trigger this maneuver once per attack.)</v>
      </c>
      <c r="K74" s="255"/>
      <c r="L74" s="255"/>
      <c r="M74" s="255"/>
      <c r="N74" s="255"/>
      <c r="O74" s="255"/>
      <c r="P74" s="255"/>
      <c r="Q74" s="256"/>
      <c r="R74" s="257"/>
      <c r="S74" s="258"/>
      <c r="T74" s="255"/>
      <c r="U74" s="258"/>
      <c r="V74" s="259"/>
    </row>
    <row r="75">
      <c r="A75" s="68"/>
      <c r="B75" s="164"/>
      <c r="C75" s="68"/>
      <c r="D75" s="250" t="str">
        <f>IFERROR(__xludf.DUMMYFUNCTION("""COMPUTED_VALUE"""),"   R")</f>
        <v>R</v>
      </c>
      <c r="E75" s="251" t="str">
        <f>IFERROR(__xludf.DUMMYFUNCTION("""COMPUTED_VALUE"""),"KUMAK")</f>
        <v>KUMAK</v>
      </c>
      <c r="F75" s="252" t="str">
        <f>IFERROR(__xludf.DUMMYFUNCTION("""COMPUTED_VALUE"""),"CM")</f>
        <v>CM</v>
      </c>
      <c r="G75" s="253" t="str">
        <f>IFERROR(__xludf.DUMMYFUNCTION("""COMPUTED_VALUE"""),"✅")</f>
        <v>✅</v>
      </c>
      <c r="H75" s="254"/>
      <c r="I75" s="254" t="str">
        <f>IFERROR(__xludf.DUMMYFUNCTION("""COMPUTED_VALUE"""),"OfficerStatAll")</f>
        <v>OfficerStatAll</v>
      </c>
      <c r="J75" s="254" t="str">
        <f>IFERROR(__xludf.DUMMYFUNCTION("""COMPUTED_VALUE"""),"At the beginning of each round, Kumak increases the stats of all Officers on the ship by X.")</f>
        <v>At the beginning of each round, Kumak increases the stats of all Officers on the ship by X.</v>
      </c>
      <c r="K75" s="255"/>
      <c r="L75" s="255"/>
      <c r="M75" s="255"/>
      <c r="N75" s="255"/>
      <c r="O75" s="255"/>
      <c r="P75" s="255"/>
      <c r="Q75" s="256"/>
      <c r="R75" s="257"/>
      <c r="S75" s="258"/>
      <c r="T75" s="255"/>
      <c r="U75" s="258"/>
      <c r="V75" s="259"/>
    </row>
    <row r="76">
      <c r="A76" s="68"/>
      <c r="B76" s="164"/>
      <c r="C76" s="68"/>
      <c r="D76" s="260" t="str">
        <f>IFERROR(__xludf.DUMMYFUNCTION("""COMPUTED_VALUE"""),"   U")</f>
        <v>U</v>
      </c>
      <c r="E76" s="261" t="str">
        <f>IFERROR(__xludf.DUMMYFUNCTION("""COMPUTED_VALUE"""),"L'NAR")</f>
        <v>L'NAR</v>
      </c>
      <c r="F76" s="240" t="str">
        <f>IFERROR(__xludf.DUMMYFUNCTION("""COMPUTED_VALUE"""),"CM")</f>
        <v>CM</v>
      </c>
      <c r="G76" s="239" t="str">
        <f>IFERROR(__xludf.DUMMYFUNCTION("""COMPUTED_VALUE"""),"✅")</f>
        <v>✅</v>
      </c>
      <c r="H76" s="243"/>
      <c r="I76" s="243" t="str">
        <f>IFERROR(__xludf.DUMMYFUNCTION("""COMPUTED_VALUE"""),"OfficerStatHealth")</f>
        <v>OfficerStatHealth</v>
      </c>
      <c r="J76" s="243" t="str">
        <f>IFERROR(__xludf.DUMMYFUNCTION("""COMPUTED_VALUE"""),"L'Nar increases the Health of the Officers on the Bridge by X.")</f>
        <v>L'Nar increases the Health of the Officers on the Bridge by X.</v>
      </c>
      <c r="K76" s="255"/>
      <c r="L76" s="255"/>
      <c r="M76" s="255"/>
      <c r="N76" s="255"/>
      <c r="O76" s="255"/>
      <c r="P76" s="255"/>
      <c r="Q76" s="256"/>
      <c r="R76" s="257"/>
      <c r="S76" s="258"/>
      <c r="T76" s="255"/>
      <c r="U76" s="258"/>
      <c r="V76" s="259"/>
    </row>
    <row r="77">
      <c r="A77" s="68"/>
      <c r="B77" s="182"/>
      <c r="C77" s="68"/>
      <c r="D77" s="250" t="str">
        <f>IFERROR(__xludf.DUMMYFUNCTION("""COMPUTED_VALUE"""),"   R")</f>
        <v>R</v>
      </c>
      <c r="E77" s="251" t="str">
        <f>IFERROR(__xludf.DUMMYFUNCTION("""COMPUTED_VALUE"""),"LIEUTENANT PICARD")</f>
        <v>LIEUTENANT PICARD</v>
      </c>
      <c r="F77" s="252" t="str">
        <f>IFERROR(__xludf.DUMMYFUNCTION("""COMPUTED_VALUE"""),"OA")</f>
        <v>OA</v>
      </c>
      <c r="G77" s="253" t="str">
        <f>IFERROR(__xludf.DUMMYFUNCTION("""COMPUTED_VALUE"""),"✅")</f>
        <v>✅</v>
      </c>
      <c r="H77" s="254"/>
      <c r="I77" s="254" t="str">
        <f>IFERROR(__xludf.DUMMYFUNCTION("""COMPUTED_VALUE"""),"ShieldHPMax")</f>
        <v>ShieldHPMax</v>
      </c>
      <c r="J77" s="254" t="str">
        <f>IFERROR(__xludf.DUMMYFUNCTION("""COMPUTED_VALUE"""),"+X to the Shield Health")</f>
        <v>+X to the Shield Health</v>
      </c>
      <c r="K77" s="255"/>
      <c r="L77" s="255"/>
      <c r="M77" s="255"/>
      <c r="N77" s="255"/>
      <c r="O77" s="255"/>
      <c r="P77" s="255"/>
      <c r="Q77" s="256"/>
      <c r="R77" s="257"/>
      <c r="S77" s="258"/>
      <c r="T77" s="255"/>
      <c r="U77" s="258"/>
      <c r="V77" s="259"/>
    </row>
    <row r="78">
      <c r="A78" s="68"/>
      <c r="B78" s="184"/>
      <c r="C78" s="68"/>
      <c r="D78" s="260" t="str">
        <f>IFERROR(__xludf.DUMMYFUNCTION("""COMPUTED_VALUE"""),"   U")</f>
        <v>U</v>
      </c>
      <c r="E78" s="261" t="str">
        <f>IFERROR(__xludf.DUMMYFUNCTION("""COMPUTED_VALUE"""),"LINKASA")</f>
        <v>LINKASA</v>
      </c>
      <c r="F78" s="240" t="str">
        <f>IFERROR(__xludf.DUMMYFUNCTION("""COMPUTED_VALUE"""),"CM")</f>
        <v>CM</v>
      </c>
      <c r="G78" s="239" t="str">
        <f>IFERROR(__xludf.DUMMYFUNCTION("""COMPUTED_VALUE"""),"✅")</f>
        <v>✅</v>
      </c>
      <c r="H78" s="243"/>
      <c r="I78" s="243" t="str">
        <f>IFERROR(__xludf.DUMMYFUNCTION("""COMPUTED_VALUE"""),"OfficerStatDefense")</f>
        <v>OfficerStatDefense</v>
      </c>
      <c r="J78" s="243" t="str">
        <f>IFERROR(__xludf.DUMMYFUNCTION("""COMPUTED_VALUE"""),"After winning a battle, Linkasa increases the Defense of all the Officers on the ship by X.")</f>
        <v>After winning a battle, Linkasa increases the Defense of all the Officers on the ship by X.</v>
      </c>
      <c r="K78" s="255"/>
      <c r="L78" s="255"/>
      <c r="M78" s="255"/>
      <c r="N78" s="255"/>
      <c r="O78" s="255"/>
      <c r="P78" s="255"/>
      <c r="Q78" s="256"/>
      <c r="R78" s="257"/>
      <c r="S78" s="258"/>
      <c r="T78" s="255"/>
      <c r="U78" s="258"/>
      <c r="V78" s="259"/>
    </row>
    <row r="79">
      <c r="A79" s="68"/>
      <c r="B79" s="184"/>
      <c r="C79" s="68"/>
      <c r="D79" s="250" t="str">
        <f>IFERROR(__xludf.DUMMYFUNCTION("""COMPUTED_VALUE"""),"   U")</f>
        <v>U</v>
      </c>
      <c r="E79" s="251" t="str">
        <f>IFERROR(__xludf.DUMMYFUNCTION("""COMPUTED_VALUE"""),"LINKASA")</f>
        <v>LINKASA</v>
      </c>
      <c r="F79" s="252" t="str">
        <f>IFERROR(__xludf.DUMMYFUNCTION("""COMPUTED_VALUE"""),"OA")</f>
        <v>OA</v>
      </c>
      <c r="G79" s="253" t="str">
        <f>IFERROR(__xludf.DUMMYFUNCTION("""COMPUTED_VALUE"""),"✅")</f>
        <v>✅</v>
      </c>
      <c r="H79" s="254"/>
      <c r="I79" s="254" t="str">
        <f>IFERROR(__xludf.DUMMYFUNCTION("""COMPUTED_VALUE"""),"ShipArmor")</f>
        <v>ShipArmor</v>
      </c>
      <c r="J79" s="254" t="str">
        <f>IFERROR(__xludf.DUMMYFUNCTION("""COMPUTED_VALUE"""),"At the start of combat, Linkasa increases the Armor of the ship by X of the total Attack of the crew.")</f>
        <v>At the start of combat, Linkasa increases the Armor of the ship by X of the total Attack of the crew.</v>
      </c>
      <c r="K79" s="255"/>
      <c r="L79" s="255"/>
      <c r="M79" s="255"/>
      <c r="N79" s="255"/>
      <c r="O79" s="255"/>
      <c r="P79" s="255"/>
      <c r="Q79" s="256"/>
      <c r="R79" s="257"/>
      <c r="S79" s="258"/>
      <c r="T79" s="255"/>
      <c r="U79" s="258"/>
      <c r="V79" s="259"/>
    </row>
    <row r="80">
      <c r="A80" s="68"/>
      <c r="B80" s="184"/>
      <c r="C80" s="68"/>
      <c r="D80" s="260" t="str">
        <f>IFERROR(__xludf.DUMMYFUNCTION("""COMPUTED_VALUE"""),"   E")</f>
        <v>E</v>
      </c>
      <c r="E80" s="261" t="str">
        <f>IFERROR(__xludf.DUMMYFUNCTION("""COMPUTED_VALUE"""),"LORCA")</f>
        <v>LORCA</v>
      </c>
      <c r="F80" s="240" t="str">
        <f>IFERROR(__xludf.DUMMYFUNCTION("""COMPUTED_VALUE"""),"OA")</f>
        <v>OA</v>
      </c>
      <c r="G80" s="239" t="str">
        <f>IFERROR(__xludf.DUMMYFUNCTION("""COMPUTED_VALUE"""),"✅")</f>
        <v>✅</v>
      </c>
      <c r="H80" s="243"/>
      <c r="I80" s="243" t="str">
        <f>IFERROR(__xludf.DUMMYFUNCTION("""COMPUTED_VALUE"""),"AddState")</f>
        <v>AddState</v>
      </c>
      <c r="J80" s="243" t="str">
        <f>IFERROR(__xludf.DUMMYFUNCTION("""COMPUTED_VALUE"""),"At the beginning of each round, Lorca has a X chance of dealing Hull Breach to the opponent's ship for 2 rounds.")</f>
        <v>At the beginning of each round, Lorca has a X chance of dealing Hull Breach to the opponent's ship for 2 rounds.</v>
      </c>
      <c r="K80" s="255"/>
      <c r="L80" s="255"/>
      <c r="M80" s="255"/>
      <c r="N80" s="255"/>
      <c r="O80" s="255"/>
      <c r="P80" s="255"/>
      <c r="Q80" s="256"/>
      <c r="R80" s="257"/>
      <c r="S80" s="258"/>
      <c r="T80" s="255"/>
      <c r="U80" s="258"/>
      <c r="V80" s="259"/>
    </row>
    <row r="81">
      <c r="A81" s="68"/>
      <c r="B81" s="184"/>
      <c r="C81" s="68"/>
      <c r="D81" s="250" t="str">
        <f>IFERROR(__xludf.DUMMYFUNCTION("""COMPUTED_VALUE"""),"   U")</f>
        <v>U</v>
      </c>
      <c r="E81" s="251" t="str">
        <f>IFERROR(__xludf.DUMMYFUNCTION("""COMPUTED_VALUE"""),"LURSA")</f>
        <v>LURSA</v>
      </c>
      <c r="F81" s="252" t="str">
        <f>IFERROR(__xludf.DUMMYFUNCTION("""COMPUTED_VALUE"""),"OA")</f>
        <v>OA</v>
      </c>
      <c r="G81" s="253" t="str">
        <f>IFERROR(__xludf.DUMMYFUNCTION("""COMPUTED_VALUE"""),"✅")</f>
        <v>✅</v>
      </c>
      <c r="H81" s="254"/>
      <c r="I81" s="254" t="str">
        <f>IFERROR(__xludf.DUMMYFUNCTION("""COMPUTED_VALUE"""),"AllDamage")</f>
        <v>AllDamage</v>
      </c>
      <c r="J81" s="254" t="str">
        <f>IFERROR(__xludf.DUMMYFUNCTION("""COMPUTED_VALUE"""),"When attacking other players, Lursa decreases the opponent's Weapon Damage by X.")</f>
        <v>When attacking other players, Lursa decreases the opponent's Weapon Damage by X.</v>
      </c>
      <c r="K81" s="255"/>
      <c r="L81" s="255"/>
      <c r="M81" s="255"/>
      <c r="N81" s="255"/>
      <c r="O81" s="255"/>
      <c r="P81" s="255"/>
      <c r="Q81" s="256"/>
      <c r="R81" s="257"/>
      <c r="S81" s="258"/>
      <c r="T81" s="255"/>
      <c r="U81" s="258"/>
      <c r="V81" s="259"/>
    </row>
    <row r="82">
      <c r="A82" s="68"/>
      <c r="B82" s="147"/>
      <c r="C82" s="68"/>
      <c r="D82" s="260" t="str">
        <f>IFERROR(__xludf.DUMMYFUNCTION("""COMPUTED_VALUE"""),"   C")</f>
        <v>C</v>
      </c>
      <c r="E82" s="261" t="str">
        <f>IFERROR(__xludf.DUMMYFUNCTION("""COMPUTED_VALUE"""),"M'BENGA")</f>
        <v>M'BENGA</v>
      </c>
      <c r="F82" s="240" t="str">
        <f>IFERROR(__xludf.DUMMYFUNCTION("""COMPUTED_VALUE"""),"CM")</f>
        <v>CM</v>
      </c>
      <c r="G82" s="239" t="str">
        <f>IFERROR(__xludf.DUMMYFUNCTION("""COMPUTED_VALUE"""),"✅")</f>
        <v>✅</v>
      </c>
      <c r="H82" s="243"/>
      <c r="I82" s="243" t="str">
        <f>IFERROR(__xludf.DUMMYFUNCTION("""COMPUTED_VALUE"""),"AllPiercing")</f>
        <v>AllPiercing</v>
      </c>
      <c r="J82" s="243" t="str">
        <f>IFERROR(__xludf.DUMMYFUNCTION("""COMPUTED_VALUE"""),"When defending the Station, M'Benga increases the Armor Piercing, Shield Piercing and Accuracy of the ship by X.")</f>
        <v>When defending the Station, M'Benga increases the Armor Piercing, Shield Piercing and Accuracy of the ship by X.</v>
      </c>
      <c r="K82" s="255"/>
      <c r="L82" s="255"/>
      <c r="M82" s="255"/>
      <c r="N82" s="255"/>
      <c r="O82" s="255"/>
      <c r="P82" s="255"/>
      <c r="Q82" s="256"/>
      <c r="R82" s="257"/>
      <c r="S82" s="258"/>
      <c r="T82" s="255"/>
      <c r="U82" s="258"/>
      <c r="V82" s="259"/>
    </row>
    <row r="83">
      <c r="A83" s="68"/>
      <c r="B83" s="147"/>
      <c r="C83" s="68"/>
      <c r="D83" s="250" t="str">
        <f>IFERROR(__xludf.DUMMYFUNCTION("""COMPUTED_VALUE"""),"   C")</f>
        <v>C</v>
      </c>
      <c r="E83" s="251" t="str">
        <f>IFERROR(__xludf.DUMMYFUNCTION("""COMPUTED_VALUE"""),"M'BENGA")</f>
        <v>M'BENGA</v>
      </c>
      <c r="F83" s="252" t="str">
        <f>IFERROR(__xludf.DUMMYFUNCTION("""COMPUTED_VALUE"""),"OA")</f>
        <v>OA</v>
      </c>
      <c r="G83" s="253" t="str">
        <f>IFERROR(__xludf.DUMMYFUNCTION("""COMPUTED_VALUE"""),"✅")</f>
        <v>✅</v>
      </c>
      <c r="H83" s="254"/>
      <c r="I83" s="254" t="str">
        <f>IFERROR(__xludf.DUMMYFUNCTION("""COMPUTED_VALUE"""),"AllDefenses")</f>
        <v>AllDefenses</v>
      </c>
      <c r="J83" s="254" t="str">
        <f>IFERROR(__xludf.DUMMYFUNCTION("""COMPUTED_VALUE"""),"When defending the station, M'Benga increases Dodge, Armor and Shield Deflection by X.")</f>
        <v>When defending the station, M'Benga increases Dodge, Armor and Shield Deflection by X.</v>
      </c>
      <c r="K83" s="255"/>
      <c r="L83" s="255"/>
      <c r="M83" s="255"/>
      <c r="N83" s="255"/>
      <c r="O83" s="255"/>
      <c r="P83" s="255"/>
      <c r="Q83" s="256"/>
      <c r="R83" s="257"/>
      <c r="S83" s="258"/>
      <c r="T83" s="255"/>
      <c r="U83" s="258"/>
      <c r="V83" s="259"/>
    </row>
    <row r="84">
      <c r="A84" s="68"/>
      <c r="B84" s="147"/>
      <c r="C84" s="68"/>
      <c r="D84" s="260" t="str">
        <f>IFERROR(__xludf.DUMMYFUNCTION("""COMPUTED_VALUE"""),"   U")</f>
        <v>U</v>
      </c>
      <c r="E84" s="261" t="str">
        <f>IFERROR(__xludf.DUMMYFUNCTION("""COMPUTED_VALUE"""),"M'RAL")</f>
        <v>M'RAL</v>
      </c>
      <c r="F84" s="240" t="str">
        <f>IFERROR(__xludf.DUMMYFUNCTION("""COMPUTED_VALUE"""),"CM")</f>
        <v>CM</v>
      </c>
      <c r="G84" s="239" t="str">
        <f>IFERROR(__xludf.DUMMYFUNCTION("""COMPUTED_VALUE"""),"✅")</f>
        <v>✅</v>
      </c>
      <c r="H84" s="243"/>
      <c r="I84" s="243" t="str">
        <f>IFERROR(__xludf.DUMMYFUNCTION("""COMPUTED_VALUE"""),"ArmorPiercing")</f>
        <v>ArmorPiercing</v>
      </c>
      <c r="J84" s="243" t="str">
        <f>IFERROR(__xludf.DUMMYFUNCTION("""COMPUTED_VALUE"""),"M'ral increases the Armor Piercing of the ship by X.")</f>
        <v>M'ral increases the Armor Piercing of the ship by X.</v>
      </c>
      <c r="K84" s="255"/>
      <c r="L84" s="255"/>
      <c r="M84" s="255"/>
      <c r="N84" s="255"/>
      <c r="O84" s="255"/>
      <c r="P84" s="255"/>
      <c r="Q84" s="256"/>
      <c r="R84" s="257"/>
      <c r="S84" s="258"/>
      <c r="T84" s="255"/>
      <c r="U84" s="258"/>
      <c r="V84" s="259"/>
    </row>
    <row r="85">
      <c r="A85" s="68"/>
      <c r="B85" s="147"/>
      <c r="C85" s="68"/>
      <c r="D85" s="250" t="str">
        <f>IFERROR(__xludf.DUMMYFUNCTION("""COMPUTED_VALUE"""),"   U")</f>
        <v>U</v>
      </c>
      <c r="E85" s="251" t="str">
        <f>IFERROR(__xludf.DUMMYFUNCTION("""COMPUTED_VALUE"""),"M'RAL")</f>
        <v>M'RAL</v>
      </c>
      <c r="F85" s="252" t="str">
        <f>IFERROR(__xludf.DUMMYFUNCTION("""COMPUTED_VALUE"""),"OA")</f>
        <v>OA</v>
      </c>
      <c r="G85" s="253" t="str">
        <f>IFERROR(__xludf.DUMMYFUNCTION("""COMPUTED_VALUE"""),"✅")</f>
        <v>✅</v>
      </c>
      <c r="H85" s="254"/>
      <c r="I85" s="254" t="str">
        <f>IFERROR(__xludf.DUMMYFUNCTION("""COMPUTED_VALUE"""),"OfficerStatAttack")</f>
        <v>OfficerStatAttack</v>
      </c>
      <c r="J85" s="254" t="str">
        <f>IFERROR(__xludf.DUMMYFUNCTION("""COMPUTED_VALUE"""),"M'ral increases the total Attack of all Officers on the bridge by X.")</f>
        <v>M'ral increases the total Attack of all Officers on the bridge by X.</v>
      </c>
      <c r="K85" s="255"/>
      <c r="L85" s="255"/>
      <c r="M85" s="255"/>
      <c r="N85" s="255"/>
      <c r="O85" s="255"/>
      <c r="P85" s="255"/>
      <c r="Q85" s="256"/>
      <c r="R85" s="257"/>
      <c r="S85" s="258"/>
      <c r="T85" s="255"/>
      <c r="U85" s="258"/>
      <c r="V85" s="259"/>
    </row>
    <row r="86">
      <c r="A86" s="68"/>
      <c r="B86" s="201"/>
      <c r="C86" s="68"/>
      <c r="D86" s="260" t="str">
        <f>IFERROR(__xludf.DUMMYFUNCTION("""COMPUTED_VALUE"""),"   E")</f>
        <v>E</v>
      </c>
      <c r="E86" s="261" t="str">
        <f>IFERROR(__xludf.DUMMYFUNCTION("""COMPUTED_VALUE"""),"MARCUS")</f>
        <v>MARCUS</v>
      </c>
      <c r="F86" s="240" t="str">
        <f>IFERROR(__xludf.DUMMYFUNCTION("""COMPUTED_VALUE"""),"OA")</f>
        <v>OA</v>
      </c>
      <c r="G86" s="239" t="str">
        <f>IFERROR(__xludf.DUMMYFUNCTION("""COMPUTED_VALUE"""),"✅")</f>
        <v>✅</v>
      </c>
      <c r="H86" s="243"/>
      <c r="I86" s="243" t="str">
        <f>IFERROR(__xludf.DUMMYFUNCTION("""COMPUTED_VALUE"""),"ShieldPiercing")</f>
        <v>ShieldPiercing</v>
      </c>
      <c r="J86" s="243" t="str">
        <f>IFERROR(__xludf.DUMMYFUNCTION("""COMPUTED_VALUE"""),"At the start of battle, Alexander Marcus increases the Shield Piercing of the ship by X of the Defense of the crew on the ship.")</f>
        <v>At the start of battle, Alexander Marcus increases the Shield Piercing of the ship by X of the Defense of the crew on the ship.</v>
      </c>
      <c r="K86" s="255"/>
      <c r="L86" s="255"/>
      <c r="M86" s="255"/>
      <c r="N86" s="255"/>
      <c r="O86" s="255"/>
      <c r="P86" s="255"/>
      <c r="Q86" s="256"/>
      <c r="R86" s="257"/>
      <c r="S86" s="258"/>
      <c r="T86" s="255"/>
      <c r="U86" s="258"/>
      <c r="V86" s="259"/>
    </row>
    <row r="87">
      <c r="A87" s="68"/>
      <c r="B87" s="201"/>
      <c r="C87" s="68"/>
      <c r="D87" s="250" t="str">
        <f>IFERROR(__xludf.DUMMYFUNCTION("""COMPUTED_VALUE"""),"   R")</f>
        <v>R</v>
      </c>
      <c r="E87" s="251" t="str">
        <f>IFERROR(__xludf.DUMMYFUNCTION("""COMPUTED_VALUE"""),"MARLA")</f>
        <v>MARLA</v>
      </c>
      <c r="F87" s="252" t="str">
        <f>IFERROR(__xludf.DUMMYFUNCTION("""COMPUTED_VALUE"""),"OA")</f>
        <v>OA</v>
      </c>
      <c r="G87" s="253" t="str">
        <f>IFERROR(__xludf.DUMMYFUNCTION("""COMPUTED_VALUE"""),"✅")</f>
        <v>✅</v>
      </c>
      <c r="H87" s="254"/>
      <c r="I87" s="254" t="str">
        <f>IFERROR(__xludf.DUMMYFUNCTION("""COMPUTED_VALUE"""),"OfficerStatAll")</f>
        <v>OfficerStatAll</v>
      </c>
      <c r="J87" s="254" t="str">
        <f>IFERROR(__xludf.DUMMYFUNCTION("""COMPUTED_VALUE"""),"Marla increases the Attack, Defense and Health of the captain by X")</f>
        <v>Marla increases the Attack, Defense and Health of the captain by X</v>
      </c>
      <c r="K87" s="255"/>
      <c r="L87" s="255"/>
      <c r="M87" s="255"/>
      <c r="N87" s="255"/>
      <c r="O87" s="255"/>
      <c r="P87" s="255"/>
      <c r="Q87" s="256"/>
      <c r="R87" s="257"/>
      <c r="S87" s="258"/>
      <c r="T87" s="255"/>
      <c r="U87" s="258"/>
      <c r="V87" s="259"/>
    </row>
    <row r="88">
      <c r="A88" s="68"/>
      <c r="B88" s="201"/>
      <c r="C88" s="68"/>
      <c r="D88" s="260" t="str">
        <f>IFERROR(__xludf.DUMMYFUNCTION("""COMPUTED_VALUE"""),"   R")</f>
        <v>R</v>
      </c>
      <c r="E88" s="261" t="str">
        <f>IFERROR(__xludf.DUMMYFUNCTION("""COMPUTED_VALUE"""),"MARTOK")</f>
        <v>MARTOK</v>
      </c>
      <c r="F88" s="240" t="str">
        <f>IFERROR(__xludf.DUMMYFUNCTION("""COMPUTED_VALUE"""),"OA")</f>
        <v>OA</v>
      </c>
      <c r="G88" s="239" t="str">
        <f>IFERROR(__xludf.DUMMYFUNCTION("""COMPUTED_VALUE"""),"✅")</f>
        <v>✅</v>
      </c>
      <c r="H88" s="243"/>
      <c r="I88" s="243" t="str">
        <f>IFERROR(__xludf.DUMMYFUNCTION("""COMPUTED_VALUE"""),"ShipDodge")</f>
        <v>ShipDodge</v>
      </c>
      <c r="J88" s="243" t="str">
        <f>IFERROR(__xludf.DUMMYFUNCTION("""COMPUTED_VALUE"""),"Martok increases the ship's Dodge by X of total Crew Defense.")</f>
        <v>Martok increases the ship's Dodge by X of total Crew Defense.</v>
      </c>
      <c r="K88" s="255"/>
      <c r="L88" s="255"/>
      <c r="M88" s="255"/>
      <c r="N88" s="255"/>
      <c r="O88" s="255"/>
      <c r="P88" s="255"/>
      <c r="Q88" s="256"/>
      <c r="R88" s="257"/>
      <c r="S88" s="258"/>
      <c r="T88" s="255"/>
      <c r="U88" s="258"/>
      <c r="V88" s="259"/>
    </row>
    <row r="89">
      <c r="A89" s="68"/>
      <c r="B89" s="128"/>
      <c r="C89" s="68"/>
      <c r="D89" s="250" t="str">
        <f>IFERROR(__xludf.DUMMYFUNCTION("""COMPUTED_VALUE"""),"   E")</f>
        <v>E</v>
      </c>
      <c r="E89" s="251" t="str">
        <f>IFERROR(__xludf.DUMMYFUNCTION("""COMPUTED_VALUE"""),"MICHAEL BURNHAM")</f>
        <v>MICHAEL BURNHAM</v>
      </c>
      <c r="F89" s="252" t="str">
        <f>IFERROR(__xludf.DUMMYFUNCTION("""COMPUTED_VALUE"""),"OA")</f>
        <v>OA</v>
      </c>
      <c r="G89" s="253" t="str">
        <f>IFERROR(__xludf.DUMMYFUNCTION("""COMPUTED_VALUE"""),"✅")</f>
        <v>✅</v>
      </c>
      <c r="H89" s="254"/>
      <c r="I89" s="254" t="str">
        <f>IFERROR(__xludf.DUMMYFUNCTION("""COMPUTED_VALUE"""),"ShieldHPRepair")</f>
        <v>ShieldHPRepair</v>
      </c>
      <c r="J89" s="254" t="str">
        <f>IFERROR(__xludf.DUMMYFUNCTION("""COMPUTED_VALUE"""),"When fighting players, for each weapon attack that hits the opponent, Michael Burnham removes X of the total Attack of all Officers on your Ship from the opponent's Shield Health. -- (Weapons with multiple shots will only trigger this ability once per att"&amp;"ack.)")</f>
        <v>When fighting players, for each weapon attack that hits the opponent, Michael Burnham removes X of the total Attack of all Officers on your Ship from the opponent's Shield Health. -- (Weapons with multiple shots will only trigger this ability once per attack.)</v>
      </c>
      <c r="K89" s="255"/>
      <c r="L89" s="255"/>
      <c r="M89" s="255"/>
      <c r="N89" s="255"/>
      <c r="O89" s="255"/>
      <c r="P89" s="255"/>
      <c r="Q89" s="256"/>
      <c r="R89" s="257"/>
      <c r="S89" s="258"/>
      <c r="T89" s="255"/>
      <c r="U89" s="258"/>
      <c r="V89" s="259"/>
    </row>
    <row r="90">
      <c r="A90" s="68"/>
      <c r="B90" s="214"/>
      <c r="C90" s="68"/>
      <c r="D90" s="260" t="str">
        <f>IFERROR(__xludf.DUMMYFUNCTION("""COMPUTED_VALUE"""),"   R")</f>
        <v>R</v>
      </c>
      <c r="E90" s="261" t="str">
        <f>IFERROR(__xludf.DUMMYFUNCTION("""COMPUTED_VALUE"""),"MIREK")</f>
        <v>MIREK</v>
      </c>
      <c r="F90" s="240" t="str">
        <f>IFERROR(__xludf.DUMMYFUNCTION("""COMPUTED_VALUE"""),"CM")</f>
        <v>CM</v>
      </c>
      <c r="G90" s="239" t="str">
        <f>IFERROR(__xludf.DUMMYFUNCTION("""COMPUTED_VALUE"""),"✅")</f>
        <v>✅</v>
      </c>
      <c r="H90" s="243"/>
      <c r="I90" s="243" t="str">
        <f>IFERROR(__xludf.DUMMYFUNCTION("""COMPUTED_VALUE"""),"AddState")</f>
        <v>AddState</v>
      </c>
      <c r="J90" s="243" t="str">
        <f>IFERROR(__xludf.DUMMYFUNCTION("""COMPUTED_VALUE"""),"Every time the ship gets hit by a weapon attack, Mirek has a X chance of Burning the opponent's ship for 1 round. -- (Weapons with multiple shots will only trigger this maneuver once per attack.)")</f>
        <v>Every time the ship gets hit by a weapon attack, Mirek has a X chance of Burning the opponent's ship for 1 round. -- (Weapons with multiple shots will only trigger this maneuver once per attack.)</v>
      </c>
      <c r="K90" s="255"/>
      <c r="L90" s="255"/>
      <c r="M90" s="255"/>
      <c r="N90" s="255"/>
      <c r="O90" s="255"/>
      <c r="P90" s="255"/>
      <c r="Q90" s="256"/>
      <c r="R90" s="257"/>
      <c r="S90" s="258"/>
      <c r="T90" s="255"/>
      <c r="U90" s="258"/>
      <c r="V90" s="259"/>
    </row>
    <row r="91">
      <c r="A91" s="68"/>
      <c r="B91" s="218"/>
      <c r="C91" s="68"/>
      <c r="D91" s="250" t="str">
        <f>IFERROR(__xludf.DUMMYFUNCTION("""COMPUTED_VALUE"""),"   R")</f>
        <v>R</v>
      </c>
      <c r="E91" s="251" t="str">
        <f>IFERROR(__xludf.DUMMYFUNCTION("""COMPUTED_VALUE"""),"MIRROR DATA")</f>
        <v>MIRROR DATA</v>
      </c>
      <c r="F91" s="252" t="str">
        <f>IFERROR(__xludf.DUMMYFUNCTION("""COMPUTED_VALUE"""),"OA")</f>
        <v>OA</v>
      </c>
      <c r="G91" s="253" t="str">
        <f>IFERROR(__xludf.DUMMYFUNCTION("""COMPUTED_VALUE"""),"✅")</f>
        <v>✅</v>
      </c>
      <c r="H91" s="254"/>
      <c r="I91" s="254" t="str">
        <f>IFERROR(__xludf.DUMMYFUNCTION("""COMPUTED_VALUE"""),"AddState")</f>
        <v>AddState</v>
      </c>
      <c r="J91" s="254" t="str">
        <f>IFERROR(__xludf.DUMMYFUNCTION("""COMPUTED_VALUE"""),"On round start against players, Mirror Data has X (X at rank X) chance to apply Assimilate to them for 2 rounds. -- While a ship is affected by the Assimilate state, Officer Abilities have their effectiveness reduced by 25%.")</f>
        <v>On round start against players, Mirror Data has X (X at rank X) chance to apply Assimilate to them for 2 rounds. -- While a ship is affected by the Assimilate state, Officer Abilities have their effectiveness reduced by 25%.</v>
      </c>
      <c r="K91" s="255"/>
      <c r="L91" s="255"/>
      <c r="M91" s="255"/>
      <c r="N91" s="255"/>
      <c r="O91" s="255"/>
      <c r="P91" s="255"/>
      <c r="Q91" s="256"/>
      <c r="R91" s="257"/>
      <c r="S91" s="258"/>
      <c r="T91" s="255"/>
      <c r="U91" s="258"/>
      <c r="V91" s="259"/>
    </row>
    <row r="92">
      <c r="A92" s="68"/>
      <c r="B92" s="218"/>
      <c r="C92" s="68"/>
      <c r="D92" s="260" t="str">
        <f>IFERROR(__xludf.DUMMYFUNCTION("""COMPUTED_VALUE"""),"   E")</f>
        <v>E</v>
      </c>
      <c r="E92" s="261" t="str">
        <f>IFERROR(__xludf.DUMMYFUNCTION("""COMPUTED_VALUE"""),"MIRROR PICARD")</f>
        <v>MIRROR PICARD</v>
      </c>
      <c r="F92" s="240" t="str">
        <f>IFERROR(__xludf.DUMMYFUNCTION("""COMPUTED_VALUE"""),"CM")</f>
        <v>CM</v>
      </c>
      <c r="G92" s="239" t="str">
        <f>IFERROR(__xludf.DUMMYFUNCTION("""COMPUTED_VALUE"""),"✅")</f>
        <v>✅</v>
      </c>
      <c r="H92" s="243"/>
      <c r="I92" s="243" t="str">
        <f>IFERROR(__xludf.DUMMYFUNCTION("""COMPUTED_VALUE"""),"IsolyticDamage")</f>
        <v>IsolyticDamage</v>
      </c>
      <c r="J92" s="243" t="str">
        <f>IFERROR(__xludf.DUMMYFUNCTION("""COMPUTED_VALUE"""),"On round start against players, Mirror Picard increases your Isolytic Cascade damage by X for 2 rounds. -- Isolytic Cascade multiplies your total damage, including Isolytic Damage, and all research and other bonuses.")</f>
        <v>On round start against players, Mirror Picard increases your Isolytic Cascade damage by X for 2 rounds. -- Isolytic Cascade multiplies your total damage, including Isolytic Damage, and all research and other bonuses.</v>
      </c>
      <c r="K92" s="255"/>
      <c r="L92" s="255"/>
      <c r="M92" s="255"/>
      <c r="N92" s="255"/>
      <c r="O92" s="255"/>
      <c r="P92" s="255"/>
      <c r="Q92" s="256"/>
      <c r="R92" s="257"/>
      <c r="S92" s="258"/>
      <c r="T92" s="255"/>
      <c r="U92" s="258"/>
      <c r="V92" s="259"/>
    </row>
    <row r="93">
      <c r="A93" s="68"/>
      <c r="B93" s="218"/>
      <c r="C93" s="68"/>
      <c r="D93" s="250" t="str">
        <f>IFERROR(__xludf.DUMMYFUNCTION("""COMPUTED_VALUE"""),"   E")</f>
        <v>E</v>
      </c>
      <c r="E93" s="251" t="str">
        <f>IFERROR(__xludf.DUMMYFUNCTION("""COMPUTED_VALUE"""),"MITCHELL")</f>
        <v>MITCHELL</v>
      </c>
      <c r="F93" s="252" t="str">
        <f>IFERROR(__xludf.DUMMYFUNCTION("""COMPUTED_VALUE"""),"CM")</f>
        <v>CM</v>
      </c>
      <c r="G93" s="253" t="str">
        <f>IFERROR(__xludf.DUMMYFUNCTION("""COMPUTED_VALUE"""),"✅")</f>
        <v>✅</v>
      </c>
      <c r="H93" s="254"/>
      <c r="I93" s="254" t="str">
        <f>IFERROR(__xludf.DUMMYFUNCTION("""COMPUTED_VALUE"""),"OfficerStatAll")</f>
        <v>OfficerStatAll</v>
      </c>
      <c r="J93" s="254" t="str">
        <f>IFERROR(__xludf.DUMMYFUNCTION("""COMPUTED_VALUE"""),"Mitchell increases the Stats of all Officers on Board by X when defending the Station.")</f>
        <v>Mitchell increases the Stats of all Officers on Board by X when defending the Station.</v>
      </c>
      <c r="K93" s="255"/>
      <c r="L93" s="255"/>
      <c r="M93" s="255"/>
      <c r="N93" s="255"/>
      <c r="O93" s="255"/>
      <c r="P93" s="255"/>
      <c r="Q93" s="256"/>
      <c r="R93" s="257"/>
      <c r="S93" s="258"/>
      <c r="T93" s="255"/>
      <c r="U93" s="258"/>
      <c r="V93" s="259"/>
    </row>
    <row r="94">
      <c r="A94" s="68"/>
      <c r="B94" s="218"/>
      <c r="C94" s="68"/>
      <c r="D94" s="260" t="str">
        <f>IFERROR(__xludf.DUMMYFUNCTION("""COMPUTED_VALUE"""),"   E")</f>
        <v>E</v>
      </c>
      <c r="E94" s="261" t="str">
        <f>IFERROR(__xludf.DUMMYFUNCTION("""COMPUTED_VALUE"""),"MITCHELL")</f>
        <v>MITCHELL</v>
      </c>
      <c r="F94" s="240" t="str">
        <f>IFERROR(__xludf.DUMMYFUNCTION("""COMPUTED_VALUE"""),"OA")</f>
        <v>OA</v>
      </c>
      <c r="G94" s="239" t="str">
        <f>IFERROR(__xludf.DUMMYFUNCTION("""COMPUTED_VALUE"""),"✅")</f>
        <v>✅</v>
      </c>
      <c r="H94" s="243"/>
      <c r="I94" s="243" t="str">
        <f>IFERROR(__xludf.DUMMYFUNCTION("""COMPUTED_VALUE"""),"AllDamage")</f>
        <v>AllDamage</v>
      </c>
      <c r="J94" s="243" t="str">
        <f>IFERROR(__xludf.DUMMYFUNCTION("""COMPUTED_VALUE"""),"When getting hit by a Critical Hit, Mitchell increases the ship Weapon Damage by X for one round.")</f>
        <v>When getting hit by a Critical Hit, Mitchell increases the ship Weapon Damage by X for one round.</v>
      </c>
      <c r="K94" s="255"/>
      <c r="L94" s="255"/>
      <c r="M94" s="255"/>
      <c r="N94" s="255"/>
      <c r="O94" s="255"/>
      <c r="P94" s="255"/>
      <c r="Q94" s="256"/>
      <c r="R94" s="257"/>
      <c r="S94" s="258"/>
      <c r="T94" s="255"/>
      <c r="U94" s="258"/>
      <c r="V94" s="259"/>
    </row>
    <row r="95">
      <c r="A95" s="68"/>
      <c r="B95" s="218"/>
      <c r="C95" s="68"/>
      <c r="D95" s="250" t="str">
        <f>IFERROR(__xludf.DUMMYFUNCTION("""COMPUTED_VALUE"""),"   R")</f>
        <v>R</v>
      </c>
      <c r="E95" s="251" t="str">
        <f>IFERROR(__xludf.DUMMYFUNCTION("""COMPUTED_VALUE"""),"MOREAU")</f>
        <v>MOREAU</v>
      </c>
      <c r="F95" s="252" t="str">
        <f>IFERROR(__xludf.DUMMYFUNCTION("""COMPUTED_VALUE"""),"CM")</f>
        <v>CM</v>
      </c>
      <c r="G95" s="253" t="str">
        <f>IFERROR(__xludf.DUMMYFUNCTION("""COMPUTED_VALUE"""),"✅")</f>
        <v>✅</v>
      </c>
      <c r="H95" s="254"/>
      <c r="I95" s="254" t="str">
        <f>IFERROR(__xludf.DUMMYFUNCTION("""COMPUTED_VALUE"""),"ShieldHPRepair")</f>
        <v>ShieldHPRepair</v>
      </c>
      <c r="J95" s="254" t="str">
        <f>IFERROR(__xludf.DUMMYFUNCTION("""COMPUTED_VALUE"""),"After winning a battle, Moreau heals the Shield Health by X.")</f>
        <v>After winning a battle, Moreau heals the Shield Health by X.</v>
      </c>
      <c r="K95" s="255"/>
      <c r="L95" s="255"/>
      <c r="M95" s="255"/>
      <c r="N95" s="255"/>
      <c r="O95" s="255"/>
      <c r="P95" s="255"/>
      <c r="Q95" s="256"/>
      <c r="R95" s="257"/>
      <c r="S95" s="258"/>
      <c r="T95" s="255"/>
      <c r="U95" s="258"/>
      <c r="V95" s="259"/>
    </row>
    <row r="96">
      <c r="A96" s="68"/>
      <c r="B96" s="104"/>
      <c r="C96" s="68"/>
      <c r="D96" s="260" t="str">
        <f>IFERROR(__xludf.DUMMYFUNCTION("""COMPUTED_VALUE"""),"   E")</f>
        <v>E</v>
      </c>
      <c r="E96" s="261" t="str">
        <f>IFERROR(__xludf.DUMMYFUNCTION("""COMPUTED_VALUE"""),"NERO")</f>
        <v>NERO</v>
      </c>
      <c r="F96" s="240" t="str">
        <f>IFERROR(__xludf.DUMMYFUNCTION("""COMPUTED_VALUE"""),"OA")</f>
        <v>OA</v>
      </c>
      <c r="G96" s="239" t="str">
        <f>IFERROR(__xludf.DUMMYFUNCTION("""COMPUTED_VALUE"""),"✅")</f>
        <v>✅</v>
      </c>
      <c r="H96" s="243"/>
      <c r="I96" s="243" t="str">
        <f>IFERROR(__xludf.DUMMYFUNCTION("""COMPUTED_VALUE"""),"AddState")</f>
        <v>AddState</v>
      </c>
      <c r="J96" s="243" t="str">
        <f>IFERROR(__xludf.DUMMYFUNCTION("""COMPUTED_VALUE"""),"Every time the ship strikes the opponent with a weapon attack, Nero has a X chance of Burning it for two rounds.")</f>
        <v>Every time the ship strikes the opponent with a weapon attack, Nero has a X chance of Burning it for two rounds.</v>
      </c>
      <c r="K96" s="255"/>
      <c r="L96" s="255"/>
      <c r="M96" s="255"/>
      <c r="N96" s="255"/>
      <c r="O96" s="255"/>
      <c r="P96" s="255"/>
      <c r="Q96" s="256"/>
      <c r="R96" s="257"/>
      <c r="S96" s="258"/>
      <c r="T96" s="255"/>
      <c r="U96" s="258"/>
      <c r="V96" s="259"/>
    </row>
    <row r="97">
      <c r="A97" s="68"/>
      <c r="B97" s="111"/>
      <c r="C97" s="68"/>
      <c r="D97" s="250" t="str">
        <f>IFERROR(__xludf.DUMMYFUNCTION("""COMPUTED_VALUE"""),"   C")</f>
        <v>C</v>
      </c>
      <c r="E97" s="251" t="str">
        <f>IFERROR(__xludf.DUMMYFUNCTION("""COMPUTED_VALUE"""),"NEXT GEN CRUSHER")</f>
        <v>NEXT GEN CRUSHER</v>
      </c>
      <c r="F97" s="252" t="str">
        <f>IFERROR(__xludf.DUMMYFUNCTION("""COMPUTED_VALUE"""),"CM")</f>
        <v>CM</v>
      </c>
      <c r="G97" s="253" t="str">
        <f>IFERROR(__xludf.DUMMYFUNCTION("""COMPUTED_VALUE"""),"✅")</f>
        <v>✅</v>
      </c>
      <c r="H97" s="254"/>
      <c r="I97" s="254" t="str">
        <f>IFERROR(__xludf.DUMMYFUNCTION("""COMPUTED_VALUE"""),"OfficerStatHealth")</f>
        <v>OfficerStatHealth</v>
      </c>
      <c r="J97" s="254" t="str">
        <f>IFERROR(__xludf.DUMMYFUNCTION("""COMPUTED_VALUE"""),"Next Gen Crusher increases the Health of all Officers on the ship by X.")</f>
        <v>Next Gen Crusher increases the Health of all Officers on the ship by X.</v>
      </c>
      <c r="K97" s="255"/>
      <c r="L97" s="255"/>
      <c r="M97" s="255"/>
      <c r="N97" s="255"/>
      <c r="O97" s="255"/>
      <c r="P97" s="255"/>
      <c r="Q97" s="256"/>
      <c r="R97" s="257"/>
      <c r="S97" s="258"/>
      <c r="T97" s="255"/>
      <c r="U97" s="258"/>
      <c r="V97" s="259"/>
    </row>
    <row r="98">
      <c r="A98" s="68"/>
      <c r="B98" s="111"/>
      <c r="C98" s="68"/>
      <c r="D98" s="260" t="str">
        <f>IFERROR(__xludf.DUMMYFUNCTION("""COMPUTED_VALUE"""),"   C")</f>
        <v>C</v>
      </c>
      <c r="E98" s="261" t="str">
        <f>IFERROR(__xludf.DUMMYFUNCTION("""COMPUTED_VALUE"""),"NEXT GEN CRUSHER")</f>
        <v>NEXT GEN CRUSHER</v>
      </c>
      <c r="F98" s="240" t="str">
        <f>IFERROR(__xludf.DUMMYFUNCTION("""COMPUTED_VALUE"""),"OA")</f>
        <v>OA</v>
      </c>
      <c r="G98" s="239" t="str">
        <f>IFERROR(__xludf.DUMMYFUNCTION("""COMPUTED_VALUE"""),"✅")</f>
        <v>✅</v>
      </c>
      <c r="H98" s="243"/>
      <c r="I98" s="243" t="str">
        <f>IFERROR(__xludf.DUMMYFUNCTION("""COMPUTED_VALUE"""),"CptManeuverEffect")</f>
        <v>CptManeuverEffect</v>
      </c>
      <c r="J98" s="243" t="str">
        <f>IFERROR(__xludf.DUMMYFUNCTION("""COMPUTED_VALUE"""),"During combat, Next Gen Crusher increases the effectiveness of the Captain Maneuver by X.")</f>
        <v>During combat, Next Gen Crusher increases the effectiveness of the Captain Maneuver by X.</v>
      </c>
      <c r="K98" s="255"/>
      <c r="L98" s="255"/>
      <c r="M98" s="255"/>
      <c r="N98" s="255"/>
      <c r="O98" s="255"/>
      <c r="P98" s="255"/>
      <c r="Q98" s="256"/>
      <c r="R98" s="257"/>
      <c r="S98" s="258"/>
      <c r="T98" s="255"/>
      <c r="U98" s="258"/>
      <c r="V98" s="259"/>
    </row>
    <row r="99">
      <c r="A99" s="68"/>
      <c r="B99" s="111"/>
      <c r="C99" s="68"/>
      <c r="D99" s="250" t="str">
        <f>IFERROR(__xludf.DUMMYFUNCTION("""COMPUTED_VALUE"""),"   C")</f>
        <v>C</v>
      </c>
      <c r="E99" s="251" t="str">
        <f>IFERROR(__xludf.DUMMYFUNCTION("""COMPUTED_VALUE"""),"NEXT GEN DATA")</f>
        <v>NEXT GEN DATA</v>
      </c>
      <c r="F99" s="252" t="str">
        <f>IFERROR(__xludf.DUMMYFUNCTION("""COMPUTED_VALUE"""),"CM")</f>
        <v>CM</v>
      </c>
      <c r="G99" s="253" t="str">
        <f>IFERROR(__xludf.DUMMYFUNCTION("""COMPUTED_VALUE"""),"✅")</f>
        <v>✅</v>
      </c>
      <c r="H99" s="254"/>
      <c r="I99" s="254" t="str">
        <f>IFERROR(__xludf.DUMMYFUNCTION("""COMPUTED_VALUE"""),"OfficerStatAll")</f>
        <v>OfficerStatAll</v>
      </c>
      <c r="J99" s="254" t="str">
        <f>IFERROR(__xludf.DUMMYFUNCTION("""COMPUTED_VALUE"""),"Next Gen Data increases the Attack, Defense and Health of all Officers on the Bridge by X.")</f>
        <v>Next Gen Data increases the Attack, Defense and Health of all Officers on the Bridge by X.</v>
      </c>
      <c r="K99" s="255"/>
      <c r="L99" s="255"/>
      <c r="M99" s="255"/>
      <c r="N99" s="255"/>
      <c r="O99" s="255"/>
      <c r="P99" s="255"/>
      <c r="Q99" s="256"/>
      <c r="R99" s="257"/>
      <c r="S99" s="258"/>
      <c r="T99" s="255"/>
      <c r="U99" s="258"/>
      <c r="V99" s="259"/>
    </row>
    <row r="100">
      <c r="A100" s="68"/>
      <c r="B100" s="111"/>
      <c r="C100" s="68"/>
      <c r="D100" s="260" t="str">
        <f>IFERROR(__xludf.DUMMYFUNCTION("""COMPUTED_VALUE"""),"   C")</f>
        <v>C</v>
      </c>
      <c r="E100" s="261" t="str">
        <f>IFERROR(__xludf.DUMMYFUNCTION("""COMPUTED_VALUE"""),"NEXT GEN DATA")</f>
        <v>NEXT GEN DATA</v>
      </c>
      <c r="F100" s="240" t="str">
        <f>IFERROR(__xludf.DUMMYFUNCTION("""COMPUTED_VALUE"""),"OA")</f>
        <v>OA</v>
      </c>
      <c r="G100" s="239" t="str">
        <f>IFERROR(__xludf.DUMMYFUNCTION("""COMPUTED_VALUE"""),"✅")</f>
        <v>✅</v>
      </c>
      <c r="H100" s="243"/>
      <c r="I100" s="243" t="str">
        <f>IFERROR(__xludf.DUMMYFUNCTION("""COMPUTED_VALUE"""),"AllDamage")</f>
        <v>AllDamage</v>
      </c>
      <c r="J100" s="243" t="str">
        <f>IFERROR(__xludf.DUMMYFUNCTION("""COMPUTED_VALUE"""),"Next Gen Data increases the Weapon damage of the ship by X.")</f>
        <v>Next Gen Data increases the Weapon damage of the ship by X.</v>
      </c>
      <c r="K100" s="255"/>
      <c r="L100" s="255"/>
      <c r="M100" s="255"/>
      <c r="N100" s="255"/>
      <c r="O100" s="255"/>
      <c r="P100" s="255"/>
      <c r="Q100" s="256"/>
      <c r="R100" s="257"/>
      <c r="S100" s="258"/>
      <c r="T100" s="255"/>
      <c r="U100" s="258"/>
      <c r="V100" s="259"/>
    </row>
    <row r="101">
      <c r="A101" s="68"/>
      <c r="B101" s="111"/>
      <c r="C101" s="68"/>
      <c r="D101" s="250" t="str">
        <f>IFERROR(__xludf.DUMMYFUNCTION("""COMPUTED_VALUE"""),"   C")</f>
        <v>C</v>
      </c>
      <c r="E101" s="251" t="str">
        <f>IFERROR(__xludf.DUMMYFUNCTION("""COMPUTED_VALUE"""),"NEXT GEN LA FORGE")</f>
        <v>NEXT GEN LA FORGE</v>
      </c>
      <c r="F101" s="252" t="str">
        <f>IFERROR(__xludf.DUMMYFUNCTION("""COMPUTED_VALUE"""),"CM")</f>
        <v>CM</v>
      </c>
      <c r="G101" s="253" t="str">
        <f>IFERROR(__xludf.DUMMYFUNCTION("""COMPUTED_VALUE"""),"✅")</f>
        <v>✅</v>
      </c>
      <c r="H101" s="254"/>
      <c r="I101" s="254" t="str">
        <f>IFERROR(__xludf.DUMMYFUNCTION("""COMPUTED_VALUE"""),"AllDamage")</f>
        <v>AllDamage</v>
      </c>
      <c r="J101" s="254" t="str">
        <f>IFERROR(__xludf.DUMMYFUNCTION("""COMPUTED_VALUE"""),"Next Gen La Forge decreases the Weapon Damage of the opponent's ship by X.")</f>
        <v>Next Gen La Forge decreases the Weapon Damage of the opponent's ship by X.</v>
      </c>
      <c r="K101" s="255"/>
      <c r="L101" s="255"/>
      <c r="M101" s="255"/>
      <c r="N101" s="255"/>
      <c r="O101" s="255"/>
      <c r="P101" s="255"/>
      <c r="Q101" s="256"/>
      <c r="R101" s="257"/>
      <c r="S101" s="258"/>
      <c r="T101" s="255"/>
      <c r="U101" s="258"/>
      <c r="V101" s="259"/>
    </row>
    <row r="102">
      <c r="A102" s="68"/>
      <c r="B102" s="126"/>
      <c r="C102" s="68"/>
      <c r="D102" s="260" t="str">
        <f>IFERROR(__xludf.DUMMYFUNCTION("""COMPUTED_VALUE"""),"   C")</f>
        <v>C</v>
      </c>
      <c r="E102" s="261" t="str">
        <f>IFERROR(__xludf.DUMMYFUNCTION("""COMPUTED_VALUE"""),"NEXT GEN LA FORGE")</f>
        <v>NEXT GEN LA FORGE</v>
      </c>
      <c r="F102" s="240" t="str">
        <f>IFERROR(__xludf.DUMMYFUNCTION("""COMPUTED_VALUE"""),"OA")</f>
        <v>OA</v>
      </c>
      <c r="G102" s="239" t="str">
        <f>IFERROR(__xludf.DUMMYFUNCTION("""COMPUTED_VALUE"""),"✅")</f>
        <v>✅</v>
      </c>
      <c r="H102" s="243"/>
      <c r="I102" s="243" t="str">
        <f>IFERROR(__xludf.DUMMYFUNCTION("""COMPUTED_VALUE"""),"ShieldHPMax")</f>
        <v>ShieldHPMax</v>
      </c>
      <c r="J102" s="243" t="str">
        <f>IFERROR(__xludf.DUMMYFUNCTION("""COMPUTED_VALUE"""),"Next Gen La Forge increases the Shield Health of the ship by X.")</f>
        <v>Next Gen La Forge increases the Shield Health of the ship by X.</v>
      </c>
      <c r="K102" s="255"/>
      <c r="L102" s="255"/>
      <c r="M102" s="255"/>
      <c r="N102" s="255"/>
      <c r="O102" s="255"/>
      <c r="P102" s="255"/>
      <c r="Q102" s="256"/>
      <c r="R102" s="257"/>
      <c r="S102" s="258"/>
      <c r="T102" s="255"/>
      <c r="U102" s="258"/>
      <c r="V102" s="259"/>
    </row>
    <row r="103">
      <c r="A103" s="68"/>
      <c r="B103" s="128"/>
      <c r="C103" s="68"/>
      <c r="D103" s="250" t="str">
        <f>IFERROR(__xludf.DUMMYFUNCTION("""COMPUTED_VALUE"""),"   C")</f>
        <v>C</v>
      </c>
      <c r="E103" s="251" t="str">
        <f>IFERROR(__xludf.DUMMYFUNCTION("""COMPUTED_VALUE"""),"NEXT GEN RIKER")</f>
        <v>NEXT GEN RIKER</v>
      </c>
      <c r="F103" s="252" t="str">
        <f>IFERROR(__xludf.DUMMYFUNCTION("""COMPUTED_VALUE"""),"CM")</f>
        <v>CM</v>
      </c>
      <c r="G103" s="253" t="str">
        <f>IFERROR(__xludf.DUMMYFUNCTION("""COMPUTED_VALUE"""),"✅")</f>
        <v>✅</v>
      </c>
      <c r="H103" s="254"/>
      <c r="I103" s="254" t="str">
        <f>IFERROR(__xludf.DUMMYFUNCTION("""COMPUTED_VALUE"""),"AllDamage")</f>
        <v>AllDamage</v>
      </c>
      <c r="J103" s="254" t="str">
        <f>IFERROR(__xludf.DUMMYFUNCTION("""COMPUTED_VALUE"""),"Next Gen Riker increases the damage of the first shots of the ship by X for the first round.")</f>
        <v>Next Gen Riker increases the damage of the first shots of the ship by X for the first round.</v>
      </c>
      <c r="K103" s="255"/>
      <c r="L103" s="255"/>
      <c r="M103" s="255"/>
      <c r="N103" s="255"/>
      <c r="O103" s="255"/>
      <c r="P103" s="255"/>
      <c r="Q103" s="256"/>
      <c r="R103" s="257"/>
      <c r="S103" s="258"/>
      <c r="T103" s="255"/>
      <c r="U103" s="258"/>
      <c r="V103" s="259"/>
    </row>
    <row r="104">
      <c r="A104" s="68"/>
      <c r="B104" s="132"/>
      <c r="C104" s="68"/>
      <c r="D104" s="260" t="str">
        <f>IFERROR(__xludf.DUMMYFUNCTION("""COMPUTED_VALUE"""),"   C")</f>
        <v>C</v>
      </c>
      <c r="E104" s="261" t="str">
        <f>IFERROR(__xludf.DUMMYFUNCTION("""COMPUTED_VALUE"""),"NEXT GEN RIKER")</f>
        <v>NEXT GEN RIKER</v>
      </c>
      <c r="F104" s="240" t="str">
        <f>IFERROR(__xludf.DUMMYFUNCTION("""COMPUTED_VALUE"""),"OA")</f>
        <v>OA</v>
      </c>
      <c r="G104" s="239" t="str">
        <f>IFERROR(__xludf.DUMMYFUNCTION("""COMPUTED_VALUE"""),"✅")</f>
        <v>✅</v>
      </c>
      <c r="H104" s="243"/>
      <c r="I104" s="243" t="str">
        <f>IFERROR(__xludf.DUMMYFUNCTION("""COMPUTED_VALUE"""),"OfficerStatAttack")</f>
        <v>OfficerStatAttack</v>
      </c>
      <c r="J104" s="243" t="str">
        <f>IFERROR(__xludf.DUMMYFUNCTION("""COMPUTED_VALUE"""),"Next Gen Riker increases the Attack of all the Officers on the ship by X.")</f>
        <v>Next Gen Riker increases the Attack of all the Officers on the ship by X.</v>
      </c>
      <c r="K104" s="255"/>
      <c r="L104" s="255"/>
      <c r="M104" s="255"/>
      <c r="N104" s="255"/>
      <c r="O104" s="255"/>
      <c r="P104" s="255"/>
      <c r="Q104" s="256"/>
      <c r="R104" s="257"/>
      <c r="S104" s="258"/>
      <c r="T104" s="255"/>
      <c r="U104" s="258"/>
      <c r="V104" s="259"/>
    </row>
    <row r="105">
      <c r="A105" s="68"/>
      <c r="B105" s="128"/>
      <c r="C105" s="68"/>
      <c r="D105" s="250" t="str">
        <f>IFERROR(__xludf.DUMMYFUNCTION("""COMPUTED_VALUE"""),"   C")</f>
        <v>C</v>
      </c>
      <c r="E105" s="251" t="str">
        <f>IFERROR(__xludf.DUMMYFUNCTION("""COMPUTED_VALUE"""),"NEXT GEN TROI")</f>
        <v>NEXT GEN TROI</v>
      </c>
      <c r="F105" s="252" t="str">
        <f>IFERROR(__xludf.DUMMYFUNCTION("""COMPUTED_VALUE"""),"CM")</f>
        <v>CM</v>
      </c>
      <c r="G105" s="253" t="str">
        <f>IFERROR(__xludf.DUMMYFUNCTION("""COMPUTED_VALUE"""),"✅")</f>
        <v>✅</v>
      </c>
      <c r="H105" s="254"/>
      <c r="I105" s="254" t="str">
        <f>IFERROR(__xludf.DUMMYFUNCTION("""COMPUTED_VALUE"""),"AllDamage")</f>
        <v>AllDamage</v>
      </c>
      <c r="J105" s="254" t="str">
        <f>IFERROR(__xludf.DUMMYFUNCTION("""COMPUTED_VALUE"""),"Next Gen Troi increases the Weapon Damage of the ship by X.")</f>
        <v>Next Gen Troi increases the Weapon Damage of the ship by X.</v>
      </c>
      <c r="K105" s="255"/>
      <c r="L105" s="255"/>
      <c r="M105" s="255"/>
      <c r="N105" s="255"/>
      <c r="O105" s="255"/>
      <c r="P105" s="255"/>
      <c r="Q105" s="256"/>
      <c r="R105" s="257"/>
      <c r="S105" s="258"/>
      <c r="T105" s="255"/>
      <c r="U105" s="258"/>
      <c r="V105" s="259"/>
    </row>
    <row r="106">
      <c r="A106" s="68"/>
      <c r="B106" s="128"/>
      <c r="C106" s="68"/>
      <c r="D106" s="260" t="str">
        <f>IFERROR(__xludf.DUMMYFUNCTION("""COMPUTED_VALUE"""),"   C")</f>
        <v>C</v>
      </c>
      <c r="E106" s="261" t="str">
        <f>IFERROR(__xludf.DUMMYFUNCTION("""COMPUTED_VALUE"""),"NEXT GEN TROI")</f>
        <v>NEXT GEN TROI</v>
      </c>
      <c r="F106" s="240" t="str">
        <f>IFERROR(__xludf.DUMMYFUNCTION("""COMPUTED_VALUE"""),"OA")</f>
        <v>OA</v>
      </c>
      <c r="G106" s="239" t="str">
        <f>IFERROR(__xludf.DUMMYFUNCTION("""COMPUTED_VALUE"""),"✅")</f>
        <v>✅</v>
      </c>
      <c r="H106" s="243"/>
      <c r="I106" s="243" t="str">
        <f>IFERROR(__xludf.DUMMYFUNCTION("""COMPUTED_VALUE"""),"AllDefenses")</f>
        <v>AllDefenses</v>
      </c>
      <c r="J106" s="243" t="str">
        <f>IFERROR(__xludf.DUMMYFUNCTION("""COMPUTED_VALUE"""),"Next Gen Troi increases the Shield Deflection, Armor and Dodge of the ship by X.")</f>
        <v>Next Gen Troi increases the Shield Deflection, Armor and Dodge of the ship by X.</v>
      </c>
      <c r="K106" s="255"/>
      <c r="L106" s="255"/>
      <c r="M106" s="255"/>
      <c r="N106" s="255"/>
      <c r="O106" s="255"/>
      <c r="P106" s="255"/>
      <c r="Q106" s="256"/>
      <c r="R106" s="257"/>
      <c r="S106" s="258"/>
      <c r="T106" s="255"/>
      <c r="U106" s="258"/>
      <c r="V106" s="259"/>
    </row>
    <row r="107">
      <c r="A107" s="68"/>
      <c r="B107" s="128"/>
      <c r="C107" s="68"/>
      <c r="D107" s="250" t="str">
        <f>IFERROR(__xludf.DUMMYFUNCTION("""COMPUTED_VALUE"""),"   U")</f>
        <v>U</v>
      </c>
      <c r="E107" s="251" t="str">
        <f>IFERROR(__xludf.DUMMYFUNCTION("""COMPUTED_VALUE"""),"NINE OF ELEVEN")</f>
        <v>NINE OF ELEVEN</v>
      </c>
      <c r="F107" s="252" t="str">
        <f>IFERROR(__xludf.DUMMYFUNCTION("""COMPUTED_VALUE"""),"OA")</f>
        <v>OA</v>
      </c>
      <c r="G107" s="253" t="str">
        <f>IFERROR(__xludf.DUMMYFUNCTION("""COMPUTED_VALUE"""),"✅")</f>
        <v>✅</v>
      </c>
      <c r="H107" s="254"/>
      <c r="I107" s="254" t="str">
        <f>IFERROR(__xludf.DUMMYFUNCTION("""COMPUTED_VALUE"""),"OfficerStatDefense")</f>
        <v>OfficerStatDefense</v>
      </c>
      <c r="J107" s="254" t="str">
        <f>IFERROR(__xludf.DUMMYFUNCTION("""COMPUTED_VALUE"""),"Nine of Eleven increases the Defense of every Officer on the ship by X.")</f>
        <v>Nine of Eleven increases the Defense of every Officer on the ship by X.</v>
      </c>
      <c r="K107" s="255"/>
      <c r="L107" s="255"/>
      <c r="M107" s="255"/>
      <c r="N107" s="255"/>
      <c r="O107" s="255"/>
      <c r="P107" s="255"/>
      <c r="Q107" s="256"/>
      <c r="R107" s="257"/>
      <c r="S107" s="258"/>
      <c r="T107" s="255"/>
      <c r="U107" s="258"/>
      <c r="V107" s="259"/>
    </row>
    <row r="108">
      <c r="A108" s="68"/>
      <c r="B108" s="128"/>
      <c r="C108" s="68"/>
      <c r="D108" s="260" t="str">
        <f>IFERROR(__xludf.DUMMYFUNCTION("""COMPUTED_VALUE"""),"   E")</f>
        <v>E</v>
      </c>
      <c r="E108" s="261" t="str">
        <f>IFERROR(__xludf.DUMMYFUNCTION("""COMPUTED_VALUE"""),"ODO")</f>
        <v>ODO</v>
      </c>
      <c r="F108" s="240" t="str">
        <f>IFERROR(__xludf.DUMMYFUNCTION("""COMPUTED_VALUE"""),"BDA")</f>
        <v>BDA</v>
      </c>
      <c r="G108" s="239" t="str">
        <f>IFERROR(__xludf.DUMMYFUNCTION("""COMPUTED_VALUE"""),"✅")</f>
        <v>✅</v>
      </c>
      <c r="H108" s="243"/>
      <c r="I108" s="243" t="str">
        <f>IFERROR(__xludf.DUMMYFUNCTION("""COMPUTED_VALUE"""),"CritDamage")</f>
        <v>CritDamage</v>
      </c>
      <c r="J108" s="243" t="str">
        <f>IFERROR(__xludf.DUMMYFUNCTION("""COMPUTED_VALUE"""),"Odo increases Critical Hit Damage by X.")</f>
        <v>Odo increases Critical Hit Damage by X.</v>
      </c>
      <c r="K108" s="255"/>
      <c r="L108" s="255"/>
      <c r="M108" s="255"/>
      <c r="N108" s="255"/>
      <c r="O108" s="255"/>
      <c r="P108" s="255"/>
      <c r="Q108" s="256"/>
      <c r="R108" s="257"/>
      <c r="S108" s="258"/>
      <c r="T108" s="255"/>
      <c r="U108" s="258"/>
      <c r="V108" s="259"/>
    </row>
    <row r="109">
      <c r="A109" s="68"/>
      <c r="B109" s="128"/>
      <c r="C109" s="68"/>
      <c r="D109" s="250" t="str">
        <f>IFERROR(__xludf.DUMMYFUNCTION("""COMPUTED_VALUE"""),"   R")</f>
        <v>R</v>
      </c>
      <c r="E109" s="251" t="str">
        <f>IFERROR(__xludf.DUMMYFUNCTION("""COMPUTED_VALUE"""),"ONE OF ELEVEN")</f>
        <v>ONE OF ELEVEN</v>
      </c>
      <c r="F109" s="252" t="str">
        <f>IFERROR(__xludf.DUMMYFUNCTION("""COMPUTED_VALUE"""),"CM")</f>
        <v>CM</v>
      </c>
      <c r="G109" s="253" t="str">
        <f>IFERROR(__xludf.DUMMYFUNCTION("""COMPUTED_VALUE"""),"✅")</f>
        <v>✅</v>
      </c>
      <c r="H109" s="254"/>
      <c r="I109" s="254" t="str">
        <f>IFERROR(__xludf.DUMMYFUNCTION("""COMPUTED_VALUE"""),"ShieldMitigation")</f>
        <v>ShieldMitigation</v>
      </c>
      <c r="J109" s="254" t="str">
        <f>IFERROR(__xludf.DUMMYFUNCTION("""COMPUTED_VALUE"""),"The ship mitigates X more damage to the Shield Health instead of the Hull Health.")</f>
        <v>The ship mitigates X more damage to the Shield Health instead of the Hull Health.</v>
      </c>
      <c r="K109" s="255"/>
      <c r="L109" s="255"/>
      <c r="M109" s="255"/>
      <c r="N109" s="255"/>
      <c r="O109" s="255"/>
      <c r="P109" s="255"/>
      <c r="Q109" s="256"/>
      <c r="R109" s="257"/>
      <c r="S109" s="258"/>
      <c r="T109" s="255"/>
      <c r="U109" s="258"/>
      <c r="V109" s="259"/>
    </row>
    <row r="110">
      <c r="A110" s="68"/>
      <c r="B110" s="128"/>
      <c r="C110" s="68"/>
      <c r="D110" s="260" t="str">
        <f>IFERROR(__xludf.DUMMYFUNCTION("""COMPUTED_VALUE"""),"   U")</f>
        <v>U</v>
      </c>
      <c r="E110" s="261" t="str">
        <f>IFERROR(__xludf.DUMMYFUNCTION("""COMPUTED_VALUE"""),"ORIGINS BURNHAM")</f>
        <v>ORIGINS BURNHAM</v>
      </c>
      <c r="F110" s="240" t="str">
        <f>IFERROR(__xludf.DUMMYFUNCTION("""COMPUTED_VALUE"""),"CM")</f>
        <v>CM</v>
      </c>
      <c r="G110" s="239" t="str">
        <f>IFERROR(__xludf.DUMMYFUNCTION("""COMPUTED_VALUE"""),"✅")</f>
        <v>✅</v>
      </c>
      <c r="H110" s="243"/>
      <c r="I110" s="243" t="str">
        <f>IFERROR(__xludf.DUMMYFUNCTION("""COMPUTED_VALUE"""),"OfficerStatAttack")</f>
        <v>OfficerStatAttack</v>
      </c>
      <c r="J110" s="243" t="str">
        <f>IFERROR(__xludf.DUMMYFUNCTION("""COMPUTED_VALUE"""),"Origins Burnham increases the Attack of all the Officers on the ship by X.")</f>
        <v>Origins Burnham increases the Attack of all the Officers on the ship by X.</v>
      </c>
      <c r="K110" s="255"/>
      <c r="L110" s="255"/>
      <c r="M110" s="255"/>
      <c r="N110" s="255"/>
      <c r="O110" s="255"/>
      <c r="P110" s="255"/>
      <c r="Q110" s="256"/>
      <c r="R110" s="257"/>
      <c r="S110" s="258"/>
      <c r="T110" s="255"/>
      <c r="U110" s="258"/>
      <c r="V110" s="259"/>
    </row>
    <row r="111">
      <c r="A111" s="68"/>
      <c r="B111" s="132"/>
      <c r="C111" s="68"/>
      <c r="D111" s="250" t="str">
        <f>IFERROR(__xludf.DUMMYFUNCTION("""COMPUTED_VALUE"""),"   U")</f>
        <v>U</v>
      </c>
      <c r="E111" s="251" t="str">
        <f>IFERROR(__xludf.DUMMYFUNCTION("""COMPUTED_VALUE"""),"ORIGINS BURNHAM")</f>
        <v>ORIGINS BURNHAM</v>
      </c>
      <c r="F111" s="252" t="str">
        <f>IFERROR(__xludf.DUMMYFUNCTION("""COMPUTED_VALUE"""),"OA")</f>
        <v>OA</v>
      </c>
      <c r="G111" s="253" t="str">
        <f>IFERROR(__xludf.DUMMYFUNCTION("""COMPUTED_VALUE"""),"✅")</f>
        <v>✅</v>
      </c>
      <c r="H111" s="254"/>
      <c r="I111" s="254" t="str">
        <f>IFERROR(__xludf.DUMMYFUNCTION("""COMPUTED_VALUE"""),"AllDamage")</f>
        <v>AllDamage</v>
      </c>
      <c r="J111" s="254" t="str">
        <f>IFERROR(__xludf.DUMMYFUNCTION("""COMPUTED_VALUE"""),"Origins Burnham increases the Weapon Damage of the ship by X.")</f>
        <v>Origins Burnham increases the Weapon Damage of the ship by X.</v>
      </c>
      <c r="K111" s="255"/>
      <c r="L111" s="255"/>
      <c r="M111" s="255"/>
      <c r="N111" s="255"/>
      <c r="O111" s="255"/>
      <c r="P111" s="255"/>
      <c r="Q111" s="256"/>
      <c r="R111" s="257"/>
      <c r="S111" s="258"/>
      <c r="T111" s="255"/>
      <c r="U111" s="258"/>
      <c r="V111" s="259"/>
    </row>
    <row r="112">
      <c r="A112" s="68"/>
      <c r="B112" s="147"/>
      <c r="C112" s="68"/>
      <c r="D112" s="260" t="str">
        <f>IFERROR(__xludf.DUMMYFUNCTION("""COMPUTED_VALUE"""),"   C")</f>
        <v>C</v>
      </c>
      <c r="E112" s="261" t="str">
        <f>IFERROR(__xludf.DUMMYFUNCTION("""COMPUTED_VALUE"""),"ORIGINS SARU")</f>
        <v>ORIGINS SARU</v>
      </c>
      <c r="F112" s="240" t="str">
        <f>IFERROR(__xludf.DUMMYFUNCTION("""COMPUTED_VALUE"""),"CM")</f>
        <v>CM</v>
      </c>
      <c r="G112" s="239" t="str">
        <f>IFERROR(__xludf.DUMMYFUNCTION("""COMPUTED_VALUE"""),"✅")</f>
        <v>✅</v>
      </c>
      <c r="H112" s="243"/>
      <c r="I112" s="243" t="str">
        <f>IFERROR(__xludf.DUMMYFUNCTION("""COMPUTED_VALUE"""),"OfficerStatDefense")</f>
        <v>OfficerStatDefense</v>
      </c>
      <c r="J112" s="243" t="str">
        <f>IFERROR(__xludf.DUMMYFUNCTION("""COMPUTED_VALUE"""),"Origins Saru increases the Defense of all the Officers on the ship by X.")</f>
        <v>Origins Saru increases the Defense of all the Officers on the ship by X.</v>
      </c>
      <c r="K112" s="255"/>
      <c r="L112" s="255"/>
      <c r="M112" s="255"/>
      <c r="N112" s="255"/>
      <c r="O112" s="255"/>
      <c r="P112" s="255"/>
      <c r="Q112" s="256"/>
      <c r="R112" s="257"/>
      <c r="S112" s="258"/>
      <c r="T112" s="255"/>
      <c r="U112" s="258"/>
      <c r="V112" s="259"/>
    </row>
    <row r="113">
      <c r="A113" s="68"/>
      <c r="B113" s="147"/>
      <c r="C113" s="68"/>
      <c r="D113" s="250" t="str">
        <f>IFERROR(__xludf.DUMMYFUNCTION("""COMPUTED_VALUE"""),"   C")</f>
        <v>C</v>
      </c>
      <c r="E113" s="251" t="str">
        <f>IFERROR(__xludf.DUMMYFUNCTION("""COMPUTED_VALUE"""),"ORIGINS SARU")</f>
        <v>ORIGINS SARU</v>
      </c>
      <c r="F113" s="252" t="str">
        <f>IFERROR(__xludf.DUMMYFUNCTION("""COMPUTED_VALUE"""),"OA")</f>
        <v>OA</v>
      </c>
      <c r="G113" s="253" t="str">
        <f>IFERROR(__xludf.DUMMYFUNCTION("""COMPUTED_VALUE"""),"✅")</f>
        <v>✅</v>
      </c>
      <c r="H113" s="254"/>
      <c r="I113" s="254" t="str">
        <f>IFERROR(__xludf.DUMMYFUNCTION("""COMPUTED_VALUE"""),"HullHPMax")</f>
        <v>HullHPMax</v>
      </c>
      <c r="J113" s="254" t="str">
        <f>IFERROR(__xludf.DUMMYFUNCTION("""COMPUTED_VALUE"""),"Origins Saru increases the Hull Health of the ship by X.")</f>
        <v>Origins Saru increases the Hull Health of the ship by X.</v>
      </c>
      <c r="K113" s="255"/>
      <c r="L113" s="255"/>
      <c r="M113" s="255"/>
      <c r="N113" s="255"/>
      <c r="O113" s="255"/>
      <c r="P113" s="255"/>
      <c r="Q113" s="256"/>
      <c r="R113" s="257"/>
      <c r="S113" s="258"/>
      <c r="T113" s="255"/>
      <c r="U113" s="258"/>
      <c r="V113" s="259"/>
    </row>
    <row r="114">
      <c r="A114" s="68"/>
      <c r="B114" s="147"/>
      <c r="C114" s="68"/>
      <c r="D114" s="260" t="str">
        <f>IFERROR(__xludf.DUMMYFUNCTION("""COMPUTED_VALUE"""),"   C")</f>
        <v>C</v>
      </c>
      <c r="E114" s="261" t="str">
        <f>IFERROR(__xludf.DUMMYFUNCTION("""COMPUTED_VALUE"""),"ORIGINS STAMETS")</f>
        <v>ORIGINS STAMETS</v>
      </c>
      <c r="F114" s="240" t="str">
        <f>IFERROR(__xludf.DUMMYFUNCTION("""COMPUTED_VALUE"""),"CM")</f>
        <v>CM</v>
      </c>
      <c r="G114" s="239" t="str">
        <f>IFERROR(__xludf.DUMMYFUNCTION("""COMPUTED_VALUE"""),"✅")</f>
        <v>✅</v>
      </c>
      <c r="H114" s="243"/>
      <c r="I114" s="243" t="str">
        <f>IFERROR(__xludf.DUMMYFUNCTION("""COMPUTED_VALUE"""),"OfficerStatHealth")</f>
        <v>OfficerStatHealth</v>
      </c>
      <c r="J114" s="243" t="str">
        <f>IFERROR(__xludf.DUMMYFUNCTION("""COMPUTED_VALUE"""),"Origins Stamets increases the Health of all the Officers on the ship by X.")</f>
        <v>Origins Stamets increases the Health of all the Officers on the ship by X.</v>
      </c>
      <c r="K114" s="255"/>
      <c r="L114" s="255"/>
      <c r="M114" s="255"/>
      <c r="N114" s="255"/>
      <c r="O114" s="255"/>
      <c r="P114" s="255"/>
      <c r="Q114" s="256"/>
      <c r="R114" s="257"/>
      <c r="S114" s="258"/>
      <c r="T114" s="255"/>
      <c r="U114" s="258"/>
      <c r="V114" s="259"/>
    </row>
    <row r="115">
      <c r="A115" s="68"/>
      <c r="B115" s="147"/>
      <c r="C115" s="68"/>
      <c r="D115" s="250" t="str">
        <f>IFERROR(__xludf.DUMMYFUNCTION("""COMPUTED_VALUE"""),"   U")</f>
        <v>U</v>
      </c>
      <c r="E115" s="251" t="str">
        <f>IFERROR(__xludf.DUMMYFUNCTION("""COMPUTED_VALUE"""),"OTTO")</f>
        <v>OTTO</v>
      </c>
      <c r="F115" s="252" t="str">
        <f>IFERROR(__xludf.DUMMYFUNCTION("""COMPUTED_VALUE"""),"CM")</f>
        <v>CM</v>
      </c>
      <c r="G115" s="253" t="str">
        <f>IFERROR(__xludf.DUMMYFUNCTION("""COMPUTED_VALUE"""),"✅")</f>
        <v>✅</v>
      </c>
      <c r="H115" s="254"/>
      <c r="I115" s="254" t="str">
        <f>IFERROR(__xludf.DUMMYFUNCTION("""COMPUTED_VALUE"""),"AllDamage")</f>
        <v>AllDamage</v>
      </c>
      <c r="J115" s="254" t="str">
        <f>IFERROR(__xludf.DUMMYFUNCTION("""COMPUTED_VALUE"""),"At the start of each round, if the target of the ship is a Defense Platform, Otto increases the damage of the ship by X for that round.")</f>
        <v>At the start of each round, if the target of the ship is a Defense Platform, Otto increases the damage of the ship by X for that round.</v>
      </c>
      <c r="K115" s="255"/>
      <c r="L115" s="255"/>
      <c r="M115" s="255"/>
      <c r="N115" s="255"/>
      <c r="O115" s="255"/>
      <c r="P115" s="255"/>
      <c r="Q115" s="256"/>
      <c r="R115" s="257"/>
      <c r="S115" s="258"/>
      <c r="T115" s="255"/>
      <c r="U115" s="258"/>
      <c r="V115" s="259"/>
    </row>
    <row r="116">
      <c r="A116" s="68"/>
      <c r="B116" s="153" t="str">
        <f>'Infos - Start Here!'!B114</f>
        <v/>
      </c>
      <c r="C116" s="68"/>
      <c r="D116" s="260" t="str">
        <f>IFERROR(__xludf.DUMMYFUNCTION("""COMPUTED_VALUE"""),"   U")</f>
        <v>U</v>
      </c>
      <c r="E116" s="261" t="str">
        <f>IFERROR(__xludf.DUMMYFUNCTION("""COMPUTED_VALUE"""),"OTTO")</f>
        <v>OTTO</v>
      </c>
      <c r="F116" s="240" t="str">
        <f>IFERROR(__xludf.DUMMYFUNCTION("""COMPUTED_VALUE"""),"OA")</f>
        <v>OA</v>
      </c>
      <c r="G116" s="239" t="str">
        <f>IFERROR(__xludf.DUMMYFUNCTION("""COMPUTED_VALUE"""),"✅")</f>
        <v>✅</v>
      </c>
      <c r="H116" s="243"/>
      <c r="I116" s="243" t="str">
        <f>IFERROR(__xludf.DUMMYFUNCTION("""COMPUTED_VALUE"""),"OfficerStatAttack")</f>
        <v>OfficerStatAttack</v>
      </c>
      <c r="J116" s="243" t="str">
        <f>IFERROR(__xludf.DUMMYFUNCTION("""COMPUTED_VALUE"""),"Otto increases the Attack of each officer on the Bridge of the ship by X.")</f>
        <v>Otto increases the Attack of each officer on the Bridge of the ship by X.</v>
      </c>
      <c r="K116" s="255"/>
      <c r="L116" s="255"/>
      <c r="M116" s="255"/>
      <c r="N116" s="255"/>
      <c r="O116" s="255"/>
      <c r="P116" s="255"/>
      <c r="Q116" s="256"/>
      <c r="R116" s="257"/>
      <c r="S116" s="258"/>
      <c r="T116" s="255"/>
      <c r="U116" s="258"/>
      <c r="V116" s="259"/>
    </row>
    <row r="117">
      <c r="A117" s="68"/>
      <c r="B117" s="155"/>
      <c r="C117" s="68"/>
      <c r="D117" s="250" t="str">
        <f>IFERROR(__xludf.DUMMYFUNCTION("""COMPUTED_VALUE"""),"   R")</f>
        <v>R</v>
      </c>
      <c r="E117" s="251" t="str">
        <f>IFERROR(__xludf.DUMMYFUNCTION("""COMPUTED_VALUE"""),"PAN")</f>
        <v>PAN</v>
      </c>
      <c r="F117" s="252" t="str">
        <f>IFERROR(__xludf.DUMMYFUNCTION("""COMPUTED_VALUE"""),"OA")</f>
        <v>OA</v>
      </c>
      <c r="G117" s="253" t="str">
        <f>IFERROR(__xludf.DUMMYFUNCTION("""COMPUTED_VALUE"""),"✅")</f>
        <v>✅</v>
      </c>
      <c r="H117" s="254"/>
      <c r="I117" s="254" t="str">
        <f>IFERROR(__xludf.DUMMYFUNCTION("""COMPUTED_VALUE"""),"AddState")</f>
        <v>AddState</v>
      </c>
      <c r="J117" s="254" t="str">
        <f>IFERROR(__xludf.DUMMYFUNCTION("""COMPUTED_VALUE"""),"At the start of each round, Pan has a X chance of applying a Hull Breach to his own ship for 3 rounds.")</f>
        <v>At the start of each round, Pan has a X chance of applying a Hull Breach to his own ship for 3 rounds.</v>
      </c>
      <c r="K117" s="255"/>
      <c r="L117" s="255"/>
      <c r="M117" s="255"/>
      <c r="N117" s="255"/>
      <c r="O117" s="255"/>
      <c r="P117" s="255"/>
      <c r="Q117" s="256"/>
      <c r="R117" s="257"/>
      <c r="S117" s="258"/>
      <c r="T117" s="255"/>
      <c r="U117" s="258"/>
      <c r="V117" s="259"/>
    </row>
    <row r="118">
      <c r="A118" s="68"/>
      <c r="B118" s="164"/>
      <c r="C118" s="68"/>
      <c r="D118" s="260" t="str">
        <f>IFERROR(__xludf.DUMMYFUNCTION("""COMPUTED_VALUE"""),"   R")</f>
        <v>R</v>
      </c>
      <c r="E118" s="261" t="str">
        <f>IFERROR(__xludf.DUMMYFUNCTION("""COMPUTED_VALUE"""),"PAUL STAMETS")</f>
        <v>PAUL STAMETS</v>
      </c>
      <c r="F118" s="240" t="str">
        <f>IFERROR(__xludf.DUMMYFUNCTION("""COMPUTED_VALUE"""),"OA")</f>
        <v>OA</v>
      </c>
      <c r="G118" s="239" t="str">
        <f>IFERROR(__xludf.DUMMYFUNCTION("""COMPUTED_VALUE"""),"✅")</f>
        <v>✅</v>
      </c>
      <c r="H118" s="243"/>
      <c r="I118" s="243" t="str">
        <f>IFERROR(__xludf.DUMMYFUNCTION("""COMPUTED_VALUE"""),"ArmorPiercing")</f>
        <v>ArmorPiercing</v>
      </c>
      <c r="J118" s="243" t="str">
        <f>IFERROR(__xludf.DUMMYFUNCTION("""COMPUTED_VALUE"""),"When defending against a Player, Stamets decreases the opponent's Armor Piercing by X.")</f>
        <v>When defending against a Player, Stamets decreases the opponent's Armor Piercing by X.</v>
      </c>
      <c r="K118" s="255"/>
      <c r="L118" s="255"/>
      <c r="M118" s="255"/>
      <c r="N118" s="255"/>
      <c r="O118" s="255"/>
      <c r="P118" s="255"/>
      <c r="Q118" s="256"/>
      <c r="R118" s="257"/>
      <c r="S118" s="258"/>
      <c r="T118" s="255"/>
      <c r="U118" s="258"/>
      <c r="V118" s="259"/>
    </row>
    <row r="119">
      <c r="A119" s="68"/>
      <c r="B119" s="164"/>
      <c r="C119" s="68"/>
      <c r="D119" s="250" t="str">
        <f>IFERROR(__xludf.DUMMYFUNCTION("""COMPUTED_VALUE"""),"   E")</f>
        <v>E</v>
      </c>
      <c r="E119" s="251" t="str">
        <f>IFERROR(__xludf.DUMMYFUNCTION("""COMPUTED_VALUE"""),"PHLOX")</f>
        <v>PHLOX</v>
      </c>
      <c r="F119" s="252" t="str">
        <f>IFERROR(__xludf.DUMMYFUNCTION("""COMPUTED_VALUE"""),"BDA")</f>
        <v>BDA</v>
      </c>
      <c r="G119" s="253" t="str">
        <f>IFERROR(__xludf.DUMMYFUNCTION("""COMPUTED_VALUE"""),"✅")</f>
        <v>✅</v>
      </c>
      <c r="H119" s="254"/>
      <c r="I119" s="254" t="str">
        <f>IFERROR(__xludf.DUMMYFUNCTION("""COMPUTED_VALUE"""),"SkillCuttingBeamAbilityCost")</f>
        <v>SkillCuttingBeamAbilityCost</v>
      </c>
      <c r="J119" s="254" t="str">
        <f>IFERROR(__xludf.DUMMYFUNCTION("""COMPUTED_VALUE"""),"Phlox increases the efficiency of charging the Borg Cube's Cutting Beam by X (X at rank X)")</f>
        <v>Phlox increases the efficiency of charging the Borg Cube's Cutting Beam by X (X at rank X)</v>
      </c>
      <c r="K119" s="255"/>
      <c r="L119" s="255"/>
      <c r="M119" s="255"/>
      <c r="N119" s="255"/>
      <c r="O119" s="255"/>
      <c r="P119" s="255"/>
      <c r="Q119" s="256"/>
      <c r="R119" s="257"/>
      <c r="S119" s="258"/>
      <c r="T119" s="255"/>
      <c r="U119" s="258"/>
      <c r="V119" s="259"/>
    </row>
    <row r="120">
      <c r="A120" s="68"/>
      <c r="B120" s="164"/>
      <c r="C120" s="68"/>
      <c r="D120" s="260" t="str">
        <f>IFERROR(__xludf.DUMMYFUNCTION("""COMPUTED_VALUE"""),"   E")</f>
        <v>E</v>
      </c>
      <c r="E120" s="261" t="str">
        <f>IFERROR(__xludf.DUMMYFUNCTION("""COMPUTED_VALUE"""),"PIC ADMIRAL PICARD")</f>
        <v>PIC ADMIRAL PICARD</v>
      </c>
      <c r="F120" s="240" t="str">
        <f>IFERROR(__xludf.DUMMYFUNCTION("""COMPUTED_VALUE"""),"CM")</f>
        <v>CM</v>
      </c>
      <c r="G120" s="239" t="str">
        <f>IFERROR(__xludf.DUMMYFUNCTION("""COMPUTED_VALUE"""),"✅")</f>
        <v>✅</v>
      </c>
      <c r="H120" s="243"/>
      <c r="I120" s="243" t="str">
        <f>IFERROR(__xludf.DUMMYFUNCTION("""COMPUTED_VALUE"""),"AddState")</f>
        <v>AddState</v>
      </c>
      <c r="J120" s="243" t="str">
        <f>IFERROR(__xludf.DUMMYFUNCTION("""COMPUTED_VALUE"""),"At the start of a round, Admiral Picard has a X chance to apply Morale for 3 rounds against player ships.")</f>
        <v>At the start of a round, Admiral Picard has a X chance to apply Morale for 3 rounds against player ships.</v>
      </c>
      <c r="K120" s="255"/>
      <c r="L120" s="255"/>
      <c r="M120" s="255"/>
      <c r="N120" s="255"/>
      <c r="O120" s="255"/>
      <c r="P120" s="255"/>
      <c r="Q120" s="256"/>
      <c r="R120" s="257"/>
      <c r="S120" s="258"/>
      <c r="T120" s="255"/>
      <c r="U120" s="258"/>
      <c r="V120" s="259"/>
    </row>
    <row r="121">
      <c r="A121" s="68"/>
      <c r="B121" s="164"/>
      <c r="C121" s="68"/>
      <c r="D121" s="250" t="str">
        <f>IFERROR(__xludf.DUMMYFUNCTION("""COMPUTED_VALUE"""),"   E")</f>
        <v>E</v>
      </c>
      <c r="E121" s="251" t="str">
        <f>IFERROR(__xludf.DUMMYFUNCTION("""COMPUTED_VALUE"""),"PIC HUGH")</f>
        <v>PIC HUGH</v>
      </c>
      <c r="F121" s="252" t="str">
        <f>IFERROR(__xludf.DUMMYFUNCTION("""COMPUTED_VALUE"""),"BDA")</f>
        <v>BDA</v>
      </c>
      <c r="G121" s="253" t="str">
        <f>IFERROR(__xludf.DUMMYFUNCTION("""COMPUTED_VALUE"""),"✅")</f>
        <v>✅</v>
      </c>
      <c r="H121" s="254"/>
      <c r="I121" s="254" t="str">
        <f>IFERROR(__xludf.DUMMYFUNCTION("""COMPUTED_VALUE"""),"HullRepair")</f>
        <v>HullRepair</v>
      </c>
      <c r="J121" s="254" t="str">
        <f>IFERROR(__xludf.DUMMYFUNCTION("""COMPUTED_VALUE"""),"At the beginning of each round of combat Hugh repairs X (X at rank X) of hull damage taken in the previous round of combat.")</f>
        <v>At the beginning of each round of combat Hugh repairs X (X at rank X) of hull damage taken in the previous round of combat.</v>
      </c>
      <c r="K121" s="255"/>
      <c r="L121" s="255"/>
      <c r="M121" s="255"/>
      <c r="N121" s="255"/>
      <c r="O121" s="255"/>
      <c r="P121" s="255"/>
      <c r="Q121" s="256"/>
      <c r="R121" s="257"/>
      <c r="S121" s="258"/>
      <c r="T121" s="255"/>
      <c r="U121" s="258"/>
      <c r="V121" s="259"/>
    </row>
    <row r="122">
      <c r="A122" s="68"/>
      <c r="B122" s="164"/>
      <c r="C122" s="68"/>
      <c r="D122" s="260" t="str">
        <f>IFERROR(__xludf.DUMMYFUNCTION("""COMPUTED_VALUE"""),"   E")</f>
        <v>E</v>
      </c>
      <c r="E122" s="261" t="str">
        <f>IFERROR(__xludf.DUMMYFUNCTION("""COMPUTED_VALUE"""),"PIC RIKER")</f>
        <v>PIC RIKER</v>
      </c>
      <c r="F122" s="240" t="str">
        <f>IFERROR(__xludf.DUMMYFUNCTION("""COMPUTED_VALUE"""),"CM")</f>
        <v>CM</v>
      </c>
      <c r="G122" s="239" t="str">
        <f>IFERROR(__xludf.DUMMYFUNCTION("""COMPUTED_VALUE"""),"✅")</f>
        <v>✅</v>
      </c>
      <c r="H122" s="243"/>
      <c r="I122" s="243" t="str">
        <f>IFERROR(__xludf.DUMMYFUNCTION("""COMPUTED_VALUE"""),"AddState")</f>
        <v>AddState</v>
      </c>
      <c r="J122" s="243" t="str">
        <f>IFERROR(__xludf.DUMMYFUNCTION("""COMPUTED_VALUE"""),"At the start of a round, Riker has X chance to apply Burning for 3 rounds against player ships.")</f>
        <v>At the start of a round, Riker has X chance to apply Burning for 3 rounds against player ships.</v>
      </c>
      <c r="K122" s="255"/>
      <c r="L122" s="255"/>
      <c r="M122" s="255"/>
      <c r="N122" s="255"/>
      <c r="O122" s="255"/>
      <c r="P122" s="255"/>
      <c r="Q122" s="256"/>
      <c r="R122" s="257"/>
      <c r="S122" s="258"/>
      <c r="T122" s="255"/>
      <c r="U122" s="258"/>
      <c r="V122" s="259"/>
    </row>
    <row r="123">
      <c r="A123" s="68"/>
      <c r="B123" s="164"/>
      <c r="C123" s="68"/>
      <c r="D123" s="250" t="str">
        <f>IFERROR(__xludf.DUMMYFUNCTION("""COMPUTED_VALUE"""),"   E")</f>
        <v>E</v>
      </c>
      <c r="E123" s="251" t="str">
        <f>IFERROR(__xludf.DUMMYFUNCTION("""COMPUTED_VALUE"""),"PIC WORF")</f>
        <v>PIC WORF</v>
      </c>
      <c r="F123" s="252" t="str">
        <f>IFERROR(__xludf.DUMMYFUNCTION("""COMPUTED_VALUE"""),"CM")</f>
        <v>CM</v>
      </c>
      <c r="G123" s="253" t="str">
        <f>IFERROR(__xludf.DUMMYFUNCTION("""COMPUTED_VALUE"""),"✅")</f>
        <v>✅</v>
      </c>
      <c r="H123" s="254"/>
      <c r="I123" s="254" t="str">
        <f>IFERROR(__xludf.DUMMYFUNCTION("""COMPUTED_VALUE"""),"AddState")</f>
        <v>AddState</v>
      </c>
      <c r="J123" s="254" t="str">
        <f>IFERROR(__xludf.DUMMYFUNCTION("""COMPUTED_VALUE"""),"At the start of a round, Worf has X chance to apply Hull Breach for 3 rounds against player ships.")</f>
        <v>At the start of a round, Worf has X chance to apply Hull Breach for 3 rounds against player ships.</v>
      </c>
      <c r="K123" s="255"/>
      <c r="L123" s="255"/>
      <c r="M123" s="255"/>
      <c r="N123" s="255"/>
      <c r="O123" s="255"/>
      <c r="P123" s="255"/>
      <c r="Q123" s="256"/>
      <c r="R123" s="257"/>
      <c r="S123" s="258"/>
      <c r="T123" s="255"/>
      <c r="U123" s="258"/>
      <c r="V123" s="259"/>
    </row>
    <row r="124">
      <c r="A124" s="68"/>
      <c r="B124" s="182"/>
      <c r="C124" s="68"/>
      <c r="D124" s="260" t="str">
        <f>IFERROR(__xludf.DUMMYFUNCTION("""COMPUTED_VALUE"""),"   E")</f>
        <v>E</v>
      </c>
      <c r="E124" s="261" t="str">
        <f>IFERROR(__xludf.DUMMYFUNCTION("""COMPUTED_VALUE"""),"QUASI")</f>
        <v>QUASI</v>
      </c>
      <c r="F124" s="240" t="str">
        <f>IFERROR(__xludf.DUMMYFUNCTION("""COMPUTED_VALUE"""),"OA")</f>
        <v>OA</v>
      </c>
      <c r="G124" s="239" t="str">
        <f>IFERROR(__xludf.DUMMYFUNCTION("""COMPUTED_VALUE"""),"✅")</f>
        <v>✅</v>
      </c>
      <c r="H124" s="243"/>
      <c r="I124" s="243" t="str">
        <f>IFERROR(__xludf.DUMMYFUNCTION("""COMPUTED_VALUE"""),"ApexShred")</f>
        <v>ApexShred</v>
      </c>
      <c r="J124" s="243" t="str">
        <f>IFERROR(__xludf.DUMMYFUNCTION("""COMPUTED_VALUE"""),"Increases Apex Shred against players by X (X at rank X). -- Apex Barrier remaining after Apex Shred is equal to: -- Apex Barrier / (100% + Apex Shred) -- 100% Apex Shred reduces Apex Barrier by 50%.")</f>
        <v>Increases Apex Shred against players by X (X at rank X). -- Apex Barrier remaining after Apex Shred is equal to: -- Apex Barrier / (100% + Apex Shred) -- 100% Apex Shred reduces Apex Barrier by 50%.</v>
      </c>
      <c r="K124" s="255"/>
      <c r="L124" s="255"/>
      <c r="M124" s="255"/>
      <c r="N124" s="255"/>
      <c r="O124" s="255"/>
      <c r="P124" s="255"/>
      <c r="Q124" s="256"/>
      <c r="R124" s="257"/>
      <c r="S124" s="258"/>
      <c r="T124" s="255"/>
      <c r="U124" s="258"/>
      <c r="V124" s="259"/>
    </row>
    <row r="125">
      <c r="A125" s="68"/>
      <c r="B125" s="184"/>
      <c r="C125" s="68"/>
      <c r="D125" s="250" t="str">
        <f>IFERROR(__xludf.DUMMYFUNCTION("""COMPUTED_VALUE"""),"   E")</f>
        <v>E</v>
      </c>
      <c r="E125" s="251" t="str">
        <f>IFERROR(__xludf.DUMMYFUNCTION("""COMPUTED_VALUE"""),"REGINALD BARCLAY")</f>
        <v>REGINALD BARCLAY</v>
      </c>
      <c r="F125" s="252" t="str">
        <f>IFERROR(__xludf.DUMMYFUNCTION("""COMPUTED_VALUE"""),"OA")</f>
        <v>OA</v>
      </c>
      <c r="G125" s="253" t="str">
        <f>IFERROR(__xludf.DUMMYFUNCTION("""COMPUTED_VALUE"""),"✅")</f>
        <v>✅</v>
      </c>
      <c r="H125" s="254"/>
      <c r="I125" s="254" t="str">
        <f>IFERROR(__xludf.DUMMYFUNCTION("""COMPUTED_VALUE"""),"OfficerStatDefense")</f>
        <v>OfficerStatDefense</v>
      </c>
      <c r="J125" s="254" t="str">
        <f>IFERROR(__xludf.DUMMYFUNCTION("""COMPUTED_VALUE"""),"Reginald Barclay increases the base Defense of all Officers by X.")</f>
        <v>Reginald Barclay increases the base Defense of all Officers by X.</v>
      </c>
      <c r="K125" s="255"/>
      <c r="L125" s="255"/>
      <c r="M125" s="255"/>
      <c r="N125" s="255"/>
      <c r="O125" s="255"/>
      <c r="P125" s="255"/>
      <c r="Q125" s="256"/>
      <c r="R125" s="257"/>
      <c r="S125" s="258"/>
      <c r="T125" s="255"/>
      <c r="U125" s="258"/>
      <c r="V125" s="259"/>
    </row>
    <row r="126">
      <c r="A126" s="68"/>
      <c r="B126" s="184"/>
      <c r="C126" s="68"/>
      <c r="D126" s="260" t="str">
        <f>IFERROR(__xludf.DUMMYFUNCTION("""COMPUTED_VALUE"""),"   R")</f>
        <v>R</v>
      </c>
      <c r="E126" s="261" t="str">
        <f>IFERROR(__xludf.DUMMYFUNCTION("""COMPUTED_VALUE"""),"RO MUDD")</f>
        <v>RO MUDD</v>
      </c>
      <c r="F126" s="240" t="str">
        <f>IFERROR(__xludf.DUMMYFUNCTION("""COMPUTED_VALUE"""),"CM")</f>
        <v>CM</v>
      </c>
      <c r="G126" s="239" t="str">
        <f>IFERROR(__xludf.DUMMYFUNCTION("""COMPUTED_VALUE"""),"✅")</f>
        <v>✅</v>
      </c>
      <c r="H126" s="243"/>
      <c r="I126" s="243" t="str">
        <f>IFERROR(__xludf.DUMMYFUNCTION("""COMPUTED_VALUE"""),"OfficerStatAll")</f>
        <v>OfficerStatAll</v>
      </c>
      <c r="J126" s="243" t="str">
        <f>IFERROR(__xludf.DUMMYFUNCTION("""COMPUTED_VALUE"""),"Ro Mudd increases her stats by X when she is the captain.")</f>
        <v>Ro Mudd increases her stats by X when she is the captain.</v>
      </c>
      <c r="K126" s="255"/>
      <c r="L126" s="255"/>
      <c r="M126" s="255"/>
      <c r="N126" s="255"/>
      <c r="O126" s="255"/>
      <c r="P126" s="255"/>
      <c r="Q126" s="256"/>
      <c r="R126" s="257"/>
      <c r="S126" s="258"/>
      <c r="T126" s="255"/>
      <c r="U126" s="258"/>
      <c r="V126" s="259"/>
    </row>
    <row r="127">
      <c r="A127" s="68"/>
      <c r="B127" s="184"/>
      <c r="C127" s="68"/>
      <c r="D127" s="250" t="str">
        <f>IFERROR(__xludf.DUMMYFUNCTION("""COMPUTED_VALUE"""),"   R")</f>
        <v>R</v>
      </c>
      <c r="E127" s="251" t="str">
        <f>IFERROR(__xludf.DUMMYFUNCTION("""COMPUTED_VALUE"""),"RO MUDD")</f>
        <v>RO MUDD</v>
      </c>
      <c r="F127" s="252" t="str">
        <f>IFERROR(__xludf.DUMMYFUNCTION("""COMPUTED_VALUE"""),"OA")</f>
        <v>OA</v>
      </c>
      <c r="G127" s="253" t="str">
        <f>IFERROR(__xludf.DUMMYFUNCTION("""COMPUTED_VALUE"""),"✅")</f>
        <v>✅</v>
      </c>
      <c r="H127" s="254"/>
      <c r="I127" s="254" t="str">
        <f>IFERROR(__xludf.DUMMYFUNCTION("""COMPUTED_VALUE"""),"AllDamage")</f>
        <v>AllDamage</v>
      </c>
      <c r="J127" s="254" t="str">
        <f>IFERROR(__xludf.DUMMYFUNCTION("""COMPUTED_VALUE"""),"At the start of combat, Ro Mudd has a X chance of increasing the Damage dealt by the ship by 300% of the total Attack of all officers on the ship for the whole combat.")</f>
        <v>At the start of combat, Ro Mudd has a X chance of increasing the Damage dealt by the ship by 300% of the total Attack of all officers on the ship for the whole combat.</v>
      </c>
      <c r="K127" s="255"/>
      <c r="L127" s="255"/>
      <c r="M127" s="255"/>
      <c r="N127" s="255"/>
      <c r="O127" s="255"/>
      <c r="P127" s="255"/>
      <c r="Q127" s="256"/>
      <c r="R127" s="257"/>
      <c r="S127" s="258"/>
      <c r="T127" s="255"/>
      <c r="U127" s="258"/>
      <c r="V127" s="259"/>
    </row>
    <row r="128">
      <c r="A128" s="68"/>
      <c r="B128" s="184"/>
      <c r="C128" s="68"/>
      <c r="D128" s="260" t="str">
        <f>IFERROR(__xludf.DUMMYFUNCTION("""COMPUTED_VALUE"""),"   E")</f>
        <v>E</v>
      </c>
      <c r="E128" s="261" t="str">
        <f>IFERROR(__xludf.DUMMYFUNCTION("""COMPUTED_VALUE"""),"ROM")</f>
        <v>ROM</v>
      </c>
      <c r="F128" s="240" t="str">
        <f>IFERROR(__xludf.DUMMYFUNCTION("""COMPUTED_VALUE"""),"CM")</f>
        <v>CM</v>
      </c>
      <c r="G128" s="239" t="str">
        <f>IFERROR(__xludf.DUMMYFUNCTION("""COMPUTED_VALUE"""),"✅")</f>
        <v>✅</v>
      </c>
      <c r="H128" s="243"/>
      <c r="I128" s="243" t="str">
        <f>IFERROR(__xludf.DUMMYFUNCTION("""COMPUTED_VALUE"""),"AllLoadSpeed")</f>
        <v>AllLoadSpeed</v>
      </c>
      <c r="J128" s="243" t="str">
        <f>IFERROR(__xludf.DUMMYFUNCTION("""COMPUTED_VALUE"""),"When attacking a station, Rom delays opponent ship and defense platform Weapon Fire for X round. -- This ability does not gain synergy group benefits.")</f>
        <v>When attacking a station, Rom delays opponent ship and defense platform Weapon Fire for X round. -- This ability does not gain synergy group benefits.</v>
      </c>
      <c r="K128" s="255"/>
      <c r="L128" s="255"/>
      <c r="M128" s="255"/>
      <c r="N128" s="255"/>
      <c r="O128" s="255"/>
      <c r="P128" s="255"/>
      <c r="Q128" s="256"/>
      <c r="R128" s="257"/>
      <c r="S128" s="258"/>
      <c r="T128" s="255"/>
      <c r="U128" s="258"/>
      <c r="V128" s="259"/>
    </row>
    <row r="129">
      <c r="A129" s="68"/>
      <c r="B129" s="147"/>
      <c r="C129" s="68"/>
      <c r="D129" s="250" t="str">
        <f>IFERROR(__xludf.DUMMYFUNCTION("""COMPUTED_VALUE"""),"   E")</f>
        <v>E</v>
      </c>
      <c r="E129" s="251" t="str">
        <f>IFERROR(__xludf.DUMMYFUNCTION("""COMPUTED_VALUE"""),"ROM")</f>
        <v>ROM</v>
      </c>
      <c r="F129" s="252" t="str">
        <f>IFERROR(__xludf.DUMMYFUNCTION("""COMPUTED_VALUE"""),"OA")</f>
        <v>OA</v>
      </c>
      <c r="G129" s="253" t="str">
        <f>IFERROR(__xludf.DUMMYFUNCTION("""COMPUTED_VALUE"""),"✅")</f>
        <v>✅</v>
      </c>
      <c r="H129" s="254"/>
      <c r="I129" s="254" t="str">
        <f>IFERROR(__xludf.DUMMYFUNCTION("""COMPUTED_VALUE"""),"ShotsPerAttack")</f>
        <v>ShotsPerAttack</v>
      </c>
      <c r="J129" s="254" t="str">
        <f>IFERROR(__xludf.DUMMYFUNCTION("""COMPUTED_VALUE"""),"When attacking a station, Rom increases the number of shots of the ship's weapons by X.")</f>
        <v>When attacking a station, Rom increases the number of shots of the ship's weapons by X.</v>
      </c>
      <c r="K129" s="255"/>
      <c r="L129" s="255"/>
      <c r="M129" s="255"/>
      <c r="N129" s="255"/>
      <c r="O129" s="255"/>
      <c r="P129" s="255"/>
      <c r="Q129" s="256"/>
      <c r="R129" s="257"/>
      <c r="S129" s="258"/>
      <c r="T129" s="255"/>
      <c r="U129" s="258"/>
      <c r="V129" s="259"/>
    </row>
    <row r="130">
      <c r="A130" s="68"/>
      <c r="B130" s="147"/>
      <c r="C130" s="68"/>
      <c r="D130" s="260" t="str">
        <f>IFERROR(__xludf.DUMMYFUNCTION("""COMPUTED_VALUE"""),"   E")</f>
        <v>E</v>
      </c>
      <c r="E130" s="261" t="str">
        <f>IFERROR(__xludf.DUMMYFUNCTION("""COMPUTED_VALUE"""),"S31 GEORGIOU")</f>
        <v>S31 GEORGIOU</v>
      </c>
      <c r="F130" s="240" t="str">
        <f>IFERROR(__xludf.DUMMYFUNCTION("""COMPUTED_VALUE"""),"BDA")</f>
        <v>BDA</v>
      </c>
      <c r="G130" s="239" t="str">
        <f>IFERROR(__xludf.DUMMYFUNCTION("""COMPUTED_VALUE"""),"✅")</f>
        <v>✅</v>
      </c>
      <c r="H130" s="243"/>
      <c r="I130" s="243" t="str">
        <f>IFERROR(__xludf.DUMMYFUNCTION("""COMPUTED_VALUE"""),"ApexShred")</f>
        <v>ApexShred</v>
      </c>
      <c r="J130" s="243" t="str">
        <f>IFERROR(__xludf.DUMMYFUNCTION("""COMPUTED_VALUE"""),"Increases Apex Shred against players by X (X at rank X). -- Apex Barrier remaining after Apex Shred is equal to: -- Apex Barrier / (100% + Apex Shred) -- 100% Apex Shred reduces Apex Barrier by 50%.")</f>
        <v>Increases Apex Shred against players by X (X at rank X). -- Apex Barrier remaining after Apex Shred is equal to: -- Apex Barrier / (100% + Apex Shred) -- 100% Apex Shred reduces Apex Barrier by 50%.</v>
      </c>
      <c r="K130" s="255"/>
      <c r="L130" s="255"/>
      <c r="M130" s="255"/>
      <c r="N130" s="255"/>
      <c r="O130" s="255"/>
      <c r="P130" s="255"/>
      <c r="Q130" s="256"/>
      <c r="R130" s="257"/>
      <c r="S130" s="258"/>
      <c r="T130" s="255"/>
      <c r="U130" s="258"/>
      <c r="V130" s="259"/>
    </row>
    <row r="131">
      <c r="A131" s="68"/>
      <c r="B131" s="147"/>
      <c r="C131" s="68"/>
      <c r="D131" s="250" t="str">
        <f>IFERROR(__xludf.DUMMYFUNCTION("""COMPUTED_VALUE"""),"   R")</f>
        <v>R</v>
      </c>
      <c r="E131" s="251" t="str">
        <f>IFERROR(__xludf.DUMMYFUNCTION("""COMPUTED_VALUE"""),"SAM RUTHERFORD")</f>
        <v>SAM RUTHERFORD</v>
      </c>
      <c r="F131" s="252" t="str">
        <f>IFERROR(__xludf.DUMMYFUNCTION("""COMPUTED_VALUE"""),"OA")</f>
        <v>OA</v>
      </c>
      <c r="G131" s="253" t="str">
        <f>IFERROR(__xludf.DUMMYFUNCTION("""COMPUTED_VALUE"""),"✅")</f>
        <v>✅</v>
      </c>
      <c r="H131" s="254"/>
      <c r="I131" s="254" t="str">
        <f>IFERROR(__xludf.DUMMYFUNCTION("""COMPUTED_VALUE"""),"AllDefenses")</f>
        <v>AllDefenses</v>
      </c>
      <c r="J131" s="254" t="str">
        <f>IFERROR(__xludf.DUMMYFUNCTION("""COMPUTED_VALUE"""),"Sam Rutherford increases Armor, Shield Deflection, and Dodge by X.")</f>
        <v>Sam Rutherford increases Armor, Shield Deflection, and Dodge by X.</v>
      </c>
      <c r="K131" s="255"/>
      <c r="L131" s="255"/>
      <c r="M131" s="255"/>
      <c r="N131" s="255"/>
      <c r="O131" s="255"/>
      <c r="P131" s="255"/>
      <c r="Q131" s="256"/>
      <c r="R131" s="257"/>
      <c r="S131" s="258"/>
      <c r="T131" s="255"/>
      <c r="U131" s="258"/>
      <c r="V131" s="259"/>
    </row>
    <row r="132">
      <c r="A132" s="68"/>
      <c r="B132" s="147"/>
      <c r="C132" s="68"/>
      <c r="D132" s="260" t="str">
        <f>IFERROR(__xludf.DUMMYFUNCTION("""COMPUTED_VALUE"""),"   R")</f>
        <v>R</v>
      </c>
      <c r="E132" s="261" t="str">
        <f>IFERROR(__xludf.DUMMYFUNCTION("""COMPUTED_VALUE"""),"SAM RUTHERFORD")</f>
        <v>SAM RUTHERFORD</v>
      </c>
      <c r="F132" s="240" t="str">
        <f>IFERROR(__xludf.DUMMYFUNCTION("""COMPUTED_VALUE"""),"BDA")</f>
        <v>BDA</v>
      </c>
      <c r="G132" s="239" t="str">
        <f>IFERROR(__xludf.DUMMYFUNCTION("""COMPUTED_VALUE"""),"✅")</f>
        <v>✅</v>
      </c>
      <c r="H132" s="243"/>
      <c r="I132" s="243" t="str">
        <f>IFERROR(__xludf.DUMMYFUNCTION("""COMPUTED_VALUE"""),"ShieldHPMax")</f>
        <v>ShieldHPMax</v>
      </c>
      <c r="J132" s="243" t="str">
        <f>IFERROR(__xludf.DUMMYFUNCTION("""COMPUTED_VALUE"""),"Sam Rutherford increases the ship's Shield Health by X.")</f>
        <v>Sam Rutherford increases the ship's Shield Health by X.</v>
      </c>
      <c r="K132" s="255"/>
      <c r="L132" s="255"/>
      <c r="M132" s="255"/>
      <c r="N132" s="255"/>
      <c r="O132" s="255"/>
      <c r="P132" s="255"/>
      <c r="Q132" s="256"/>
      <c r="R132" s="257"/>
      <c r="S132" s="258"/>
      <c r="T132" s="255"/>
      <c r="U132" s="258"/>
      <c r="V132" s="259"/>
    </row>
    <row r="133">
      <c r="A133" s="68"/>
      <c r="B133" s="201"/>
      <c r="C133" s="68"/>
      <c r="D133" s="250" t="str">
        <f>IFERROR(__xludf.DUMMYFUNCTION("""COMPUTED_VALUE"""),"   R")</f>
        <v>R</v>
      </c>
      <c r="E133" s="251" t="str">
        <f>IFERROR(__xludf.DUMMYFUNCTION("""COMPUTED_VALUE"""),"SARU")</f>
        <v>SARU</v>
      </c>
      <c r="F133" s="252" t="str">
        <f>IFERROR(__xludf.DUMMYFUNCTION("""COMPUTED_VALUE"""),"CM")</f>
        <v>CM</v>
      </c>
      <c r="G133" s="253" t="str">
        <f>IFERROR(__xludf.DUMMYFUNCTION("""COMPUTED_VALUE"""),"✅")</f>
        <v>✅</v>
      </c>
      <c r="H133" s="254"/>
      <c r="I133" s="254" t="str">
        <f>IFERROR(__xludf.DUMMYFUNCTION("""COMPUTED_VALUE"""),"CritChance")</f>
        <v>CritChance</v>
      </c>
      <c r="J133" s="254" t="str">
        <f>IFERROR(__xludf.DUMMYFUNCTION("""COMPUTED_VALUE"""),"When fighting players, every time your ship is hit by a Critical Hit, Saru decreases the Critical Hit Chance of the opponent's ship by X.")</f>
        <v>When fighting players, every time your ship is hit by a Critical Hit, Saru decreases the Critical Hit Chance of the opponent's ship by X.</v>
      </c>
      <c r="K133" s="255"/>
      <c r="L133" s="255"/>
      <c r="M133" s="255"/>
      <c r="N133" s="255"/>
      <c r="O133" s="255"/>
      <c r="P133" s="255"/>
      <c r="Q133" s="256"/>
      <c r="R133" s="257"/>
      <c r="S133" s="258"/>
      <c r="T133" s="255"/>
      <c r="U133" s="258"/>
      <c r="V133" s="259"/>
    </row>
    <row r="134">
      <c r="A134" s="68"/>
      <c r="B134" s="201"/>
      <c r="C134" s="68"/>
      <c r="D134" s="260" t="str">
        <f>IFERROR(__xludf.DUMMYFUNCTION("""COMPUTED_VALUE"""),"   R")</f>
        <v>R</v>
      </c>
      <c r="E134" s="261" t="str">
        <f>IFERROR(__xludf.DUMMYFUNCTION("""COMPUTED_VALUE"""),"SARU")</f>
        <v>SARU</v>
      </c>
      <c r="F134" s="240" t="str">
        <f>IFERROR(__xludf.DUMMYFUNCTION("""COMPUTED_VALUE"""),"OA")</f>
        <v>OA</v>
      </c>
      <c r="G134" s="239" t="str">
        <f>IFERROR(__xludf.DUMMYFUNCTION("""COMPUTED_VALUE"""),"✅")</f>
        <v>✅</v>
      </c>
      <c r="H134" s="243"/>
      <c r="I134" s="243" t="str">
        <f>IFERROR(__xludf.DUMMYFUNCTION("""COMPUTED_VALUE"""),"AllDamage")</f>
        <v>AllDamage</v>
      </c>
      <c r="J134" s="243" t="str">
        <f>IFERROR(__xludf.DUMMYFUNCTION("""COMPUTED_VALUE"""),"When fighting players, Saru decreases the opponent's weapon damage by X.")</f>
        <v>When fighting players, Saru decreases the opponent's weapon damage by X.</v>
      </c>
      <c r="K134" s="255"/>
      <c r="L134" s="255"/>
      <c r="M134" s="255"/>
      <c r="N134" s="255"/>
      <c r="O134" s="255"/>
      <c r="P134" s="255"/>
      <c r="Q134" s="256"/>
      <c r="R134" s="257"/>
      <c r="S134" s="258"/>
      <c r="T134" s="255"/>
      <c r="U134" s="258"/>
      <c r="V134" s="259"/>
    </row>
    <row r="135">
      <c r="A135" s="68"/>
      <c r="B135" s="201"/>
      <c r="C135" s="68"/>
      <c r="D135" s="250" t="str">
        <f>IFERROR(__xludf.DUMMYFUNCTION("""COMPUTED_VALUE"""),"   U")</f>
        <v>U</v>
      </c>
      <c r="E135" s="251" t="str">
        <f>IFERROR(__xludf.DUMMYFUNCTION("""COMPUTED_VALUE"""),"SCOTTY")</f>
        <v>SCOTTY</v>
      </c>
      <c r="F135" s="252" t="str">
        <f>IFERROR(__xludf.DUMMYFUNCTION("""COMPUTED_VALUE"""),"OA")</f>
        <v>OA</v>
      </c>
      <c r="G135" s="253" t="str">
        <f>IFERROR(__xludf.DUMMYFUNCTION("""COMPUTED_VALUE"""),"✅")</f>
        <v>✅</v>
      </c>
      <c r="H135" s="254"/>
      <c r="I135" s="254" t="str">
        <f>IFERROR(__xludf.DUMMYFUNCTION("""COMPUTED_VALUE"""),"HullHPMax")</f>
        <v>HullHPMax</v>
      </c>
      <c r="J135" s="254" t="str">
        <f>IFERROR(__xludf.DUMMYFUNCTION("""COMPUTED_VALUE"""),"Scotty increases the total Hull Health of the ship by X of its original Hull Health.")</f>
        <v>Scotty increases the total Hull Health of the ship by X of its original Hull Health.</v>
      </c>
      <c r="K135" s="255"/>
      <c r="L135" s="255"/>
      <c r="M135" s="255"/>
      <c r="N135" s="255"/>
      <c r="O135" s="255"/>
      <c r="P135" s="255"/>
      <c r="Q135" s="256"/>
      <c r="R135" s="257"/>
      <c r="S135" s="258"/>
      <c r="T135" s="255"/>
      <c r="U135" s="258"/>
      <c r="V135" s="259"/>
    </row>
    <row r="136">
      <c r="A136" s="68"/>
      <c r="B136" s="128"/>
      <c r="C136" s="68"/>
      <c r="D136" s="260" t="str">
        <f>IFERROR(__xludf.DUMMYFUNCTION("""COMPUTED_VALUE"""),"   E")</f>
        <v>E</v>
      </c>
      <c r="E136" s="261" t="str">
        <f>IFERROR(__xludf.DUMMYFUNCTION("""COMPUTED_VALUE"""),"SELA")</f>
        <v>SELA</v>
      </c>
      <c r="F136" s="240" t="str">
        <f>IFERROR(__xludf.DUMMYFUNCTION("""COMPUTED_VALUE"""),"OA")</f>
        <v>OA</v>
      </c>
      <c r="G136" s="239" t="str">
        <f>IFERROR(__xludf.DUMMYFUNCTION("""COMPUTED_VALUE"""),"✅")</f>
        <v>✅</v>
      </c>
      <c r="H136" s="243"/>
      <c r="I136" s="243" t="str">
        <f>IFERROR(__xludf.DUMMYFUNCTION("""COMPUTED_VALUE"""),"CritChance")</f>
        <v>CritChance</v>
      </c>
      <c r="J136" s="243" t="str">
        <f>IFERROR(__xludf.DUMMYFUNCTION("""COMPUTED_VALUE"""),"When fighting other players, Sela decreases the enemy's Critical Hit Chance by X every time the ship scores a hit.")</f>
        <v>When fighting other players, Sela decreases the enemy's Critical Hit Chance by X every time the ship scores a hit.</v>
      </c>
      <c r="K136" s="255"/>
      <c r="L136" s="255"/>
      <c r="M136" s="255"/>
      <c r="N136" s="255"/>
      <c r="O136" s="255"/>
      <c r="P136" s="255"/>
      <c r="Q136" s="256"/>
      <c r="R136" s="257"/>
      <c r="S136" s="258"/>
      <c r="T136" s="255"/>
      <c r="U136" s="258"/>
      <c r="V136" s="259"/>
    </row>
    <row r="137">
      <c r="A137" s="68"/>
      <c r="B137" s="214"/>
      <c r="C137" s="68"/>
      <c r="D137" s="250" t="str">
        <f>IFERROR(__xludf.DUMMYFUNCTION("""COMPUTED_VALUE"""),"   R")</f>
        <v>R</v>
      </c>
      <c r="E137" s="251" t="str">
        <f>IFERROR(__xludf.DUMMYFUNCTION("""COMPUTED_VALUE"""),"SEVEN OF ELEVEN")</f>
        <v>SEVEN OF ELEVEN</v>
      </c>
      <c r="F137" s="252" t="str">
        <f>IFERROR(__xludf.DUMMYFUNCTION("""COMPUTED_VALUE"""),"OA")</f>
        <v>OA</v>
      </c>
      <c r="G137" s="253" t="str">
        <f>IFERROR(__xludf.DUMMYFUNCTION("""COMPUTED_VALUE"""),"✅")</f>
        <v>✅</v>
      </c>
      <c r="H137" s="254"/>
      <c r="I137" s="254" t="str">
        <f>IFERROR(__xludf.DUMMYFUNCTION("""COMPUTED_VALUE"""),"OfficerStatHealth")</f>
        <v>OfficerStatHealth</v>
      </c>
      <c r="J137" s="254" t="str">
        <f>IFERROR(__xludf.DUMMYFUNCTION("""COMPUTED_VALUE"""),"Seven of Eleven increases the Health of every Officer on the ship by X.")</f>
        <v>Seven of Eleven increases the Health of every Officer on the ship by X.</v>
      </c>
      <c r="K137" s="255"/>
      <c r="L137" s="255"/>
      <c r="M137" s="255"/>
      <c r="N137" s="255"/>
      <c r="O137" s="255"/>
      <c r="P137" s="255"/>
      <c r="Q137" s="256"/>
      <c r="R137" s="257"/>
      <c r="S137" s="258"/>
      <c r="T137" s="255"/>
      <c r="U137" s="258"/>
      <c r="V137" s="259"/>
    </row>
    <row r="138">
      <c r="A138" s="68"/>
      <c r="B138" s="218"/>
      <c r="C138" s="68"/>
      <c r="D138" s="260" t="str">
        <f>IFERROR(__xludf.DUMMYFUNCTION("""COMPUTED_VALUE"""),"   E")</f>
        <v>E</v>
      </c>
      <c r="E138" s="261" t="str">
        <f>IFERROR(__xludf.DUMMYFUNCTION("""COMPUTED_VALUE"""),"SEVEN OF NINE")</f>
        <v>SEVEN OF NINE</v>
      </c>
      <c r="F138" s="240" t="str">
        <f>IFERROR(__xludf.DUMMYFUNCTION("""COMPUTED_VALUE"""),"BDA")</f>
        <v>BDA</v>
      </c>
      <c r="G138" s="239" t="str">
        <f>IFERROR(__xludf.DUMMYFUNCTION("""COMPUTED_VALUE"""),"✅")</f>
        <v>✅</v>
      </c>
      <c r="H138" s="243"/>
      <c r="I138" s="243" t="str">
        <f>IFERROR(__xludf.DUMMYFUNCTION("""COMPUTED_VALUE"""),"IsolyticDamage")</f>
        <v>IsolyticDamage</v>
      </c>
      <c r="J138" s="243" t="str">
        <f>IFERROR(__xludf.DUMMYFUNCTION("""COMPUTED_VALUE"""),"Increases your ship's Isolytic Cascade by X versus players. -- Isolytic Cascade multiplies your total damage, including Isolytic Damage, and all research and other bonuses.")</f>
        <v>Increases your ship's Isolytic Cascade by X versus players. -- Isolytic Cascade multiplies your total damage, including Isolytic Damage, and all research and other bonuses.</v>
      </c>
      <c r="K138" s="255"/>
      <c r="L138" s="255"/>
      <c r="M138" s="255"/>
      <c r="N138" s="255"/>
      <c r="O138" s="255"/>
      <c r="P138" s="255"/>
      <c r="Q138" s="256"/>
      <c r="R138" s="257"/>
      <c r="S138" s="258"/>
      <c r="T138" s="255"/>
      <c r="U138" s="258"/>
      <c r="V138" s="259"/>
    </row>
    <row r="139">
      <c r="A139" s="68"/>
      <c r="B139" s="218"/>
      <c r="C139" s="68"/>
      <c r="D139" s="250" t="str">
        <f>IFERROR(__xludf.DUMMYFUNCTION("""COMPUTED_VALUE"""),"   C")</f>
        <v>C</v>
      </c>
      <c r="E139" s="251" t="str">
        <f>IFERROR(__xludf.DUMMYFUNCTION("""COMPUTED_VALUE"""),"SHEV")</f>
        <v>SHEV</v>
      </c>
      <c r="F139" s="252" t="str">
        <f>IFERROR(__xludf.DUMMYFUNCTION("""COMPUTED_VALUE"""),"CM")</f>
        <v>CM</v>
      </c>
      <c r="G139" s="253" t="str">
        <f>IFERROR(__xludf.DUMMYFUNCTION("""COMPUTED_VALUE"""),"✅")</f>
        <v>✅</v>
      </c>
      <c r="H139" s="254"/>
      <c r="I139" s="254" t="str">
        <f>IFERROR(__xludf.DUMMYFUNCTION("""COMPUTED_VALUE"""),"CombatTritaniumReward")</f>
        <v>CombatTritaniumReward</v>
      </c>
      <c r="J139" s="254" t="str">
        <f>IFERROR(__xludf.DUMMYFUNCTION("""COMPUTED_VALUE"""),"Shev increases the Tritanium rewards for defeating a Hostile by X.")</f>
        <v>Shev increases the Tritanium rewards for defeating a Hostile by X.</v>
      </c>
      <c r="K139" s="255"/>
      <c r="L139" s="255"/>
      <c r="M139" s="255"/>
      <c r="N139" s="255"/>
      <c r="O139" s="255"/>
      <c r="P139" s="255"/>
      <c r="Q139" s="256"/>
      <c r="R139" s="257"/>
      <c r="S139" s="258"/>
      <c r="T139" s="255"/>
      <c r="U139" s="258"/>
      <c r="V139" s="259"/>
    </row>
    <row r="140">
      <c r="A140" s="68"/>
      <c r="B140" s="218"/>
      <c r="C140" s="68"/>
      <c r="D140" s="260" t="str">
        <f>IFERROR(__xludf.DUMMYFUNCTION("""COMPUTED_VALUE"""),"   E")</f>
        <v>E</v>
      </c>
      <c r="E140" s="261" t="str">
        <f>IFERROR(__xludf.DUMMYFUNCTION("""COMPUTED_VALUE"""),"SIX OF ELEVEN")</f>
        <v>SIX OF ELEVEN</v>
      </c>
      <c r="F140" s="240" t="str">
        <f>IFERROR(__xludf.DUMMYFUNCTION("""COMPUTED_VALUE"""),"CM")</f>
        <v>CM</v>
      </c>
      <c r="G140" s="239" t="str">
        <f>IFERROR(__xludf.DUMMYFUNCTION("""COMPUTED_VALUE"""),"✅")</f>
        <v>✅</v>
      </c>
      <c r="H140" s="243"/>
      <c r="I140" s="243" t="str">
        <f>IFERROR(__xludf.DUMMYFUNCTION("""COMPUTED_VALUE"""),"ShieldHPRepair")</f>
        <v>ShieldHPRepair</v>
      </c>
      <c r="J140" s="243" t="str">
        <f>IFERROR(__xludf.DUMMYFUNCTION("""COMPUTED_VALUE"""),"Every time the ship hits an opponent with a weapon attack, Six of Eleven decreases the opponent's Shield Health by X of the total Defense of all officers on the ship. -- (Weapons with multiple shots will only trigger this maneuver once per attack.)")</f>
        <v>Every time the ship hits an opponent with a weapon attack, Six of Eleven decreases the opponent's Shield Health by X of the total Defense of all officers on the ship. -- (Weapons with multiple shots will only trigger this maneuver once per attack.)</v>
      </c>
      <c r="K140" s="255"/>
      <c r="L140" s="255"/>
      <c r="M140" s="255"/>
      <c r="N140" s="255"/>
      <c r="O140" s="255"/>
      <c r="P140" s="255"/>
      <c r="Q140" s="256"/>
      <c r="R140" s="257"/>
      <c r="S140" s="258"/>
      <c r="T140" s="255"/>
      <c r="U140" s="258"/>
      <c r="V140" s="259"/>
    </row>
    <row r="141">
      <c r="A141" s="68"/>
      <c r="B141" s="218"/>
      <c r="C141" s="68"/>
      <c r="D141" s="250" t="str">
        <f>IFERROR(__xludf.DUMMYFUNCTION("""COMPUTED_VALUE"""),"   E")</f>
        <v>E</v>
      </c>
      <c r="E141" s="251" t="str">
        <f>IFERROR(__xludf.DUMMYFUNCTION("""COMPUTED_VALUE"""),"SNW D'CHOK")</f>
        <v>SNW D'CHOK</v>
      </c>
      <c r="F141" s="252" t="str">
        <f>IFERROR(__xludf.DUMMYFUNCTION("""COMPUTED_VALUE"""),"BDA")</f>
        <v>BDA</v>
      </c>
      <c r="G141" s="253" t="str">
        <f>IFERROR(__xludf.DUMMYFUNCTION("""COMPUTED_VALUE"""),"✅")</f>
        <v>✅</v>
      </c>
      <c r="H141" s="254"/>
      <c r="I141" s="254" t="str">
        <f>IFERROR(__xludf.DUMMYFUNCTION("""COMPUTED_VALUE"""),"AllDamage")</f>
        <v>AllDamage</v>
      </c>
      <c r="J141" s="254" t="str">
        <f>IFERROR(__xludf.DUMMYFUNCTION("""COMPUTED_VALUE"""),"SNW D'Chok increases the ship's Weapon Damage by X (X at rank X).")</f>
        <v>SNW D'Chok increases the ship's Weapon Damage by X (X at rank X).</v>
      </c>
      <c r="K141" s="255"/>
      <c r="L141" s="255"/>
      <c r="M141" s="255"/>
      <c r="N141" s="255"/>
      <c r="O141" s="255"/>
      <c r="P141" s="255"/>
      <c r="Q141" s="256"/>
      <c r="R141" s="257"/>
      <c r="S141" s="258"/>
      <c r="T141" s="255"/>
      <c r="U141" s="258"/>
      <c r="V141" s="259"/>
    </row>
    <row r="142">
      <c r="A142" s="68"/>
      <c r="B142" s="218"/>
      <c r="C142" s="68"/>
      <c r="D142" s="260" t="str">
        <f>IFERROR(__xludf.DUMMYFUNCTION("""COMPUTED_VALUE"""),"   E")</f>
        <v>E</v>
      </c>
      <c r="E142" s="261" t="str">
        <f>IFERROR(__xludf.DUMMYFUNCTION("""COMPUTED_VALUE"""),"SNW HEMMER")</f>
        <v>SNW HEMMER</v>
      </c>
      <c r="F142" s="240" t="str">
        <f>IFERROR(__xludf.DUMMYFUNCTION("""COMPUTED_VALUE"""),"BDA")</f>
        <v>BDA</v>
      </c>
      <c r="G142" s="239" t="str">
        <f>IFERROR(__xludf.DUMMYFUNCTION("""COMPUTED_VALUE"""),"✅")</f>
        <v>✅</v>
      </c>
      <c r="H142" s="243"/>
      <c r="I142" s="243" t="str">
        <f>IFERROR(__xludf.DUMMYFUNCTION("""COMPUTED_VALUE"""),"OfficerStatHealth")</f>
        <v>OfficerStatHealth</v>
      </c>
      <c r="J142" s="243" t="str">
        <f>IFERROR(__xludf.DUMMYFUNCTION("""COMPUTED_VALUE"""),"SNW Hemmer increases the Health of all Officers on the ship by X of their base value.")</f>
        <v>SNW Hemmer increases the Health of all Officers on the ship by X of their base value.</v>
      </c>
      <c r="K142" s="255"/>
      <c r="L142" s="255"/>
      <c r="M142" s="255"/>
      <c r="N142" s="255"/>
      <c r="O142" s="255"/>
      <c r="P142" s="255"/>
      <c r="Q142" s="256"/>
      <c r="R142" s="257"/>
      <c r="S142" s="258"/>
      <c r="T142" s="255"/>
      <c r="U142" s="258"/>
      <c r="V142" s="259"/>
    </row>
    <row r="143">
      <c r="A143" s="68"/>
      <c r="B143" s="14"/>
      <c r="C143" s="68"/>
      <c r="D143" s="250" t="str">
        <f>IFERROR(__xludf.DUMMYFUNCTION("""COMPUTED_VALUE"""),"   R")</f>
        <v>R</v>
      </c>
      <c r="E143" s="251" t="str">
        <f>IFERROR(__xludf.DUMMYFUNCTION("""COMPUTED_VALUE"""),"SNW PELIA")</f>
        <v>SNW PELIA</v>
      </c>
      <c r="F143" s="252" t="str">
        <f>IFERROR(__xludf.DUMMYFUNCTION("""COMPUTED_VALUE"""),"BDA")</f>
        <v>BDA</v>
      </c>
      <c r="G143" s="253" t="str">
        <f>IFERROR(__xludf.DUMMYFUNCTION("""COMPUTED_VALUE"""),"✅")</f>
        <v>✅</v>
      </c>
      <c r="H143" s="254"/>
      <c r="I143" s="254" t="str">
        <f>IFERROR(__xludf.DUMMYFUNCTION("""COMPUTED_VALUE"""),"IsolyticDefense")</f>
        <v>IsolyticDefense</v>
      </c>
      <c r="J143" s="254" t="str">
        <f>IFERROR(__xludf.DUMMYFUNCTION("""COMPUTED_VALUE"""),"SNW Pelia increases Isolytic Defense by X (X at rank X)")</f>
        <v>SNW Pelia increases Isolytic Defense by X (X at rank X)</v>
      </c>
      <c r="K143" s="255"/>
      <c r="L143" s="255"/>
      <c r="M143" s="255"/>
      <c r="N143" s="255"/>
      <c r="O143" s="255"/>
      <c r="P143" s="255"/>
      <c r="Q143" s="256"/>
      <c r="R143" s="257"/>
      <c r="S143" s="258"/>
      <c r="T143" s="255"/>
      <c r="U143" s="258"/>
      <c r="V143" s="259"/>
    </row>
    <row r="144">
      <c r="A144" s="68"/>
      <c r="B144" s="21"/>
      <c r="C144" s="68"/>
      <c r="D144" s="260" t="str">
        <f>IFERROR(__xludf.DUMMYFUNCTION("""COMPUTED_VALUE"""),"   E")</f>
        <v>E</v>
      </c>
      <c r="E144" s="261" t="str">
        <f>IFERROR(__xludf.DUMMYFUNCTION("""COMPUTED_VALUE"""),"SNW SCOTTY")</f>
        <v>SNW SCOTTY</v>
      </c>
      <c r="F144" s="240" t="str">
        <f>IFERROR(__xludf.DUMMYFUNCTION("""COMPUTED_VALUE"""),"BDA")</f>
        <v>BDA</v>
      </c>
      <c r="G144" s="239" t="str">
        <f>IFERROR(__xludf.DUMMYFUNCTION("""COMPUTED_VALUE"""),"✅")</f>
        <v>✅</v>
      </c>
      <c r="H144" s="243"/>
      <c r="I144" s="243" t="str">
        <f>IFERROR(__xludf.DUMMYFUNCTION("""COMPUTED_VALUE"""),"ShieldHPMax")</f>
        <v>ShieldHPMax</v>
      </c>
      <c r="J144" s="243" t="str">
        <f>IFERROR(__xludf.DUMMYFUNCTION("""COMPUTED_VALUE"""),"SNW Montgomery Scott increases the ship's Shield Health by X (X at rank X).")</f>
        <v>SNW Montgomery Scott increases the ship's Shield Health by X (X at rank X).</v>
      </c>
      <c r="K144" s="255"/>
      <c r="L144" s="255"/>
      <c r="M144" s="255"/>
      <c r="N144" s="255"/>
      <c r="O144" s="255"/>
      <c r="P144" s="255"/>
      <c r="Q144" s="256"/>
      <c r="R144" s="257"/>
      <c r="S144" s="258"/>
      <c r="T144" s="255"/>
      <c r="U144" s="258"/>
      <c r="V144" s="259"/>
    </row>
    <row r="145">
      <c r="A145" s="68"/>
      <c r="B145" s="26"/>
      <c r="C145" s="68"/>
      <c r="D145" s="250" t="str">
        <f>IFERROR(__xludf.DUMMYFUNCTION("""COMPUTED_VALUE"""),"   E")</f>
        <v>E</v>
      </c>
      <c r="E145" s="251" t="str">
        <f>IFERROR(__xludf.DUMMYFUNCTION("""COMPUTED_VALUE"""),"SPECIALIST SEVEN")</f>
        <v>SPECIALIST SEVEN</v>
      </c>
      <c r="F145" s="252" t="str">
        <f>IFERROR(__xludf.DUMMYFUNCTION("""COMPUTED_VALUE"""),"OA")</f>
        <v>OA</v>
      </c>
      <c r="G145" s="253" t="str">
        <f>IFERROR(__xludf.DUMMYFUNCTION("""COMPUTED_VALUE"""),"✅")</f>
        <v>✅</v>
      </c>
      <c r="H145" s="254"/>
      <c r="I145" s="254" t="str">
        <f>IFERROR(__xludf.DUMMYFUNCTION("""COMPUTED_VALUE"""),"AddState")</f>
        <v>AddState</v>
      </c>
      <c r="J145" s="254" t="str">
        <f>IFERROR(__xludf.DUMMYFUNCTION("""COMPUTED_VALUE"""),"On round start against players, Specialist Seven has X (X at rank X) chance to apply Hull Breach to your target for 2 rounds.")</f>
        <v>On round start against players, Specialist Seven has X (X at rank X) chance to apply Hull Breach to your target for 2 rounds.</v>
      </c>
      <c r="K145" s="255"/>
      <c r="L145" s="255"/>
      <c r="M145" s="255"/>
      <c r="N145" s="255"/>
      <c r="O145" s="255"/>
      <c r="P145" s="255"/>
      <c r="Q145" s="256"/>
      <c r="R145" s="257"/>
      <c r="S145" s="258"/>
      <c r="T145" s="255"/>
      <c r="U145" s="258"/>
      <c r="V145" s="259"/>
    </row>
    <row r="146">
      <c r="A146" s="68"/>
      <c r="B146" s="26"/>
      <c r="C146" s="68"/>
      <c r="D146" s="260" t="str">
        <f>IFERROR(__xludf.DUMMYFUNCTION("""COMPUTED_VALUE"""),"   R")</f>
        <v>R</v>
      </c>
      <c r="E146" s="261" t="str">
        <f>IFERROR(__xludf.DUMMYFUNCTION("""COMPUTED_VALUE"""),"SPOCK")</f>
        <v>SPOCK</v>
      </c>
      <c r="F146" s="240" t="str">
        <f>IFERROR(__xludf.DUMMYFUNCTION("""COMPUTED_VALUE"""),"CM")</f>
        <v>CM</v>
      </c>
      <c r="G146" s="239" t="str">
        <f>IFERROR(__xludf.DUMMYFUNCTION("""COMPUTED_VALUE"""),"✅")</f>
        <v>✅</v>
      </c>
      <c r="H146" s="243"/>
      <c r="I146" s="243" t="str">
        <f>IFERROR(__xludf.DUMMYFUNCTION("""COMPUTED_VALUE"""),"Accuracy")</f>
        <v>Accuracy</v>
      </c>
      <c r="J146" s="243" t="str">
        <f>IFERROR(__xludf.DUMMYFUNCTION("""COMPUTED_VALUE"""),"Spock increases the Accuracy of the ship by X at the beginning of each Round in combat.")</f>
        <v>Spock increases the Accuracy of the ship by X at the beginning of each Round in combat.</v>
      </c>
      <c r="K146" s="255"/>
      <c r="L146" s="255"/>
      <c r="M146" s="255"/>
      <c r="N146" s="255"/>
      <c r="O146" s="255"/>
      <c r="P146" s="255"/>
      <c r="Q146" s="256"/>
      <c r="R146" s="257"/>
      <c r="S146" s="258"/>
      <c r="T146" s="255"/>
      <c r="U146" s="258"/>
      <c r="V146" s="259"/>
    </row>
    <row r="147">
      <c r="A147" s="68"/>
      <c r="B147" s="54"/>
      <c r="C147" s="68"/>
      <c r="D147" s="250" t="str">
        <f>IFERROR(__xludf.DUMMYFUNCTION("""COMPUTED_VALUE"""),"   E")</f>
        <v>E</v>
      </c>
      <c r="E147" s="251" t="str">
        <f>IFERROR(__xludf.DUMMYFUNCTION("""COMPUTED_VALUE"""),"STARFLEET Q")</f>
        <v>STARFLEET Q</v>
      </c>
      <c r="F147" s="252" t="str">
        <f>IFERROR(__xludf.DUMMYFUNCTION("""COMPUTED_VALUE"""),"CM")</f>
        <v>CM</v>
      </c>
      <c r="G147" s="253" t="str">
        <f>IFERROR(__xludf.DUMMYFUNCTION("""COMPUTED_VALUE"""),"✅")</f>
        <v>✅</v>
      </c>
      <c r="H147" s="254"/>
      <c r="I147" s="254" t="str">
        <f>IFERROR(__xludf.DUMMYFUNCTION("""COMPUTED_VALUE"""),"AddState")</f>
        <v>AddState</v>
      </c>
      <c r="J147" s="254" t="str">
        <f>IFERROR(__xludf.DUMMYFUNCTION("""COMPUTED_VALUE"""),"On round start against players, Starfleet Q has X chance to apply Morale to your ship for 1 round.")</f>
        <v>On round start against players, Starfleet Q has X chance to apply Morale to your ship for 1 round.</v>
      </c>
      <c r="K147" s="255"/>
      <c r="L147" s="255"/>
      <c r="M147" s="255"/>
      <c r="N147" s="255"/>
      <c r="O147" s="255"/>
      <c r="P147" s="255"/>
      <c r="Q147" s="256"/>
      <c r="R147" s="257"/>
      <c r="S147" s="258"/>
      <c r="T147" s="255"/>
      <c r="U147" s="258"/>
      <c r="V147" s="259"/>
    </row>
    <row r="148">
      <c r="A148" s="68"/>
      <c r="B148" s="36"/>
      <c r="C148" s="68"/>
      <c r="D148" s="260" t="str">
        <f>IFERROR(__xludf.DUMMYFUNCTION("""COMPUTED_VALUE"""),"   U")</f>
        <v>U</v>
      </c>
      <c r="E148" s="261" t="str">
        <f>IFERROR(__xludf.DUMMYFUNCTION("""COMPUTED_VALUE"""),"SULU")</f>
        <v>SULU</v>
      </c>
      <c r="F148" s="240" t="str">
        <f>IFERROR(__xludf.DUMMYFUNCTION("""COMPUTED_VALUE"""),"CM")</f>
        <v>CM</v>
      </c>
      <c r="G148" s="239" t="str">
        <f>IFERROR(__xludf.DUMMYFUNCTION("""COMPUTED_VALUE"""),"✅")</f>
        <v>✅</v>
      </c>
      <c r="H148" s="243"/>
      <c r="I148" s="243" t="str">
        <f>IFERROR(__xludf.DUMMYFUNCTION("""COMPUTED_VALUE"""),"AddState")</f>
        <v>AddState</v>
      </c>
      <c r="J148" s="243" t="str">
        <f>IFERROR(__xludf.DUMMYFUNCTION("""COMPUTED_VALUE"""),"When the ship is getting hit by a Critical Hit, Sulu has a X chance of inspiring Morale to the ship for one round.")</f>
        <v>When the ship is getting hit by a Critical Hit, Sulu has a X chance of inspiring Morale to the ship for one round.</v>
      </c>
      <c r="K148" s="255"/>
      <c r="L148" s="255"/>
      <c r="M148" s="255"/>
      <c r="N148" s="255"/>
      <c r="O148" s="255"/>
      <c r="P148" s="255"/>
      <c r="Q148" s="256"/>
      <c r="R148" s="257"/>
      <c r="S148" s="258"/>
      <c r="T148" s="255"/>
      <c r="U148" s="258"/>
      <c r="V148" s="259"/>
    </row>
    <row r="149">
      <c r="A149" s="68"/>
      <c r="B149" s="26"/>
      <c r="C149" s="68"/>
      <c r="D149" s="250" t="str">
        <f>IFERROR(__xludf.DUMMYFUNCTION("""COMPUTED_VALUE"""),"   E")</f>
        <v>E</v>
      </c>
      <c r="E149" s="251" t="str">
        <f>IFERROR(__xludf.DUMMYFUNCTION("""COMPUTED_VALUE"""),"THE HIERARCH")</f>
        <v>THE HIERARCH</v>
      </c>
      <c r="F149" s="252" t="str">
        <f>IFERROR(__xludf.DUMMYFUNCTION("""COMPUTED_VALUE"""),"CM")</f>
        <v>CM</v>
      </c>
      <c r="G149" s="253" t="str">
        <f>IFERROR(__xludf.DUMMYFUNCTION("""COMPUTED_VALUE"""),"✅")</f>
        <v>✅</v>
      </c>
      <c r="H149" s="254"/>
      <c r="I149" s="254" t="str">
        <f>IFERROR(__xludf.DUMMYFUNCTION("""COMPUTED_VALUE"""),"ShotsPerAttack")</f>
        <v>ShotsPerAttack</v>
      </c>
      <c r="J149" s="254" t="str">
        <f>IFERROR(__xludf.DUMMYFUNCTION("""COMPUTED_VALUE"""),"The Hierarch increases Shots by X (200% at max synergy) for 2 rounds on round start against players.")</f>
        <v>The Hierarch increases Shots by X (200% at max synergy) for 2 rounds on round start against players.</v>
      </c>
      <c r="K149" s="255"/>
      <c r="L149" s="255"/>
      <c r="M149" s="255"/>
      <c r="N149" s="255"/>
      <c r="O149" s="255"/>
      <c r="P149" s="255"/>
      <c r="Q149" s="256"/>
      <c r="R149" s="257"/>
      <c r="S149" s="258"/>
      <c r="T149" s="255"/>
      <c r="U149" s="258"/>
      <c r="V149" s="259"/>
    </row>
    <row r="150">
      <c r="A150" s="68"/>
      <c r="B150" s="26"/>
      <c r="C150" s="68"/>
      <c r="D150" s="260" t="str">
        <f>IFERROR(__xludf.DUMMYFUNCTION("""COMPUTED_VALUE"""),"   E")</f>
        <v>E</v>
      </c>
      <c r="E150" s="261" t="str">
        <f>IFERROR(__xludf.DUMMYFUNCTION("""COMPUTED_VALUE"""),"THE HIERARCH")</f>
        <v>THE HIERARCH</v>
      </c>
      <c r="F150" s="240" t="str">
        <f>IFERROR(__xludf.DUMMYFUNCTION("""COMPUTED_VALUE"""),"OA")</f>
        <v>OA</v>
      </c>
      <c r="G150" s="239" t="str">
        <f>IFERROR(__xludf.DUMMYFUNCTION("""COMPUTED_VALUE"""),"✅")</f>
        <v>✅</v>
      </c>
      <c r="H150" s="243"/>
      <c r="I150" s="243" t="str">
        <f>IFERROR(__xludf.DUMMYFUNCTION("""COMPUTED_VALUE"""),"AddRandomState")</f>
        <v>AddRandomState</v>
      </c>
      <c r="J150" s="243" t="str">
        <f>IFERROR(__xludf.DUMMYFUNCTION("""COMPUTED_VALUE"""),"The Hierarch has a X (X at rank X) chance of applying Hull Breach, Burning, or Assimilate for 2 rounds on a round start against players.")</f>
        <v>The Hierarch has a X (X at rank X) chance of applying Hull Breach, Burning, or Assimilate for 2 rounds on a round start against players.</v>
      </c>
      <c r="K150" s="255"/>
      <c r="L150" s="255"/>
      <c r="M150" s="255"/>
      <c r="N150" s="255"/>
      <c r="O150" s="255"/>
      <c r="P150" s="255"/>
      <c r="Q150" s="256"/>
      <c r="R150" s="257"/>
      <c r="S150" s="258"/>
      <c r="T150" s="255"/>
      <c r="U150" s="258"/>
      <c r="V150" s="259"/>
    </row>
    <row r="151">
      <c r="A151" s="68"/>
      <c r="B151" s="26"/>
      <c r="C151" s="68"/>
      <c r="D151" s="250" t="str">
        <f>IFERROR(__xludf.DUMMYFUNCTION("""COMPUTED_VALUE"""),"   U")</f>
        <v>U</v>
      </c>
      <c r="E151" s="251" t="str">
        <f>IFERROR(__xludf.DUMMYFUNCTION("""COMPUTED_VALUE"""),"TILLY")</f>
        <v>TILLY</v>
      </c>
      <c r="F151" s="252" t="str">
        <f>IFERROR(__xludf.DUMMYFUNCTION("""COMPUTED_VALUE"""),"CM")</f>
        <v>CM</v>
      </c>
      <c r="G151" s="253" t="str">
        <f>IFERROR(__xludf.DUMMYFUNCTION("""COMPUTED_VALUE"""),"✅")</f>
        <v>✅</v>
      </c>
      <c r="H151" s="254"/>
      <c r="I151" s="254" t="str">
        <f>IFERROR(__xludf.DUMMYFUNCTION("""COMPUTED_VALUE"""),"ShieldHPRepair")</f>
        <v>ShieldHPRepair</v>
      </c>
      <c r="J151" s="254" t="str">
        <f>IFERROR(__xludf.DUMMYFUNCTION("""COMPUTED_VALUE"""),"At the start of combat, when defending from a player attack, Tilly decreases the opponent's Shield Health by X of its starting Shield Health.")</f>
        <v>At the start of combat, when defending from a player attack, Tilly decreases the opponent's Shield Health by X of its starting Shield Health.</v>
      </c>
      <c r="K151" s="255"/>
      <c r="L151" s="255"/>
      <c r="M151" s="255"/>
      <c r="N151" s="255"/>
      <c r="O151" s="255"/>
      <c r="P151" s="255"/>
      <c r="Q151" s="256"/>
      <c r="R151" s="257"/>
      <c r="S151" s="258"/>
      <c r="T151" s="255"/>
      <c r="U151" s="258"/>
      <c r="V151" s="259"/>
    </row>
    <row r="152">
      <c r="A152" s="68"/>
      <c r="B152" s="26"/>
      <c r="C152" s="68"/>
      <c r="D152" s="260" t="str">
        <f>IFERROR(__xludf.DUMMYFUNCTION("""COMPUTED_VALUE"""),"   U")</f>
        <v>U</v>
      </c>
      <c r="E152" s="261" t="str">
        <f>IFERROR(__xludf.DUMMYFUNCTION("""COMPUTED_VALUE"""),"TILLY")</f>
        <v>TILLY</v>
      </c>
      <c r="F152" s="240" t="str">
        <f>IFERROR(__xludf.DUMMYFUNCTION("""COMPUTED_VALUE"""),"OA")</f>
        <v>OA</v>
      </c>
      <c r="G152" s="239" t="str">
        <f>IFERROR(__xludf.DUMMYFUNCTION("""COMPUTED_VALUE"""),"✅")</f>
        <v>✅</v>
      </c>
      <c r="H152" s="243"/>
      <c r="I152" s="243" t="str">
        <f>IFERROR(__xludf.DUMMYFUNCTION("""COMPUTED_VALUE"""),"OfficerStatAttack")</f>
        <v>OfficerStatAttack</v>
      </c>
      <c r="J152" s="243" t="str">
        <f>IFERROR(__xludf.DUMMYFUNCTION("""COMPUTED_VALUE"""),"Every time the ship is hit by an opponent's weapon attack, Tilly has a X chance to decrease the opponent's officers Attack by 15% (cumulative) -- Decreasing Attack may result in a decrease in Damage")</f>
        <v>Every time the ship is hit by an opponent's weapon attack, Tilly has a X chance to decrease the opponent's officers Attack by 15% (cumulative) -- Decreasing Attack may result in a decrease in Damage</v>
      </c>
      <c r="K152" s="255"/>
      <c r="L152" s="255"/>
      <c r="M152" s="255"/>
      <c r="N152" s="255"/>
      <c r="O152" s="255"/>
      <c r="P152" s="255"/>
      <c r="Q152" s="256"/>
      <c r="R152" s="257"/>
      <c r="S152" s="258"/>
      <c r="T152" s="255"/>
      <c r="U152" s="258"/>
      <c r="V152" s="259"/>
    </row>
    <row r="153">
      <c r="A153" s="68"/>
      <c r="B153" s="52"/>
      <c r="C153" s="68"/>
      <c r="D153" s="250" t="str">
        <f>IFERROR(__xludf.DUMMYFUNCTION("""COMPUTED_VALUE"""),"   R")</f>
        <v>R</v>
      </c>
      <c r="E153" s="251" t="str">
        <f>IFERROR(__xludf.DUMMYFUNCTION("""COMPUTED_VALUE"""),"TOS MCCOY")</f>
        <v>TOS MCCOY</v>
      </c>
      <c r="F153" s="252" t="str">
        <f>IFERROR(__xludf.DUMMYFUNCTION("""COMPUTED_VALUE"""),"CM")</f>
        <v>CM</v>
      </c>
      <c r="G153" s="253" t="str">
        <f>IFERROR(__xludf.DUMMYFUNCTION("""COMPUTED_VALUE"""),"✅")</f>
        <v>✅</v>
      </c>
      <c r="H153" s="254"/>
      <c r="I153" s="254" t="str">
        <f>IFERROR(__xludf.DUMMYFUNCTION("""COMPUTED_VALUE"""),"AllDefenses")</f>
        <v>AllDefenses</v>
      </c>
      <c r="J153" s="254" t="str">
        <f>IFERROR(__xludf.DUMMYFUNCTION("""COMPUTED_VALUE"""),"When defending, TOS Leonard McCoy increases the Shield Deflection, Armor, and Dodge of the ship by X of the Health of all Officers on the ship.")</f>
        <v>When defending, TOS Leonard McCoy increases the Shield Deflection, Armor, and Dodge of the ship by X of the Health of all Officers on the ship.</v>
      </c>
      <c r="K153" s="255"/>
      <c r="L153" s="255"/>
      <c r="M153" s="255"/>
      <c r="N153" s="255"/>
      <c r="O153" s="255"/>
      <c r="P153" s="255"/>
      <c r="Q153" s="256"/>
      <c r="R153" s="257"/>
      <c r="S153" s="258"/>
      <c r="T153" s="255"/>
      <c r="U153" s="258"/>
      <c r="V153" s="259"/>
    </row>
    <row r="154">
      <c r="A154" s="68"/>
      <c r="B154" s="54"/>
      <c r="C154" s="68"/>
      <c r="D154" s="260" t="str">
        <f>IFERROR(__xludf.DUMMYFUNCTION("""COMPUTED_VALUE"""),"   E")</f>
        <v>E</v>
      </c>
      <c r="E154" s="261" t="str">
        <f>IFERROR(__xludf.DUMMYFUNCTION("""COMPUTED_VALUE"""),"TOS SPOCK")</f>
        <v>TOS SPOCK</v>
      </c>
      <c r="F154" s="240" t="str">
        <f>IFERROR(__xludf.DUMMYFUNCTION("""COMPUTED_VALUE"""),"CM")</f>
        <v>CM</v>
      </c>
      <c r="G154" s="239" t="str">
        <f>IFERROR(__xludf.DUMMYFUNCTION("""COMPUTED_VALUE"""),"✅")</f>
        <v>✅</v>
      </c>
      <c r="H154" s="243"/>
      <c r="I154" s="243" t="str">
        <f>IFERROR(__xludf.DUMMYFUNCTION("""COMPUTED_VALUE"""),"ShieldHPRepair")</f>
        <v>ShieldHPRepair</v>
      </c>
      <c r="J154" s="243" t="str">
        <f>IFERROR(__xludf.DUMMYFUNCTION("""COMPUTED_VALUE"""),"When defending, at the start of each turn, TOS Spock restores Shield Health to an amount equal to X of the Defense of the Officers on the ship (restores the Shield Health of all your ships if the ship is defending the station).")</f>
        <v>When defending, at the start of each turn, TOS Spock restores Shield Health to an amount equal to X of the Defense of the Officers on the ship (restores the Shield Health of all your ships if the ship is defending the station).</v>
      </c>
      <c r="K154" s="255"/>
      <c r="L154" s="255"/>
      <c r="M154" s="255"/>
      <c r="N154" s="255"/>
      <c r="O154" s="255"/>
      <c r="P154" s="255"/>
      <c r="Q154" s="256"/>
      <c r="R154" s="257"/>
      <c r="S154" s="258"/>
      <c r="T154" s="255"/>
      <c r="U154" s="258"/>
      <c r="V154" s="259"/>
    </row>
    <row r="155">
      <c r="A155" s="68"/>
      <c r="B155" s="36"/>
      <c r="C155" s="68"/>
      <c r="D155" s="250" t="str">
        <f>IFERROR(__xludf.DUMMYFUNCTION("""COMPUTED_VALUE"""),"   R")</f>
        <v>R</v>
      </c>
      <c r="E155" s="251" t="str">
        <f>IFERROR(__xludf.DUMMYFUNCTION("""COMPUTED_VALUE"""),"TOS SULU")</f>
        <v>TOS SULU</v>
      </c>
      <c r="F155" s="252" t="str">
        <f>IFERROR(__xludf.DUMMYFUNCTION("""COMPUTED_VALUE"""),"CM")</f>
        <v>CM</v>
      </c>
      <c r="G155" s="253" t="str">
        <f>IFERROR(__xludf.DUMMYFUNCTION("""COMPUTED_VALUE"""),"✅")</f>
        <v>✅</v>
      </c>
      <c r="H155" s="254"/>
      <c r="I155" s="254" t="str">
        <f>IFERROR(__xludf.DUMMYFUNCTION("""COMPUTED_VALUE"""),"AddState")</f>
        <v>AddState</v>
      </c>
      <c r="J155" s="254" t="str">
        <f>IFERROR(__xludf.DUMMYFUNCTION("""COMPUTED_VALUE"""),"At the start of each round, TOS Hikaru Sulu has a X chance of inspiring Morale for one round.")</f>
        <v>At the start of each round, TOS Hikaru Sulu has a X chance of inspiring Morale for one round.</v>
      </c>
      <c r="K155" s="255"/>
      <c r="L155" s="255"/>
      <c r="M155" s="255"/>
      <c r="N155" s="255"/>
      <c r="O155" s="255"/>
      <c r="P155" s="255"/>
      <c r="Q155" s="256"/>
      <c r="R155" s="257"/>
      <c r="S155" s="258"/>
      <c r="T155" s="255"/>
      <c r="U155" s="258"/>
      <c r="V155" s="259"/>
    </row>
    <row r="156">
      <c r="A156" s="68"/>
      <c r="B156" s="55"/>
      <c r="C156" s="68"/>
      <c r="D156" s="260" t="str">
        <f>IFERROR(__xludf.DUMMYFUNCTION("""COMPUTED_VALUE"""),"   E")</f>
        <v>E</v>
      </c>
      <c r="E156" s="261" t="str">
        <f>IFERROR(__xludf.DUMMYFUNCTION("""COMPUTED_VALUE"""),"TRIP TUCKER")</f>
        <v>TRIP TUCKER</v>
      </c>
      <c r="F156" s="240" t="str">
        <f>IFERROR(__xludf.DUMMYFUNCTION("""COMPUTED_VALUE"""),"OA")</f>
        <v>OA</v>
      </c>
      <c r="G156" s="239" t="str">
        <f>IFERROR(__xludf.DUMMYFUNCTION("""COMPUTED_VALUE"""),"✅")</f>
        <v>✅</v>
      </c>
      <c r="H156" s="243"/>
      <c r="I156" s="243" t="str">
        <f>IFERROR(__xludf.DUMMYFUNCTION("""COMPUTED_VALUE"""),"CritDamage")</f>
        <v>CritDamage</v>
      </c>
      <c r="J156" s="243" t="str">
        <f>IFERROR(__xludf.DUMMYFUNCTION("""COMPUTED_VALUE"""),"When you take damage from a hostile or another player, Trip Tucker decreases your opponent's critical damage by X for 2 rounds. (This ability can stack) (Does not trigger at Armadas or Assaults) (Weapons with multiple shots will only trigger this ability "&amp;"once per attack)")</f>
        <v>When you take damage from a hostile or another player, Trip Tucker decreases your opponent's critical damage by X for 2 rounds. (This ability can stack) (Does not trigger at Armadas or Assaults) (Weapons with multiple shots will only trigger this ability once per attack)</v>
      </c>
      <c r="K156" s="255"/>
      <c r="L156" s="255"/>
      <c r="M156" s="255"/>
      <c r="N156" s="255"/>
      <c r="O156" s="255"/>
      <c r="P156" s="255"/>
      <c r="Q156" s="256"/>
      <c r="R156" s="257"/>
      <c r="S156" s="258"/>
      <c r="T156" s="255"/>
      <c r="U156" s="258"/>
      <c r="V156" s="259"/>
    </row>
    <row r="157">
      <c r="A157" s="68"/>
      <c r="B157" s="8"/>
      <c r="C157" s="68"/>
      <c r="D157" s="250" t="str">
        <f>IFERROR(__xludf.DUMMYFUNCTION("""COMPUTED_VALUE"""),"   R")</f>
        <v>R</v>
      </c>
      <c r="E157" s="251" t="str">
        <f>IFERROR(__xludf.DUMMYFUNCTION("""COMPUTED_VALUE"""),"UHURA")</f>
        <v>UHURA</v>
      </c>
      <c r="F157" s="252" t="str">
        <f>IFERROR(__xludf.DUMMYFUNCTION("""COMPUTED_VALUE"""),"CM")</f>
        <v>CM</v>
      </c>
      <c r="G157" s="253" t="str">
        <f>IFERROR(__xludf.DUMMYFUNCTION("""COMPUTED_VALUE"""),"✅")</f>
        <v>✅</v>
      </c>
      <c r="H157" s="254"/>
      <c r="I157" s="254" t="str">
        <f>IFERROR(__xludf.DUMMYFUNCTION("""COMPUTED_VALUE"""),"AllReloadSpeed")</f>
        <v>AllReloadSpeed</v>
      </c>
      <c r="J157" s="254" t="str">
        <f>IFERROR(__xludf.DUMMYFUNCTION("""COMPUTED_VALUE"""),"When the shield is depleted, Uhura has a X chance of delaying the next opponent weapon fire by one Round.")</f>
        <v>When the shield is depleted, Uhura has a X chance of delaying the next opponent weapon fire by one Round.</v>
      </c>
      <c r="K157" s="255"/>
      <c r="L157" s="255"/>
      <c r="M157" s="255"/>
      <c r="N157" s="255"/>
      <c r="O157" s="255"/>
      <c r="P157" s="255"/>
      <c r="Q157" s="256"/>
      <c r="R157" s="257"/>
      <c r="S157" s="258"/>
      <c r="T157" s="255"/>
      <c r="U157" s="258"/>
      <c r="V157" s="259"/>
    </row>
    <row r="158">
      <c r="A158" s="68"/>
      <c r="B158" s="8"/>
      <c r="C158" s="68"/>
      <c r="D158" s="260" t="str">
        <f>IFERROR(__xludf.DUMMYFUNCTION("""COMPUTED_VALUE"""),"   R")</f>
        <v>R</v>
      </c>
      <c r="E158" s="261" t="str">
        <f>IFERROR(__xludf.DUMMYFUNCTION("""COMPUTED_VALUE"""),"UHURA")</f>
        <v>UHURA</v>
      </c>
      <c r="F158" s="240" t="str">
        <f>IFERROR(__xludf.DUMMYFUNCTION("""COMPUTED_VALUE"""),"OA")</f>
        <v>OA</v>
      </c>
      <c r="G158" s="239" t="str">
        <f>IFERROR(__xludf.DUMMYFUNCTION("""COMPUTED_VALUE"""),"✅")</f>
        <v>✅</v>
      </c>
      <c r="H158" s="243"/>
      <c r="I158" s="243" t="str">
        <f>IFERROR(__xludf.DUMMYFUNCTION("""COMPUTED_VALUE"""),"Accuracy")</f>
        <v>Accuracy</v>
      </c>
      <c r="J158" s="243" t="str">
        <f>IFERROR(__xludf.DUMMYFUNCTION("""COMPUTED_VALUE"""),"Uhura increases the Accuracy of the ship she's in by X.")</f>
        <v>Uhura increases the Accuracy of the ship she's in by X.</v>
      </c>
      <c r="K158" s="255"/>
      <c r="L158" s="255"/>
      <c r="M158" s="255"/>
      <c r="N158" s="255"/>
      <c r="O158" s="255"/>
      <c r="P158" s="255"/>
      <c r="Q158" s="256"/>
      <c r="R158" s="257"/>
      <c r="S158" s="258"/>
      <c r="T158" s="255"/>
      <c r="U158" s="258"/>
      <c r="V158" s="259"/>
    </row>
    <row r="159">
      <c r="A159" s="68"/>
      <c r="B159" s="61"/>
      <c r="C159" s="68"/>
      <c r="D159" s="250" t="str">
        <f>IFERROR(__xludf.DUMMYFUNCTION("""COMPUTED_VALUE"""),"   C")</f>
        <v>C</v>
      </c>
      <c r="E159" s="251" t="str">
        <f>IFERROR(__xludf.DUMMYFUNCTION("""COMPUTED_VALUE"""),"VEL")</f>
        <v>VEL</v>
      </c>
      <c r="F159" s="252" t="str">
        <f>IFERROR(__xludf.DUMMYFUNCTION("""COMPUTED_VALUE"""),"CM")</f>
        <v>CM</v>
      </c>
      <c r="G159" s="253" t="str">
        <f>IFERROR(__xludf.DUMMYFUNCTION("""COMPUTED_VALUE"""),"✅")</f>
        <v>✅</v>
      </c>
      <c r="H159" s="254"/>
      <c r="I159" s="254" t="str">
        <f>IFERROR(__xludf.DUMMYFUNCTION("""COMPUTED_VALUE"""),"CombatDilithiumReward")</f>
        <v>CombatDilithiumReward</v>
      </c>
      <c r="J159" s="254" t="str">
        <f>IFERROR(__xludf.DUMMYFUNCTION("""COMPUTED_VALUE"""),"Vel increases the Dilithium rewards for defeating a Hostile by X.")</f>
        <v>Vel increases the Dilithium rewards for defeating a Hostile by X.</v>
      </c>
      <c r="K159" s="255"/>
      <c r="L159" s="255"/>
      <c r="M159" s="255"/>
      <c r="N159" s="255"/>
      <c r="O159" s="255"/>
      <c r="P159" s="255"/>
      <c r="Q159" s="256"/>
      <c r="R159" s="257"/>
      <c r="S159" s="258"/>
      <c r="T159" s="255"/>
      <c r="U159" s="258"/>
      <c r="V159" s="259"/>
    </row>
    <row r="160">
      <c r="A160" s="68"/>
      <c r="B160" s="61"/>
      <c r="C160" s="68"/>
      <c r="D160" s="260" t="str">
        <f>IFERROR(__xludf.DUMMYFUNCTION("""COMPUTED_VALUE"""),"   U")</f>
        <v>U</v>
      </c>
      <c r="E160" s="261" t="str">
        <f>IFERROR(__xludf.DUMMYFUNCTION("""COMPUTED_VALUE"""),"VELLA")</f>
        <v>VELLA</v>
      </c>
      <c r="F160" s="240" t="str">
        <f>IFERROR(__xludf.DUMMYFUNCTION("""COMPUTED_VALUE"""),"OA")</f>
        <v>OA</v>
      </c>
      <c r="G160" s="239" t="str">
        <f>IFERROR(__xludf.DUMMYFUNCTION("""COMPUTED_VALUE"""),"✅")</f>
        <v>✅</v>
      </c>
      <c r="H160" s="243"/>
      <c r="I160" s="243" t="str">
        <f>IFERROR(__xludf.DUMMYFUNCTION("""COMPUTED_VALUE"""),"OfficerStatHealth")</f>
        <v>OfficerStatHealth</v>
      </c>
      <c r="J160" s="243" t="str">
        <f>IFERROR(__xludf.DUMMYFUNCTION("""COMPUTED_VALUE"""),"Vella increases the total Health of all Officers on the ship by X.")</f>
        <v>Vella increases the total Health of all Officers on the ship by X.</v>
      </c>
      <c r="K160" s="255"/>
      <c r="L160" s="255"/>
      <c r="M160" s="255"/>
      <c r="N160" s="255"/>
      <c r="O160" s="255"/>
      <c r="P160" s="255"/>
      <c r="Q160" s="256"/>
      <c r="R160" s="257"/>
      <c r="S160" s="258"/>
      <c r="T160" s="255"/>
      <c r="U160" s="258"/>
      <c r="V160" s="259"/>
    </row>
    <row r="161">
      <c r="A161" s="68"/>
      <c r="B161" s="153"/>
      <c r="C161" s="68"/>
      <c r="D161" s="250" t="str">
        <f>IFERROR(__xludf.DUMMYFUNCTION("""COMPUTED_VALUE"""),"   R")</f>
        <v>R</v>
      </c>
      <c r="E161" s="251" t="str">
        <f>IFERROR(__xludf.DUMMYFUNCTION("""COMPUTED_VALUE"""),"VEMET")</f>
        <v>VEMET</v>
      </c>
      <c r="F161" s="252" t="str">
        <f>IFERROR(__xludf.DUMMYFUNCTION("""COMPUTED_VALUE"""),"CM")</f>
        <v>CM</v>
      </c>
      <c r="G161" s="253" t="str">
        <f>IFERROR(__xludf.DUMMYFUNCTION("""COMPUTED_VALUE"""),"✅")</f>
        <v>✅</v>
      </c>
      <c r="H161" s="254"/>
      <c r="I161" s="254" t="str">
        <f>IFERROR(__xludf.DUMMYFUNCTION("""COMPUTED_VALUE"""),"HullHPRepair")</f>
        <v>HullHPRepair</v>
      </c>
      <c r="J161" s="254" t="str">
        <f>IFERROR(__xludf.DUMMYFUNCTION("""COMPUTED_VALUE"""),"If the ship survives an attack that depletes its shields and is destroyed in one of the following attacks during the same battle, the battle is lost but Vemet heals X of the Hull Health and the ship survives. This takes precedence over the NSEA Protector’"&amp;"s Omega-13 Ship Ability and does not stack.")</f>
        <v>If the ship survives an attack that depletes its shields and is destroyed in one of the following attacks during the same battle, the battle is lost but Vemet heals X of the Hull Health and the ship survives. This takes precedence over the NSEA Protector’s Omega-13 Ship Ability and does not stack.</v>
      </c>
      <c r="K161" s="255"/>
      <c r="L161" s="255"/>
      <c r="M161" s="255"/>
      <c r="N161" s="255"/>
      <c r="O161" s="255"/>
      <c r="P161" s="255"/>
      <c r="Q161" s="256"/>
      <c r="R161" s="257"/>
      <c r="S161" s="258"/>
      <c r="T161" s="255"/>
      <c r="U161" s="258"/>
      <c r="V161" s="259"/>
    </row>
    <row r="162">
      <c r="A162" s="68"/>
      <c r="B162" s="155"/>
      <c r="C162" s="68"/>
      <c r="D162" s="260" t="str">
        <f>IFERROR(__xludf.DUMMYFUNCTION("""COMPUTED_VALUE"""),"   E")</f>
        <v>E</v>
      </c>
      <c r="E162" s="261" t="str">
        <f>IFERROR(__xludf.DUMMYFUNCTION("""COMPUTED_VALUE"""),"VIL GUL DUKAT")</f>
        <v>VIL GUL DUKAT</v>
      </c>
      <c r="F162" s="240" t="str">
        <f>IFERROR(__xludf.DUMMYFUNCTION("""COMPUTED_VALUE"""),"OA")</f>
        <v>OA</v>
      </c>
      <c r="G162" s="239" t="str">
        <f>IFERROR(__xludf.DUMMYFUNCTION("""COMPUTED_VALUE"""),"✅")</f>
        <v>✅</v>
      </c>
      <c r="H162" s="243"/>
      <c r="I162" s="243" t="str">
        <f>IFERROR(__xludf.DUMMYFUNCTION("""COMPUTED_VALUE"""),"ShotsPerAttack")</f>
        <v>ShotsPerAttack</v>
      </c>
      <c r="J162" s="243" t="str">
        <f>IFERROR(__xludf.DUMMYFUNCTION("""COMPUTED_VALUE"""),"VIL Gul Dukat increases Shots by X (X at rank X) when attacking a Station.")</f>
        <v>VIL Gul Dukat increases Shots by X (X at rank X) when attacking a Station.</v>
      </c>
      <c r="K162" s="255"/>
      <c r="L162" s="255"/>
      <c r="M162" s="255"/>
      <c r="N162" s="255"/>
      <c r="O162" s="255"/>
      <c r="P162" s="255"/>
      <c r="Q162" s="256"/>
      <c r="R162" s="257"/>
      <c r="S162" s="258"/>
      <c r="T162" s="255"/>
      <c r="U162" s="258"/>
      <c r="V162" s="259"/>
    </row>
    <row r="163">
      <c r="A163" s="68"/>
      <c r="B163" s="164"/>
      <c r="C163" s="68"/>
      <c r="D163" s="250" t="str">
        <f>IFERROR(__xludf.DUMMYFUNCTION("""COMPUTED_VALUE"""),"   E")</f>
        <v>E</v>
      </c>
      <c r="E163" s="251" t="str">
        <f>IFERROR(__xludf.DUMMYFUNCTION("""COMPUTED_VALUE"""),"VIL GUL DUKAT")</f>
        <v>VIL GUL DUKAT</v>
      </c>
      <c r="F163" s="252" t="str">
        <f>IFERROR(__xludf.DUMMYFUNCTION("""COMPUTED_VALUE"""),"BDA")</f>
        <v>BDA</v>
      </c>
      <c r="G163" s="253" t="str">
        <f>IFERROR(__xludf.DUMMYFUNCTION("""COMPUTED_VALUE"""),"✅")</f>
        <v>✅</v>
      </c>
      <c r="H163" s="254"/>
      <c r="I163" s="254" t="str">
        <f>IFERROR(__xludf.DUMMYFUNCTION("""COMPUTED_VALUE"""),"CritChance")</f>
        <v>CritChance</v>
      </c>
      <c r="J163" s="254" t="str">
        <f>IFERROR(__xludf.DUMMYFUNCTION("""COMPUTED_VALUE"""),"VIL Gul Dukat reduces enemy player Critical Chance by X (X at rank X) during 4 rounds at the start of the combat.")</f>
        <v>VIL Gul Dukat reduces enemy player Critical Chance by X (X at rank X) during 4 rounds at the start of the combat.</v>
      </c>
      <c r="K163" s="255"/>
      <c r="L163" s="255"/>
      <c r="M163" s="255"/>
      <c r="N163" s="255"/>
      <c r="O163" s="255"/>
      <c r="P163" s="255"/>
      <c r="Q163" s="256"/>
      <c r="R163" s="257"/>
      <c r="S163" s="258"/>
      <c r="T163" s="255"/>
      <c r="U163" s="258"/>
      <c r="V163" s="259"/>
    </row>
    <row r="164">
      <c r="A164" s="68"/>
      <c r="B164" s="164"/>
      <c r="C164" s="68"/>
      <c r="D164" s="260" t="str">
        <f>IFERROR(__xludf.DUMMYFUNCTION("""COMPUTED_VALUE"""),"   E")</f>
        <v>E</v>
      </c>
      <c r="E164" s="261" t="str">
        <f>IFERROR(__xludf.DUMMYFUNCTION("""COMPUTED_VALUE"""),"VIL WINN ADAMI")</f>
        <v>VIL WINN ADAMI</v>
      </c>
      <c r="F164" s="240" t="str">
        <f>IFERROR(__xludf.DUMMYFUNCTION("""COMPUTED_VALUE"""),"OA")</f>
        <v>OA</v>
      </c>
      <c r="G164" s="239" t="str">
        <f>IFERROR(__xludf.DUMMYFUNCTION("""COMPUTED_VALUE"""),"✅")</f>
        <v>✅</v>
      </c>
      <c r="H164" s="243"/>
      <c r="I164" s="243" t="str">
        <f>IFERROR(__xludf.DUMMYFUNCTION("""COMPUTED_VALUE"""),"ShieldMitigation")</f>
        <v>ShieldMitigation</v>
      </c>
      <c r="J164" s="243" t="str">
        <f>IFERROR(__xludf.DUMMYFUNCTION("""COMPUTED_VALUE"""),"When attacking a station, Winn Adami ignores X (X at rank X) of the opponent's shield for the first 3 rounds.")</f>
        <v>When attacking a station, Winn Adami ignores X (X at rank X) of the opponent's shield for the first 3 rounds.</v>
      </c>
      <c r="K164" s="255"/>
      <c r="L164" s="255"/>
      <c r="M164" s="255"/>
      <c r="N164" s="255"/>
      <c r="O164" s="255"/>
      <c r="P164" s="255"/>
      <c r="Q164" s="256"/>
      <c r="R164" s="257"/>
      <c r="S164" s="258"/>
      <c r="T164" s="255"/>
      <c r="U164" s="258"/>
      <c r="V164" s="259"/>
    </row>
    <row r="165">
      <c r="A165" s="68"/>
      <c r="B165" s="164"/>
      <c r="C165" s="68"/>
      <c r="D165" s="250" t="str">
        <f>IFERROR(__xludf.DUMMYFUNCTION("""COMPUTED_VALUE"""),"   E")</f>
        <v>E</v>
      </c>
      <c r="E165" s="251" t="str">
        <f>IFERROR(__xludf.DUMMYFUNCTION("""COMPUTED_VALUE"""),"VIL WINN ADAMI")</f>
        <v>VIL WINN ADAMI</v>
      </c>
      <c r="F165" s="252" t="str">
        <f>IFERROR(__xludf.DUMMYFUNCTION("""COMPUTED_VALUE"""),"BDA")</f>
        <v>BDA</v>
      </c>
      <c r="G165" s="253" t="str">
        <f>IFERROR(__xludf.DUMMYFUNCTION("""COMPUTED_VALUE"""),"✅")</f>
        <v>✅</v>
      </c>
      <c r="H165" s="254"/>
      <c r="I165" s="254" t="str">
        <f>IFERROR(__xludf.DUMMYFUNCTION("""COMPUTED_VALUE"""),"CritDamage")</f>
        <v>CritDamage</v>
      </c>
      <c r="J165" s="254" t="str">
        <f>IFERROR(__xludf.DUMMYFUNCTION("""COMPUTED_VALUE"""),"Reduces enemy player Critical Damage by X (X at rank X) .")</f>
        <v>Reduces enemy player Critical Damage by X (X at rank X) .</v>
      </c>
      <c r="K165" s="255"/>
      <c r="L165" s="255"/>
      <c r="M165" s="255"/>
      <c r="N165" s="255"/>
      <c r="O165" s="255"/>
      <c r="P165" s="255"/>
      <c r="Q165" s="256"/>
      <c r="R165" s="257"/>
      <c r="S165" s="258"/>
      <c r="T165" s="255"/>
      <c r="U165" s="258"/>
      <c r="V165" s="259"/>
    </row>
    <row r="166">
      <c r="A166" s="68"/>
      <c r="B166" s="164"/>
      <c r="C166" s="68"/>
      <c r="D166" s="260" t="str">
        <f>IFERROR(__xludf.DUMMYFUNCTION("""COMPUTED_VALUE"""),"   U")</f>
        <v>U</v>
      </c>
      <c r="E166" s="261" t="str">
        <f>IFERROR(__xludf.DUMMYFUNCTION("""COMPUTED_VALUE"""),"VIXIS")</f>
        <v>VIXIS</v>
      </c>
      <c r="F166" s="240" t="str">
        <f>IFERROR(__xludf.DUMMYFUNCTION("""COMPUTED_VALUE"""),"CM")</f>
        <v>CM</v>
      </c>
      <c r="G166" s="239" t="str">
        <f>IFERROR(__xludf.DUMMYFUNCTION("""COMPUTED_VALUE"""),"✅")</f>
        <v>✅</v>
      </c>
      <c r="H166" s="243"/>
      <c r="I166" s="243" t="str">
        <f>IFERROR(__xludf.DUMMYFUNCTION("""COMPUTED_VALUE"""),"AllReloadSpeed")</f>
        <v>AllReloadSpeed</v>
      </c>
      <c r="J166" s="243" t="str">
        <f>IFERROR(__xludf.DUMMYFUNCTION("""COMPUTED_VALUE"""),"At the beginning of each round, Vixis has a X chance of delaying the opponent Weapon Fire by one round.")</f>
        <v>At the beginning of each round, Vixis has a X chance of delaying the opponent Weapon Fire by one round.</v>
      </c>
      <c r="K166" s="255"/>
      <c r="L166" s="255"/>
      <c r="M166" s="255"/>
      <c r="N166" s="255"/>
      <c r="O166" s="255"/>
      <c r="P166" s="255"/>
      <c r="Q166" s="256"/>
      <c r="R166" s="257"/>
      <c r="S166" s="258"/>
      <c r="T166" s="255"/>
      <c r="U166" s="258"/>
      <c r="V166" s="259"/>
    </row>
    <row r="167">
      <c r="A167" s="68"/>
      <c r="B167" s="164"/>
      <c r="C167" s="68"/>
      <c r="D167" s="250" t="str">
        <f>IFERROR(__xludf.DUMMYFUNCTION("""COMPUTED_VALUE"""),"   R")</f>
        <v>R</v>
      </c>
      <c r="E167" s="251" t="str">
        <f>IFERROR(__xludf.DUMMYFUNCTION("""COMPUTED_VALUE"""),"WESLEY CRUSHER")</f>
        <v>WESLEY CRUSHER</v>
      </c>
      <c r="F167" s="252" t="str">
        <f>IFERROR(__xludf.DUMMYFUNCTION("""COMPUTED_VALUE"""),"OA")</f>
        <v>OA</v>
      </c>
      <c r="G167" s="253" t="str">
        <f>IFERROR(__xludf.DUMMYFUNCTION("""COMPUTED_VALUE"""),"✅")</f>
        <v>✅</v>
      </c>
      <c r="H167" s="254"/>
      <c r="I167" s="254" t="str">
        <f>IFERROR(__xludf.DUMMYFUNCTION("""COMPUTED_VALUE"""),"OfficerStatAll")</f>
        <v>OfficerStatAll</v>
      </c>
      <c r="J167" s="254" t="str">
        <f>IFERROR(__xludf.DUMMYFUNCTION("""COMPUTED_VALUE"""),"Wesley Crusher increases his own stats by X.")</f>
        <v>Wesley Crusher increases his own stats by X.</v>
      </c>
      <c r="K167" s="255"/>
      <c r="L167" s="255"/>
      <c r="M167" s="255"/>
      <c r="N167" s="255"/>
      <c r="O167" s="255"/>
      <c r="P167" s="255"/>
      <c r="Q167" s="256"/>
      <c r="R167" s="257"/>
      <c r="S167" s="258"/>
      <c r="T167" s="255"/>
      <c r="U167" s="258"/>
      <c r="V167" s="259"/>
    </row>
    <row r="168">
      <c r="A168" s="68"/>
      <c r="B168" s="164"/>
      <c r="C168" s="68"/>
      <c r="D168" s="260" t="str">
        <f>IFERROR(__xludf.DUMMYFUNCTION("""COMPUTED_VALUE"""),"   E")</f>
        <v>E</v>
      </c>
      <c r="E168" s="261" t="str">
        <f>IFERROR(__xludf.DUMMYFUNCTION("""COMPUTED_VALUE"""),"WOK JOACHIM")</f>
        <v>WOK JOACHIM</v>
      </c>
      <c r="F168" s="240" t="str">
        <f>IFERROR(__xludf.DUMMYFUNCTION("""COMPUTED_VALUE"""),"BDA")</f>
        <v>BDA</v>
      </c>
      <c r="G168" s="239" t="str">
        <f>IFERROR(__xludf.DUMMYFUNCTION("""COMPUTED_VALUE"""),"✅")</f>
        <v>✅</v>
      </c>
      <c r="H168" s="243"/>
      <c r="I168" s="243" t="str">
        <f>IFERROR(__xludf.DUMMYFUNCTION("""COMPUTED_VALUE"""),"IsolyticDefense")</f>
        <v>IsolyticDefense</v>
      </c>
      <c r="J168" s="243" t="str">
        <f>IFERROR(__xludf.DUMMYFUNCTION("""COMPUTED_VALUE"""),"WOK Joachim increases your Isolytic Defense by X (X at rank X) against hostiles and players.")</f>
        <v>WOK Joachim increases your Isolytic Defense by X (X at rank X) against hostiles and players.</v>
      </c>
      <c r="K168" s="255"/>
      <c r="L168" s="255"/>
      <c r="M168" s="255"/>
      <c r="N168" s="255"/>
      <c r="O168" s="255"/>
      <c r="P168" s="255"/>
      <c r="Q168" s="256"/>
      <c r="R168" s="257"/>
      <c r="S168" s="258"/>
      <c r="T168" s="255"/>
      <c r="U168" s="258"/>
      <c r="V168" s="259"/>
    </row>
    <row r="169">
      <c r="A169" s="68"/>
      <c r="B169" s="182"/>
      <c r="C169" s="68"/>
      <c r="D169" s="250" t="str">
        <f>IFERROR(__xludf.DUMMYFUNCTION("""COMPUTED_VALUE"""),"   U")</f>
        <v>U</v>
      </c>
      <c r="E169" s="251" t="str">
        <f>IFERROR(__xludf.DUMMYFUNCTION("""COMPUTED_VALUE"""),"YAN'AGH")</f>
        <v>YAN'AGH</v>
      </c>
      <c r="F169" s="252" t="str">
        <f>IFERROR(__xludf.DUMMYFUNCTION("""COMPUTED_VALUE"""),"CM")</f>
        <v>CM</v>
      </c>
      <c r="G169" s="253" t="str">
        <f>IFERROR(__xludf.DUMMYFUNCTION("""COMPUTED_VALUE"""),"✅")</f>
        <v>✅</v>
      </c>
      <c r="H169" s="254"/>
      <c r="I169" s="254" t="str">
        <f>IFERROR(__xludf.DUMMYFUNCTION("""COMPUTED_VALUE"""),"AllDamage")</f>
        <v>AllDamage</v>
      </c>
      <c r="J169" s="254" t="str">
        <f>IFERROR(__xludf.DUMMYFUNCTION("""COMPUTED_VALUE"""),"When the opponent's ship Shield Health is depleted, Yan'agh increases the Weapon Damage by X.")</f>
        <v>When the opponent's ship Shield Health is depleted, Yan'agh increases the Weapon Damage by X.</v>
      </c>
      <c r="K169" s="255"/>
      <c r="L169" s="255"/>
      <c r="M169" s="255"/>
      <c r="N169" s="255"/>
      <c r="O169" s="255"/>
      <c r="P169" s="255"/>
      <c r="Q169" s="256"/>
      <c r="R169" s="257"/>
      <c r="S169" s="258"/>
      <c r="T169" s="255"/>
      <c r="U169" s="258"/>
      <c r="V169" s="259"/>
    </row>
    <row r="170">
      <c r="A170" s="68"/>
      <c r="B170" s="184"/>
      <c r="C170" s="68"/>
      <c r="D170" s="260" t="str">
        <f>IFERROR(__xludf.DUMMYFUNCTION("""COMPUTED_VALUE"""),"   R")</f>
        <v>R</v>
      </c>
      <c r="E170" s="261" t="str">
        <f>IFERROR(__xludf.DUMMYFUNCTION("""COMPUTED_VALUE"""),"YUKI")</f>
        <v>YUKI</v>
      </c>
      <c r="F170" s="240" t="str">
        <f>IFERROR(__xludf.DUMMYFUNCTION("""COMPUTED_VALUE"""),"CM")</f>
        <v>CM</v>
      </c>
      <c r="G170" s="239" t="str">
        <f>IFERROR(__xludf.DUMMYFUNCTION("""COMPUTED_VALUE"""),"✅")</f>
        <v>✅</v>
      </c>
      <c r="H170" s="243"/>
      <c r="I170" s="243" t="str">
        <f>IFERROR(__xludf.DUMMYFUNCTION("""COMPUTED_VALUE"""),"ShieldHPRepair")</f>
        <v>ShieldHPRepair</v>
      </c>
      <c r="J170" s="243" t="str">
        <f>IFERROR(__xludf.DUMMYFUNCTION("""COMPUTED_VALUE"""),"Yuki Sulu decreases the Shield Health of the opponent's ship by X each round.")</f>
        <v>Yuki Sulu decreases the Shield Health of the opponent's ship by X each round.</v>
      </c>
      <c r="K170" s="255"/>
      <c r="L170" s="255"/>
      <c r="M170" s="255"/>
      <c r="N170" s="255"/>
      <c r="O170" s="255"/>
      <c r="P170" s="255"/>
      <c r="Q170" s="256"/>
      <c r="R170" s="257"/>
      <c r="S170" s="258"/>
      <c r="T170" s="255"/>
      <c r="U170" s="258"/>
      <c r="V170" s="259"/>
    </row>
    <row r="171">
      <c r="A171" s="68"/>
      <c r="B171" s="184"/>
      <c r="C171" s="68"/>
      <c r="D171" s="250" t="str">
        <f>IFERROR(__xludf.DUMMYFUNCTION("""COMPUTED_VALUE"""),"   C")</f>
        <v>C</v>
      </c>
      <c r="E171" s="251" t="str">
        <f>IFERROR(__xludf.DUMMYFUNCTION("""COMPUTED_VALUE"""),"ZAHRA")</f>
        <v>ZAHRA</v>
      </c>
      <c r="F171" s="252" t="str">
        <f>IFERROR(__xludf.DUMMYFUNCTION("""COMPUTED_VALUE"""),"CM")</f>
        <v>CM</v>
      </c>
      <c r="G171" s="253" t="str">
        <f>IFERROR(__xludf.DUMMYFUNCTION("""COMPUTED_VALUE"""),"✅")</f>
        <v>✅</v>
      </c>
      <c r="H171" s="254"/>
      <c r="I171" s="254" t="str">
        <f>IFERROR(__xludf.DUMMYFUNCTION("""COMPUTED_VALUE"""),"HullHPMax")</f>
        <v>HullHPMax</v>
      </c>
      <c r="J171" s="254" t="str">
        <f>IFERROR(__xludf.DUMMYFUNCTION("""COMPUTED_VALUE"""),"When defending the Station, Zahra increases the ship's Hull Health by X.")</f>
        <v>When defending the Station, Zahra increases the ship's Hull Health by X.</v>
      </c>
      <c r="K171" s="255"/>
      <c r="L171" s="255"/>
      <c r="M171" s="255"/>
      <c r="N171" s="255"/>
      <c r="O171" s="255"/>
      <c r="P171" s="255"/>
      <c r="Q171" s="256"/>
      <c r="R171" s="257"/>
      <c r="S171" s="258"/>
      <c r="T171" s="255"/>
      <c r="U171" s="258"/>
      <c r="V171" s="259"/>
    </row>
    <row r="172">
      <c r="A172" s="68"/>
      <c r="B172" s="184"/>
      <c r="C172" s="68"/>
      <c r="D172" s="260" t="str">
        <f>IFERROR(__xludf.DUMMYFUNCTION("""COMPUTED_VALUE"""),"   C")</f>
        <v>C</v>
      </c>
      <c r="E172" s="261" t="str">
        <f>IFERROR(__xludf.DUMMYFUNCTION("""COMPUTED_VALUE"""),"ZAHRA")</f>
        <v>ZAHRA</v>
      </c>
      <c r="F172" s="240" t="str">
        <f>IFERROR(__xludf.DUMMYFUNCTION("""COMPUTED_VALUE"""),"OA")</f>
        <v>OA</v>
      </c>
      <c r="G172" s="239" t="str">
        <f>IFERROR(__xludf.DUMMYFUNCTION("""COMPUTED_VALUE"""),"✅")</f>
        <v>✅</v>
      </c>
      <c r="H172" s="243"/>
      <c r="I172" s="243" t="str">
        <f>IFERROR(__xludf.DUMMYFUNCTION("""COMPUTED_VALUE"""),"AllDamage")</f>
        <v>AllDamage</v>
      </c>
      <c r="J172" s="243" t="str">
        <f>IFERROR(__xludf.DUMMYFUNCTION("""COMPUTED_VALUE"""),"When defending the Station, Zahra increases the Weapon Damage by X.")</f>
        <v>When defending the Station, Zahra increases the Weapon Damage by X.</v>
      </c>
      <c r="K172" s="255"/>
      <c r="L172" s="255"/>
      <c r="M172" s="255"/>
      <c r="N172" s="255"/>
      <c r="O172" s="255"/>
      <c r="P172" s="255"/>
      <c r="Q172" s="256"/>
      <c r="R172" s="257"/>
      <c r="S172" s="258"/>
      <c r="T172" s="255"/>
      <c r="U172" s="258"/>
      <c r="V172" s="259"/>
    </row>
    <row r="173">
      <c r="A173" s="68"/>
      <c r="B173" s="184"/>
      <c r="C173" s="68"/>
      <c r="D173" s="250" t="str">
        <f>IFERROR(__xludf.DUMMYFUNCTION("""COMPUTED_VALUE"""),"   U")</f>
        <v>U</v>
      </c>
      <c r="E173" s="251" t="str">
        <f>IFERROR(__xludf.DUMMYFUNCTION("""COMPUTED_VALUE"""),"ZHOU")</f>
        <v>ZHOU</v>
      </c>
      <c r="F173" s="252" t="str">
        <f>IFERROR(__xludf.DUMMYFUNCTION("""COMPUTED_VALUE"""),"CM")</f>
        <v>CM</v>
      </c>
      <c r="G173" s="253" t="str">
        <f>IFERROR(__xludf.DUMMYFUNCTION("""COMPUTED_VALUE"""),"✅")</f>
        <v>✅</v>
      </c>
      <c r="H173" s="254"/>
      <c r="I173" s="254" t="str">
        <f>IFERROR(__xludf.DUMMYFUNCTION("""COMPUTED_VALUE"""),"OfficerStatDefense")</f>
        <v>OfficerStatDefense</v>
      </c>
      <c r="J173" s="254" t="str">
        <f>IFERROR(__xludf.DUMMYFUNCTION("""COMPUTED_VALUE"""),"Paul Zhou increases the Defense of all Officers on the bridge of the ship by X")</f>
        <v>Paul Zhou increases the Defense of all Officers on the bridge of the ship by X</v>
      </c>
      <c r="K173" s="255"/>
      <c r="L173" s="255"/>
      <c r="M173" s="255"/>
      <c r="N173" s="255"/>
      <c r="O173" s="255"/>
      <c r="P173" s="255"/>
      <c r="Q173" s="256"/>
      <c r="R173" s="257"/>
      <c r="S173" s="258"/>
      <c r="T173" s="255"/>
      <c r="U173" s="258"/>
      <c r="V173" s="259"/>
    </row>
    <row r="174">
      <c r="A174" s="68"/>
      <c r="B174" s="147"/>
      <c r="C174" s="68"/>
      <c r="D174" s="260" t="str">
        <f>IFERROR(__xludf.DUMMYFUNCTION("""COMPUTED_VALUE"""),"   R")</f>
        <v>R</v>
      </c>
      <c r="E174" s="261" t="str">
        <f>IFERROR(__xludf.DUMMYFUNCTION("""COMPUTED_VALUE"""),"ALOK SAHAR")</f>
        <v>ALOK SAHAR</v>
      </c>
      <c r="F174" s="240" t="str">
        <f>IFERROR(__xludf.DUMMYFUNCTION("""COMPUTED_VALUE"""),"OA")</f>
        <v>OA</v>
      </c>
      <c r="G174" s="239" t="str">
        <f>IFERROR(__xludf.DUMMYFUNCTION("""COMPUTED_VALUE"""),"✴️")</f>
        <v>✴️</v>
      </c>
      <c r="H174" s="243" t="str">
        <f>IFERROR(__xludf.DUMMYFUNCTION("""COMPUTED_VALUE"""),"SelfHullJunker")</f>
        <v>SelfHullJunker</v>
      </c>
      <c r="I174" s="243" t="str">
        <f>IFERROR(__xludf.DUMMYFUNCTION("""COMPUTED_VALUE"""),"ApexShred")</f>
        <v>ApexShred</v>
      </c>
      <c r="J174" s="243" t="str">
        <f>IFERROR(__xludf.DUMMYFUNCTION("""COMPUTED_VALUE"""),"Increases Apex Shred against players by X (X at rank X) when assigned to the GS-31. -- Apex Barrier remaining after Apex Shred is equal to: -- Apex Barrier / (100% + Apex Shred). -- 100% Apex Shred reduces Apex Barrier by 50%.")</f>
        <v>Increases Apex Shred against players by X (X at rank X) when assigned to the GS-31. -- Apex Barrier remaining after Apex Shred is equal to: -- Apex Barrier / (100% + Apex Shred). -- 100% Apex Shred reduces Apex Barrier by 50%.</v>
      </c>
      <c r="K174" s="255"/>
      <c r="L174" s="255"/>
      <c r="M174" s="255"/>
      <c r="N174" s="255"/>
      <c r="O174" s="255"/>
      <c r="P174" s="255"/>
      <c r="Q174" s="256"/>
      <c r="R174" s="257"/>
      <c r="S174" s="258"/>
      <c r="T174" s="255"/>
      <c r="U174" s="258"/>
      <c r="V174" s="259"/>
    </row>
    <row r="175">
      <c r="A175" s="68"/>
      <c r="B175" s="147"/>
      <c r="C175" s="68"/>
      <c r="D175" s="250" t="str">
        <f>IFERROR(__xludf.DUMMYFUNCTION("""COMPUTED_VALUE"""),"   E")</f>
        <v>E</v>
      </c>
      <c r="E175" s="251" t="str">
        <f>IFERROR(__xludf.DUMMYFUNCTION("""COMPUTED_VALUE"""),"ANDY BILLUPS")</f>
        <v>ANDY BILLUPS</v>
      </c>
      <c r="F175" s="252" t="str">
        <f>IFERROR(__xludf.DUMMYFUNCTION("""COMPUTED_VALUE"""),"OA")</f>
        <v>OA</v>
      </c>
      <c r="G175" s="253" t="str">
        <f>IFERROR(__xludf.DUMMYFUNCTION("""COMPUTED_VALUE"""),"✴️")</f>
        <v>✴️</v>
      </c>
      <c r="H175" s="254" t="str">
        <f>IFERROR(__xludf.DUMMYFUNCTION("""COMPUTED_VALUE"""),"SelfInterceptor, TargetHasHullBreach")</f>
        <v>SelfInterceptor, TargetHasHullBreach</v>
      </c>
      <c r="I175" s="254" t="str">
        <f>IFERROR(__xludf.DUMMYFUNCTION("""COMPUTED_VALUE"""),"IsolyticDamage")</f>
        <v>IsolyticDamage</v>
      </c>
      <c r="J175" s="254" t="str">
        <f>IFERROR(__xludf.DUMMYFUNCTION("""COMPUTED_VALUE"""),"On round start, if on an Interceptor and enemy player has Hull Breach, Andy Billups increases your Isolytic Cascade damage by X for 1 round. -- Isolytic Cascade multiplies your total damage, including Isolytic Damage, and all research and other bonuses.")</f>
        <v>On round start, if on an Interceptor and enemy player has Hull Breach, Andy Billups increases your Isolytic Cascade damage by X for 1 round. -- Isolytic Cascade multiplies your total damage, including Isolytic Damage, and all research and other bonuses.</v>
      </c>
      <c r="K175" s="255"/>
      <c r="L175" s="255"/>
      <c r="M175" s="255"/>
      <c r="N175" s="255"/>
      <c r="O175" s="255"/>
      <c r="P175" s="255"/>
      <c r="Q175" s="256"/>
      <c r="R175" s="257"/>
      <c r="S175" s="258"/>
      <c r="T175" s="255"/>
      <c r="U175" s="258"/>
      <c r="V175" s="259"/>
    </row>
    <row r="176">
      <c r="A176" s="68"/>
      <c r="B176" s="147"/>
      <c r="C176" s="68"/>
      <c r="D176" s="260" t="str">
        <f>IFERROR(__xludf.DUMMYFUNCTION("""COMPUTED_VALUE"""),"   E")</f>
        <v>E</v>
      </c>
      <c r="E176" s="261" t="str">
        <f>IFERROR(__xludf.DUMMYFUNCTION("""COMPUTED_VALUE"""),"ANDY BILLUPS")</f>
        <v>ANDY BILLUPS</v>
      </c>
      <c r="F176" s="240" t="str">
        <f>IFERROR(__xludf.DUMMYFUNCTION("""COMPUTED_VALUE"""),"BDA")</f>
        <v>BDA</v>
      </c>
      <c r="G176" s="239" t="str">
        <f>IFERROR(__xludf.DUMMYFUNCTION("""COMPUTED_VALUE"""),"✴️")</f>
        <v>✴️</v>
      </c>
      <c r="H176" s="243" t="str">
        <f>IFERROR(__xludf.DUMMYFUNCTION("""COMPUTED_VALUE"""),"SelfBattleship, TargetHasBurning")</f>
        <v>SelfBattleship, TargetHasBurning</v>
      </c>
      <c r="I176" s="243" t="str">
        <f>IFERROR(__xludf.DUMMYFUNCTION("""COMPUTED_VALUE"""),"IsolyticDefense")</f>
        <v>IsolyticDefense</v>
      </c>
      <c r="J176" s="243" t="str">
        <f>IFERROR(__xludf.DUMMYFUNCTION("""COMPUTED_VALUE"""),"On round start, if on a Battleship and enemy player has Burning, Andy Billups increases your Isolytic Defense by X for 1 round.")</f>
        <v>On round start, if on a Battleship and enemy player has Burning, Andy Billups increases your Isolytic Defense by X for 1 round.</v>
      </c>
      <c r="K176" s="255"/>
      <c r="L176" s="255"/>
      <c r="M176" s="255"/>
      <c r="N176" s="255"/>
      <c r="O176" s="255"/>
      <c r="P176" s="255"/>
      <c r="Q176" s="256"/>
      <c r="R176" s="257"/>
      <c r="S176" s="258"/>
      <c r="T176" s="255"/>
      <c r="U176" s="258"/>
      <c r="V176" s="259"/>
    </row>
    <row r="177">
      <c r="A177" s="68"/>
      <c r="B177" s="147"/>
      <c r="C177" s="68"/>
      <c r="D177" s="250" t="str">
        <f>IFERROR(__xludf.DUMMYFUNCTION("""COMPUTED_VALUE"""),"   U")</f>
        <v>U</v>
      </c>
      <c r="E177" s="251" t="str">
        <f>IFERROR(__xludf.DUMMYFUNCTION("""COMPUTED_VALUE"""),"ARIX")</f>
        <v>ARIX</v>
      </c>
      <c r="F177" s="252" t="str">
        <f>IFERROR(__xludf.DUMMYFUNCTION("""COMPUTED_VALUE"""),"CM")</f>
        <v>CM</v>
      </c>
      <c r="G177" s="253" t="str">
        <f>IFERROR(__xludf.DUMMYFUNCTION("""COMPUTED_VALUE"""),"✴️")</f>
        <v>✴️</v>
      </c>
      <c r="H177" s="254" t="str">
        <f>IFERROR(__xludf.DUMMYFUNCTION("""COMPUTED_VALUE"""),"HitEnemyWithEnergy")</f>
        <v>HitEnemyWithEnergy</v>
      </c>
      <c r="I177" s="254" t="str">
        <f>IFERROR(__xludf.DUMMYFUNCTION("""COMPUTED_VALUE"""),"AddState")</f>
        <v>AddState</v>
      </c>
      <c r="J177" s="254" t="str">
        <f>IFERROR(__xludf.DUMMYFUNCTION("""COMPUTED_VALUE"""),"Every time the opponent is hit by an energy weapon attack, Arix has a X chance of Burning it. -- (Weapons with multiple shots will only trigger this maneuver once per attack.)")</f>
        <v>Every time the opponent is hit by an energy weapon attack, Arix has a X chance of Burning it. -- (Weapons with multiple shots will only trigger this maneuver once per attack.)</v>
      </c>
      <c r="K177" s="255"/>
      <c r="L177" s="255"/>
      <c r="M177" s="255"/>
      <c r="N177" s="255"/>
      <c r="O177" s="255"/>
      <c r="P177" s="255"/>
      <c r="Q177" s="256"/>
      <c r="R177" s="257"/>
      <c r="S177" s="258"/>
      <c r="T177" s="255"/>
      <c r="U177" s="258"/>
      <c r="V177" s="259"/>
    </row>
    <row r="178">
      <c r="A178" s="68"/>
      <c r="B178" s="201"/>
      <c r="C178" s="68"/>
      <c r="D178" s="260" t="str">
        <f>IFERROR(__xludf.DUMMYFUNCTION("""COMPUTED_VALUE"""),"   U")</f>
        <v>U</v>
      </c>
      <c r="E178" s="261" t="str">
        <f>IFERROR(__xludf.DUMMYFUNCTION("""COMPUTED_VALUE"""),"ARIX")</f>
        <v>ARIX</v>
      </c>
      <c r="F178" s="240" t="str">
        <f>IFERROR(__xludf.DUMMYFUNCTION("""COMPUTED_VALUE"""),"OA")</f>
        <v>OA</v>
      </c>
      <c r="G178" s="239" t="str">
        <f>IFERROR(__xludf.DUMMYFUNCTION("""COMPUTED_VALUE"""),"✴️")</f>
        <v>✴️</v>
      </c>
      <c r="H178" s="243" t="str">
        <f>IFERROR(__xludf.DUMMYFUNCTION("""COMPUTED_VALUE"""),"HullHealthBelowStartOfCombat")</f>
        <v>HullHealthBelowStartOfCombat</v>
      </c>
      <c r="I178" s="243" t="str">
        <f>IFERROR(__xludf.DUMMYFUNCTION("""COMPUTED_VALUE"""),"ShipArmor")</f>
        <v>ShipArmor</v>
      </c>
      <c r="J178" s="243" t="str">
        <f>IFERROR(__xludf.DUMMYFUNCTION("""COMPUTED_VALUE"""),"As long as the ship's Hull Health is under 70% of its value at the start of combat, Arix increases its Armor by X")</f>
        <v>As long as the ship's Hull Health is under 70% of its value at the start of combat, Arix increases its Armor by X</v>
      </c>
      <c r="K178" s="255"/>
      <c r="L178" s="255"/>
      <c r="M178" s="255"/>
      <c r="N178" s="255"/>
      <c r="O178" s="255"/>
      <c r="P178" s="255"/>
      <c r="Q178" s="256"/>
      <c r="R178" s="257"/>
      <c r="S178" s="258"/>
      <c r="T178" s="255"/>
      <c r="U178" s="258"/>
      <c r="V178" s="259"/>
    </row>
    <row r="179">
      <c r="A179" s="68"/>
      <c r="B179" s="201"/>
      <c r="C179" s="68"/>
      <c r="D179" s="250" t="str">
        <f>IFERROR(__xludf.DUMMYFUNCTION("""COMPUTED_VALUE"""),"   R")</f>
        <v>R</v>
      </c>
      <c r="E179" s="251" t="str">
        <f>IFERROR(__xludf.DUMMYFUNCTION("""COMPUTED_VALUE"""),"AZETBUR")</f>
        <v>AZETBUR</v>
      </c>
      <c r="F179" s="252" t="str">
        <f>IFERROR(__xludf.DUMMYFUNCTION("""COMPUTED_VALUE"""),"CM")</f>
        <v>CM</v>
      </c>
      <c r="G179" s="253" t="str">
        <f>IFERROR(__xludf.DUMMYFUNCTION("""COMPUTED_VALUE"""),"✴️")</f>
        <v>✴️</v>
      </c>
      <c r="H179" s="254" t="str">
        <f>IFERROR(__xludf.DUMMYFUNCTION("""COMPUTED_VALUE"""),"HitEnemyWithKinetic")</f>
        <v>HitEnemyWithKinetic</v>
      </c>
      <c r="I179" s="254" t="str">
        <f>IFERROR(__xludf.DUMMYFUNCTION("""COMPUTED_VALUE"""),"AddState")</f>
        <v>AddState</v>
      </c>
      <c r="J179" s="254" t="str">
        <f>IFERROR(__xludf.DUMMYFUNCTION("""COMPUTED_VALUE"""),"When hitting the enemy with a Kinetic weapon attack, Azetbur has a X chance of causing a Hull Breach for 2 rounds on the opponent's ship. -- (Weapons with multiple shots will only trigger this ability once per attack.)")</f>
        <v>When hitting the enemy with a Kinetic weapon attack, Azetbur has a X chance of causing a Hull Breach for 2 rounds on the opponent's ship. -- (Weapons with multiple shots will only trigger this ability once per attack.)</v>
      </c>
      <c r="K179" s="255"/>
      <c r="L179" s="255"/>
      <c r="M179" s="255"/>
      <c r="N179" s="255"/>
      <c r="O179" s="255"/>
      <c r="P179" s="255"/>
      <c r="Q179" s="256"/>
      <c r="R179" s="257"/>
      <c r="S179" s="258"/>
      <c r="T179" s="255"/>
      <c r="U179" s="258"/>
      <c r="V179" s="259"/>
    </row>
    <row r="180">
      <c r="A180" s="68"/>
      <c r="B180" s="201"/>
      <c r="C180" s="68"/>
      <c r="D180" s="260" t="str">
        <f>IFERROR(__xludf.DUMMYFUNCTION("""COMPUTED_VALUE"""),"   R")</f>
        <v>R</v>
      </c>
      <c r="E180" s="261" t="str">
        <f>IFERROR(__xludf.DUMMYFUNCTION("""COMPUTED_VALUE"""),"B'ETOR")</f>
        <v>B'ETOR</v>
      </c>
      <c r="F180" s="240" t="str">
        <f>IFERROR(__xludf.DUMMYFUNCTION("""COMPUTED_VALUE"""),"OA")</f>
        <v>OA</v>
      </c>
      <c r="G180" s="239" t="str">
        <f>IFERROR(__xludf.DUMMYFUNCTION("""COMPUTED_VALUE"""),"✴️")</f>
        <v>✴️</v>
      </c>
      <c r="H180" s="243" t="str">
        <f>IFERROR(__xludf.DUMMYFUNCTION("""COMPUTED_VALUE"""),"Amalgam")</f>
        <v>Amalgam</v>
      </c>
      <c r="I180" s="243" t="str">
        <f>IFERROR(__xludf.DUMMYFUNCTION("""COMPUTED_VALUE"""),"CombatScavenger")</f>
        <v>CombatScavenger</v>
      </c>
      <c r="J180" s="243" t="str">
        <f>IFERROR(__xludf.DUMMYFUNCTION("""COMPUTED_VALUE"""),"When on the Amalgam, B'Etor boosts the Amalgam's bonus loot ship ability by X.")</f>
        <v>When on the Amalgam, B'Etor boosts the Amalgam's bonus loot ship ability by X.</v>
      </c>
      <c r="K180" s="255"/>
      <c r="L180" s="255"/>
      <c r="M180" s="255"/>
      <c r="N180" s="255"/>
      <c r="O180" s="255"/>
      <c r="P180" s="255"/>
      <c r="Q180" s="256"/>
      <c r="R180" s="257"/>
      <c r="S180" s="258"/>
      <c r="T180" s="255"/>
      <c r="U180" s="258"/>
      <c r="V180" s="259"/>
    </row>
    <row r="181">
      <c r="A181" s="68"/>
      <c r="B181" s="128"/>
      <c r="C181" s="68"/>
      <c r="D181" s="250" t="str">
        <f>IFERROR(__xludf.DUMMYFUNCTION("""COMPUTED_VALUE"""),"   R")</f>
        <v>R</v>
      </c>
      <c r="E181" s="251" t="str">
        <f>IFERROR(__xludf.DUMMYFUNCTION("""COMPUTED_VALUE"""),"BONES")</f>
        <v>BONES</v>
      </c>
      <c r="F181" s="252" t="str">
        <f>IFERROR(__xludf.DUMMYFUNCTION("""COMPUTED_VALUE"""),"CM")</f>
        <v>CM</v>
      </c>
      <c r="G181" s="253" t="str">
        <f>IFERROR(__xludf.DUMMYFUNCTION("""COMPUTED_VALUE"""),"✴️")</f>
        <v>✴️</v>
      </c>
      <c r="H181" s="254" t="str">
        <f>IFERROR(__xludf.DUMMYFUNCTION("""COMPUTED_VALUE"""),"target level 70 or under")</f>
        <v>target level 70 or under</v>
      </c>
      <c r="I181" s="254" t="str">
        <f>IFERROR(__xludf.DUMMYFUNCTION("""COMPUTED_VALUE"""),"OffAbilityEffect")</f>
        <v>OffAbilityEffect</v>
      </c>
      <c r="J181" s="254" t="str">
        <f>IFERROR(__xludf.DUMMYFUNCTION("""COMPUTED_VALUE"""),"McCoy gives a bonus of X to all the Officer Abilities of the Officers on the bridge during combat. Works against Hostiles of level 70 and under.")</f>
        <v>McCoy gives a bonus of X to all the Officer Abilities of the Officers on the bridge during combat. Works against Hostiles of level 70 and under.</v>
      </c>
      <c r="K181" s="255"/>
      <c r="L181" s="255"/>
      <c r="M181" s="255"/>
      <c r="N181" s="255"/>
      <c r="O181" s="255"/>
      <c r="P181" s="255"/>
      <c r="Q181" s="256"/>
      <c r="R181" s="257"/>
      <c r="S181" s="258"/>
      <c r="T181" s="255"/>
      <c r="U181" s="258"/>
      <c r="V181" s="259"/>
    </row>
    <row r="182">
      <c r="A182" s="68"/>
      <c r="B182" s="214"/>
      <c r="C182" s="68"/>
      <c r="D182" s="260" t="str">
        <f>IFERROR(__xludf.DUMMYFUNCTION("""COMPUTED_VALUE"""),"   R")</f>
        <v>R</v>
      </c>
      <c r="E182" s="261" t="str">
        <f>IFERROR(__xludf.DUMMYFUNCTION("""COMPUTED_VALUE"""),"BONES")</f>
        <v>BONES</v>
      </c>
      <c r="F182" s="240" t="str">
        <f>IFERROR(__xludf.DUMMYFUNCTION("""COMPUTED_VALUE"""),"OA")</f>
        <v>OA</v>
      </c>
      <c r="G182" s="239" t="str">
        <f>IFERROR(__xludf.DUMMYFUNCTION("""COMPUTED_VALUE"""),"✴️")</f>
        <v>✴️</v>
      </c>
      <c r="H182" s="243" t="str">
        <f>IFERROR(__xludf.DUMMYFUNCTION("""COMPUTED_VALUE"""),"target level 70 or under")</f>
        <v>target level 70 or under</v>
      </c>
      <c r="I182" s="243" t="str">
        <f>IFERROR(__xludf.DUMMYFUNCTION("""COMPUTED_VALUE"""),"OfficerStatDefense")</f>
        <v>OfficerStatDefense</v>
      </c>
      <c r="J182" s="243" t="str">
        <f>IFERROR(__xludf.DUMMYFUNCTION("""COMPUTED_VALUE"""),"Every time the ship gets hit by a weapon attack, McCoy increases the Defense of all the officers on the Bridge by X. Works against Hostiles of level 70 and under. -- (Weapons with multiple shots will only trigger this ability once per attack.)")</f>
        <v>Every time the ship gets hit by a weapon attack, McCoy increases the Defense of all the officers on the Bridge by X. Works against Hostiles of level 70 and under. -- (Weapons with multiple shots will only trigger this ability once per attack.)</v>
      </c>
      <c r="K182" s="255"/>
      <c r="L182" s="255"/>
      <c r="M182" s="255"/>
      <c r="N182" s="255"/>
      <c r="O182" s="255"/>
      <c r="P182" s="255"/>
      <c r="Q182" s="256"/>
      <c r="R182" s="257"/>
      <c r="S182" s="258"/>
      <c r="T182" s="255"/>
      <c r="U182" s="258"/>
      <c r="V182" s="259"/>
    </row>
    <row r="183">
      <c r="A183" s="68"/>
      <c r="B183" s="218"/>
      <c r="C183" s="68"/>
      <c r="D183" s="250" t="str">
        <f>IFERROR(__xludf.DUMMYFUNCTION("""COMPUTED_VALUE"""),"   E")</f>
        <v>E</v>
      </c>
      <c r="E183" s="251" t="str">
        <f>IFERROR(__xludf.DUMMYFUNCTION("""COMPUTED_VALUE"""),"BORG QUEEN")</f>
        <v>BORG QUEEN</v>
      </c>
      <c r="F183" s="252" t="str">
        <f>IFERROR(__xludf.DUMMYFUNCTION("""COMPUTED_VALUE"""),"BDA")</f>
        <v>BDA</v>
      </c>
      <c r="G183" s="253" t="str">
        <f>IFERROR(__xludf.DUMMYFUNCTION("""COMPUTED_VALUE"""),"✴️")</f>
        <v>✴️</v>
      </c>
      <c r="H183" s="254" t="str">
        <f>IFERROR(__xludf.DUMMYFUNCTION("""COMPUTED_VALUE"""),"TargetHasAssimilated")</f>
        <v>TargetHasAssimilated</v>
      </c>
      <c r="I183" s="254" t="str">
        <f>IFERROR(__xludf.DUMMYFUNCTION("""COMPUTED_VALUE"""),"AllPiercing")</f>
        <v>AllPiercing</v>
      </c>
      <c r="J183" s="254" t="str">
        <f>IFERROR(__xludf.DUMMYFUNCTION("""COMPUTED_VALUE"""),"While fighting a player ship with Assimilate, Borg Queen increases the ship's Armor Piercing, Shield Piercing and Accuracy by X each round (Cumulative).")</f>
        <v>While fighting a player ship with Assimilate, Borg Queen increases the ship's Armor Piercing, Shield Piercing and Accuracy by X each round (Cumulative).</v>
      </c>
      <c r="K183" s="255"/>
      <c r="L183" s="255"/>
      <c r="M183" s="255"/>
      <c r="N183" s="255"/>
      <c r="O183" s="255"/>
      <c r="P183" s="255"/>
      <c r="Q183" s="256"/>
      <c r="R183" s="257"/>
      <c r="S183" s="258"/>
      <c r="T183" s="255"/>
      <c r="U183" s="258"/>
      <c r="V183" s="259"/>
    </row>
    <row r="184">
      <c r="A184" s="68"/>
      <c r="B184" s="218"/>
      <c r="C184" s="68"/>
      <c r="D184" s="260" t="str">
        <f>IFERROR(__xludf.DUMMYFUNCTION("""COMPUTED_VALUE"""),"   R")</f>
        <v>R</v>
      </c>
      <c r="E184" s="261" t="str">
        <f>IFERROR(__xludf.DUMMYFUNCTION("""COMPUTED_VALUE"""),"CAP. TILLY")</f>
        <v>CAP. TILLY</v>
      </c>
      <c r="F184" s="240" t="str">
        <f>IFERROR(__xludf.DUMMYFUNCTION("""COMPUTED_VALUE"""),"OA")</f>
        <v>OA</v>
      </c>
      <c r="G184" s="239" t="str">
        <f>IFERROR(__xludf.DUMMYFUNCTION("""COMPUTED_VALUE"""),"✴️")</f>
        <v>✴️</v>
      </c>
      <c r="H184" s="243" t="str">
        <f>IFERROR(__xludf.DUMMYFUNCTION("""COMPUTED_VALUE"""),"TargetHasHullBreach")</f>
        <v>TargetHasHullBreach</v>
      </c>
      <c r="I184" s="243" t="str">
        <f>IFERROR(__xludf.DUMMYFUNCTION("""COMPUTED_VALUE"""),"AllDefenses")</f>
        <v>AllDefenses</v>
      </c>
      <c r="J184" s="243" t="str">
        <f>IFERROR(__xludf.DUMMYFUNCTION("""COMPUTED_VALUE"""),"At the start of each round, if the opponent has a Hull Breach, Captain Tilly increases the Armor, Shield deflection and Dodge by X of the total Health of all Officers on the ship (cumulative).")</f>
        <v>At the start of each round, if the opponent has a Hull Breach, Captain Tilly increases the Armor, Shield deflection and Dodge by X of the total Health of all Officers on the ship (cumulative).</v>
      </c>
      <c r="K184" s="255"/>
      <c r="L184" s="255"/>
      <c r="M184" s="255"/>
      <c r="N184" s="255"/>
      <c r="O184" s="255"/>
      <c r="P184" s="255"/>
      <c r="Q184" s="256"/>
      <c r="R184" s="257"/>
      <c r="S184" s="258"/>
      <c r="T184" s="255"/>
      <c r="U184" s="258"/>
      <c r="V184" s="259"/>
    </row>
    <row r="185">
      <c r="A185" s="68"/>
      <c r="B185" s="218"/>
      <c r="C185" s="68"/>
      <c r="D185" s="250" t="str">
        <f>IFERROR(__xludf.DUMMYFUNCTION("""COMPUTED_VALUE"""),"   E")</f>
        <v>E</v>
      </c>
      <c r="E185" s="251" t="str">
        <f>IFERROR(__xludf.DUMMYFUNCTION("""COMPUTED_VALUE"""),"CAROL FREEMAN")</f>
        <v>CAROL FREEMAN</v>
      </c>
      <c r="F185" s="252" t="str">
        <f>IFERROR(__xludf.DUMMYFUNCTION("""COMPUTED_VALUE"""),"OA")</f>
        <v>OA</v>
      </c>
      <c r="G185" s="253" t="str">
        <f>IFERROR(__xludf.DUMMYFUNCTION("""COMPUTED_VALUE"""),"✴️")</f>
        <v>✴️</v>
      </c>
      <c r="H185" s="254" t="str">
        <f>IFERROR(__xludf.DUMMYFUNCTION("""COMPUTED_VALUE"""),"TargetStateAny")</f>
        <v>TargetStateAny</v>
      </c>
      <c r="I185" s="254" t="str">
        <f>IFERROR(__xludf.DUMMYFUNCTION("""COMPUTED_VALUE"""),"IsolyticDamage")</f>
        <v>IsolyticDamage</v>
      </c>
      <c r="J185" s="254" t="str">
        <f>IFERROR(__xludf.DUMMYFUNCTION("""COMPUTED_VALUE"""),"On round start, if the enemy player has any state, Carol Freeman increases your Isolytic Cascade damage by X for 1 round. -- Isolytic Cascade multiplies your total damage, including Isolytic Damage, and all research and other bonuses. -- States: Morale, B"&amp;"urning, Hull Breach, Assimilated")</f>
        <v>On round start, if the enemy player has any state, Carol Freeman increases your Isolytic Cascade damage by X for 1 round. -- Isolytic Cascade multiplies your total damage, including Isolytic Damage, and all research and other bonuses. -- States: Morale, Burning, Hull Breach, Assimilated</v>
      </c>
      <c r="K185" s="255"/>
      <c r="L185" s="255"/>
      <c r="M185" s="255"/>
      <c r="N185" s="255"/>
      <c r="O185" s="255"/>
      <c r="P185" s="255"/>
      <c r="Q185" s="256"/>
      <c r="R185" s="257"/>
      <c r="S185" s="258"/>
      <c r="T185" s="255"/>
      <c r="U185" s="258"/>
      <c r="V185" s="259"/>
    </row>
    <row r="186">
      <c r="A186" s="68"/>
      <c r="B186" s="218"/>
      <c r="C186" s="68"/>
      <c r="D186" s="260" t="str">
        <f>IFERROR(__xludf.DUMMYFUNCTION("""COMPUTED_VALUE"""),"   R")</f>
        <v>R</v>
      </c>
      <c r="E186" s="261" t="str">
        <f>IFERROR(__xludf.DUMMYFUNCTION("""COMPUTED_VALUE"""),"CHANG")</f>
        <v>CHANG</v>
      </c>
      <c r="F186" s="240" t="str">
        <f>IFERROR(__xludf.DUMMYFUNCTION("""COMPUTED_VALUE"""),"CM")</f>
        <v>CM</v>
      </c>
      <c r="G186" s="239" t="str">
        <f>IFERROR(__xludf.DUMMYFUNCTION("""COMPUTED_VALUE"""),"✴️")</f>
        <v>✴️</v>
      </c>
      <c r="H186" s="243" t="str">
        <f>IFERROR(__xludf.DUMMYFUNCTION("""COMPUTED_VALUE"""),"HullHealthBelow")</f>
        <v>HullHealthBelow</v>
      </c>
      <c r="I186" s="243" t="str">
        <f>IFERROR(__xludf.DUMMYFUNCTION("""COMPUTED_VALUE"""),"AllDamage")</f>
        <v>AllDamage</v>
      </c>
      <c r="J186" s="243" t="str">
        <f>IFERROR(__xludf.DUMMYFUNCTION("""COMPUTED_VALUE"""),"As long as the opponent's ship Hull Health is under 60%, Chang increases the Damage of the weapons by X.")</f>
        <v>As long as the opponent's ship Hull Health is under 60%, Chang increases the Damage of the weapons by X.</v>
      </c>
      <c r="K186" s="255"/>
      <c r="L186" s="255"/>
      <c r="M186" s="255"/>
      <c r="N186" s="255"/>
      <c r="O186" s="255"/>
      <c r="P186" s="255"/>
      <c r="Q186" s="256"/>
      <c r="R186" s="257"/>
      <c r="S186" s="258"/>
      <c r="T186" s="255"/>
      <c r="U186" s="258"/>
      <c r="V186" s="259"/>
    </row>
    <row r="187">
      <c r="A187" s="68"/>
      <c r="B187" s="218"/>
      <c r="C187" s="68"/>
      <c r="D187" s="250" t="str">
        <f>IFERROR(__xludf.DUMMYFUNCTION("""COMPUTED_VALUE"""),"   R")</f>
        <v>R</v>
      </c>
      <c r="E187" s="251" t="str">
        <f>IFERROR(__xludf.DUMMYFUNCTION("""COMPUTED_VALUE"""),"CHANG")</f>
        <v>CHANG</v>
      </c>
      <c r="F187" s="252" t="str">
        <f>IFERROR(__xludf.DUMMYFUNCTION("""COMPUTED_VALUE"""),"OA")</f>
        <v>OA</v>
      </c>
      <c r="G187" s="253" t="str">
        <f>IFERROR(__xludf.DUMMYFUNCTION("""COMPUTED_VALUE"""),"✴️")</f>
        <v>✴️</v>
      </c>
      <c r="H187" s="254" t="str">
        <f>IFERROR(__xludf.DUMMYFUNCTION("""COMPUTED_VALUE"""),"TargetHasHullBreach")</f>
        <v>TargetHasHullBreach</v>
      </c>
      <c r="I187" s="254" t="str">
        <f>IFERROR(__xludf.DUMMYFUNCTION("""COMPUTED_VALUE"""),"AllReloadSpeed")</f>
        <v>AllReloadSpeed</v>
      </c>
      <c r="J187" s="254" t="str">
        <f>IFERROR(__xludf.DUMMYFUNCTION("""COMPUTED_VALUE"""),"If the ship deals a Critical Hit to the opponent's ship while it has a Hull Breach, Chang has a X chance of delaying its next weapon attack by 1 round.")</f>
        <v>If the ship deals a Critical Hit to the opponent's ship while it has a Hull Breach, Chang has a X chance of delaying its next weapon attack by 1 round.</v>
      </c>
      <c r="K187" s="255"/>
      <c r="L187" s="255"/>
      <c r="M187" s="255"/>
      <c r="N187" s="255"/>
      <c r="O187" s="255"/>
      <c r="P187" s="255"/>
      <c r="Q187" s="256"/>
      <c r="R187" s="257"/>
      <c r="S187" s="258"/>
      <c r="T187" s="255"/>
      <c r="U187" s="258"/>
      <c r="V187" s="259"/>
    </row>
    <row r="188">
      <c r="A188" s="68"/>
      <c r="B188" s="104"/>
      <c r="C188" s="68"/>
      <c r="D188" s="260" t="str">
        <f>IFERROR(__xludf.DUMMYFUNCTION("""COMPUTED_VALUE"""),"   E")</f>
        <v>E</v>
      </c>
      <c r="E188" s="261" t="str">
        <f>IFERROR(__xludf.DUMMYFUNCTION("""COMPUTED_VALUE"""),"CHARVANEK")</f>
        <v>CHARVANEK</v>
      </c>
      <c r="F188" s="240" t="str">
        <f>IFERROR(__xludf.DUMMYFUNCTION("""COMPUTED_VALUE"""),"CM")</f>
        <v>CM</v>
      </c>
      <c r="G188" s="239" t="str">
        <f>IFERROR(__xludf.DUMMYFUNCTION("""COMPUTED_VALUE"""),"✴️")</f>
        <v>✴️</v>
      </c>
      <c r="H188" s="243" t="str">
        <f>IFERROR(__xludf.DUMMYFUNCTION("""COMPUTED_VALUE"""),"HullHealthBelowStartOfCombat")</f>
        <v>HullHealthBelowStartOfCombat</v>
      </c>
      <c r="I188" s="243" t="str">
        <f>IFERROR(__xludf.DUMMYFUNCTION("""COMPUTED_VALUE"""),"AddState")</f>
        <v>AddState</v>
      </c>
      <c r="J188" s="243" t="str">
        <f>IFERROR(__xludf.DUMMYFUNCTION("""COMPUTED_VALUE"""),"When the ship's Hull Health goes under 80% of its value at the start of combat, Charvanek has a X chance of Burning the opponent for 3 rounds.")</f>
        <v>When the ship's Hull Health goes under 80% of its value at the start of combat, Charvanek has a X chance of Burning the opponent for 3 rounds.</v>
      </c>
      <c r="K188" s="255"/>
      <c r="L188" s="255"/>
      <c r="M188" s="255"/>
      <c r="N188" s="255"/>
      <c r="O188" s="255"/>
      <c r="P188" s="255"/>
      <c r="Q188" s="256"/>
      <c r="R188" s="257"/>
      <c r="S188" s="258"/>
      <c r="T188" s="255"/>
      <c r="U188" s="258"/>
      <c r="V188" s="259"/>
    </row>
    <row r="189">
      <c r="A189" s="68"/>
      <c r="B189" s="111"/>
      <c r="C189" s="68"/>
      <c r="D189" s="250" t="str">
        <f>IFERROR(__xludf.DUMMYFUNCTION("""COMPUTED_VALUE"""),"   U")</f>
        <v>U</v>
      </c>
      <c r="E189" s="251" t="str">
        <f>IFERROR(__xludf.DUMMYFUNCTION("""COMPUTED_VALUE"""),"D'JAOKI")</f>
        <v>D'JAOKI</v>
      </c>
      <c r="F189" s="252" t="str">
        <f>IFERROR(__xludf.DUMMYFUNCTION("""COMPUTED_VALUE"""),"OA")</f>
        <v>OA</v>
      </c>
      <c r="G189" s="253" t="str">
        <f>IFERROR(__xludf.DUMMYFUNCTION("""COMPUTED_VALUE"""),"✴️")</f>
        <v>✴️</v>
      </c>
      <c r="H189" s="254" t="str">
        <f>IFERROR(__xludf.DUMMYFUNCTION("""COMPUTED_VALUE"""),"TargetHasBurning")</f>
        <v>TargetHasBurning</v>
      </c>
      <c r="I189" s="254" t="str">
        <f>IFERROR(__xludf.DUMMYFUNCTION("""COMPUTED_VALUE"""),"AllDefenses")</f>
        <v>AllDefenses</v>
      </c>
      <c r="J189" s="254" t="str">
        <f>IFERROR(__xludf.DUMMYFUNCTION("""COMPUTED_VALUE"""),"At the beginning of each round, if the opponent is  Burning, D'jaoki increases the Armor, Shield Deflection, and Dodge of the ship by X of the Health of all Officers on the ship.")</f>
        <v>At the beginning of each round, if the opponent is  Burning, D'jaoki increases the Armor, Shield Deflection, and Dodge of the ship by X of the Health of all Officers on the ship.</v>
      </c>
      <c r="K189" s="255"/>
      <c r="L189" s="255"/>
      <c r="M189" s="255"/>
      <c r="N189" s="255"/>
      <c r="O189" s="255"/>
      <c r="P189" s="255"/>
      <c r="Q189" s="256"/>
      <c r="R189" s="257"/>
      <c r="S189" s="258"/>
      <c r="T189" s="255"/>
      <c r="U189" s="258"/>
      <c r="V189" s="259"/>
    </row>
    <row r="190">
      <c r="A190" s="68"/>
      <c r="B190" s="111"/>
      <c r="C190" s="68"/>
      <c r="D190" s="260" t="str">
        <f>IFERROR(__xludf.DUMMYFUNCTION("""COMPUTED_VALUE"""),"   R")</f>
        <v>R</v>
      </c>
      <c r="E190" s="261" t="str">
        <f>IFERROR(__xludf.DUMMYFUNCTION("""COMPUTED_VALUE"""),"DAMAR")</f>
        <v>DAMAR</v>
      </c>
      <c r="F190" s="240" t="str">
        <f>IFERROR(__xludf.DUMMYFUNCTION("""COMPUTED_VALUE"""),"CM")</f>
        <v>CM</v>
      </c>
      <c r="G190" s="239" t="str">
        <f>IFERROR(__xludf.DUMMYFUNCTION("""COMPUTED_VALUE"""),"✴️")</f>
        <v>✴️</v>
      </c>
      <c r="H190" s="243" t="str">
        <f>IFERROR(__xludf.DUMMYFUNCTION("""COMPUTED_VALUE"""),"SelfInterceptor, TargetHasHullBreach")</f>
        <v>SelfInterceptor, TargetHasHullBreach</v>
      </c>
      <c r="I190" s="243" t="str">
        <f>IFERROR(__xludf.DUMMYFUNCTION("""COMPUTED_VALUE"""),"CritChance")</f>
        <v>CritChance</v>
      </c>
      <c r="J190" s="243" t="str">
        <f>IFERROR(__xludf.DUMMYFUNCTION("""COMPUTED_VALUE"""),"While on an Interceptor fighting a player ship with Hull Breach, if Damar scores a Critical Hit, increase Critical Hit Chance by X once per Weapon for the remainder of battle.")</f>
        <v>While on an Interceptor fighting a player ship with Hull Breach, if Damar scores a Critical Hit, increase Critical Hit Chance by X once per Weapon for the remainder of battle.</v>
      </c>
      <c r="K190" s="255"/>
      <c r="L190" s="255"/>
      <c r="M190" s="255"/>
      <c r="N190" s="255"/>
      <c r="O190" s="255"/>
      <c r="P190" s="255"/>
      <c r="Q190" s="256"/>
      <c r="R190" s="257"/>
      <c r="S190" s="258"/>
      <c r="T190" s="255"/>
      <c r="U190" s="258"/>
      <c r="V190" s="259"/>
    </row>
    <row r="191">
      <c r="A191" s="68"/>
      <c r="B191" s="111"/>
      <c r="C191" s="68"/>
      <c r="D191" s="250" t="str">
        <f>IFERROR(__xludf.DUMMYFUNCTION("""COMPUTED_VALUE"""),"   R")</f>
        <v>R</v>
      </c>
      <c r="E191" s="251" t="str">
        <f>IFERROR(__xludf.DUMMYFUNCTION("""COMPUTED_VALUE"""),"DAMAR")</f>
        <v>DAMAR</v>
      </c>
      <c r="F191" s="252" t="str">
        <f>IFERROR(__xludf.DUMMYFUNCTION("""COMPUTED_VALUE"""),"OA")</f>
        <v>OA</v>
      </c>
      <c r="G191" s="253" t="str">
        <f>IFERROR(__xludf.DUMMYFUNCTION("""COMPUTED_VALUE"""),"✴️")</f>
        <v>✴️</v>
      </c>
      <c r="H191" s="254" t="str">
        <f>IFERROR(__xludf.DUMMYFUNCTION("""COMPUTED_VALUE"""),"SelfInterceptor, TargetHasHullBreach")</f>
        <v>SelfInterceptor, TargetHasHullBreach</v>
      </c>
      <c r="I191" s="254" t="str">
        <f>IFERROR(__xludf.DUMMYFUNCTION("""COMPUTED_VALUE"""),"CritDamage")</f>
        <v>CritDamage</v>
      </c>
      <c r="J191" s="254" t="str">
        <f>IFERROR(__xludf.DUMMYFUNCTION("""COMPUTED_VALUE"""),"While on an Interceptor fighting a player ship with Hull Breach, if Damar scores a Critical Hit, decrease opponent Critical Hit Damage by X once per Weapon for 3 rounds.")</f>
        <v>While on an Interceptor fighting a player ship with Hull Breach, if Damar scores a Critical Hit, decrease opponent Critical Hit Damage by X once per Weapon for 3 rounds.</v>
      </c>
      <c r="K191" s="255"/>
      <c r="L191" s="255"/>
      <c r="M191" s="255"/>
      <c r="N191" s="255"/>
      <c r="O191" s="255"/>
      <c r="P191" s="255"/>
      <c r="Q191" s="256"/>
      <c r="R191" s="257"/>
      <c r="S191" s="258"/>
      <c r="T191" s="255"/>
      <c r="U191" s="258"/>
      <c r="V191" s="259"/>
    </row>
    <row r="192">
      <c r="A192" s="68"/>
      <c r="B192" s="111"/>
      <c r="C192" s="68"/>
      <c r="D192" s="260" t="str">
        <f>IFERROR(__xludf.DUMMYFUNCTION("""COMPUTED_VALUE"""),"   R")</f>
        <v>R</v>
      </c>
      <c r="E192" s="261" t="str">
        <f>IFERROR(__xludf.DUMMYFUNCTION("""COMPUTED_VALUE"""),"DECIUS")</f>
        <v>DECIUS</v>
      </c>
      <c r="F192" s="240" t="str">
        <f>IFERROR(__xludf.DUMMYFUNCTION("""COMPUTED_VALUE"""),"CM")</f>
        <v>CM</v>
      </c>
      <c r="G192" s="239" t="str">
        <f>IFERROR(__xludf.DUMMYFUNCTION("""COMPUTED_VALUE"""),"✴️")</f>
        <v>✴️</v>
      </c>
      <c r="H192" s="243" t="str">
        <f>IFERROR(__xludf.DUMMYFUNCTION("""COMPUTED_VALUE"""),"EnemyStronger")</f>
        <v>EnemyStronger</v>
      </c>
      <c r="I192" s="243" t="str">
        <f>IFERROR(__xludf.DUMMYFUNCTION("""COMPUTED_VALUE"""),"AllPiercing")</f>
        <v>AllPiercing</v>
      </c>
      <c r="J192" s="243" t="str">
        <f>IFERROR(__xludf.DUMMYFUNCTION("""COMPUTED_VALUE"""),"When fighting a ship with a bigger Strength, Decius increases Accuracy, Armor Piercing and Shield Piercing of the ship by X.")</f>
        <v>When fighting a ship with a bigger Strength, Decius increases Accuracy, Armor Piercing and Shield Piercing of the ship by X.</v>
      </c>
      <c r="K192" s="255"/>
      <c r="L192" s="255"/>
      <c r="M192" s="255"/>
      <c r="N192" s="255"/>
      <c r="O192" s="255"/>
      <c r="P192" s="255"/>
      <c r="Q192" s="256"/>
      <c r="R192" s="257"/>
      <c r="S192" s="258"/>
      <c r="T192" s="255"/>
      <c r="U192" s="258"/>
      <c r="V192" s="259"/>
    </row>
    <row r="193">
      <c r="A193" s="68"/>
      <c r="B193" s="111"/>
      <c r="C193" s="68"/>
      <c r="D193" s="250" t="str">
        <f>IFERROR(__xludf.DUMMYFUNCTION("""COMPUTED_VALUE"""),"   E")</f>
        <v>E</v>
      </c>
      <c r="E193" s="251" t="str">
        <f>IFERROR(__xludf.DUMMYFUNCTION("""COMPUTED_VALUE"""),"DEMARCO")</f>
        <v>DEMARCO</v>
      </c>
      <c r="F193" s="252" t="str">
        <f>IFERROR(__xludf.DUMMYFUNCTION("""COMPUTED_VALUE"""),"BDA")</f>
        <v>BDA</v>
      </c>
      <c r="G193" s="253" t="str">
        <f>IFERROR(__xludf.DUMMYFUNCTION("""COMPUTED_VALUE"""),"✴️")</f>
        <v>✴️</v>
      </c>
      <c r="H193" s="254" t="str">
        <f>IFERROR(__xludf.DUMMYFUNCTION("""COMPUTED_VALUE"""),"TargetStateAny")</f>
        <v>TargetStateAny</v>
      </c>
      <c r="I193" s="254" t="str">
        <f>IFERROR(__xludf.DUMMYFUNCTION("""COMPUTED_VALUE"""),"IsolyticDamage")</f>
        <v>IsolyticDamage</v>
      </c>
      <c r="J193" s="254" t="str">
        <f>IFERROR(__xludf.DUMMYFUNCTION("""COMPUTED_VALUE"""),"Gwen DeMarco Increases Isolytic Cascade Damage in PvP when the enemy player has any state by  X (X at rank X) -- Isolytic Cascade multiplies your total damage, including Isolytic Damage, and all research and other bonuses.")</f>
        <v>Gwen DeMarco Increases Isolytic Cascade Damage in PvP when the enemy player has any state by  X (X at rank X) -- Isolytic Cascade multiplies your total damage, including Isolytic Damage, and all research and other bonuses.</v>
      </c>
      <c r="K193" s="255"/>
      <c r="L193" s="255"/>
      <c r="M193" s="255"/>
      <c r="N193" s="255"/>
      <c r="O193" s="255"/>
      <c r="P193" s="255"/>
      <c r="Q193" s="256"/>
      <c r="R193" s="257"/>
      <c r="S193" s="258"/>
      <c r="T193" s="255"/>
      <c r="U193" s="258"/>
      <c r="V193" s="259"/>
    </row>
    <row r="194">
      <c r="A194" s="68"/>
      <c r="B194" s="126"/>
      <c r="C194" s="68"/>
      <c r="D194" s="260" t="str">
        <f>IFERROR(__xludf.DUMMYFUNCTION("""COMPUTED_VALUE"""),"   R")</f>
        <v>R</v>
      </c>
      <c r="E194" s="261" t="str">
        <f>IFERROR(__xludf.DUMMYFUNCTION("""COMPUTED_VALUE"""),"DEZOC")</f>
        <v>DEZOC</v>
      </c>
      <c r="F194" s="240" t="str">
        <f>IFERROR(__xludf.DUMMYFUNCTION("""COMPUTED_VALUE"""),"BDA")</f>
        <v>BDA</v>
      </c>
      <c r="G194" s="239" t="str">
        <f>IFERROR(__xludf.DUMMYFUNCTION("""COMPUTED_VALUE"""),"✴️")</f>
        <v>✴️</v>
      </c>
      <c r="H194" s="243" t="str">
        <f>IFERROR(__xludf.DUMMYFUNCTION("""COMPUTED_VALUE"""),"HullHealthBelow")</f>
        <v>HullHealthBelow</v>
      </c>
      <c r="I194" s="243" t="str">
        <f>IFERROR(__xludf.DUMMYFUNCTION("""COMPUTED_VALUE"""),"AddState")</f>
        <v>AddState</v>
      </c>
      <c r="J194" s="243" t="str">
        <f>IFERROR(__xludf.DUMMYFUNCTION("""COMPUTED_VALUE"""),"At the start of each round, if opponents Hull health is below 95%, Dezoc has X chance to apply Assimilate to it for 4 rounds. -- While a ship is affected by the Assimilate state, Officer Abilities have their effectiveness reduced by 25%.")</f>
        <v>At the start of each round, if opponents Hull health is below 95%, Dezoc has X chance to apply Assimilate to it for 4 rounds. -- While a ship is affected by the Assimilate state, Officer Abilities have their effectiveness reduced by 25%.</v>
      </c>
      <c r="K194" s="255"/>
      <c r="L194" s="255"/>
      <c r="M194" s="255"/>
      <c r="N194" s="255"/>
      <c r="O194" s="255"/>
      <c r="P194" s="255"/>
      <c r="Q194" s="256"/>
      <c r="R194" s="257"/>
      <c r="S194" s="258"/>
      <c r="T194" s="255"/>
      <c r="U194" s="258"/>
      <c r="V194" s="259"/>
    </row>
    <row r="195">
      <c r="A195" s="68"/>
      <c r="B195" s="128"/>
      <c r="C195" s="68"/>
      <c r="D195" s="250" t="str">
        <f>IFERROR(__xludf.DUMMYFUNCTION("""COMPUTED_VALUE"""),"   E")</f>
        <v>E</v>
      </c>
      <c r="E195" s="251" t="str">
        <f>IFERROR(__xludf.DUMMYFUNCTION("""COMPUTED_VALUE"""),"EURYDICE")</f>
        <v>EURYDICE</v>
      </c>
      <c r="F195" s="252" t="str">
        <f>IFERROR(__xludf.DUMMYFUNCTION("""COMPUTED_VALUE"""),"CM")</f>
        <v>CM</v>
      </c>
      <c r="G195" s="253" t="str">
        <f>IFERROR(__xludf.DUMMYFUNCTION("""COMPUTED_VALUE"""),"✴️")</f>
        <v>✴️</v>
      </c>
      <c r="H195" s="254" t="str">
        <f>IFERROR(__xludf.DUMMYFUNCTION("""COMPUTED_VALUE"""),"target level 70 or under")</f>
        <v>target level 70 or under</v>
      </c>
      <c r="I195" s="254" t="str">
        <f>IFERROR(__xludf.DUMMYFUNCTION("""COMPUTED_VALUE"""),"AllDamage")</f>
        <v>AllDamage</v>
      </c>
      <c r="J195" s="254" t="str">
        <f>IFERROR(__xludf.DUMMYFUNCTION("""COMPUTED_VALUE"""),"When the ship loses Shield Health from a weapon attack, Eurydice increases the damage of the weapons by X (cumulative). Works against Hostiles of level 70 and under. -- (Weapons with multiple shots will only trigger this maneuver once per attack.)")</f>
        <v>When the ship loses Shield Health from a weapon attack, Eurydice increases the damage of the weapons by X (cumulative). Works against Hostiles of level 70 and under. -- (Weapons with multiple shots will only trigger this maneuver once per attack.)</v>
      </c>
      <c r="K195" s="255"/>
      <c r="L195" s="255"/>
      <c r="M195" s="255"/>
      <c r="N195" s="255"/>
      <c r="O195" s="255"/>
      <c r="P195" s="255"/>
      <c r="Q195" s="256"/>
      <c r="R195" s="257"/>
      <c r="S195" s="258"/>
      <c r="T195" s="255"/>
      <c r="U195" s="258"/>
      <c r="V195" s="259"/>
    </row>
    <row r="196">
      <c r="A196" s="68"/>
      <c r="B196" s="132"/>
      <c r="C196" s="68"/>
      <c r="D196" s="260" t="str">
        <f>IFERROR(__xludf.DUMMYFUNCTION("""COMPUTED_VALUE"""),"   E")</f>
        <v>E</v>
      </c>
      <c r="E196" s="261" t="str">
        <f>IFERROR(__xludf.DUMMYFUNCTION("""COMPUTED_VALUE"""),"EURYDICE")</f>
        <v>EURYDICE</v>
      </c>
      <c r="F196" s="240" t="str">
        <f>IFERROR(__xludf.DUMMYFUNCTION("""COMPUTED_VALUE"""),"OA")</f>
        <v>OA</v>
      </c>
      <c r="G196" s="239" t="str">
        <f>IFERROR(__xludf.DUMMYFUNCTION("""COMPUTED_VALUE"""),"✴️")</f>
        <v>✴️</v>
      </c>
      <c r="H196" s="243" t="str">
        <f>IFERROR(__xludf.DUMMYFUNCTION("""COMPUTED_VALUE"""),"target level 70 or under")</f>
        <v>target level 70 or under</v>
      </c>
      <c r="I196" s="243" t="str">
        <f>IFERROR(__xludf.DUMMYFUNCTION("""COMPUTED_VALUE"""),"ShieldHPRepair")</f>
        <v>ShieldHPRepair</v>
      </c>
      <c r="J196" s="243" t="str">
        <f>IFERROR(__xludf.DUMMYFUNCTION("""COMPUTED_VALUE"""),"When the shields are depleted, Eurydice has a X chance to heal the Shield Health by 5%. Works against Hostiles of level 70 and under.")</f>
        <v>When the shields are depleted, Eurydice has a X chance to heal the Shield Health by 5%. Works against Hostiles of level 70 and under.</v>
      </c>
      <c r="K196" s="255"/>
      <c r="L196" s="255"/>
      <c r="M196" s="255"/>
      <c r="N196" s="255"/>
      <c r="O196" s="255"/>
      <c r="P196" s="255"/>
      <c r="Q196" s="256"/>
      <c r="R196" s="257"/>
      <c r="S196" s="258"/>
      <c r="T196" s="255"/>
      <c r="U196" s="258"/>
      <c r="V196" s="259"/>
    </row>
    <row r="197">
      <c r="A197" s="68"/>
      <c r="B197" s="128"/>
      <c r="C197" s="68"/>
      <c r="D197" s="250" t="str">
        <f>IFERROR(__xludf.DUMMYFUNCTION("""COMPUTED_VALUE"""),"   E")</f>
        <v>E</v>
      </c>
      <c r="E197" s="251" t="str">
        <f>IFERROR(__xludf.DUMMYFUNCTION("""COMPUTED_VALUE"""),"EZRI DAX")</f>
        <v>EZRI DAX</v>
      </c>
      <c r="F197" s="252" t="str">
        <f>IFERROR(__xludf.DUMMYFUNCTION("""COMPUTED_VALUE"""),"CM")</f>
        <v>CM</v>
      </c>
      <c r="G197" s="253" t="str">
        <f>IFERROR(__xludf.DUMMYFUNCTION("""COMPUTED_VALUE"""),"✴️")</f>
        <v>✴️</v>
      </c>
      <c r="H197" s="254" t="str">
        <f>IFERROR(__xludf.DUMMYFUNCTION("""COMPUTED_VALUE"""),"SelfSurveyor")</f>
        <v>SelfSurveyor</v>
      </c>
      <c r="I197" s="254" t="str">
        <f>IFERROR(__xludf.DUMMYFUNCTION("""COMPUTED_VALUE"""),"IsolyticDamage")</f>
        <v>IsolyticDamage</v>
      </c>
      <c r="J197" s="254" t="str">
        <f>IFERROR(__xludf.DUMMYFUNCTION("""COMPUTED_VALUE"""),"Ezri Dax increases Isolytic Cascade Damage by X when attacked by a Player while on a Survey Ship.")</f>
        <v>Ezri Dax increases Isolytic Cascade Damage by X when attacked by a Player while on a Survey Ship.</v>
      </c>
      <c r="K197" s="255"/>
      <c r="L197" s="255"/>
      <c r="M197" s="255"/>
      <c r="N197" s="255"/>
      <c r="O197" s="255"/>
      <c r="P197" s="255"/>
      <c r="Q197" s="256"/>
      <c r="R197" s="257"/>
      <c r="S197" s="258"/>
      <c r="T197" s="255"/>
      <c r="U197" s="258"/>
      <c r="V197" s="259"/>
    </row>
    <row r="198">
      <c r="A198" s="68"/>
      <c r="B198" s="128"/>
      <c r="C198" s="68"/>
      <c r="D198" s="260" t="str">
        <f>IFERROR(__xludf.DUMMYFUNCTION("""COMPUTED_VALUE"""),"   E")</f>
        <v>E</v>
      </c>
      <c r="E198" s="261" t="str">
        <f>IFERROR(__xludf.DUMMYFUNCTION("""COMPUTED_VALUE"""),"EZRI DAX")</f>
        <v>EZRI DAX</v>
      </c>
      <c r="F198" s="240" t="str">
        <f>IFERROR(__xludf.DUMMYFUNCTION("""COMPUTED_VALUE"""),"OA")</f>
        <v>OA</v>
      </c>
      <c r="G198" s="239" t="str">
        <f>IFERROR(__xludf.DUMMYFUNCTION("""COMPUTED_VALUE"""),"✴️")</f>
        <v>✴️</v>
      </c>
      <c r="H198" s="243" t="str">
        <f>IFERROR(__xludf.DUMMYFUNCTION("""COMPUTED_VALUE"""),"TargetStateAny")</f>
        <v>TargetStateAny</v>
      </c>
      <c r="I198" s="243" t="str">
        <f>IFERROR(__xludf.DUMMYFUNCTION("""COMPUTED_VALUE"""),"IsolyticDamage")</f>
        <v>IsolyticDamage</v>
      </c>
      <c r="J198" s="243" t="str">
        <f>IFERROR(__xludf.DUMMYFUNCTION("""COMPUTED_VALUE"""),"Ezri Dax increases Isolytic Cascade Damage by X (X at rank X) for 2 rounds on round start against players, if the opponent has any state.")</f>
        <v>Ezri Dax increases Isolytic Cascade Damage by X (X at rank X) for 2 rounds on round start against players, if the opponent has any state.</v>
      </c>
      <c r="K198" s="255"/>
      <c r="L198" s="255"/>
      <c r="M198" s="255"/>
      <c r="N198" s="255"/>
      <c r="O198" s="255"/>
      <c r="P198" s="255"/>
      <c r="Q198" s="256"/>
      <c r="R198" s="257"/>
      <c r="S198" s="258"/>
      <c r="T198" s="255"/>
      <c r="U198" s="258"/>
      <c r="V198" s="259"/>
    </row>
    <row r="199">
      <c r="A199" s="68"/>
      <c r="B199" s="128"/>
      <c r="C199" s="68"/>
      <c r="D199" s="250" t="str">
        <f>IFERROR(__xludf.DUMMYFUNCTION("""COMPUTED_VALUE"""),"   R")</f>
        <v>R</v>
      </c>
      <c r="E199" s="251" t="str">
        <f>IFERROR(__xludf.DUMMYFUNCTION("""COMPUTED_VALUE"""),"FRENCH MARSHAL Q")</f>
        <v>FRENCH MARSHAL Q</v>
      </c>
      <c r="F199" s="252" t="str">
        <f>IFERROR(__xludf.DUMMYFUNCTION("""COMPUTED_VALUE"""),"OA")</f>
        <v>OA</v>
      </c>
      <c r="G199" s="253" t="str">
        <f>IFERROR(__xludf.DUMMYFUNCTION("""COMPUTED_VALUE"""),"✴️")</f>
        <v>✴️</v>
      </c>
      <c r="H199" s="254" t="str">
        <f>IFERROR(__xludf.DUMMYFUNCTION("""COMPUTED_VALUE"""),"SelfHasMorale")</f>
        <v>SelfHasMorale</v>
      </c>
      <c r="I199" s="254" t="str">
        <f>IFERROR(__xludf.DUMMYFUNCTION("""COMPUTED_VALUE"""),"ShotsPerAttack")</f>
        <v>ShotsPerAttack</v>
      </c>
      <c r="J199" s="254" t="str">
        <f>IFERROR(__xludf.DUMMYFUNCTION("""COMPUTED_VALUE"""),"On round start, if placed on a ship with Morale against players, French Marshal Q increases your weapon shots by X (X at rank X) for 3 rounds.")</f>
        <v>On round start, if placed on a ship with Morale against players, French Marshal Q increases your weapon shots by X (X at rank X) for 3 rounds.</v>
      </c>
      <c r="K199" s="255"/>
      <c r="L199" s="255"/>
      <c r="M199" s="255"/>
      <c r="N199" s="255"/>
      <c r="O199" s="255"/>
      <c r="P199" s="255"/>
      <c r="Q199" s="256"/>
      <c r="R199" s="257"/>
      <c r="S199" s="258"/>
      <c r="T199" s="255"/>
      <c r="U199" s="258"/>
      <c r="V199" s="259"/>
    </row>
    <row r="200">
      <c r="A200" s="68"/>
      <c r="B200" s="128"/>
      <c r="C200" s="68"/>
      <c r="D200" s="260" t="str">
        <f>IFERROR(__xludf.DUMMYFUNCTION("""COMPUTED_VALUE"""),"   R")</f>
        <v>R</v>
      </c>
      <c r="E200" s="261" t="str">
        <f>IFERROR(__xludf.DUMMYFUNCTION("""COMPUTED_VALUE"""),"FRENCH MARSHAL Q")</f>
        <v>FRENCH MARSHAL Q</v>
      </c>
      <c r="F200" s="240" t="str">
        <f>IFERROR(__xludf.DUMMYFUNCTION("""COMPUTED_VALUE"""),"BDA")</f>
        <v>BDA</v>
      </c>
      <c r="G200" s="239" t="str">
        <f>IFERROR(__xludf.DUMMYFUNCTION("""COMPUTED_VALUE"""),"✴️")</f>
        <v>✴️</v>
      </c>
      <c r="H200" s="243" t="str">
        <f>IFERROR(__xludf.DUMMYFUNCTION("""COMPUTED_VALUE"""),"TargetStateAny")</f>
        <v>TargetStateAny</v>
      </c>
      <c r="I200" s="243" t="str">
        <f>IFERROR(__xludf.DUMMYFUNCTION("""COMPUTED_VALUE"""),"HullRepair")</f>
        <v>HullRepair</v>
      </c>
      <c r="J200" s="243" t="str">
        <f>IFERROR(__xludf.DUMMYFUNCTION("""COMPUTED_VALUE"""),"On round start, if the enemy player has any state, French Marshal Q repairs X (X at rank X) of hull damage taken in the previous round of combat.")</f>
        <v>On round start, if the enemy player has any state, French Marshal Q repairs X (X at rank X) of hull damage taken in the previous round of combat.</v>
      </c>
      <c r="K200" s="255"/>
      <c r="L200" s="255"/>
      <c r="M200" s="255"/>
      <c r="N200" s="255"/>
      <c r="O200" s="255"/>
      <c r="P200" s="255"/>
      <c r="Q200" s="256"/>
      <c r="R200" s="257"/>
      <c r="S200" s="258"/>
      <c r="T200" s="255"/>
      <c r="U200" s="258"/>
      <c r="V200" s="259"/>
    </row>
    <row r="201">
      <c r="A201" s="68"/>
      <c r="B201" s="128"/>
      <c r="C201" s="68"/>
      <c r="D201" s="250" t="str">
        <f>IFERROR(__xludf.DUMMYFUNCTION("""COMPUTED_VALUE"""),"   R")</f>
        <v>R</v>
      </c>
      <c r="E201" s="251" t="str">
        <f>IFERROR(__xludf.DUMMYFUNCTION("""COMPUTED_VALUE"""),"GARAK")</f>
        <v>GARAK</v>
      </c>
      <c r="F201" s="252" t="str">
        <f>IFERROR(__xludf.DUMMYFUNCTION("""COMPUTED_VALUE"""),"CM")</f>
        <v>CM</v>
      </c>
      <c r="G201" s="253" t="str">
        <f>IFERROR(__xludf.DUMMYFUNCTION("""COMPUTED_VALUE"""),"✴️")</f>
        <v>✴️</v>
      </c>
      <c r="H201" s="254" t="str">
        <f>IFERROR(__xludf.DUMMYFUNCTION("""COMPUTED_VALUE"""),"ModuleKinetic, SelfInterceptor, TargetHasHullBreach")</f>
        <v>ModuleKinetic, SelfInterceptor, TargetHasHullBreach</v>
      </c>
      <c r="I201" s="254" t="str">
        <f>IFERROR(__xludf.DUMMYFUNCTION("""COMPUTED_VALUE"""),"AllDamage")</f>
        <v>AllDamage</v>
      </c>
      <c r="J201" s="254" t="str">
        <f>IFERROR(__xludf.DUMMYFUNCTION("""COMPUTED_VALUE"""),"While on an Interceptor fighting a player ship with Hull Breach, Garak reduces opponent Kinetic Weapon Damage by X each round.")</f>
        <v>While on an Interceptor fighting a player ship with Hull Breach, Garak reduces opponent Kinetic Weapon Damage by X each round.</v>
      </c>
      <c r="K201" s="255"/>
      <c r="L201" s="255"/>
      <c r="M201" s="255"/>
      <c r="N201" s="255"/>
      <c r="O201" s="255"/>
      <c r="P201" s="255"/>
      <c r="Q201" s="256"/>
      <c r="R201" s="257"/>
      <c r="S201" s="258"/>
      <c r="T201" s="255"/>
      <c r="U201" s="258"/>
      <c r="V201" s="259"/>
    </row>
    <row r="202">
      <c r="A202" s="68"/>
      <c r="B202" s="128"/>
      <c r="C202" s="68"/>
      <c r="D202" s="260" t="str">
        <f>IFERROR(__xludf.DUMMYFUNCTION("""COMPUTED_VALUE"""),"   R")</f>
        <v>R</v>
      </c>
      <c r="E202" s="261" t="str">
        <f>IFERROR(__xludf.DUMMYFUNCTION("""COMPUTED_VALUE"""),"GARAK")</f>
        <v>GARAK</v>
      </c>
      <c r="F202" s="240" t="str">
        <f>IFERROR(__xludf.DUMMYFUNCTION("""COMPUTED_VALUE"""),"OA")</f>
        <v>OA</v>
      </c>
      <c r="G202" s="239" t="str">
        <f>IFERROR(__xludf.DUMMYFUNCTION("""COMPUTED_VALUE"""),"✴️")</f>
        <v>✴️</v>
      </c>
      <c r="H202" s="243" t="str">
        <f>IFERROR(__xludf.DUMMYFUNCTION("""COMPUTED_VALUE"""),"SelfInterceptor, TargetHasHullBreach")</f>
        <v>SelfInterceptor, TargetHasHullBreach</v>
      </c>
      <c r="I202" s="243" t="str">
        <f>IFERROR(__xludf.DUMMYFUNCTION("""COMPUTED_VALUE"""),"CritChance")</f>
        <v>CritChance</v>
      </c>
      <c r="J202" s="243" t="str">
        <f>IFERROR(__xludf.DUMMYFUNCTION("""COMPUTED_VALUE"""),"While on an Interceptor fighting a player ship with Hull Breach, Garak increases Critical Hit Chance by X each round.")</f>
        <v>While on an Interceptor fighting a player ship with Hull Breach, Garak increases Critical Hit Chance by X each round.</v>
      </c>
      <c r="K202" s="255"/>
      <c r="L202" s="255"/>
      <c r="M202" s="255"/>
      <c r="N202" s="255"/>
      <c r="O202" s="255"/>
      <c r="P202" s="255"/>
      <c r="Q202" s="256"/>
      <c r="R202" s="257"/>
      <c r="S202" s="258"/>
      <c r="T202" s="255"/>
      <c r="U202" s="258"/>
      <c r="V202" s="259"/>
    </row>
    <row r="203">
      <c r="A203" s="68"/>
      <c r="B203" s="132"/>
      <c r="C203" s="68"/>
      <c r="D203" s="250" t="str">
        <f>IFERROR(__xludf.DUMMYFUNCTION("""COMPUTED_VALUE"""),"   E")</f>
        <v>E</v>
      </c>
      <c r="E203" s="251" t="str">
        <f>IFERROR(__xludf.DUMMYFUNCTION("""COMPUTED_VALUE"""),"GEORGIOU")</f>
        <v>GEORGIOU</v>
      </c>
      <c r="F203" s="252" t="str">
        <f>IFERROR(__xludf.DUMMYFUNCTION("""COMPUTED_VALUE"""),"CM")</f>
        <v>CM</v>
      </c>
      <c r="G203" s="253" t="str">
        <f>IFERROR(__xludf.DUMMYFUNCTION("""COMPUTED_VALUE"""),"✴️")</f>
        <v>✴️</v>
      </c>
      <c r="H203" s="254" t="str">
        <f>IFERROR(__xludf.DUMMYFUNCTION("""COMPUTED_VALUE"""),"TargetHasBurning")</f>
        <v>TargetHasBurning</v>
      </c>
      <c r="I203" s="254" t="str">
        <f>IFERROR(__xludf.DUMMYFUNCTION("""COMPUTED_VALUE"""),"OfficerStatAttack")</f>
        <v>OfficerStatAttack</v>
      </c>
      <c r="J203" s="254" t="str">
        <f>IFERROR(__xludf.DUMMYFUNCTION("""COMPUTED_VALUE"""),"At the start of each round, if the opponent is Burning , Captain Georgiou decreases the Attack of all Officers on the opponent's ship by X for that round. -- Decreasing Attack may result in a decrease in Damage")</f>
        <v>At the start of each round, if the opponent is Burning , Captain Georgiou decreases the Attack of all Officers on the opponent's ship by X for that round. -- Decreasing Attack may result in a decrease in Damage</v>
      </c>
      <c r="K203" s="255"/>
      <c r="L203" s="255"/>
      <c r="M203" s="255"/>
      <c r="N203" s="255"/>
      <c r="O203" s="255"/>
      <c r="P203" s="255"/>
      <c r="Q203" s="256"/>
      <c r="R203" s="257"/>
      <c r="S203" s="258"/>
      <c r="T203" s="255"/>
      <c r="U203" s="258"/>
      <c r="V203" s="259"/>
    </row>
    <row r="204">
      <c r="A204" s="68"/>
      <c r="B204" s="147"/>
      <c r="C204" s="68"/>
      <c r="D204" s="260" t="str">
        <f>IFERROR(__xludf.DUMMYFUNCTION("""COMPUTED_VALUE"""),"   R")</f>
        <v>R</v>
      </c>
      <c r="E204" s="261" t="str">
        <f>IFERROR(__xludf.DUMMYFUNCTION("""COMPUTED_VALUE"""),"GOSSA")</f>
        <v>GOSSA</v>
      </c>
      <c r="F204" s="240" t="str">
        <f>IFERROR(__xludf.DUMMYFUNCTION("""COMPUTED_VALUE"""),"BDA")</f>
        <v>BDA</v>
      </c>
      <c r="G204" s="239" t="str">
        <f>IFERROR(__xludf.DUMMYFUNCTION("""COMPUTED_VALUE"""),"✴️")</f>
        <v>✴️</v>
      </c>
      <c r="H204" s="243" t="str">
        <f>IFERROR(__xludf.DUMMYFUNCTION("""COMPUTED_VALUE"""),"TargetHasAssimilated")</f>
        <v>TargetHasAssimilated</v>
      </c>
      <c r="I204" s="243" t="str">
        <f>IFERROR(__xludf.DUMMYFUNCTION("""COMPUTED_VALUE"""),"AllDefenses")</f>
        <v>AllDefenses</v>
      </c>
      <c r="J204" s="243" t="str">
        <f>IFERROR(__xludf.DUMMYFUNCTION("""COMPUTED_VALUE"""),"While fighting a player ship with Assimilate, Gossa increases the ship's Armor, Shield Deflection and Dodge by X each round (Cumulative).")</f>
        <v>While fighting a player ship with Assimilate, Gossa increases the ship's Armor, Shield Deflection and Dodge by X each round (Cumulative).</v>
      </c>
      <c r="K204" s="255"/>
      <c r="L204" s="255"/>
      <c r="M204" s="255"/>
      <c r="N204" s="255"/>
      <c r="O204" s="255"/>
      <c r="P204" s="255"/>
      <c r="Q204" s="256"/>
      <c r="R204" s="257"/>
      <c r="S204" s="258"/>
      <c r="T204" s="255"/>
      <c r="U204" s="258"/>
      <c r="V204" s="259"/>
    </row>
    <row r="205">
      <c r="A205" s="68"/>
      <c r="B205" s="147"/>
      <c r="C205" s="68"/>
      <c r="D205" s="250" t="str">
        <f>IFERROR(__xludf.DUMMYFUNCTION("""COMPUTED_VALUE"""),"   R")</f>
        <v>R</v>
      </c>
      <c r="E205" s="251" t="str">
        <f>IFERROR(__xludf.DUMMYFUNCTION("""COMPUTED_VALUE"""),"GOWRON")</f>
        <v>GOWRON</v>
      </c>
      <c r="F205" s="252" t="str">
        <f>IFERROR(__xludf.DUMMYFUNCTION("""COMPUTED_VALUE"""),"CM")</f>
        <v>CM</v>
      </c>
      <c r="G205" s="253" t="str">
        <f>IFERROR(__xludf.DUMMYFUNCTION("""COMPUTED_VALUE"""),"✴️")</f>
        <v>✴️</v>
      </c>
      <c r="H205" s="254" t="str">
        <f>IFERROR(__xludf.DUMMYFUNCTION("""COMPUTED_VALUE"""),"ModuleEnergy")</f>
        <v>ModuleEnergy</v>
      </c>
      <c r="I205" s="254" t="str">
        <f>IFERROR(__xludf.DUMMYFUNCTION("""COMPUTED_VALUE"""),"AllDamage")</f>
        <v>AllDamage</v>
      </c>
      <c r="J205" s="254" t="str">
        <f>IFERROR(__xludf.DUMMYFUNCTION("""COMPUTED_VALUE"""),"Gowron increases the ship's Energy Weapon Damage by X.")</f>
        <v>Gowron increases the ship's Energy Weapon Damage by X.</v>
      </c>
      <c r="K205" s="255"/>
      <c r="L205" s="255"/>
      <c r="M205" s="255"/>
      <c r="N205" s="255"/>
      <c r="O205" s="255"/>
      <c r="P205" s="255"/>
      <c r="Q205" s="256"/>
      <c r="R205" s="257"/>
      <c r="S205" s="258"/>
      <c r="T205" s="255"/>
      <c r="U205" s="258"/>
      <c r="V205" s="259"/>
    </row>
    <row r="206">
      <c r="A206" s="68"/>
      <c r="B206" s="147"/>
      <c r="C206" s="68"/>
      <c r="D206" s="260" t="str">
        <f>IFERROR(__xludf.DUMMYFUNCTION("""COMPUTED_VALUE"""),"   E")</f>
        <v>E</v>
      </c>
      <c r="E206" s="261" t="str">
        <f>IFERROR(__xludf.DUMMYFUNCTION("""COMPUTED_VALUE"""),"GUL DUKAT")</f>
        <v>GUL DUKAT</v>
      </c>
      <c r="F206" s="240" t="str">
        <f>IFERROR(__xludf.DUMMYFUNCTION("""COMPUTED_VALUE"""),"CM")</f>
        <v>CM</v>
      </c>
      <c r="G206" s="239" t="str">
        <f>IFERROR(__xludf.DUMMYFUNCTION("""COMPUTED_VALUE"""),"✴️")</f>
        <v>✴️</v>
      </c>
      <c r="H206" s="243" t="str">
        <f>IFERROR(__xludf.DUMMYFUNCTION("""COMPUTED_VALUE"""),"SelfInterceptor")</f>
        <v>SelfInterceptor</v>
      </c>
      <c r="I206" s="243" t="str">
        <f>IFERROR(__xludf.DUMMYFUNCTION("""COMPUTED_VALUE"""),"AddState")</f>
        <v>AddState</v>
      </c>
      <c r="J206" s="243" t="str">
        <f>IFERROR(__xludf.DUMMYFUNCTION("""COMPUTED_VALUE"""),"While on an Interceptor fighting a player ship, at the start of a round Gul Dukat has X chance to apply Hull Breach to it for 3 rounds.")</f>
        <v>While on an Interceptor fighting a player ship, at the start of a round Gul Dukat has X chance to apply Hull Breach to it for 3 rounds.</v>
      </c>
      <c r="K206" s="255"/>
      <c r="L206" s="255"/>
      <c r="M206" s="255"/>
      <c r="N206" s="255"/>
      <c r="O206" s="255"/>
      <c r="P206" s="255"/>
      <c r="Q206" s="256"/>
      <c r="R206" s="257"/>
      <c r="S206" s="258"/>
      <c r="T206" s="255"/>
      <c r="U206" s="258"/>
      <c r="V206" s="259"/>
    </row>
    <row r="207">
      <c r="A207" s="68"/>
      <c r="B207" s="147"/>
      <c r="C207" s="68"/>
      <c r="D207" s="250" t="str">
        <f>IFERROR(__xludf.DUMMYFUNCTION("""COMPUTED_VALUE"""),"   E")</f>
        <v>E</v>
      </c>
      <c r="E207" s="251" t="str">
        <f>IFERROR(__xludf.DUMMYFUNCTION("""COMPUTED_VALUE"""),"GUL DUKAT")</f>
        <v>GUL DUKAT</v>
      </c>
      <c r="F207" s="252" t="str">
        <f>IFERROR(__xludf.DUMMYFUNCTION("""COMPUTED_VALUE"""),"OA")</f>
        <v>OA</v>
      </c>
      <c r="G207" s="253" t="str">
        <f>IFERROR(__xludf.DUMMYFUNCTION("""COMPUTED_VALUE"""),"✴️")</f>
        <v>✴️</v>
      </c>
      <c r="H207" s="254" t="str">
        <f>IFERROR(__xludf.DUMMYFUNCTION("""COMPUTED_VALUE"""),"SelfInterceptor, TargetHasHullBreach")</f>
        <v>SelfInterceptor, TargetHasHullBreach</v>
      </c>
      <c r="I207" s="254" t="str">
        <f>IFERROR(__xludf.DUMMYFUNCTION("""COMPUTED_VALUE"""),"ShotsPerAttack")</f>
        <v>ShotsPerAttack</v>
      </c>
      <c r="J207" s="254" t="str">
        <f>IFERROR(__xludf.DUMMYFUNCTION("""COMPUTED_VALUE"""),"When shot while on an Interceptor fighting a player ship with Hull Breach, Gul Dukat increases the number of shots by X once per Weapon for 5 rounds.")</f>
        <v>When shot while on an Interceptor fighting a player ship with Hull Breach, Gul Dukat increases the number of shots by X once per Weapon for 5 rounds.</v>
      </c>
      <c r="K207" s="255"/>
      <c r="L207" s="255"/>
      <c r="M207" s="255"/>
      <c r="N207" s="255"/>
      <c r="O207" s="255"/>
      <c r="P207" s="255"/>
      <c r="Q207" s="256"/>
      <c r="R207" s="257"/>
      <c r="S207" s="258"/>
      <c r="T207" s="255"/>
      <c r="U207" s="258"/>
      <c r="V207" s="259"/>
    </row>
    <row r="208">
      <c r="A208" s="68"/>
      <c r="B208" s="153" t="str">
        <f>'Infos - Start Here!'!B206</f>
        <v/>
      </c>
      <c r="C208" s="68"/>
      <c r="D208" s="260" t="str">
        <f>IFERROR(__xludf.DUMMYFUNCTION("""COMPUTED_VALUE"""),"   R")</f>
        <v>R</v>
      </c>
      <c r="E208" s="261" t="str">
        <f>IFERROR(__xludf.DUMMYFUNCTION("""COMPUTED_VALUE"""),"HARRISON")</f>
        <v>HARRISON</v>
      </c>
      <c r="F208" s="240" t="str">
        <f>IFERROR(__xludf.DUMMYFUNCTION("""COMPUTED_VALUE"""),"CM")</f>
        <v>CM</v>
      </c>
      <c r="G208" s="239" t="str">
        <f>IFERROR(__xludf.DUMMYFUNCTION("""COMPUTED_VALUE"""),"✴️")</f>
        <v>✴️</v>
      </c>
      <c r="H208" s="243" t="str">
        <f>IFERROR(__xludf.DUMMYFUNCTION("""COMPUTED_VALUE"""),"TargetMaxLevel, EnemyExplorer")</f>
        <v>TargetMaxLevel, EnemyExplorer</v>
      </c>
      <c r="I208" s="243" t="str">
        <f>IFERROR(__xludf.DUMMYFUNCTION("""COMPUTED_VALUE"""),"AllDamage")</f>
        <v>AllDamage</v>
      </c>
      <c r="J208" s="243" t="str">
        <f>IFERROR(__xludf.DUMMYFUNCTION("""COMPUTED_VALUE"""),"When fighting Explorers, John Harrison increases the Weapon damage of the ship by X. Works against Hostiles of level 70 and under.")</f>
        <v>When fighting Explorers, John Harrison increases the Weapon damage of the ship by X. Works against Hostiles of level 70 and under.</v>
      </c>
      <c r="K208" s="255"/>
      <c r="L208" s="255"/>
      <c r="M208" s="255"/>
      <c r="N208" s="255"/>
      <c r="O208" s="255"/>
      <c r="P208" s="255"/>
      <c r="Q208" s="256"/>
      <c r="R208" s="257"/>
      <c r="S208" s="258"/>
      <c r="T208" s="255"/>
      <c r="U208" s="258"/>
      <c r="V208" s="259"/>
    </row>
    <row r="209">
      <c r="A209" s="68"/>
      <c r="B209" s="155"/>
      <c r="C209" s="68"/>
      <c r="D209" s="250" t="str">
        <f>IFERROR(__xludf.DUMMYFUNCTION("""COMPUTED_VALUE"""),"   R")</f>
        <v>R</v>
      </c>
      <c r="E209" s="251" t="str">
        <f>IFERROR(__xludf.DUMMYFUNCTION("""COMPUTED_VALUE"""),"HARRISON")</f>
        <v>HARRISON</v>
      </c>
      <c r="F209" s="252" t="str">
        <f>IFERROR(__xludf.DUMMYFUNCTION("""COMPUTED_VALUE"""),"OA")</f>
        <v>OA</v>
      </c>
      <c r="G209" s="253" t="str">
        <f>IFERROR(__xludf.DUMMYFUNCTION("""COMPUTED_VALUE"""),"✴️")</f>
        <v>✴️</v>
      </c>
      <c r="H209" s="254" t="str">
        <f>IFERROR(__xludf.DUMMYFUNCTION("""COMPUTED_VALUE"""),"target level 70 or under")</f>
        <v>target level 70 or under</v>
      </c>
      <c r="I209" s="254" t="str">
        <f>IFERROR(__xludf.DUMMYFUNCTION("""COMPUTED_VALUE"""),"ShieldMitigation")</f>
        <v>ShieldMitigation</v>
      </c>
      <c r="J209" s="254" t="str">
        <f>IFERROR(__xludf.DUMMYFUNCTION("""COMPUTED_VALUE"""),"For the first round of combat, John Harrison ignores X of the opponent's shield. Works against Hostiles and Players of level 70 and under.")</f>
        <v>For the first round of combat, John Harrison ignores X of the opponent's shield. Works against Hostiles and Players of level 70 and under.</v>
      </c>
      <c r="K209" s="255"/>
      <c r="L209" s="255"/>
      <c r="M209" s="255"/>
      <c r="N209" s="255"/>
      <c r="O209" s="255"/>
      <c r="P209" s="255"/>
      <c r="Q209" s="256"/>
      <c r="R209" s="257"/>
      <c r="S209" s="258"/>
      <c r="T209" s="255"/>
      <c r="U209" s="258"/>
      <c r="V209" s="259"/>
    </row>
    <row r="210">
      <c r="A210" s="68"/>
      <c r="B210" s="164"/>
      <c r="C210" s="68"/>
      <c r="D210" s="260" t="str">
        <f>IFERROR(__xludf.DUMMYFUNCTION("""COMPUTED_VALUE"""),"   E")</f>
        <v>E</v>
      </c>
      <c r="E210" s="261" t="str">
        <f>IFERROR(__xludf.DUMMYFUNCTION("""COMPUTED_VALUE"""),"HARRY MUDD")</f>
        <v>HARRY MUDD</v>
      </c>
      <c r="F210" s="240" t="str">
        <f>IFERROR(__xludf.DUMMYFUNCTION("""COMPUTED_VALUE"""),"CM")</f>
        <v>CM</v>
      </c>
      <c r="G210" s="239" t="str">
        <f>IFERROR(__xludf.DUMMYFUNCTION("""COMPUTED_VALUE"""),"✴️")</f>
        <v>✴️</v>
      </c>
      <c r="H210" s="243" t="str">
        <f>IFERROR(__xludf.DUMMYFUNCTION("""COMPUTED_VALUE"""),"target level 70 or under")</f>
        <v>target level 70 or under</v>
      </c>
      <c r="I210" s="243" t="str">
        <f>IFERROR(__xludf.DUMMYFUNCTION("""COMPUTED_VALUE"""),"ShieldMitigation")</f>
        <v>ShieldMitigation</v>
      </c>
      <c r="J210" s="243" t="str">
        <f>IFERROR(__xludf.DUMMYFUNCTION("""COMPUTED_VALUE"""),"Harcourt Fenton Mudd has a X chance to raise shield mitigation to 98% for the first two rounds of combat. Works against Hostiles of level 70 and under.")</f>
        <v>Harcourt Fenton Mudd has a X chance to raise shield mitigation to 98% for the first two rounds of combat. Works against Hostiles of level 70 and under.</v>
      </c>
      <c r="K210" s="255"/>
      <c r="L210" s="255"/>
      <c r="M210" s="255"/>
      <c r="N210" s="255"/>
      <c r="O210" s="255"/>
      <c r="P210" s="255"/>
      <c r="Q210" s="256"/>
      <c r="R210" s="257"/>
      <c r="S210" s="258"/>
      <c r="T210" s="255"/>
      <c r="U210" s="258"/>
      <c r="V210" s="259"/>
    </row>
    <row r="211">
      <c r="A211" s="68"/>
      <c r="B211" s="164"/>
      <c r="C211" s="68"/>
      <c r="D211" s="250" t="str">
        <f>IFERROR(__xludf.DUMMYFUNCTION("""COMPUTED_VALUE"""),"   E")</f>
        <v>E</v>
      </c>
      <c r="E211" s="251" t="str">
        <f>IFERROR(__xludf.DUMMYFUNCTION("""COMPUTED_VALUE"""),"HARRY MUDD")</f>
        <v>HARRY MUDD</v>
      </c>
      <c r="F211" s="252" t="str">
        <f>IFERROR(__xludf.DUMMYFUNCTION("""COMPUTED_VALUE"""),"OA")</f>
        <v>OA</v>
      </c>
      <c r="G211" s="253" t="str">
        <f>IFERROR(__xludf.DUMMYFUNCTION("""COMPUTED_VALUE"""),"✴️")</f>
        <v>✴️</v>
      </c>
      <c r="H211" s="254" t="str">
        <f>IFERROR(__xludf.DUMMYFUNCTION("""COMPUTED_VALUE"""),"target level 70 or under")</f>
        <v>target level 70 or under</v>
      </c>
      <c r="I211" s="254" t="str">
        <f>IFERROR(__xludf.DUMMYFUNCTION("""COMPUTED_VALUE"""),"ShotsPerAttack")</f>
        <v>ShotsPerAttack</v>
      </c>
      <c r="J211" s="254" t="str">
        <f>IFERROR(__xludf.DUMMYFUNCTION("""COMPUTED_VALUE"""),"Harcourt Fenton Mudd has a X chance to double the shots of all the weapons of the ship for the first round of combat. Works against Hostiles of level 70 and under.")</f>
        <v>Harcourt Fenton Mudd has a X chance to double the shots of all the weapons of the ship for the first round of combat. Works against Hostiles of level 70 and under.</v>
      </c>
      <c r="K211" s="255"/>
      <c r="L211" s="255"/>
      <c r="M211" s="255"/>
      <c r="N211" s="255"/>
      <c r="O211" s="255"/>
      <c r="P211" s="255"/>
      <c r="Q211" s="256"/>
      <c r="R211" s="257"/>
      <c r="S211" s="258"/>
      <c r="T211" s="255"/>
      <c r="U211" s="258"/>
      <c r="V211" s="259"/>
    </row>
    <row r="212">
      <c r="A212" s="68"/>
      <c r="B212" s="164"/>
      <c r="C212" s="68"/>
      <c r="D212" s="260" t="str">
        <f>IFERROR(__xludf.DUMMYFUNCTION("""COMPUTED_VALUE"""),"   U")</f>
        <v>U</v>
      </c>
      <c r="E212" s="261" t="str">
        <f>IFERROR(__xludf.DUMMYFUNCTION("""COMPUTED_VALUE"""),"HENDORFF")</f>
        <v>HENDORFF</v>
      </c>
      <c r="F212" s="240" t="str">
        <f>IFERROR(__xludf.DUMMYFUNCTION("""COMPUTED_VALUE"""),"CM")</f>
        <v>CM</v>
      </c>
      <c r="G212" s="239" t="str">
        <f>IFERROR(__xludf.DUMMYFUNCTION("""COMPUTED_VALUE"""),"✴️")</f>
        <v>✴️</v>
      </c>
      <c r="H212" s="243" t="str">
        <f>IFERROR(__xludf.DUMMYFUNCTION("""COMPUTED_VALUE"""),"HullHealthBelowStartOfCombat")</f>
        <v>HullHealthBelowStartOfCombat</v>
      </c>
      <c r="I212" s="243" t="str">
        <f>IFERROR(__xludf.DUMMYFUNCTION("""COMPUTED_VALUE"""),"AllDefenses")</f>
        <v>AllDefenses</v>
      </c>
      <c r="J212" s="243" t="str">
        <f>IFERROR(__xludf.DUMMYFUNCTION("""COMPUTED_VALUE"""),"As long as Hull Health is below 60% of its value at the start of combat, Hendorff increases Dodge, Armor and Shield Deflection by X.")</f>
        <v>As long as Hull Health is below 60% of its value at the start of combat, Hendorff increases Dodge, Armor and Shield Deflection by X.</v>
      </c>
      <c r="K212" s="255"/>
      <c r="L212" s="255"/>
      <c r="M212" s="255"/>
      <c r="N212" s="255"/>
      <c r="O212" s="255"/>
      <c r="P212" s="255"/>
      <c r="Q212" s="256"/>
      <c r="R212" s="257"/>
      <c r="S212" s="258"/>
      <c r="T212" s="255"/>
      <c r="U212" s="258"/>
      <c r="V212" s="259"/>
    </row>
    <row r="213">
      <c r="A213" s="68"/>
      <c r="B213" s="164"/>
      <c r="C213" s="68"/>
      <c r="D213" s="250" t="str">
        <f>IFERROR(__xludf.DUMMYFUNCTION("""COMPUTED_VALUE"""),"   R")</f>
        <v>R</v>
      </c>
      <c r="E213" s="251" t="str">
        <f>IFERROR(__xludf.DUMMYFUNCTION("""COMPUTED_VALUE"""),"ICHEB")</f>
        <v>ICHEB</v>
      </c>
      <c r="F213" s="252" t="str">
        <f>IFERROR(__xludf.DUMMYFUNCTION("""COMPUTED_VALUE"""),"OA")</f>
        <v>OA</v>
      </c>
      <c r="G213" s="253" t="str">
        <f>IFERROR(__xludf.DUMMYFUNCTION("""COMPUTED_VALUE"""),"✴️")</f>
        <v>✴️</v>
      </c>
      <c r="H213" s="254" t="str">
        <f>IFERROR(__xludf.DUMMYFUNCTION("""COMPUTED_VALUE"""),"TargetHasHullBreach, SelfOfficerTalNotOnBridge")</f>
        <v>TargetHasHullBreach, SelfOfficerTalNotOnBridge</v>
      </c>
      <c r="I213" s="254" t="str">
        <f>IFERROR(__xludf.DUMMYFUNCTION("""COMPUTED_VALUE"""),"ApexBarrier")</f>
        <v>ApexBarrier</v>
      </c>
      <c r="J213" s="254" t="str">
        <f>IFERROR(__xludf.DUMMYFUNCTION("""COMPUTED_VALUE"""),"Against players with Hull Breach, Icheb increases your Apex Barrier by X (X at rank X) for 4 rounds each time you score a hit (Once per weapon)(Cumulative). -- This ability does not trigger when Tal is assigned to the bridge of your ship.")</f>
        <v>Against players with Hull Breach, Icheb increases your Apex Barrier by X (X at rank X) for 4 rounds each time you score a hit (Once per weapon)(Cumulative). -- This ability does not trigger when Tal is assigned to the bridge of your ship.</v>
      </c>
      <c r="K213" s="255"/>
      <c r="L213" s="255"/>
      <c r="M213" s="255"/>
      <c r="N213" s="255"/>
      <c r="O213" s="255"/>
      <c r="P213" s="255"/>
      <c r="Q213" s="256"/>
      <c r="R213" s="257"/>
      <c r="S213" s="258"/>
      <c r="T213" s="255"/>
      <c r="U213" s="258"/>
      <c r="V213" s="259"/>
    </row>
    <row r="214">
      <c r="A214" s="68"/>
      <c r="B214" s="164"/>
      <c r="C214" s="68"/>
      <c r="D214" s="260" t="str">
        <f>IFERROR(__xludf.DUMMYFUNCTION("""COMPUTED_VALUE"""),"   R")</f>
        <v>R</v>
      </c>
      <c r="E214" s="261" t="str">
        <f>IFERROR(__xludf.DUMMYFUNCTION("""COMPUTED_VALUE"""),"ICHEB")</f>
        <v>ICHEB</v>
      </c>
      <c r="F214" s="240" t="str">
        <f>IFERROR(__xludf.DUMMYFUNCTION("""COMPUTED_VALUE"""),"BDA")</f>
        <v>BDA</v>
      </c>
      <c r="G214" s="239" t="str">
        <f>IFERROR(__xludf.DUMMYFUNCTION("""COMPUTED_VALUE"""),"✴️")</f>
        <v>✴️</v>
      </c>
      <c r="H214" s="243" t="str">
        <f>IFERROR(__xludf.DUMMYFUNCTION("""COMPUTED_VALUE"""),"SelfStateNone")</f>
        <v>SelfStateNone</v>
      </c>
      <c r="I214" s="243" t="str">
        <f>IFERROR(__xludf.DUMMYFUNCTION("""COMPUTED_VALUE"""),"IsolyticDamage")</f>
        <v>IsolyticDamage</v>
      </c>
      <c r="J214" s="243" t="str">
        <f>IFERROR(__xludf.DUMMYFUNCTION("""COMPUTED_VALUE"""),"On round start against players, if on a ship with no State applied Icheb increases your Isolytic Cascade damage by X (X at rank X) for 3 rounds (Cumulative). -- Isolytic Cascade multiplies your total damage, including Isolytic Damage, and all research and"&amp;" other bonuses.")</f>
        <v>On round start against players, if on a ship with no State applied Icheb increases your Isolytic Cascade damage by X (X at rank X) for 3 rounds (Cumulative). -- Isolytic Cascade multiplies your total damage, including Isolytic Damage, and all research and other bonuses.</v>
      </c>
      <c r="K214" s="255"/>
      <c r="L214" s="255"/>
      <c r="M214" s="255"/>
      <c r="N214" s="255"/>
      <c r="O214" s="255"/>
      <c r="P214" s="255"/>
      <c r="Q214" s="256"/>
      <c r="R214" s="257"/>
      <c r="S214" s="258"/>
      <c r="T214" s="255"/>
      <c r="U214" s="258"/>
      <c r="V214" s="259"/>
    </row>
    <row r="215">
      <c r="A215" s="28"/>
      <c r="B215" s="164"/>
      <c r="C215" s="2"/>
      <c r="D215" s="250" t="str">
        <f>IFERROR(__xludf.DUMMYFUNCTION("""COMPUTED_VALUE"""),"   R")</f>
        <v>R</v>
      </c>
      <c r="E215" s="251" t="str">
        <f>IFERROR(__xludf.DUMMYFUNCTION("""COMPUTED_VALUE"""),"IKAT’IKA")</f>
        <v>IKAT’IKA</v>
      </c>
      <c r="F215" s="252" t="str">
        <f>IFERROR(__xludf.DUMMYFUNCTION("""COMPUTED_VALUE"""),"CM")</f>
        <v>CM</v>
      </c>
      <c r="G215" s="253" t="str">
        <f>IFERROR(__xludf.DUMMYFUNCTION("""COMPUTED_VALUE"""),"✴️")</f>
        <v>✴️</v>
      </c>
      <c r="H215" s="254" t="str">
        <f>IFERROR(__xludf.DUMMYFUNCTION("""COMPUTED_VALUE"""),"SelfExplorer")</f>
        <v>SelfExplorer</v>
      </c>
      <c r="I215" s="254" t="str">
        <f>IFERROR(__xludf.DUMMYFUNCTION("""COMPUTED_VALUE"""),"AllDefenses")</f>
        <v>AllDefenses</v>
      </c>
      <c r="J215" s="254" t="str">
        <f>IFERROR(__xludf.DUMMYFUNCTION("""COMPUTED_VALUE"""),"Ikat'ika increases all Mitigation stats by X for 1 Round every Round when when fighting players, if on an Explorer.")</f>
        <v>Ikat'ika increases all Mitigation stats by X for 1 Round every Round when when fighting players, if on an Explorer.</v>
      </c>
      <c r="K215" s="255"/>
      <c r="L215" s="255"/>
      <c r="M215" s="255"/>
      <c r="N215" s="255"/>
      <c r="O215" s="255"/>
      <c r="P215" s="255"/>
      <c r="Q215" s="256"/>
      <c r="R215" s="257"/>
      <c r="S215" s="258"/>
      <c r="T215" s="255"/>
      <c r="U215" s="258"/>
      <c r="V215" s="259"/>
    </row>
    <row r="216">
      <c r="A216" s="28"/>
      <c r="B216" s="182"/>
      <c r="C216" s="262"/>
      <c r="D216" s="260" t="str">
        <f>IFERROR(__xludf.DUMMYFUNCTION("""COMPUTED_VALUE"""),"   R")</f>
        <v>R</v>
      </c>
      <c r="E216" s="261" t="str">
        <f>IFERROR(__xludf.DUMMYFUNCTION("""COMPUTED_VALUE"""),"IKAT’IKA")</f>
        <v>IKAT’IKA</v>
      </c>
      <c r="F216" s="240" t="str">
        <f>IFERROR(__xludf.DUMMYFUNCTION("""COMPUTED_VALUE"""),"OA")</f>
        <v>OA</v>
      </c>
      <c r="G216" s="239" t="str">
        <f>IFERROR(__xludf.DUMMYFUNCTION("""COMPUTED_VALUE"""),"✴️")</f>
        <v>✴️</v>
      </c>
      <c r="H216" s="243" t="str">
        <f>IFERROR(__xludf.DUMMYFUNCTION("""COMPUTED_VALUE"""),"SelfExplorer, SelfHasMorale")</f>
        <v>SelfExplorer, SelfHasMorale</v>
      </c>
      <c r="I216" s="243" t="str">
        <f>IFERROR(__xludf.DUMMYFUNCTION("""COMPUTED_VALUE"""),"AllDamage")</f>
        <v>AllDamage</v>
      </c>
      <c r="J216" s="243" t="str">
        <f>IFERROR(__xludf.DUMMYFUNCTION("""COMPUTED_VALUE"""),"Ikat'ika increases Weapon Damage by X at the start of each Round for 3 Rounds when fighting players, if on an Explorer with Morale.")</f>
        <v>Ikat'ika increases Weapon Damage by X at the start of each Round for 3 Rounds when fighting players, if on an Explorer with Morale.</v>
      </c>
      <c r="K216" s="255"/>
      <c r="L216" s="255"/>
      <c r="M216" s="255"/>
      <c r="N216" s="255"/>
      <c r="O216" s="255"/>
      <c r="P216" s="255"/>
      <c r="Q216" s="256"/>
      <c r="R216" s="257"/>
      <c r="S216" s="258"/>
      <c r="T216" s="255"/>
      <c r="U216" s="258"/>
      <c r="V216" s="259"/>
    </row>
    <row r="217">
      <c r="A217" s="28"/>
      <c r="B217" s="263"/>
      <c r="C217" s="224"/>
      <c r="D217" s="250" t="str">
        <f>IFERROR(__xludf.DUMMYFUNCTION("""COMPUTED_VALUE"""),"   R")</f>
        <v>R</v>
      </c>
      <c r="E217" s="251" t="str">
        <f>IFERROR(__xludf.DUMMYFUNCTION("""COMPUTED_VALUE"""),"INFILTRATOR TUVOK")</f>
        <v>INFILTRATOR TUVOK</v>
      </c>
      <c r="F217" s="252" t="str">
        <f>IFERROR(__xludf.DUMMYFUNCTION("""COMPUTED_VALUE"""),"OA")</f>
        <v>OA</v>
      </c>
      <c r="G217" s="253" t="str">
        <f>IFERROR(__xludf.DUMMYFUNCTION("""COMPUTED_VALUE"""),"✴️")</f>
        <v>✴️</v>
      </c>
      <c r="H217" s="254" t="str">
        <f>IFERROR(__xludf.DUMMYFUNCTION("""COMPUTED_VALUE"""),"TargetHasHullBreach")</f>
        <v>TargetHasHullBreach</v>
      </c>
      <c r="I217" s="254" t="str">
        <f>IFERROR(__xludf.DUMMYFUNCTION("""COMPUTED_VALUE"""),"IsolyticDamage")</f>
        <v>IsolyticDamage</v>
      </c>
      <c r="J217" s="254" t="str">
        <f>IFERROR(__xludf.DUMMYFUNCTION("""COMPUTED_VALUE"""),"Against players with Hull Breach, Infiltrator Tuvok increases your Isolytic Cascade damage by X (X at rank X) for 3 rounds each time you score a hit (Once per weapon)(Cumulative). -- Isolytic Cascade multiplies your total damage, including Isolytic Damage"&amp;", and all research and other bonuses.")</f>
        <v>Against players with Hull Breach, Infiltrator Tuvok increases your Isolytic Cascade damage by X (X at rank X) for 3 rounds each time you score a hit (Once per weapon)(Cumulative). -- Isolytic Cascade multiplies your total damage, including Isolytic Damage, and all research and other bonuses.</v>
      </c>
      <c r="K217" s="255"/>
      <c r="L217" s="255"/>
      <c r="M217" s="255"/>
      <c r="N217" s="255"/>
      <c r="O217" s="255"/>
      <c r="P217" s="255"/>
      <c r="Q217" s="256"/>
      <c r="R217" s="257"/>
      <c r="S217" s="258"/>
      <c r="T217" s="255"/>
      <c r="U217" s="258"/>
      <c r="V217" s="259"/>
    </row>
    <row r="218">
      <c r="A218" s="28"/>
      <c r="B218" s="263"/>
      <c r="C218" s="224"/>
      <c r="D218" s="260" t="str">
        <f>IFERROR(__xludf.DUMMYFUNCTION("""COMPUTED_VALUE"""),"   R")</f>
        <v>R</v>
      </c>
      <c r="E218" s="261" t="str">
        <f>IFERROR(__xludf.DUMMYFUNCTION("""COMPUTED_VALUE"""),"INFILTRATOR TUVOK")</f>
        <v>INFILTRATOR TUVOK</v>
      </c>
      <c r="F218" s="240" t="str">
        <f>IFERROR(__xludf.DUMMYFUNCTION("""COMPUTED_VALUE"""),"BDA")</f>
        <v>BDA</v>
      </c>
      <c r="G218" s="239" t="str">
        <f>IFERROR(__xludf.DUMMYFUNCTION("""COMPUTED_VALUE"""),"✴️")</f>
        <v>✴️</v>
      </c>
      <c r="H218" s="243" t="str">
        <f>IFERROR(__xludf.DUMMYFUNCTION("""COMPUTED_VALUE"""),"SelfStateNone, SelfOfficerTalNotOnBridge")</f>
        <v>SelfStateNone, SelfOfficerTalNotOnBridge</v>
      </c>
      <c r="I218" s="243" t="str">
        <f>IFERROR(__xludf.DUMMYFUNCTION("""COMPUTED_VALUE"""),"ApexBarrier")</f>
        <v>ApexBarrier</v>
      </c>
      <c r="J218" s="243" t="str">
        <f>IFERROR(__xludf.DUMMYFUNCTION("""COMPUTED_VALUE"""),"On round start against players, if on a ship with no State applied Infiltrator Tuvok increases your Apex Barrier by X (X at rank X) for 3 rounds (Cumulative). -- This ability does not trigger when Tal is assigned to the bridge of your ship.")</f>
        <v>On round start against players, if on a ship with no State applied Infiltrator Tuvok increases your Apex Barrier by X (X at rank X) for 3 rounds (Cumulative). -- This ability does not trigger when Tal is assigned to the bridge of your ship.</v>
      </c>
      <c r="K218" s="255"/>
      <c r="L218" s="255"/>
      <c r="M218" s="255"/>
      <c r="N218" s="255"/>
      <c r="O218" s="255"/>
      <c r="P218" s="255"/>
      <c r="Q218" s="256"/>
      <c r="R218" s="257"/>
      <c r="S218" s="258"/>
      <c r="T218" s="255"/>
      <c r="U218" s="258"/>
      <c r="V218" s="259"/>
    </row>
    <row r="219">
      <c r="A219" s="28"/>
      <c r="B219" s="263"/>
      <c r="C219" s="224"/>
      <c r="D219" s="250" t="str">
        <f>IFERROR(__xludf.DUMMYFUNCTION("""COMPUTED_VALUE"""),"   E")</f>
        <v>E</v>
      </c>
      <c r="E219" s="251" t="str">
        <f>IFERROR(__xludf.DUMMYFUNCTION("""COMPUTED_VALUE"""),"JACK RANSOM")</f>
        <v>JACK RANSOM</v>
      </c>
      <c r="F219" s="252" t="str">
        <f>IFERROR(__xludf.DUMMYFUNCTION("""COMPUTED_VALUE"""),"OA")</f>
        <v>OA</v>
      </c>
      <c r="G219" s="253" t="str">
        <f>IFERROR(__xludf.DUMMYFUNCTION("""COMPUTED_VALUE"""),"✴️")</f>
        <v>✴️</v>
      </c>
      <c r="H219" s="254" t="str">
        <f>IFERROR(__xludf.DUMMYFUNCTION("""COMPUTED_VALUE"""),"SelfExplorer, SelfHasMorale")</f>
        <v>SelfExplorer, SelfHasMorale</v>
      </c>
      <c r="I219" s="254" t="str">
        <f>IFERROR(__xludf.DUMMYFUNCTION("""COMPUTED_VALUE"""),"IsolyticDamage")</f>
        <v>IsolyticDamage</v>
      </c>
      <c r="J219" s="254" t="str">
        <f>IFERROR(__xludf.DUMMYFUNCTION("""COMPUTED_VALUE"""),"On round start, if on an Explorer with Morale, Jack Ransom increases your Isolytic Cascade damage by X for 1 round against players. -- Isolytic Cascade multiplies your total damage, including Isolytic Damage, and all research and other bonuses.")</f>
        <v>On round start, if on an Explorer with Morale, Jack Ransom increases your Isolytic Cascade damage by X for 1 round against players. -- Isolytic Cascade multiplies your total damage, including Isolytic Damage, and all research and other bonuses.</v>
      </c>
      <c r="K219" s="255"/>
      <c r="L219" s="255"/>
      <c r="M219" s="255"/>
      <c r="N219" s="255"/>
      <c r="O219" s="255"/>
      <c r="P219" s="255"/>
      <c r="Q219" s="256"/>
      <c r="R219" s="257"/>
      <c r="S219" s="258"/>
      <c r="T219" s="255"/>
      <c r="U219" s="258"/>
      <c r="V219" s="259"/>
    </row>
    <row r="220">
      <c r="A220" s="28"/>
      <c r="B220" s="263"/>
      <c r="C220" s="224"/>
      <c r="D220" s="260" t="str">
        <f>IFERROR(__xludf.DUMMYFUNCTION("""COMPUTED_VALUE"""),"   E")</f>
        <v>E</v>
      </c>
      <c r="E220" s="261" t="str">
        <f>IFERROR(__xludf.DUMMYFUNCTION("""COMPUTED_VALUE"""),"JACK RANSOM")</f>
        <v>JACK RANSOM</v>
      </c>
      <c r="F220" s="240" t="str">
        <f>IFERROR(__xludf.DUMMYFUNCTION("""COMPUTED_VALUE"""),"BDA")</f>
        <v>BDA</v>
      </c>
      <c r="G220" s="239" t="str">
        <f>IFERROR(__xludf.DUMMYFUNCTION("""COMPUTED_VALUE"""),"✴️")</f>
        <v>✴️</v>
      </c>
      <c r="H220" s="243" t="str">
        <f>IFERROR(__xludf.DUMMYFUNCTION("""COMPUTED_VALUE"""),"SelfInterceptor, TargetHasHullBreach")</f>
        <v>SelfInterceptor, TargetHasHullBreach</v>
      </c>
      <c r="I220" s="243" t="str">
        <f>IFERROR(__xludf.DUMMYFUNCTION("""COMPUTED_VALUE"""),"IsolyticDefense")</f>
        <v>IsolyticDefense</v>
      </c>
      <c r="J220" s="243" t="str">
        <f>IFERROR(__xludf.DUMMYFUNCTION("""COMPUTED_VALUE"""),"On round start, if on an Interceptor and enemy player has Hull Breach, Jack Ransom increases your Isolytic Defense by X for 1 round.")</f>
        <v>On round start, if on an Interceptor and enemy player has Hull Breach, Jack Ransom increases your Isolytic Defense by X for 1 round.</v>
      </c>
      <c r="K220" s="255"/>
      <c r="L220" s="255"/>
      <c r="M220" s="255"/>
      <c r="N220" s="255"/>
      <c r="O220" s="255"/>
      <c r="P220" s="255"/>
      <c r="Q220" s="256"/>
      <c r="R220" s="257"/>
      <c r="S220" s="258"/>
      <c r="T220" s="255"/>
      <c r="U220" s="258"/>
      <c r="V220" s="259"/>
    </row>
    <row r="221">
      <c r="A221" s="28"/>
      <c r="B221" s="263"/>
      <c r="C221" s="224"/>
      <c r="D221" s="250" t="str">
        <f>IFERROR(__xludf.DUMMYFUNCTION("""COMPUTED_VALUE"""),"   U")</f>
        <v>U</v>
      </c>
      <c r="E221" s="251" t="str">
        <f>IFERROR(__xludf.DUMMYFUNCTION("""COMPUTED_VALUE"""),"JAVAID")</f>
        <v>JAVAID</v>
      </c>
      <c r="F221" s="252" t="str">
        <f>IFERROR(__xludf.DUMMYFUNCTION("""COMPUTED_VALUE"""),"OA")</f>
        <v>OA</v>
      </c>
      <c r="G221" s="253" t="str">
        <f>IFERROR(__xludf.DUMMYFUNCTION("""COMPUTED_VALUE"""),"✴️")</f>
        <v>✴️</v>
      </c>
      <c r="H221" s="254" t="str">
        <f>IFERROR(__xludf.DUMMYFUNCTION("""COMPUTED_VALUE"""),"SelfBattleship")</f>
        <v>SelfBattleship</v>
      </c>
      <c r="I221" s="254" t="str">
        <f>IFERROR(__xludf.DUMMYFUNCTION("""COMPUTED_VALUE"""),"ShipArmor")</f>
        <v>ShipArmor</v>
      </c>
      <c r="J221" s="254" t="str">
        <f>IFERROR(__xludf.DUMMYFUNCTION("""COMPUTED_VALUE"""),"If the ship is a Battleship, Javaid increases its Armor by X.")</f>
        <v>If the ship is a Battleship, Javaid increases its Armor by X.</v>
      </c>
      <c r="K221" s="255"/>
      <c r="L221" s="255"/>
      <c r="M221" s="255"/>
      <c r="N221" s="255"/>
      <c r="O221" s="255"/>
      <c r="P221" s="255"/>
      <c r="Q221" s="256"/>
      <c r="R221" s="257"/>
      <c r="S221" s="258"/>
      <c r="T221" s="255"/>
      <c r="U221" s="258"/>
      <c r="V221" s="259"/>
    </row>
    <row r="222">
      <c r="A222" s="28"/>
      <c r="B222" s="263"/>
      <c r="C222" s="2"/>
      <c r="D222" s="260" t="str">
        <f>IFERROR(__xludf.DUMMYFUNCTION("""COMPUTED_VALUE"""),"   E")</f>
        <v>E</v>
      </c>
      <c r="E222" s="261" t="str">
        <f>IFERROR(__xludf.DUMMYFUNCTION("""COMPUTED_VALUE"""),"JEAN-LUC PICARD")</f>
        <v>JEAN-LUC PICARD</v>
      </c>
      <c r="F222" s="240" t="str">
        <f>IFERROR(__xludf.DUMMYFUNCTION("""COMPUTED_VALUE"""),"CM")</f>
        <v>CM</v>
      </c>
      <c r="G222" s="239" t="str">
        <f>IFERROR(__xludf.DUMMYFUNCTION("""COMPUTED_VALUE"""),"✴️")</f>
        <v>✴️</v>
      </c>
      <c r="H222" s="243" t="str">
        <f>IFERROR(__xludf.DUMMYFUNCTION("""COMPUTED_VALUE"""),"target level 70 or under")</f>
        <v>target level 70 or under</v>
      </c>
      <c r="I222" s="243" t="str">
        <f>IFERROR(__xludf.DUMMYFUNCTION("""COMPUTED_VALUE"""),"OffAbilityEffect")</f>
        <v>OffAbilityEffect</v>
      </c>
      <c r="J222" s="243" t="str">
        <f>IFERROR(__xludf.DUMMYFUNCTION("""COMPUTED_VALUE"""),"Jean-Luc Picard increases the effectiveness of all Officer Abilities that trigger in combat by X. Works against Hostiles of level 70 and under. -- This ability receives the same synergy bonus from all TNG Officers, regardless of class.")</f>
        <v>Jean-Luc Picard increases the effectiveness of all Officer Abilities that trigger in combat by X. Works against Hostiles of level 70 and under. -- This ability receives the same synergy bonus from all TNG Officers, regardless of class.</v>
      </c>
      <c r="K222" s="255"/>
      <c r="L222" s="255"/>
      <c r="M222" s="255"/>
      <c r="N222" s="255"/>
      <c r="O222" s="255"/>
      <c r="P222" s="255"/>
      <c r="Q222" s="256"/>
      <c r="R222" s="257"/>
      <c r="S222" s="258"/>
      <c r="T222" s="255"/>
      <c r="U222" s="258"/>
      <c r="V222" s="259"/>
    </row>
    <row r="223">
      <c r="A223" s="28"/>
      <c r="B223" s="263"/>
      <c r="C223" s="28"/>
      <c r="D223" s="250" t="str">
        <f>IFERROR(__xludf.DUMMYFUNCTION("""COMPUTED_VALUE"""),"   R")</f>
        <v>R</v>
      </c>
      <c r="E223" s="251" t="str">
        <f>IFERROR(__xludf.DUMMYFUNCTION("""COMPUTED_VALUE"""),"KERLA")</f>
        <v>KERLA</v>
      </c>
      <c r="F223" s="252" t="str">
        <f>IFERROR(__xludf.DUMMYFUNCTION("""COMPUTED_VALUE"""),"OA")</f>
        <v>OA</v>
      </c>
      <c r="G223" s="253" t="str">
        <f>IFERROR(__xludf.DUMMYFUNCTION("""COMPUTED_VALUE"""),"✴️")</f>
        <v>✴️</v>
      </c>
      <c r="H223" s="254" t="str">
        <f>IFERROR(__xludf.DUMMYFUNCTION("""COMPUTED_VALUE"""),"ModuleKinetic")</f>
        <v>ModuleKinetic</v>
      </c>
      <c r="I223" s="254" t="str">
        <f>IFERROR(__xludf.DUMMYFUNCTION("""COMPUTED_VALUE"""),"CritDamage")</f>
        <v>CritDamage</v>
      </c>
      <c r="J223" s="254" t="str">
        <f>IFERROR(__xludf.DUMMYFUNCTION("""COMPUTED_VALUE"""),"Kerla increases the Critical Hit Damage by X when firing with a Kinetic Weapon.")</f>
        <v>Kerla increases the Critical Hit Damage by X when firing with a Kinetic Weapon.</v>
      </c>
      <c r="K223" s="255"/>
      <c r="L223" s="255"/>
      <c r="M223" s="255"/>
      <c r="N223" s="255"/>
      <c r="O223" s="255"/>
      <c r="P223" s="255"/>
      <c r="Q223" s="256"/>
      <c r="R223" s="257"/>
      <c r="S223" s="258"/>
      <c r="T223" s="255"/>
      <c r="U223" s="258"/>
      <c r="V223" s="259"/>
    </row>
    <row r="224">
      <c r="A224" s="28"/>
      <c r="B224" s="263"/>
      <c r="C224" s="28"/>
      <c r="D224" s="260" t="str">
        <f>IFERROR(__xludf.DUMMYFUNCTION("""COMPUTED_VALUE"""),"   E")</f>
        <v>E</v>
      </c>
      <c r="E224" s="261" t="str">
        <f>IFERROR(__xludf.DUMMYFUNCTION("""COMPUTED_VALUE"""),"KIRK")</f>
        <v>KIRK</v>
      </c>
      <c r="F224" s="240" t="str">
        <f>IFERROR(__xludf.DUMMYFUNCTION("""COMPUTED_VALUE"""),"CM")</f>
        <v>CM</v>
      </c>
      <c r="G224" s="239" t="str">
        <f>IFERROR(__xludf.DUMMYFUNCTION("""COMPUTED_VALUE"""),"✴️")</f>
        <v>✴️</v>
      </c>
      <c r="H224" s="243" t="str">
        <f>IFERROR(__xludf.DUMMYFUNCTION("""COMPUTED_VALUE"""),"SelfHasMorale")</f>
        <v>SelfHasMorale</v>
      </c>
      <c r="I224" s="243" t="str">
        <f>IFERROR(__xludf.DUMMYFUNCTION("""COMPUTED_VALUE"""),"OfficerStatAll")</f>
        <v>OfficerStatAll</v>
      </c>
      <c r="J224" s="243" t="str">
        <f>IFERROR(__xludf.DUMMYFUNCTION("""COMPUTED_VALUE"""),"As long as the ship has Morale, Kirk gives all Officers on the ship a bonus of X to all their stats.")</f>
        <v>As long as the ship has Morale, Kirk gives all Officers on the ship a bonus of X to all their stats.</v>
      </c>
      <c r="K224" s="255"/>
      <c r="L224" s="255"/>
      <c r="M224" s="255"/>
      <c r="N224" s="255"/>
      <c r="O224" s="255"/>
      <c r="P224" s="255"/>
      <c r="Q224" s="256"/>
      <c r="R224" s="257"/>
      <c r="S224" s="258"/>
      <c r="T224" s="255"/>
      <c r="U224" s="258"/>
      <c r="V224" s="259"/>
    </row>
    <row r="225">
      <c r="A225" s="28"/>
      <c r="B225" s="7"/>
      <c r="C225" s="28"/>
      <c r="D225" s="250" t="str">
        <f>IFERROR(__xludf.DUMMYFUNCTION("""COMPUTED_VALUE"""),"   C")</f>
        <v>C</v>
      </c>
      <c r="E225" s="251" t="str">
        <f>IFERROR(__xludf.DUMMYFUNCTION("""COMPUTED_VALUE"""),"KOMAL")</f>
        <v>KOMAL</v>
      </c>
      <c r="F225" s="252" t="str">
        <f>IFERROR(__xludf.DUMMYFUNCTION("""COMPUTED_VALUE"""),"CM")</f>
        <v>CM</v>
      </c>
      <c r="G225" s="253" t="str">
        <f>IFERROR(__xludf.DUMMYFUNCTION("""COMPUTED_VALUE"""),"✴️")</f>
        <v>✴️</v>
      </c>
      <c r="H225" s="254" t="str">
        <f>IFERROR(__xludf.DUMMYFUNCTION("""COMPUTED_VALUE"""),"SelfBattleship")</f>
        <v>SelfBattleship</v>
      </c>
      <c r="I225" s="254" t="str">
        <f>IFERROR(__xludf.DUMMYFUNCTION("""COMPUTED_VALUE"""),"AllDamage")</f>
        <v>AllDamage</v>
      </c>
      <c r="J225" s="254" t="str">
        <f>IFERROR(__xludf.DUMMYFUNCTION("""COMPUTED_VALUE"""),"When inside a Battleship, Komal increases Weapon Damage against players by X.")</f>
        <v>When inside a Battleship, Komal increases Weapon Damage against players by X.</v>
      </c>
      <c r="K225" s="255"/>
      <c r="L225" s="255"/>
      <c r="M225" s="255"/>
      <c r="N225" s="255"/>
      <c r="O225" s="255"/>
      <c r="P225" s="255"/>
      <c r="Q225" s="256"/>
      <c r="R225" s="257"/>
      <c r="S225" s="258"/>
      <c r="T225" s="255"/>
      <c r="U225" s="258"/>
      <c r="V225" s="259"/>
    </row>
    <row r="226">
      <c r="A226" s="28"/>
      <c r="B226" s="264"/>
      <c r="C226" s="28"/>
      <c r="D226" s="260" t="str">
        <f>IFERROR(__xludf.DUMMYFUNCTION("""COMPUTED_VALUE"""),"   C")</f>
        <v>C</v>
      </c>
      <c r="E226" s="261" t="str">
        <f>IFERROR(__xludf.DUMMYFUNCTION("""COMPUTED_VALUE"""),"KOMAL")</f>
        <v>KOMAL</v>
      </c>
      <c r="F226" s="240" t="str">
        <f>IFERROR(__xludf.DUMMYFUNCTION("""COMPUTED_VALUE"""),"OA")</f>
        <v>OA</v>
      </c>
      <c r="G226" s="239" t="str">
        <f>IFERROR(__xludf.DUMMYFUNCTION("""COMPUTED_VALUE"""),"✴️")</f>
        <v>✴️</v>
      </c>
      <c r="H226" s="243" t="str">
        <f>IFERROR(__xludf.DUMMYFUNCTION("""COMPUTED_VALUE"""),"ModuleKinetic")</f>
        <v>ModuleKinetic</v>
      </c>
      <c r="I226" s="243" t="str">
        <f>IFERROR(__xludf.DUMMYFUNCTION("""COMPUTED_VALUE"""),"AllDamage")</f>
        <v>AllDamage</v>
      </c>
      <c r="J226" s="243" t="str">
        <f>IFERROR(__xludf.DUMMYFUNCTION("""COMPUTED_VALUE"""),"If the opponent is a player, Komal decreases the damage made by its Kinetic Weapons by X.")</f>
        <v>If the opponent is a player, Komal decreases the damage made by its Kinetic Weapons by X.</v>
      </c>
      <c r="K226" s="255"/>
      <c r="L226" s="255"/>
      <c r="M226" s="255"/>
      <c r="N226" s="255"/>
      <c r="O226" s="255"/>
      <c r="P226" s="255"/>
      <c r="Q226" s="256"/>
      <c r="R226" s="257"/>
      <c r="S226" s="258"/>
      <c r="T226" s="255"/>
      <c r="U226" s="258"/>
      <c r="V226" s="259"/>
    </row>
    <row r="227">
      <c r="A227" s="28"/>
      <c r="B227" s="265"/>
      <c r="C227" s="28"/>
      <c r="D227" s="250" t="str">
        <f>IFERROR(__xludf.DUMMYFUNCTION("""COMPUTED_VALUE"""),"   U")</f>
        <v>U</v>
      </c>
      <c r="E227" s="251" t="str">
        <f>IFERROR(__xludf.DUMMYFUNCTION("""COMPUTED_VALUE"""),"KOTH")</f>
        <v>KOTH</v>
      </c>
      <c r="F227" s="252" t="str">
        <f>IFERROR(__xludf.DUMMYFUNCTION("""COMPUTED_VALUE"""),"OA")</f>
        <v>OA</v>
      </c>
      <c r="G227" s="253" t="str">
        <f>IFERROR(__xludf.DUMMYFUNCTION("""COMPUTED_VALUE"""),"✴️")</f>
        <v>✴️</v>
      </c>
      <c r="H227" s="254" t="str">
        <f>IFERROR(__xludf.DUMMYFUNCTION("""COMPUTED_VALUE"""),"ModuleKinetic, TargetHasHullBreach")</f>
        <v>ModuleKinetic, TargetHasHullBreach</v>
      </c>
      <c r="I227" s="254" t="str">
        <f>IFERROR(__xludf.DUMMYFUNCTION("""COMPUTED_VALUE"""),"AllDamage")</f>
        <v>AllDamage</v>
      </c>
      <c r="J227" s="254" t="str">
        <f>IFERROR(__xludf.DUMMYFUNCTION("""COMPUTED_VALUE"""),"As long as the opponent's ship has a Hull Breach, Koth increases the damage dealt by Kinetic Weapons by X.")</f>
        <v>As long as the opponent's ship has a Hull Breach, Koth increases the damage dealt by Kinetic Weapons by X.</v>
      </c>
      <c r="K227" s="255"/>
      <c r="L227" s="255"/>
      <c r="M227" s="255"/>
      <c r="N227" s="255"/>
      <c r="O227" s="255"/>
      <c r="P227" s="255"/>
      <c r="Q227" s="256"/>
      <c r="R227" s="257"/>
      <c r="S227" s="258"/>
      <c r="T227" s="255"/>
      <c r="U227" s="258"/>
      <c r="V227" s="259"/>
    </row>
    <row r="228">
      <c r="A228" s="28"/>
      <c r="B228" s="265"/>
      <c r="C228" s="28"/>
      <c r="D228" s="260" t="str">
        <f>IFERROR(__xludf.DUMMYFUNCTION("""COMPUTED_VALUE"""),"   R")</f>
        <v>R</v>
      </c>
      <c r="E228" s="261" t="str">
        <f>IFERROR(__xludf.DUMMYFUNCTION("""COMPUTED_VALUE"""),"KRELL")</f>
        <v>KRELL</v>
      </c>
      <c r="F228" s="240" t="str">
        <f>IFERROR(__xludf.DUMMYFUNCTION("""COMPUTED_VALUE"""),"OA")</f>
        <v>OA</v>
      </c>
      <c r="G228" s="239" t="str">
        <f>IFERROR(__xludf.DUMMYFUNCTION("""COMPUTED_VALUE"""),"✴️")</f>
        <v>✴️</v>
      </c>
      <c r="H228" s="243" t="str">
        <f>IFERROR(__xludf.DUMMYFUNCTION("""COMPUTED_VALUE"""),"Federation")</f>
        <v>Federation</v>
      </c>
      <c r="I228" s="243" t="str">
        <f>IFERROR(__xludf.DUMMYFUNCTION("""COMPUTED_VALUE"""),"AllDamage")</f>
        <v>AllDamage</v>
      </c>
      <c r="J228" s="243" t="str">
        <f>IFERROR(__xludf.DUMMYFUNCTION("""COMPUTED_VALUE"""),"Krell increases the Damage against Federation ships by X of the crew's Defense.")</f>
        <v>Krell increases the Damage against Federation ships by X of the crew's Defense.</v>
      </c>
      <c r="K228" s="255"/>
      <c r="L228" s="255"/>
      <c r="M228" s="255"/>
      <c r="N228" s="255"/>
      <c r="O228" s="255"/>
      <c r="P228" s="255"/>
      <c r="Q228" s="256"/>
      <c r="R228" s="257"/>
      <c r="S228" s="258"/>
      <c r="T228" s="255"/>
      <c r="U228" s="258"/>
      <c r="V228" s="259"/>
    </row>
    <row r="229">
      <c r="A229" s="28"/>
      <c r="B229" s="265"/>
      <c r="C229" s="28"/>
      <c r="D229" s="250" t="str">
        <f>IFERROR(__xludf.DUMMYFUNCTION("""COMPUTED_VALUE"""),"   R")</f>
        <v>R</v>
      </c>
      <c r="E229" s="251" t="str">
        <f>IFERROR(__xludf.DUMMYFUNCTION("""COMPUTED_VALUE"""),"KUMAK")</f>
        <v>KUMAK</v>
      </c>
      <c r="F229" s="252" t="str">
        <f>IFERROR(__xludf.DUMMYFUNCTION("""COMPUTED_VALUE"""),"OA")</f>
        <v>OA</v>
      </c>
      <c r="G229" s="253" t="str">
        <f>IFERROR(__xludf.DUMMYFUNCTION("""COMPUTED_VALUE"""),"✴️")</f>
        <v>✴️</v>
      </c>
      <c r="H229" s="254" t="str">
        <f>IFERROR(__xludf.DUMMYFUNCTION("""COMPUTED_VALUE"""),"TargetHasBurning")</f>
        <v>TargetHasBurning</v>
      </c>
      <c r="I229" s="254" t="str">
        <f>IFERROR(__xludf.DUMMYFUNCTION("""COMPUTED_VALUE"""),"AllDefenses")</f>
        <v>AllDefenses</v>
      </c>
      <c r="J229" s="254" t="str">
        <f>IFERROR(__xludf.DUMMYFUNCTION("""COMPUTED_VALUE"""),"As long as the enemy ship is Burning, Kumak increases the Armor, Shield Deflection and Dodge of the ship by X.")</f>
        <v>As long as the enemy ship is Burning, Kumak increases the Armor, Shield Deflection and Dodge of the ship by X.</v>
      </c>
      <c r="K229" s="255"/>
      <c r="L229" s="255"/>
      <c r="M229" s="255"/>
      <c r="N229" s="255"/>
      <c r="O229" s="255"/>
      <c r="P229" s="255"/>
      <c r="Q229" s="256"/>
      <c r="R229" s="257"/>
      <c r="S229" s="258"/>
      <c r="T229" s="255"/>
      <c r="U229" s="258"/>
      <c r="V229" s="259"/>
    </row>
    <row r="230">
      <c r="A230" s="28"/>
      <c r="B230" s="265"/>
      <c r="C230" s="28"/>
      <c r="D230" s="260" t="str">
        <f>IFERROR(__xludf.DUMMYFUNCTION("""COMPUTED_VALUE"""),"   R")</f>
        <v>R</v>
      </c>
      <c r="E230" s="261" t="str">
        <f>IFERROR(__xludf.DUMMYFUNCTION("""COMPUTED_VALUE"""),"KURON")</f>
        <v>KURON</v>
      </c>
      <c r="F230" s="240" t="str">
        <f>IFERROR(__xludf.DUMMYFUNCTION("""COMPUTED_VALUE"""),"CM")</f>
        <v>CM</v>
      </c>
      <c r="G230" s="239" t="str">
        <f>IFERROR(__xludf.DUMMYFUNCTION("""COMPUTED_VALUE"""),"✴️")</f>
        <v>✴️</v>
      </c>
      <c r="H230" s="243" t="str">
        <f>IFERROR(__xludf.DUMMYFUNCTION("""COMPUTED_VALUE"""),"ModuleKinetic")</f>
        <v>ModuleKinetic</v>
      </c>
      <c r="I230" s="243" t="str">
        <f>IFERROR(__xludf.DUMMYFUNCTION("""COMPUTED_VALUE"""),"AllReloadSpeed")</f>
        <v>AllReloadSpeed</v>
      </c>
      <c r="J230" s="243" t="str">
        <f>IFERROR(__xludf.DUMMYFUNCTION("""COMPUTED_VALUE"""),"Kuron has a X chance to automatically recharge all kinetic weapons on the first turn.")</f>
        <v>Kuron has a X chance to automatically recharge all kinetic weapons on the first turn.</v>
      </c>
      <c r="K230" s="255"/>
      <c r="L230" s="255"/>
      <c r="M230" s="255"/>
      <c r="N230" s="255"/>
      <c r="O230" s="255"/>
      <c r="P230" s="255"/>
      <c r="Q230" s="256"/>
      <c r="R230" s="257"/>
      <c r="S230" s="258"/>
      <c r="T230" s="255"/>
      <c r="U230" s="258"/>
      <c r="V230" s="259"/>
    </row>
    <row r="231">
      <c r="A231" s="28"/>
      <c r="B231" s="265"/>
      <c r="C231" s="28"/>
      <c r="D231" s="250" t="str">
        <f>IFERROR(__xludf.DUMMYFUNCTION("""COMPUTED_VALUE"""),"   U")</f>
        <v>U</v>
      </c>
      <c r="E231" s="251" t="str">
        <f>IFERROR(__xludf.DUMMYFUNCTION("""COMPUTED_VALUE"""),"L'NAR")</f>
        <v>L'NAR</v>
      </c>
      <c r="F231" s="252" t="str">
        <f>IFERROR(__xludf.DUMMYFUNCTION("""COMPUTED_VALUE"""),"OA")</f>
        <v>OA</v>
      </c>
      <c r="G231" s="253" t="str">
        <f>IFERROR(__xludf.DUMMYFUNCTION("""COMPUTED_VALUE"""),"✴️")</f>
        <v>✴️</v>
      </c>
      <c r="H231" s="254" t="str">
        <f>IFERROR(__xludf.DUMMYFUNCTION("""COMPUTED_VALUE"""),"Klingon")</f>
        <v>Klingon</v>
      </c>
      <c r="I231" s="254" t="str">
        <f>IFERROR(__xludf.DUMMYFUNCTION("""COMPUTED_VALUE"""),"AllDamage")</f>
        <v>AllDamage</v>
      </c>
      <c r="J231" s="254" t="str">
        <f>IFERROR(__xludf.DUMMYFUNCTION("""COMPUTED_VALUE"""),"L'Nar increases the Damage against Klingon ships by X of the crew's Attack.")</f>
        <v>L'Nar increases the Damage against Klingon ships by X of the crew's Attack.</v>
      </c>
      <c r="K231" s="255"/>
      <c r="L231" s="255"/>
      <c r="M231" s="255"/>
      <c r="N231" s="255"/>
      <c r="O231" s="255"/>
      <c r="P231" s="255"/>
      <c r="Q231" s="256"/>
      <c r="R231" s="257"/>
      <c r="S231" s="258"/>
      <c r="T231" s="255"/>
      <c r="U231" s="258"/>
      <c r="V231" s="259"/>
    </row>
    <row r="232">
      <c r="A232" s="68"/>
      <c r="B232" s="265"/>
      <c r="C232" s="68"/>
      <c r="D232" s="260" t="str">
        <f>IFERROR(__xludf.DUMMYFUNCTION("""COMPUTED_VALUE"""),"   U")</f>
        <v>U</v>
      </c>
      <c r="E232" s="261" t="str">
        <f>IFERROR(__xludf.DUMMYFUNCTION("""COMPUTED_VALUE"""),"LESLIE")</f>
        <v>LESLIE</v>
      </c>
      <c r="F232" s="240" t="str">
        <f>IFERROR(__xludf.DUMMYFUNCTION("""COMPUTED_VALUE"""),"CM")</f>
        <v>CM</v>
      </c>
      <c r="G232" s="239" t="str">
        <f>IFERROR(__xludf.DUMMYFUNCTION("""COMPUTED_VALUE"""),"✴️")</f>
        <v>✴️</v>
      </c>
      <c r="H232" s="243" t="str">
        <f>IFERROR(__xludf.DUMMYFUNCTION("""COMPUTED_VALUE"""),"HullHealthBelowStartOfCombat")</f>
        <v>HullHealthBelowStartOfCombat</v>
      </c>
      <c r="I232" s="243" t="str">
        <f>IFERROR(__xludf.DUMMYFUNCTION("""COMPUTED_VALUE"""),"HullHPRepair")</f>
        <v>HullHPRepair</v>
      </c>
      <c r="J232" s="243" t="str">
        <f>IFERROR(__xludf.DUMMYFUNCTION("""COMPUTED_VALUE"""),"As long as the ship's Hull Health is under 35% of its value at the beginning of combat, Leslie restores it by X  at the end of each round.")</f>
        <v>As long as the ship's Hull Health is under 35% of its value at the beginning of combat, Leslie restores it by X  at the end of each round.</v>
      </c>
      <c r="K232" s="255"/>
      <c r="L232" s="255"/>
      <c r="M232" s="255"/>
      <c r="N232" s="255"/>
      <c r="O232" s="255"/>
      <c r="P232" s="255"/>
      <c r="Q232" s="256"/>
      <c r="R232" s="257"/>
      <c r="S232" s="258"/>
      <c r="T232" s="255"/>
      <c r="U232" s="258"/>
      <c r="V232" s="259"/>
    </row>
    <row r="233">
      <c r="A233" s="68"/>
      <c r="B233" s="265"/>
      <c r="C233" s="68"/>
      <c r="D233" s="250" t="str">
        <f>IFERROR(__xludf.DUMMYFUNCTION("""COMPUTED_VALUE"""),"   R")</f>
        <v>R</v>
      </c>
      <c r="E233" s="251" t="str">
        <f>IFERROR(__xludf.DUMMYFUNCTION("""COMPUTED_VALUE"""),"LIVIS")</f>
        <v>LIVIS</v>
      </c>
      <c r="F233" s="252" t="str">
        <f>IFERROR(__xludf.DUMMYFUNCTION("""COMPUTED_VALUE"""),"OA")</f>
        <v>OA</v>
      </c>
      <c r="G233" s="253" t="str">
        <f>IFERROR(__xludf.DUMMYFUNCTION("""COMPUTED_VALUE"""),"✴️")</f>
        <v>✴️</v>
      </c>
      <c r="H233" s="254" t="str">
        <f>IFERROR(__xludf.DUMMYFUNCTION("""COMPUTED_VALUE"""),"SelfBattleship")</f>
        <v>SelfBattleship</v>
      </c>
      <c r="I233" s="254" t="str">
        <f>IFERROR(__xludf.DUMMYFUNCTION("""COMPUTED_VALUE"""),"HullHPMax")</f>
        <v>HullHPMax</v>
      </c>
      <c r="J233" s="254" t="str">
        <f>IFERROR(__xludf.DUMMYFUNCTION("""COMPUTED_VALUE"""),"If the ship is a Battleship, Livis increases its maximum Hull Health by X.")</f>
        <v>If the ship is a Battleship, Livis increases its maximum Hull Health by X.</v>
      </c>
      <c r="K233" s="255"/>
      <c r="L233" s="255"/>
      <c r="M233" s="255"/>
      <c r="N233" s="255"/>
      <c r="O233" s="255"/>
      <c r="P233" s="255"/>
      <c r="Q233" s="256"/>
      <c r="R233" s="257"/>
      <c r="S233" s="258"/>
      <c r="T233" s="255"/>
      <c r="U233" s="258"/>
      <c r="V233" s="259"/>
    </row>
    <row r="234">
      <c r="A234" s="68"/>
      <c r="B234" s="265"/>
      <c r="C234" s="68"/>
      <c r="D234" s="260" t="str">
        <f>IFERROR(__xludf.DUMMYFUNCTION("""COMPUTED_VALUE"""),"   E")</f>
        <v>E</v>
      </c>
      <c r="E234" s="261" t="str">
        <f>IFERROR(__xludf.DUMMYFUNCTION("""COMPUTED_VALUE"""),"LORCA")</f>
        <v>LORCA</v>
      </c>
      <c r="F234" s="240" t="str">
        <f>IFERROR(__xludf.DUMMYFUNCTION("""COMPUTED_VALUE"""),"CM")</f>
        <v>CM</v>
      </c>
      <c r="G234" s="239" t="str">
        <f>IFERROR(__xludf.DUMMYFUNCTION("""COMPUTED_VALUE"""),"✴️")</f>
        <v>✴️</v>
      </c>
      <c r="H234" s="243" t="str">
        <f>IFERROR(__xludf.DUMMYFUNCTION("""COMPUTED_VALUE"""),"TargetHasHullBreach")</f>
        <v>TargetHasHullBreach</v>
      </c>
      <c r="I234" s="243" t="str">
        <f>IFERROR(__xludf.DUMMYFUNCTION("""COMPUTED_VALUE"""),"AllDamage")</f>
        <v>AllDamage</v>
      </c>
      <c r="J234" s="243" t="str">
        <f>IFERROR(__xludf.DUMMYFUNCTION("""COMPUTED_VALUE"""),"When fighting players, at the start of each round, if the opponent has Hull Breach, Lorca decreases the opponent's Weapon damage by X for this turn.")</f>
        <v>When fighting players, at the start of each round, if the opponent has Hull Breach, Lorca decreases the opponent's Weapon damage by X for this turn.</v>
      </c>
      <c r="K234" s="255"/>
      <c r="L234" s="255"/>
      <c r="M234" s="255"/>
      <c r="N234" s="255"/>
      <c r="O234" s="255"/>
      <c r="P234" s="255"/>
      <c r="Q234" s="256"/>
      <c r="R234" s="257"/>
      <c r="S234" s="258"/>
      <c r="T234" s="255"/>
      <c r="U234" s="258"/>
      <c r="V234" s="259"/>
    </row>
    <row r="235">
      <c r="A235" s="68"/>
      <c r="B235" s="265"/>
      <c r="C235" s="68"/>
      <c r="D235" s="250" t="str">
        <f>IFERROR(__xludf.DUMMYFUNCTION("""COMPUTED_VALUE"""),"   R")</f>
        <v>R</v>
      </c>
      <c r="E235" s="251" t="str">
        <f>IFERROR(__xludf.DUMMYFUNCTION("""COMPUTED_VALUE"""),"MARA")</f>
        <v>MARA</v>
      </c>
      <c r="F235" s="252" t="str">
        <f>IFERROR(__xludf.DUMMYFUNCTION("""COMPUTED_VALUE"""),"CM")</f>
        <v>CM</v>
      </c>
      <c r="G235" s="253" t="str">
        <f>IFERROR(__xludf.DUMMYFUNCTION("""COMPUTED_VALUE"""),"✴️")</f>
        <v>✴️</v>
      </c>
      <c r="H235" s="254" t="str">
        <f>IFERROR(__xludf.DUMMYFUNCTION("""COMPUTED_VALUE"""),"EnemyInterceptor")</f>
        <v>EnemyInterceptor</v>
      </c>
      <c r="I235" s="254" t="str">
        <f>IFERROR(__xludf.DUMMYFUNCTION("""COMPUTED_VALUE"""),"AllDamage")</f>
        <v>AllDamage</v>
      </c>
      <c r="J235" s="254" t="str">
        <f>IFERROR(__xludf.DUMMYFUNCTION("""COMPUTED_VALUE"""),"When fighting Interceptors, Mara increases the Weapon damage of the ship by X.")</f>
        <v>When fighting Interceptors, Mara increases the Weapon damage of the ship by X.</v>
      </c>
      <c r="K235" s="255"/>
      <c r="L235" s="255"/>
      <c r="M235" s="255"/>
      <c r="N235" s="255"/>
      <c r="O235" s="255"/>
      <c r="P235" s="255"/>
      <c r="Q235" s="256"/>
      <c r="R235" s="257"/>
      <c r="S235" s="258"/>
      <c r="T235" s="255"/>
      <c r="U235" s="258"/>
      <c r="V235" s="259"/>
    </row>
    <row r="236">
      <c r="A236" s="68"/>
      <c r="B236" s="155"/>
      <c r="C236" s="68"/>
      <c r="D236" s="260" t="str">
        <f>IFERROR(__xludf.DUMMYFUNCTION("""COMPUTED_VALUE"""),"   R")</f>
        <v>R</v>
      </c>
      <c r="E236" s="261" t="str">
        <f>IFERROR(__xludf.DUMMYFUNCTION("""COMPUTED_VALUE"""),"MARA")</f>
        <v>MARA</v>
      </c>
      <c r="F236" s="240" t="str">
        <f>IFERROR(__xludf.DUMMYFUNCTION("""COMPUTED_VALUE"""),"OA")</f>
        <v>OA</v>
      </c>
      <c r="G236" s="239" t="str">
        <f>IFERROR(__xludf.DUMMYFUNCTION("""COMPUTED_VALUE"""),"✴️")</f>
        <v>✴️</v>
      </c>
      <c r="H236" s="243" t="str">
        <f>IFERROR(__xludf.DUMMYFUNCTION("""COMPUTED_VALUE"""),"TargetHasHullBreach")</f>
        <v>TargetHasHullBreach</v>
      </c>
      <c r="I236" s="243" t="str">
        <f>IFERROR(__xludf.DUMMYFUNCTION("""COMPUTED_VALUE"""),"ShipDodge")</f>
        <v>ShipDodge</v>
      </c>
      <c r="J236" s="243" t="str">
        <f>IFERROR(__xludf.DUMMYFUNCTION("""COMPUTED_VALUE"""),"As long as the opponent ship has a Hull Breach, Mara decreases its Dodge by X at the end of each round.")</f>
        <v>As long as the opponent ship has a Hull Breach, Mara decreases its Dodge by X at the end of each round.</v>
      </c>
      <c r="K236" s="255"/>
      <c r="L236" s="255"/>
      <c r="M236" s="255"/>
      <c r="N236" s="255"/>
      <c r="O236" s="255"/>
      <c r="P236" s="255"/>
      <c r="Q236" s="256"/>
      <c r="R236" s="257"/>
      <c r="S236" s="258"/>
      <c r="T236" s="255"/>
      <c r="U236" s="258"/>
      <c r="V236" s="259"/>
    </row>
    <row r="237">
      <c r="A237" s="68"/>
      <c r="B237" s="164"/>
      <c r="C237" s="68"/>
      <c r="D237" s="250" t="str">
        <f>IFERROR(__xludf.DUMMYFUNCTION("""COMPUTED_VALUE"""),"   E")</f>
        <v>E</v>
      </c>
      <c r="E237" s="251" t="str">
        <f>IFERROR(__xludf.DUMMYFUNCTION("""COMPUTED_VALUE"""),"MARCUS")</f>
        <v>MARCUS</v>
      </c>
      <c r="F237" s="252" t="str">
        <f>IFERROR(__xludf.DUMMYFUNCTION("""COMPUTED_VALUE"""),"CM")</f>
        <v>CM</v>
      </c>
      <c r="G237" s="253" t="str">
        <f>IFERROR(__xludf.DUMMYFUNCTION("""COMPUTED_VALUE"""),"✴️")</f>
        <v>✴️</v>
      </c>
      <c r="H237" s="254" t="str">
        <f>IFERROR(__xludf.DUMMYFUNCTION("""COMPUTED_VALUE"""),"HullHealthBelow")</f>
        <v>HullHealthBelow</v>
      </c>
      <c r="I237" s="254" t="str">
        <f>IFERROR(__xludf.DUMMYFUNCTION("""COMPUTED_VALUE"""),"AddState")</f>
        <v>AddState</v>
      </c>
      <c r="J237" s="254" t="str">
        <f>IFERROR(__xludf.DUMMYFUNCTION("""COMPUTED_VALUE"""),"At the start of each round, if the opponent's Hull Health is under 80% of its starting total, Alexander Marcus has X chance of inspiring Morale to the ship for 3 rounds.")</f>
        <v>At the start of each round, if the opponent's Hull Health is under 80% of its starting total, Alexander Marcus has X chance of inspiring Morale to the ship for 3 rounds.</v>
      </c>
      <c r="K237" s="255"/>
      <c r="L237" s="255"/>
      <c r="M237" s="255"/>
      <c r="N237" s="255"/>
      <c r="O237" s="255"/>
      <c r="P237" s="255"/>
      <c r="Q237" s="256"/>
      <c r="R237" s="257"/>
      <c r="S237" s="258"/>
      <c r="T237" s="255"/>
      <c r="U237" s="258"/>
      <c r="V237" s="259"/>
    </row>
    <row r="238">
      <c r="A238" s="68"/>
      <c r="B238" s="164"/>
      <c r="C238" s="68"/>
      <c r="D238" s="260" t="str">
        <f>IFERROR(__xludf.DUMMYFUNCTION("""COMPUTED_VALUE"""),"   R")</f>
        <v>R</v>
      </c>
      <c r="E238" s="261" t="str">
        <f>IFERROR(__xludf.DUMMYFUNCTION("""COMPUTED_VALUE"""),"MARIACHI Q")</f>
        <v>MARIACHI Q</v>
      </c>
      <c r="F238" s="240" t="str">
        <f>IFERROR(__xludf.DUMMYFUNCTION("""COMPUTED_VALUE"""),"OA")</f>
        <v>OA</v>
      </c>
      <c r="G238" s="239" t="str">
        <f>IFERROR(__xludf.DUMMYFUNCTION("""COMPUTED_VALUE"""),"✴️")</f>
        <v>✴️</v>
      </c>
      <c r="H238" s="243" t="str">
        <f>IFERROR(__xludf.DUMMYFUNCTION("""COMPUTED_VALUE"""),"SelfHasMorale")</f>
        <v>SelfHasMorale</v>
      </c>
      <c r="I238" s="243" t="str">
        <f>IFERROR(__xludf.DUMMYFUNCTION("""COMPUTED_VALUE"""),"IsolyticDamage")</f>
        <v>IsolyticDamage</v>
      </c>
      <c r="J238" s="243" t="str">
        <f>IFERROR(__xludf.DUMMYFUNCTION("""COMPUTED_VALUE"""),"On round start, if placed on a ship with Morale against players, Mariachi Q increases your Isolytic Cascade damage by X (X at rank X) for 3 rounds.")</f>
        <v>On round start, if placed on a ship with Morale against players, Mariachi Q increases your Isolytic Cascade damage by X (X at rank X) for 3 rounds.</v>
      </c>
      <c r="K238" s="255"/>
      <c r="L238" s="255"/>
      <c r="M238" s="255"/>
      <c r="N238" s="255"/>
      <c r="O238" s="255"/>
      <c r="P238" s="255"/>
      <c r="Q238" s="256"/>
      <c r="R238" s="257"/>
      <c r="S238" s="258"/>
      <c r="T238" s="255"/>
      <c r="U238" s="258"/>
      <c r="V238" s="259"/>
    </row>
    <row r="239">
      <c r="A239" s="68"/>
      <c r="B239" s="164"/>
      <c r="C239" s="68"/>
      <c r="D239" s="250" t="str">
        <f>IFERROR(__xludf.DUMMYFUNCTION("""COMPUTED_VALUE"""),"   R")</f>
        <v>R</v>
      </c>
      <c r="E239" s="251" t="str">
        <f>IFERROR(__xludf.DUMMYFUNCTION("""COMPUTED_VALUE"""),"MARIACHI Q")</f>
        <v>MARIACHI Q</v>
      </c>
      <c r="F239" s="252" t="str">
        <f>IFERROR(__xludf.DUMMYFUNCTION("""COMPUTED_VALUE"""),"BDA")</f>
        <v>BDA</v>
      </c>
      <c r="G239" s="253" t="str">
        <f>IFERROR(__xludf.DUMMYFUNCTION("""COMPUTED_VALUE"""),"✴️")</f>
        <v>✴️</v>
      </c>
      <c r="H239" s="254" t="str">
        <f>IFERROR(__xludf.DUMMYFUNCTION("""COMPUTED_VALUE"""),"TargetHasBurning, SelfOfficerTalNotOnBridge")</f>
        <v>TargetHasBurning, SelfOfficerTalNotOnBridge</v>
      </c>
      <c r="I239" s="254" t="str">
        <f>IFERROR(__xludf.DUMMYFUNCTION("""COMPUTED_VALUE"""),"ApexBarrier")</f>
        <v>ApexBarrier</v>
      </c>
      <c r="J239" s="254" t="str">
        <f>IFERROR(__xludf.DUMMYFUNCTION("""COMPUTED_VALUE"""),"On round start against players afflicted by Burning, Mariachi Q increases your Apex Barrier by X (X at rank X) for 1 round. -- This ability does not trigger when Tal is assigned to the bridge of your ship.")</f>
        <v>On round start against players afflicted by Burning, Mariachi Q increases your Apex Barrier by X (X at rank X) for 1 round. -- This ability does not trigger when Tal is assigned to the bridge of your ship.</v>
      </c>
      <c r="K239" s="255"/>
      <c r="L239" s="255"/>
      <c r="M239" s="255"/>
      <c r="N239" s="255"/>
      <c r="O239" s="255"/>
      <c r="P239" s="255"/>
      <c r="Q239" s="256"/>
      <c r="R239" s="257"/>
      <c r="S239" s="258"/>
      <c r="T239" s="255"/>
      <c r="U239" s="258"/>
      <c r="V239" s="259"/>
    </row>
    <row r="240">
      <c r="A240" s="68"/>
      <c r="B240" s="164"/>
      <c r="C240" s="68"/>
      <c r="D240" s="260" t="str">
        <f>IFERROR(__xludf.DUMMYFUNCTION("""COMPUTED_VALUE"""),"   R")</f>
        <v>R</v>
      </c>
      <c r="E240" s="261" t="str">
        <f>IFERROR(__xludf.DUMMYFUNCTION("""COMPUTED_VALUE"""),"MARTOK")</f>
        <v>MARTOK</v>
      </c>
      <c r="F240" s="240" t="str">
        <f>IFERROR(__xludf.DUMMYFUNCTION("""COMPUTED_VALUE"""),"CM")</f>
        <v>CM</v>
      </c>
      <c r="G240" s="239" t="str">
        <f>IFERROR(__xludf.DUMMYFUNCTION("""COMPUTED_VALUE"""),"✴️")</f>
        <v>✴️</v>
      </c>
      <c r="H240" s="243" t="str">
        <f>IFERROR(__xludf.DUMMYFUNCTION("""COMPUTED_VALUE"""),"ModuleKinetic")</f>
        <v>ModuleKinetic</v>
      </c>
      <c r="I240" s="243" t="str">
        <f>IFERROR(__xludf.DUMMYFUNCTION("""COMPUTED_VALUE"""),"AllDamage")</f>
        <v>AllDamage</v>
      </c>
      <c r="J240" s="243" t="str">
        <f>IFERROR(__xludf.DUMMYFUNCTION("""COMPUTED_VALUE"""),"Martok increases the ship's Kinetic Weapon Damage by X.")</f>
        <v>Martok increases the ship's Kinetic Weapon Damage by X.</v>
      </c>
      <c r="K240" s="255"/>
      <c r="L240" s="255"/>
      <c r="M240" s="255"/>
      <c r="N240" s="255"/>
      <c r="O240" s="255"/>
      <c r="P240" s="255"/>
      <c r="Q240" s="256"/>
      <c r="R240" s="257"/>
      <c r="S240" s="258"/>
      <c r="T240" s="255"/>
      <c r="U240" s="258"/>
      <c r="V240" s="259"/>
    </row>
    <row r="241">
      <c r="A241" s="68"/>
      <c r="B241" s="164"/>
      <c r="C241" s="68"/>
      <c r="D241" s="250" t="str">
        <f>IFERROR(__xludf.DUMMYFUNCTION("""COMPUTED_VALUE"""),"   R")</f>
        <v>R</v>
      </c>
      <c r="E241" s="251" t="str">
        <f>IFERROR(__xludf.DUMMYFUNCTION("""COMPUTED_VALUE"""),"MIREK")</f>
        <v>MIREK</v>
      </c>
      <c r="F241" s="252" t="str">
        <f>IFERROR(__xludf.DUMMYFUNCTION("""COMPUTED_VALUE"""),"OA")</f>
        <v>OA</v>
      </c>
      <c r="G241" s="253" t="str">
        <f>IFERROR(__xludf.DUMMYFUNCTION("""COMPUTED_VALUE"""),"✴️")</f>
        <v>✴️</v>
      </c>
      <c r="H241" s="254" t="str">
        <f>IFERROR(__xludf.DUMMYFUNCTION("""COMPUTED_VALUE"""),"Federation")</f>
        <v>Federation</v>
      </c>
      <c r="I241" s="254" t="str">
        <f>IFERROR(__xludf.DUMMYFUNCTION("""COMPUTED_VALUE"""),"AllDamage")</f>
        <v>AllDamage</v>
      </c>
      <c r="J241" s="254" t="str">
        <f>IFERROR(__xludf.DUMMYFUNCTION("""COMPUTED_VALUE"""),"Mirek increases the Damage against Federation ships by X of the crew's Defense.")</f>
        <v>Mirek increases the Damage against Federation ships by X of the crew's Defense.</v>
      </c>
      <c r="K241" s="255"/>
      <c r="L241" s="255"/>
      <c r="M241" s="255"/>
      <c r="N241" s="255"/>
      <c r="O241" s="255"/>
      <c r="P241" s="255"/>
      <c r="Q241" s="256"/>
      <c r="R241" s="257"/>
      <c r="S241" s="258"/>
      <c r="T241" s="255"/>
      <c r="U241" s="258"/>
      <c r="V241" s="259"/>
    </row>
    <row r="242">
      <c r="A242" s="68"/>
      <c r="B242" s="164"/>
      <c r="C242" s="68"/>
      <c r="D242" s="260" t="str">
        <f>IFERROR(__xludf.DUMMYFUNCTION("""COMPUTED_VALUE"""),"   R")</f>
        <v>R</v>
      </c>
      <c r="E242" s="261" t="str">
        <f>IFERROR(__xludf.DUMMYFUNCTION("""COMPUTED_VALUE"""),"MIRROR DATA")</f>
        <v>MIRROR DATA</v>
      </c>
      <c r="F242" s="240" t="str">
        <f>IFERROR(__xludf.DUMMYFUNCTION("""COMPUTED_VALUE"""),"CM")</f>
        <v>CM</v>
      </c>
      <c r="G242" s="239" t="str">
        <f>IFERROR(__xludf.DUMMYFUNCTION("""COMPUTED_VALUE"""),"✴️")</f>
        <v>✴️</v>
      </c>
      <c r="H242" s="243" t="str">
        <f>IFERROR(__xludf.DUMMYFUNCTION("""COMPUTED_VALUE"""),"EnemyInterceptor, SelfOfficerTalNotOnBridge")</f>
        <v>EnemyInterceptor, SelfOfficerTalNotOnBridge</v>
      </c>
      <c r="I242" s="243" t="str">
        <f>IFERROR(__xludf.DUMMYFUNCTION("""COMPUTED_VALUE"""),"ApexBarrier")</f>
        <v>ApexBarrier</v>
      </c>
      <c r="J242" s="243" t="str">
        <f>IFERROR(__xludf.DUMMYFUNCTION("""COMPUTED_VALUE"""),"On combat start while against an Interceptor player, Mirror Data increases your Apex Barrier by X for the duration of combat. -- This ability does not trigger when Tal is assigned to the bridge of your ship.")</f>
        <v>On combat start while against an Interceptor player, Mirror Data increases your Apex Barrier by X for the duration of combat. -- This ability does not trigger when Tal is assigned to the bridge of your ship.</v>
      </c>
      <c r="K242" s="255"/>
      <c r="L242" s="255"/>
      <c r="M242" s="255"/>
      <c r="N242" s="255"/>
      <c r="O242" s="255"/>
      <c r="P242" s="255"/>
      <c r="Q242" s="256"/>
      <c r="R242" s="257"/>
      <c r="S242" s="258"/>
      <c r="T242" s="255"/>
      <c r="U242" s="258"/>
      <c r="V242" s="259"/>
    </row>
    <row r="243">
      <c r="A243" s="68"/>
      <c r="B243" s="182"/>
      <c r="C243" s="68"/>
      <c r="D243" s="250" t="str">
        <f>IFERROR(__xludf.DUMMYFUNCTION("""COMPUTED_VALUE"""),"   R")</f>
        <v>R</v>
      </c>
      <c r="E243" s="251" t="str">
        <f>IFERROR(__xludf.DUMMYFUNCTION("""COMPUTED_VALUE"""),"MIRROR EZRI")</f>
        <v>MIRROR EZRI</v>
      </c>
      <c r="F243" s="252" t="str">
        <f>IFERROR(__xludf.DUMMYFUNCTION("""COMPUTED_VALUE"""),"CM")</f>
        <v>CM</v>
      </c>
      <c r="G243" s="253" t="str">
        <f>IFERROR(__xludf.DUMMYFUNCTION("""COMPUTED_VALUE"""),"✴️")</f>
        <v>✴️</v>
      </c>
      <c r="H243" s="254" t="str">
        <f>IFERROR(__xludf.DUMMYFUNCTION("""COMPUTED_VALUE"""),"EnemyBattleship, SelfOfficerTalNotOnBridge")</f>
        <v>EnemyBattleship, SelfOfficerTalNotOnBridge</v>
      </c>
      <c r="I243" s="254" t="str">
        <f>IFERROR(__xludf.DUMMYFUNCTION("""COMPUTED_VALUE"""),"ApexBarrier")</f>
        <v>ApexBarrier</v>
      </c>
      <c r="J243" s="254" t="str">
        <f>IFERROR(__xludf.DUMMYFUNCTION("""COMPUTED_VALUE"""),"On combat start while against a Battleship player: Mirror Ezri increases your Apex Barrier by X for the duration of combat. -- This ability does not trigger when Tal is assigned to the bridge of your ship.")</f>
        <v>On combat start while against a Battleship player: Mirror Ezri increases your Apex Barrier by X for the duration of combat. -- This ability does not trigger when Tal is assigned to the bridge of your ship.</v>
      </c>
      <c r="K243" s="255"/>
      <c r="L243" s="255"/>
      <c r="M243" s="255"/>
      <c r="N243" s="255"/>
      <c r="O243" s="255"/>
      <c r="P243" s="255"/>
      <c r="Q243" s="256"/>
      <c r="R243" s="257"/>
      <c r="S243" s="258"/>
      <c r="T243" s="255"/>
      <c r="U243" s="258"/>
      <c r="V243" s="259"/>
    </row>
    <row r="244">
      <c r="A244" s="68"/>
      <c r="B244" s="184"/>
      <c r="C244" s="68"/>
      <c r="D244" s="260" t="str">
        <f>IFERROR(__xludf.DUMMYFUNCTION("""COMPUTED_VALUE"""),"   R")</f>
        <v>R</v>
      </c>
      <c r="E244" s="261" t="str">
        <f>IFERROR(__xludf.DUMMYFUNCTION("""COMPUTED_VALUE"""),"MIRROR EZRI")</f>
        <v>MIRROR EZRI</v>
      </c>
      <c r="F244" s="240" t="str">
        <f>IFERROR(__xludf.DUMMYFUNCTION("""COMPUTED_VALUE"""),"OA")</f>
        <v>OA</v>
      </c>
      <c r="G244" s="239" t="str">
        <f>IFERROR(__xludf.DUMMYFUNCTION("""COMPUTED_VALUE"""),"✴️")</f>
        <v>✴️</v>
      </c>
      <c r="H244" s="243" t="str">
        <f>IFERROR(__xludf.DUMMYFUNCTION("""COMPUTED_VALUE"""),"ModuleKinetic, TargetHasAssimilated")</f>
        <v>ModuleKinetic, TargetHasAssimilated</v>
      </c>
      <c r="I244" s="243" t="str">
        <f>IFERROR(__xludf.DUMMYFUNCTION("""COMPUTED_VALUE"""),"AllDamage")</f>
        <v>AllDamage</v>
      </c>
      <c r="J244" s="243" t="str">
        <f>IFERROR(__xludf.DUMMYFUNCTION("""COMPUTED_VALUE"""),"On round start against players with Assimilate, Mirror Ezri increases your Kinetic Weapon damage by X (X at rank X) for 1 round.")</f>
        <v>On round start against players with Assimilate, Mirror Ezri increases your Kinetic Weapon damage by X (X at rank X) for 1 round.</v>
      </c>
      <c r="K244" s="255"/>
      <c r="L244" s="255"/>
      <c r="M244" s="255"/>
      <c r="N244" s="255"/>
      <c r="O244" s="255"/>
      <c r="P244" s="255"/>
      <c r="Q244" s="256"/>
      <c r="R244" s="257"/>
      <c r="S244" s="258"/>
      <c r="T244" s="255"/>
      <c r="U244" s="258"/>
      <c r="V244" s="259"/>
    </row>
    <row r="245">
      <c r="A245" s="68"/>
      <c r="B245" s="184"/>
      <c r="C245" s="68"/>
      <c r="D245" s="250" t="str">
        <f>IFERROR(__xludf.DUMMYFUNCTION("""COMPUTED_VALUE"""),"   E")</f>
        <v>E</v>
      </c>
      <c r="E245" s="251" t="str">
        <f>IFERROR(__xludf.DUMMYFUNCTION("""COMPUTED_VALUE"""),"MIRROR KIRA")</f>
        <v>MIRROR KIRA</v>
      </c>
      <c r="F245" s="252" t="str">
        <f>IFERROR(__xludf.DUMMYFUNCTION("""COMPUTED_VALUE"""),"CM")</f>
        <v>CM</v>
      </c>
      <c r="G245" s="253" t="str">
        <f>IFERROR(__xludf.DUMMYFUNCTION("""COMPUTED_VALUE"""),"✴️")</f>
        <v>✴️</v>
      </c>
      <c r="H245" s="254" t="str">
        <f>IFERROR(__xludf.DUMMYFUNCTION("""COMPUTED_VALUE"""),"SelfOfficerTalNotOnBridge")</f>
        <v>SelfOfficerTalNotOnBridge</v>
      </c>
      <c r="I245" s="254" t="str">
        <f>IFERROR(__xludf.DUMMYFUNCTION("""COMPUTED_VALUE"""),"ApexBarrier")</f>
        <v>ApexBarrier</v>
      </c>
      <c r="J245" s="254" t="str">
        <f>IFERROR(__xludf.DUMMYFUNCTION("""COMPUTED_VALUE"""),"On round start against players, Mirror Kira increases your Apex Barrier by  X each round for 5 rounds (cumulative). -- Mirror Kira receives full synergy bonuses from all Mirror officers regardless of class. -- This ability does not trigger when Tal is ass"&amp;"igned to the bridge of your ship.")</f>
        <v>On round start against players, Mirror Kira increases your Apex Barrier by  X each round for 5 rounds (cumulative). -- Mirror Kira receives full synergy bonuses from all Mirror officers regardless of class. -- This ability does not trigger when Tal is assigned to the bridge of your ship.</v>
      </c>
      <c r="K245" s="255"/>
      <c r="L245" s="255"/>
      <c r="M245" s="255"/>
      <c r="N245" s="255"/>
      <c r="O245" s="255"/>
      <c r="P245" s="255"/>
      <c r="Q245" s="256"/>
      <c r="R245" s="257"/>
      <c r="S245" s="258"/>
      <c r="T245" s="255"/>
      <c r="U245" s="258"/>
      <c r="V245" s="259"/>
    </row>
    <row r="246">
      <c r="A246" s="68"/>
      <c r="B246" s="184"/>
      <c r="C246" s="68"/>
      <c r="D246" s="260" t="str">
        <f>IFERROR(__xludf.DUMMYFUNCTION("""COMPUTED_VALUE"""),"   E")</f>
        <v>E</v>
      </c>
      <c r="E246" s="261" t="str">
        <f>IFERROR(__xludf.DUMMYFUNCTION("""COMPUTED_VALUE"""),"MIRROR KIRA")</f>
        <v>MIRROR KIRA</v>
      </c>
      <c r="F246" s="240" t="str">
        <f>IFERROR(__xludf.DUMMYFUNCTION("""COMPUTED_VALUE"""),"OA")</f>
        <v>OA</v>
      </c>
      <c r="G246" s="239" t="str">
        <f>IFERROR(__xludf.DUMMYFUNCTION("""COMPUTED_VALUE"""),"✴️")</f>
        <v>✴️</v>
      </c>
      <c r="H246" s="243" t="str">
        <f>IFERROR(__xludf.DUMMYFUNCTION("""COMPUTED_VALUE"""),"TargetHasAssimilated")</f>
        <v>TargetHasAssimilated</v>
      </c>
      <c r="I246" s="243" t="str">
        <f>IFERROR(__xludf.DUMMYFUNCTION("""COMPUTED_VALUE"""),"ShotsPerAttack")</f>
        <v>ShotsPerAttack</v>
      </c>
      <c r="J246" s="243" t="str">
        <f>IFERROR(__xludf.DUMMYFUNCTION("""COMPUTED_VALUE"""),"On round start against players with Assimilate, Mirror Kira increases your shots by X (X at rank X) each round for 5 rounds (cumulative).")</f>
        <v>On round start against players with Assimilate, Mirror Kira increases your shots by X (X at rank X) each round for 5 rounds (cumulative).</v>
      </c>
      <c r="K246" s="255"/>
      <c r="L246" s="255"/>
      <c r="M246" s="255"/>
      <c r="N246" s="255"/>
      <c r="O246" s="255"/>
      <c r="P246" s="255"/>
      <c r="Q246" s="256"/>
      <c r="R246" s="257"/>
      <c r="S246" s="258"/>
      <c r="T246" s="255"/>
      <c r="U246" s="258"/>
      <c r="V246" s="259"/>
    </row>
    <row r="247">
      <c r="A247" s="68"/>
      <c r="B247" s="184"/>
      <c r="C247" s="68"/>
      <c r="D247" s="250" t="str">
        <f>IFERROR(__xludf.DUMMYFUNCTION("""COMPUTED_VALUE"""),"   E")</f>
        <v>E</v>
      </c>
      <c r="E247" s="251" t="str">
        <f>IFERROR(__xludf.DUMMYFUNCTION("""COMPUTED_VALUE"""),"MIRROR PICARD")</f>
        <v>MIRROR PICARD</v>
      </c>
      <c r="F247" s="252" t="str">
        <f>IFERROR(__xludf.DUMMYFUNCTION("""COMPUTED_VALUE"""),"OA")</f>
        <v>OA</v>
      </c>
      <c r="G247" s="253" t="str">
        <f>IFERROR(__xludf.DUMMYFUNCTION("""COMPUTED_VALUE"""),"✴️")</f>
        <v>✴️</v>
      </c>
      <c r="H247" s="254" t="str">
        <f>IFERROR(__xludf.DUMMYFUNCTION("""COMPUTED_VALUE"""),"TargetHasAssimilated, SelfOfficerTalNotOnBridge")</f>
        <v>TargetHasAssimilated, SelfOfficerTalNotOnBridge</v>
      </c>
      <c r="I247" s="254" t="str">
        <f>IFERROR(__xludf.DUMMYFUNCTION("""COMPUTED_VALUE"""),"ApexBarrier")</f>
        <v>ApexBarrier</v>
      </c>
      <c r="J247" s="254" t="str">
        <f>IFERROR(__xludf.DUMMYFUNCTION("""COMPUTED_VALUE"""),"On round start against players with Assimilate, Mirror Picard increases your Apex Barrier by X (X at rank X) for 1 round. -- This ability does not trigger when Tal is assigned to the bridge of your ship.")</f>
        <v>On round start against players with Assimilate, Mirror Picard increases your Apex Barrier by X (X at rank X) for 1 round. -- This ability does not trigger when Tal is assigned to the bridge of your ship.</v>
      </c>
      <c r="K247" s="255"/>
      <c r="L247" s="255"/>
      <c r="M247" s="255"/>
      <c r="N247" s="255"/>
      <c r="O247" s="255"/>
      <c r="P247" s="255"/>
      <c r="Q247" s="256"/>
      <c r="R247" s="257"/>
      <c r="S247" s="258"/>
      <c r="T247" s="255"/>
      <c r="U247" s="258"/>
      <c r="V247" s="259"/>
    </row>
    <row r="248">
      <c r="A248" s="68"/>
      <c r="B248" s="147"/>
      <c r="C248" s="68"/>
      <c r="D248" s="260" t="str">
        <f>IFERROR(__xludf.DUMMYFUNCTION("""COMPUTED_VALUE"""),"   R")</f>
        <v>R</v>
      </c>
      <c r="E248" s="261" t="str">
        <f>IFERROR(__xludf.DUMMYFUNCTION("""COMPUTED_VALUE"""),"MIRROR TROI")</f>
        <v>MIRROR TROI</v>
      </c>
      <c r="F248" s="240" t="str">
        <f>IFERROR(__xludf.DUMMYFUNCTION("""COMPUTED_VALUE"""),"CM")</f>
        <v>CM</v>
      </c>
      <c r="G248" s="239" t="str">
        <f>IFERROR(__xludf.DUMMYFUNCTION("""COMPUTED_VALUE"""),"✴️")</f>
        <v>✴️</v>
      </c>
      <c r="H248" s="243" t="str">
        <f>IFERROR(__xludf.DUMMYFUNCTION("""COMPUTED_VALUE"""),"EnemyExplorer, SelfOfficerTalNotOnBridge")</f>
        <v>EnemyExplorer, SelfOfficerTalNotOnBridge</v>
      </c>
      <c r="I248" s="243" t="str">
        <f>IFERROR(__xludf.DUMMYFUNCTION("""COMPUTED_VALUE"""),"ApexBarrier")</f>
        <v>ApexBarrier</v>
      </c>
      <c r="J248" s="243" t="str">
        <f>IFERROR(__xludf.DUMMYFUNCTION("""COMPUTED_VALUE"""),"On combat start while against an Explorer player: Mirror Troi increases your Apex Barrier by X for the duration of combat. -- This ability does not trigger when Tal is assigned to the bridge of your ship.")</f>
        <v>On combat start while against an Explorer player: Mirror Troi increases your Apex Barrier by X for the duration of combat. -- This ability does not trigger when Tal is assigned to the bridge of your ship.</v>
      </c>
      <c r="K248" s="255"/>
      <c r="L248" s="255"/>
      <c r="M248" s="255"/>
      <c r="N248" s="255"/>
      <c r="O248" s="255"/>
      <c r="P248" s="255"/>
      <c r="Q248" s="256"/>
      <c r="R248" s="257"/>
      <c r="S248" s="258"/>
      <c r="T248" s="255"/>
      <c r="U248" s="258"/>
      <c r="V248" s="259"/>
    </row>
    <row r="249">
      <c r="A249" s="68"/>
      <c r="B249" s="147"/>
      <c r="C249" s="68"/>
      <c r="D249" s="250" t="str">
        <f>IFERROR(__xludf.DUMMYFUNCTION("""COMPUTED_VALUE"""),"   R")</f>
        <v>R</v>
      </c>
      <c r="E249" s="251" t="str">
        <f>IFERROR(__xludf.DUMMYFUNCTION("""COMPUTED_VALUE"""),"MIRROR TROI")</f>
        <v>MIRROR TROI</v>
      </c>
      <c r="F249" s="252" t="str">
        <f>IFERROR(__xludf.DUMMYFUNCTION("""COMPUTED_VALUE"""),"OA")</f>
        <v>OA</v>
      </c>
      <c r="G249" s="253" t="str">
        <f>IFERROR(__xludf.DUMMYFUNCTION("""COMPUTED_VALUE"""),"✴️")</f>
        <v>✴️</v>
      </c>
      <c r="H249" s="254" t="str">
        <f>IFERROR(__xludf.DUMMYFUNCTION("""COMPUTED_VALUE"""),"TargetHasAssimilated, ModuleEnergy")</f>
        <v>TargetHasAssimilated, ModuleEnergy</v>
      </c>
      <c r="I249" s="254" t="str">
        <f>IFERROR(__xludf.DUMMYFUNCTION("""COMPUTED_VALUE"""),"AllDamage")</f>
        <v>AllDamage</v>
      </c>
      <c r="J249" s="254" t="str">
        <f>IFERROR(__xludf.DUMMYFUNCTION("""COMPUTED_VALUE"""),"On round start against players with Assimilate, Mirror Troi increases your Energy Weapon damage by X (X at rank X) for 1 round.")</f>
        <v>On round start against players with Assimilate, Mirror Troi increases your Energy Weapon damage by X (X at rank X) for 1 round.</v>
      </c>
      <c r="K249" s="255"/>
      <c r="L249" s="255"/>
      <c r="M249" s="255"/>
      <c r="N249" s="255"/>
      <c r="O249" s="255"/>
      <c r="P249" s="255"/>
      <c r="Q249" s="256"/>
      <c r="R249" s="257"/>
      <c r="S249" s="258"/>
      <c r="T249" s="255"/>
      <c r="U249" s="258"/>
      <c r="V249" s="259"/>
    </row>
    <row r="250">
      <c r="A250" s="68"/>
      <c r="B250" s="147"/>
      <c r="C250" s="68"/>
      <c r="D250" s="260" t="str">
        <f>IFERROR(__xludf.DUMMYFUNCTION("""COMPUTED_VALUE"""),"   R")</f>
        <v>R</v>
      </c>
      <c r="E250" s="261" t="str">
        <f>IFERROR(__xludf.DUMMYFUNCTION("""COMPUTED_VALUE"""),"MISS Q")</f>
        <v>MISS Q</v>
      </c>
      <c r="F250" s="240" t="str">
        <f>IFERROR(__xludf.DUMMYFUNCTION("""COMPUTED_VALUE"""),"OA")</f>
        <v>OA</v>
      </c>
      <c r="G250" s="239" t="str">
        <f>IFERROR(__xludf.DUMMYFUNCTION("""COMPUTED_VALUE"""),"✴️")</f>
        <v>✴️</v>
      </c>
      <c r="H250" s="243" t="str">
        <f>IFERROR(__xludf.DUMMYFUNCTION("""COMPUTED_VALUE"""),"TargetHasBurning")</f>
        <v>TargetHasBurning</v>
      </c>
      <c r="I250" s="243" t="str">
        <f>IFERROR(__xludf.DUMMYFUNCTION("""COMPUTED_VALUE"""),"IsolyticDamage")</f>
        <v>IsolyticDamage</v>
      </c>
      <c r="J250" s="243" t="str">
        <f>IFERROR(__xludf.DUMMYFUNCTION("""COMPUTED_VALUE"""),"On round start against players afflicted by Burning, Miss Q increases your Isolytic Cascade damage by X (X at rank X) for 3 rounds.")</f>
        <v>On round start against players afflicted by Burning, Miss Q increases your Isolytic Cascade damage by X (X at rank X) for 3 rounds.</v>
      </c>
      <c r="K250" s="255"/>
      <c r="L250" s="255"/>
      <c r="M250" s="255"/>
      <c r="N250" s="255"/>
      <c r="O250" s="255"/>
      <c r="P250" s="255"/>
      <c r="Q250" s="256"/>
      <c r="R250" s="257"/>
      <c r="S250" s="258"/>
      <c r="T250" s="255"/>
      <c r="U250" s="258"/>
      <c r="V250" s="259"/>
    </row>
    <row r="251">
      <c r="A251" s="68"/>
      <c r="B251" s="147"/>
      <c r="C251" s="68"/>
      <c r="D251" s="250" t="str">
        <f>IFERROR(__xludf.DUMMYFUNCTION("""COMPUTED_VALUE"""),"   R")</f>
        <v>R</v>
      </c>
      <c r="E251" s="251" t="str">
        <f>IFERROR(__xludf.DUMMYFUNCTION("""COMPUTED_VALUE"""),"MISS Q")</f>
        <v>MISS Q</v>
      </c>
      <c r="F251" s="252" t="str">
        <f>IFERROR(__xludf.DUMMYFUNCTION("""COMPUTED_VALUE"""),"BDA")</f>
        <v>BDA</v>
      </c>
      <c r="G251" s="253" t="str">
        <f>IFERROR(__xludf.DUMMYFUNCTION("""COMPUTED_VALUE"""),"✴️")</f>
        <v>✴️</v>
      </c>
      <c r="H251" s="254" t="str">
        <f>IFERROR(__xludf.DUMMYFUNCTION("""COMPUTED_VALUE"""),"SelfHasMorale, SelfOfficerTalNotOnBridge")</f>
        <v>SelfHasMorale, SelfOfficerTalNotOnBridge</v>
      </c>
      <c r="I251" s="254" t="str">
        <f>IFERROR(__xludf.DUMMYFUNCTION("""COMPUTED_VALUE"""),"ApexBarrier")</f>
        <v>ApexBarrier</v>
      </c>
      <c r="J251" s="254" t="str">
        <f>IFERROR(__xludf.DUMMYFUNCTION("""COMPUTED_VALUE"""),"On round start, if placed on a ship with Morale against players, Miss Q increases your Apex Barrier by X (X at rank X) for 1 round. -- This ability does not trigger when Tal is assigned to the bridge of your ship.")</f>
        <v>On round start, if placed on a ship with Morale against players, Miss Q increases your Apex Barrier by X (X at rank X) for 1 round. -- This ability does not trigger when Tal is assigned to the bridge of your ship.</v>
      </c>
      <c r="K251" s="255"/>
      <c r="L251" s="255"/>
      <c r="M251" s="255"/>
      <c r="N251" s="255"/>
      <c r="O251" s="255"/>
      <c r="P251" s="255"/>
      <c r="Q251" s="256"/>
      <c r="R251" s="257"/>
      <c r="S251" s="258"/>
      <c r="T251" s="255"/>
      <c r="U251" s="258"/>
      <c r="V251" s="259"/>
    </row>
    <row r="252">
      <c r="A252" s="68"/>
      <c r="B252" s="201"/>
      <c r="C252" s="68"/>
      <c r="D252" s="260" t="str">
        <f>IFERROR(__xludf.DUMMYFUNCTION("""COMPUTED_VALUE"""),"   E")</f>
        <v>E</v>
      </c>
      <c r="E252" s="261" t="str">
        <f>IFERROR(__xludf.DUMMYFUNCTION("""COMPUTED_VALUE"""),"MUDD")</f>
        <v>MUDD</v>
      </c>
      <c r="F252" s="240" t="str">
        <f>IFERROR(__xludf.DUMMYFUNCTION("""COMPUTED_VALUE"""),"OA")</f>
        <v>OA</v>
      </c>
      <c r="G252" s="239" t="str">
        <f>IFERROR(__xludf.DUMMYFUNCTION("""COMPUTED_VALUE"""),"✴️")</f>
        <v>✴️</v>
      </c>
      <c r="H252" s="243" t="str">
        <f>IFERROR(__xludf.DUMMYFUNCTION("""COMPUTED_VALUE"""),"target level 70 or under")</f>
        <v>target level 70 or under</v>
      </c>
      <c r="I252" s="243" t="str">
        <f>IFERROR(__xludf.DUMMYFUNCTION("""COMPUTED_VALUE"""),"AllDamage")</f>
        <v>AllDamage</v>
      </c>
      <c r="J252" s="243" t="str">
        <f>IFERROR(__xludf.DUMMYFUNCTION("""COMPUTED_VALUE"""),"When the ship's Shield Health is depleted, Harry Mudd increases the Weapon Damage of the ship by X for the rest of the combat. Works against Hostiles of level 70 and under.")</f>
        <v>When the ship's Shield Health is depleted, Harry Mudd increases the Weapon Damage of the ship by X for the rest of the combat. Works against Hostiles of level 70 and under.</v>
      </c>
      <c r="K252" s="255"/>
      <c r="L252" s="255"/>
      <c r="M252" s="255"/>
      <c r="N252" s="255"/>
      <c r="O252" s="255"/>
      <c r="P252" s="255"/>
      <c r="Q252" s="256"/>
      <c r="R252" s="257"/>
      <c r="S252" s="258"/>
      <c r="T252" s="255"/>
      <c r="U252" s="258"/>
      <c r="V252" s="259"/>
    </row>
    <row r="253">
      <c r="A253" s="68"/>
      <c r="B253" s="201"/>
      <c r="C253" s="68"/>
      <c r="D253" s="250" t="str">
        <f>IFERROR(__xludf.DUMMYFUNCTION("""COMPUTED_VALUE"""),"   R")</f>
        <v>R</v>
      </c>
      <c r="E253" s="251" t="str">
        <f>IFERROR(__xludf.DUMMYFUNCTION("""COMPUTED_VALUE"""),"NAVI")</f>
        <v>NAVI</v>
      </c>
      <c r="F253" s="252" t="str">
        <f>IFERROR(__xludf.DUMMYFUNCTION("""COMPUTED_VALUE"""),"CM")</f>
        <v>CM</v>
      </c>
      <c r="G253" s="253" t="str">
        <f>IFERROR(__xludf.DUMMYFUNCTION("""COMPUTED_VALUE"""),"✴️")</f>
        <v>✴️</v>
      </c>
      <c r="H253" s="254" t="str">
        <f>IFERROR(__xludf.DUMMYFUNCTION("""COMPUTED_VALUE"""),"SelfHasHullBreach")</f>
        <v>SelfHasHullBreach</v>
      </c>
      <c r="I253" s="254" t="str">
        <f>IFERROR(__xludf.DUMMYFUNCTION("""COMPUTED_VALUE"""),"CritDamage")</f>
        <v>CritDamage</v>
      </c>
      <c r="J253" s="254" t="str">
        <f>IFERROR(__xludf.DUMMYFUNCTION("""COMPUTED_VALUE"""),"At the start of each round, if the ship has a Hull Breach, Navi increases the Critical Hit damage bonus by X for this round.")</f>
        <v>At the start of each round, if the ship has a Hull Breach, Navi increases the Critical Hit damage bonus by X for this round.</v>
      </c>
      <c r="K253" s="255"/>
      <c r="L253" s="255"/>
      <c r="M253" s="255"/>
      <c r="N253" s="255"/>
      <c r="O253" s="255"/>
      <c r="P253" s="255"/>
      <c r="Q253" s="256"/>
      <c r="R253" s="257"/>
      <c r="S253" s="258"/>
      <c r="T253" s="255"/>
      <c r="U253" s="258"/>
      <c r="V253" s="259"/>
    </row>
    <row r="254">
      <c r="A254" s="68"/>
      <c r="B254" s="201"/>
      <c r="C254" s="68"/>
      <c r="D254" s="260" t="str">
        <f>IFERROR(__xludf.DUMMYFUNCTION("""COMPUTED_VALUE"""),"   R")</f>
        <v>R</v>
      </c>
      <c r="E254" s="261" t="str">
        <f>IFERROR(__xludf.DUMMYFUNCTION("""COMPUTED_VALUE"""),"NAVI")</f>
        <v>NAVI</v>
      </c>
      <c r="F254" s="240" t="str">
        <f>IFERROR(__xludf.DUMMYFUNCTION("""COMPUTED_VALUE"""),"OA")</f>
        <v>OA</v>
      </c>
      <c r="G254" s="239" t="str">
        <f>IFERROR(__xludf.DUMMYFUNCTION("""COMPUTED_VALUE"""),"✴️")</f>
        <v>✴️</v>
      </c>
      <c r="H254" s="243" t="str">
        <f>IFERROR(__xludf.DUMMYFUNCTION("""COMPUTED_VALUE"""),"SelfHasHullBreach")</f>
        <v>SelfHasHullBreach</v>
      </c>
      <c r="I254" s="243" t="str">
        <f>IFERROR(__xludf.DUMMYFUNCTION("""COMPUTED_VALUE"""),"AllDefenses")</f>
        <v>AllDefenses</v>
      </c>
      <c r="J254" s="243" t="str">
        <f>IFERROR(__xludf.DUMMYFUNCTION("""COMPUTED_VALUE"""),"At the start of each round, if the ship has a Hull Breach, Navi increases the Armor, Shield Deflection and Dodge of the ship by X for this round.")</f>
        <v>At the start of each round, if the ship has a Hull Breach, Navi increases the Armor, Shield Deflection and Dodge of the ship by X for this round.</v>
      </c>
      <c r="K254" s="255"/>
      <c r="L254" s="255"/>
      <c r="M254" s="255"/>
      <c r="N254" s="255"/>
      <c r="O254" s="255"/>
      <c r="P254" s="255"/>
      <c r="Q254" s="256"/>
      <c r="R254" s="257"/>
      <c r="S254" s="258"/>
      <c r="T254" s="255"/>
      <c r="U254" s="258"/>
      <c r="V254" s="259"/>
    </row>
    <row r="255">
      <c r="A255" s="68"/>
      <c r="B255" s="128"/>
      <c r="C255" s="68"/>
      <c r="D255" s="250" t="str">
        <f>IFERROR(__xludf.DUMMYFUNCTION("""COMPUTED_VALUE"""),"   E")</f>
        <v>E</v>
      </c>
      <c r="E255" s="251" t="str">
        <f>IFERROR(__xludf.DUMMYFUNCTION("""COMPUTED_VALUE"""),"NERO")</f>
        <v>NERO</v>
      </c>
      <c r="F255" s="252" t="str">
        <f>IFERROR(__xludf.DUMMYFUNCTION("""COMPUTED_VALUE"""),"CM")</f>
        <v>CM</v>
      </c>
      <c r="G255" s="253" t="str">
        <f>IFERROR(__xludf.DUMMYFUNCTION("""COMPUTED_VALUE"""),"✴️")</f>
        <v>✴️</v>
      </c>
      <c r="H255" s="254" t="str">
        <f>IFERROR(__xludf.DUMMYFUNCTION("""COMPUTED_VALUE"""),"TargetHasBurning")</f>
        <v>TargetHasBurning</v>
      </c>
      <c r="I255" s="254" t="str">
        <f>IFERROR(__xludf.DUMMYFUNCTION("""COMPUTED_VALUE"""),"AllDamage")</f>
        <v>AllDamage</v>
      </c>
      <c r="J255" s="254" t="str">
        <f>IFERROR(__xludf.DUMMYFUNCTION("""COMPUTED_VALUE"""),"At the beginning of each round, if the opponent's ship is Burning, Nero increases the Damage of the weapons by X.")</f>
        <v>At the beginning of each round, if the opponent's ship is Burning, Nero increases the Damage of the weapons by X.</v>
      </c>
      <c r="K255" s="255"/>
      <c r="L255" s="255"/>
      <c r="M255" s="255"/>
      <c r="N255" s="255"/>
      <c r="O255" s="255"/>
      <c r="P255" s="255"/>
      <c r="Q255" s="256"/>
      <c r="R255" s="257"/>
      <c r="S255" s="258"/>
      <c r="T255" s="255"/>
      <c r="U255" s="258"/>
      <c r="V255" s="259"/>
    </row>
    <row r="256">
      <c r="A256" s="68"/>
      <c r="B256" s="214"/>
      <c r="C256" s="68"/>
      <c r="D256" s="260" t="str">
        <f>IFERROR(__xludf.DUMMYFUNCTION("""COMPUTED_VALUE"""),"   E")</f>
        <v>E</v>
      </c>
      <c r="E256" s="261" t="str">
        <f>IFERROR(__xludf.DUMMYFUNCTION("""COMPUTED_VALUE"""),"NOG")</f>
        <v>NOG</v>
      </c>
      <c r="F256" s="240" t="str">
        <f>IFERROR(__xludf.DUMMYFUNCTION("""COMPUTED_VALUE"""),"CM")</f>
        <v>CM</v>
      </c>
      <c r="G256" s="239" t="str">
        <f>IFERROR(__xludf.DUMMYFUNCTION("""COMPUTED_VALUE"""),"✴️")</f>
        <v>✴️</v>
      </c>
      <c r="H256" s="243" t="str">
        <f>IFERROR(__xludf.DUMMYFUNCTION("""COMPUTED_VALUE"""),"SelfOfficerTalNotOnBridge")</f>
        <v>SelfOfficerTalNotOnBridge</v>
      </c>
      <c r="I256" s="243" t="str">
        <f>IFERROR(__xludf.DUMMYFUNCTION("""COMPUTED_VALUE"""),"ApexBarrier")</f>
        <v>ApexBarrier</v>
      </c>
      <c r="J256" s="243" t="str">
        <f>IFERROR(__xludf.DUMMYFUNCTION("""COMPUTED_VALUE"""),"Nog increases Apex Barrier by X for 2 rounds on round start, when attacking a Station. -- This ability does not trigger when Tal is assigned to the bridge of your ship.")</f>
        <v>Nog increases Apex Barrier by X for 2 rounds on round start, when attacking a Station. -- This ability does not trigger when Tal is assigned to the bridge of your ship.</v>
      </c>
      <c r="K256" s="255"/>
      <c r="L256" s="255"/>
      <c r="M256" s="255"/>
      <c r="N256" s="255"/>
      <c r="O256" s="255"/>
      <c r="P256" s="255"/>
      <c r="Q256" s="256"/>
      <c r="R256" s="257"/>
      <c r="S256" s="258"/>
      <c r="T256" s="255"/>
      <c r="U256" s="258"/>
      <c r="V256" s="259"/>
    </row>
    <row r="257">
      <c r="A257" s="68"/>
      <c r="B257" s="218"/>
      <c r="C257" s="68"/>
      <c r="D257" s="250" t="str">
        <f>IFERROR(__xludf.DUMMYFUNCTION("""COMPUTED_VALUE"""),"   E")</f>
        <v>E</v>
      </c>
      <c r="E257" s="251" t="str">
        <f>IFERROR(__xludf.DUMMYFUNCTION("""COMPUTED_VALUE"""),"NOG")</f>
        <v>NOG</v>
      </c>
      <c r="F257" s="252" t="str">
        <f>IFERROR(__xludf.DUMMYFUNCTION("""COMPUTED_VALUE"""),"OA")</f>
        <v>OA</v>
      </c>
      <c r="G257" s="253" t="str">
        <f>IFERROR(__xludf.DUMMYFUNCTION("""COMPUTED_VALUE"""),"✴️")</f>
        <v>✴️</v>
      </c>
      <c r="H257" s="254" t="str">
        <f>IFERROR(__xludf.DUMMYFUNCTION("""COMPUTED_VALUE"""),"TargetStateAny")</f>
        <v>TargetStateAny</v>
      </c>
      <c r="I257" s="254" t="str">
        <f>IFERROR(__xludf.DUMMYFUNCTION("""COMPUTED_VALUE"""),"CritChance")</f>
        <v>CritChance</v>
      </c>
      <c r="J257" s="254" t="str">
        <f>IFERROR(__xludf.DUMMYFUNCTION("""COMPUTED_VALUE"""),"Nog reduces Critical Hit Chance by X (X at rank X) for 2 rounds on round start against players, if the opponent has any state.")</f>
        <v>Nog reduces Critical Hit Chance by X (X at rank X) for 2 rounds on round start against players, if the opponent has any state.</v>
      </c>
      <c r="K257" s="255"/>
      <c r="L257" s="255"/>
      <c r="M257" s="255"/>
      <c r="N257" s="255"/>
      <c r="O257" s="255"/>
      <c r="P257" s="255"/>
      <c r="Q257" s="256"/>
      <c r="R257" s="257"/>
      <c r="S257" s="258"/>
      <c r="T257" s="255"/>
      <c r="U257" s="258"/>
      <c r="V257" s="259"/>
    </row>
    <row r="258">
      <c r="A258" s="68"/>
      <c r="B258" s="218"/>
      <c r="C258" s="68"/>
      <c r="D258" s="260" t="str">
        <f>IFERROR(__xludf.DUMMYFUNCTION("""COMPUTED_VALUE"""),"   E")</f>
        <v>E</v>
      </c>
      <c r="E258" s="261" t="str">
        <f>IFERROR(__xludf.DUMMYFUNCTION("""COMPUTED_VALUE"""),"PIC ADMIRAL PICARD")</f>
        <v>PIC ADMIRAL PICARD</v>
      </c>
      <c r="F258" s="240" t="str">
        <f>IFERROR(__xludf.DUMMYFUNCTION("""COMPUTED_VALUE"""),"OA")</f>
        <v>OA</v>
      </c>
      <c r="G258" s="239" t="str">
        <f>IFERROR(__xludf.DUMMYFUNCTION("""COMPUTED_VALUE"""),"✴️")</f>
        <v>✴️</v>
      </c>
      <c r="H258" s="243" t="str">
        <f>IFERROR(__xludf.DUMMYFUNCTION("""COMPUTED_VALUE"""),"EnemyExplorer")</f>
        <v>EnemyExplorer</v>
      </c>
      <c r="I258" s="243" t="str">
        <f>IFERROR(__xludf.DUMMYFUNCTION("""COMPUTED_VALUE"""),"AllDamage")</f>
        <v>AllDamage</v>
      </c>
      <c r="J258" s="243" t="str">
        <f>IFERROR(__xludf.DUMMYFUNCTION("""COMPUTED_VALUE"""),"Admiral Picard increases your ship base Weapon Damage by X on combat start against a player Explorer for the duration of combat.")</f>
        <v>Admiral Picard increases your ship base Weapon Damage by X on combat start against a player Explorer for the duration of combat.</v>
      </c>
      <c r="K258" s="255"/>
      <c r="L258" s="255"/>
      <c r="M258" s="255"/>
      <c r="N258" s="255"/>
      <c r="O258" s="255"/>
      <c r="P258" s="255"/>
      <c r="Q258" s="256"/>
      <c r="R258" s="257"/>
      <c r="S258" s="258"/>
      <c r="T258" s="255"/>
      <c r="U258" s="258"/>
      <c r="V258" s="259"/>
    </row>
    <row r="259">
      <c r="A259" s="68"/>
      <c r="B259" s="218"/>
      <c r="C259" s="68"/>
      <c r="D259" s="250" t="str">
        <f>IFERROR(__xludf.DUMMYFUNCTION("""COMPUTED_VALUE"""),"   E")</f>
        <v>E</v>
      </c>
      <c r="E259" s="251" t="str">
        <f>IFERROR(__xludf.DUMMYFUNCTION("""COMPUTED_VALUE"""),"PIC RIKER")</f>
        <v>PIC RIKER</v>
      </c>
      <c r="F259" s="252" t="str">
        <f>IFERROR(__xludf.DUMMYFUNCTION("""COMPUTED_VALUE"""),"OA")</f>
        <v>OA</v>
      </c>
      <c r="G259" s="253" t="str">
        <f>IFERROR(__xludf.DUMMYFUNCTION("""COMPUTED_VALUE"""),"✴️")</f>
        <v>✴️</v>
      </c>
      <c r="H259" s="254" t="str">
        <f>IFERROR(__xludf.DUMMYFUNCTION("""COMPUTED_VALUE"""),"EnemyBattleship")</f>
        <v>EnemyBattleship</v>
      </c>
      <c r="I259" s="254" t="str">
        <f>IFERROR(__xludf.DUMMYFUNCTION("""COMPUTED_VALUE"""),"AllDamage")</f>
        <v>AllDamage</v>
      </c>
      <c r="J259" s="254" t="str">
        <f>IFERROR(__xludf.DUMMYFUNCTION("""COMPUTED_VALUE"""),"Riker increases your ship base Weapon Damage by X on combat start against a player Battleship for the duration of combat.")</f>
        <v>Riker increases your ship base Weapon Damage by X on combat start against a player Battleship for the duration of combat.</v>
      </c>
      <c r="K259" s="255"/>
      <c r="L259" s="255"/>
      <c r="M259" s="255"/>
      <c r="N259" s="255"/>
      <c r="O259" s="255"/>
      <c r="P259" s="255"/>
      <c r="Q259" s="256"/>
      <c r="R259" s="257"/>
      <c r="S259" s="258"/>
      <c r="T259" s="255"/>
      <c r="U259" s="258"/>
      <c r="V259" s="259"/>
    </row>
    <row r="260">
      <c r="A260" s="68"/>
      <c r="B260" s="218"/>
      <c r="C260" s="68"/>
      <c r="D260" s="260" t="str">
        <f>IFERROR(__xludf.DUMMYFUNCTION("""COMPUTED_VALUE"""),"   E")</f>
        <v>E</v>
      </c>
      <c r="E260" s="261" t="str">
        <f>IFERROR(__xludf.DUMMYFUNCTION("""COMPUTED_VALUE"""),"PIC WORF")</f>
        <v>PIC WORF</v>
      </c>
      <c r="F260" s="240" t="str">
        <f>IFERROR(__xludf.DUMMYFUNCTION("""COMPUTED_VALUE"""),"OA")</f>
        <v>OA</v>
      </c>
      <c r="G260" s="239" t="str">
        <f>IFERROR(__xludf.DUMMYFUNCTION("""COMPUTED_VALUE"""),"✴️")</f>
        <v>✴️</v>
      </c>
      <c r="H260" s="243" t="str">
        <f>IFERROR(__xludf.DUMMYFUNCTION("""COMPUTED_VALUE"""),"EnemyInterceptor")</f>
        <v>EnemyInterceptor</v>
      </c>
      <c r="I260" s="243" t="str">
        <f>IFERROR(__xludf.DUMMYFUNCTION("""COMPUTED_VALUE"""),"AllDamage")</f>
        <v>AllDamage</v>
      </c>
      <c r="J260" s="243" t="str">
        <f>IFERROR(__xludf.DUMMYFUNCTION("""COMPUTED_VALUE"""),"Worf increases your ship base Weapon Damage by X on combat start against a player Interceptor for the duration of combat.")</f>
        <v>Worf increases your ship base Weapon Damage by X on combat start against a player Interceptor for the duration of combat.</v>
      </c>
      <c r="K260" s="255"/>
      <c r="L260" s="255"/>
      <c r="M260" s="255"/>
      <c r="N260" s="255"/>
      <c r="O260" s="255"/>
      <c r="P260" s="255"/>
      <c r="Q260" s="256"/>
      <c r="R260" s="257"/>
      <c r="S260" s="258"/>
      <c r="T260" s="255"/>
      <c r="U260" s="258"/>
      <c r="V260" s="259"/>
    </row>
    <row r="261">
      <c r="A261" s="68"/>
      <c r="B261" s="218"/>
      <c r="C261" s="68"/>
      <c r="D261" s="250" t="str">
        <f>IFERROR(__xludf.DUMMYFUNCTION("""COMPUTED_VALUE"""),"   E")</f>
        <v>E</v>
      </c>
      <c r="E261" s="251" t="str">
        <f>IFERROR(__xludf.DUMMYFUNCTION("""COMPUTED_VALUE"""),"PIKE")</f>
        <v>PIKE</v>
      </c>
      <c r="F261" s="252" t="str">
        <f>IFERROR(__xludf.DUMMYFUNCTION("""COMPUTED_VALUE"""),"CM")</f>
        <v>CM</v>
      </c>
      <c r="G261" s="253" t="str">
        <f>IFERROR(__xludf.DUMMYFUNCTION("""COMPUTED_VALUE"""),"✴️")</f>
        <v>✴️</v>
      </c>
      <c r="H261" s="254" t="str">
        <f>IFERROR(__xludf.DUMMYFUNCTION("""COMPUTED_VALUE"""),"target level 70 or under")</f>
        <v>target level 70 or under</v>
      </c>
      <c r="I261" s="254" t="str">
        <f>IFERROR(__xludf.DUMMYFUNCTION("""COMPUTED_VALUE"""),"OffAbilityEffect")</f>
        <v>OffAbilityEffect</v>
      </c>
      <c r="J261" s="254" t="str">
        <f>IFERROR(__xludf.DUMMYFUNCTION("""COMPUTED_VALUE"""),"Christopher Pike increases the effectiveness of all Officer Abilities that trigger in combat by X. Works against Hostiles of level 70 and under.")</f>
        <v>Christopher Pike increases the effectiveness of all Officer Abilities that trigger in combat by X. Works against Hostiles of level 70 and under.</v>
      </c>
      <c r="K261" s="255"/>
      <c r="L261" s="255"/>
      <c r="M261" s="255"/>
      <c r="N261" s="255"/>
      <c r="O261" s="255"/>
      <c r="P261" s="255"/>
      <c r="Q261" s="256"/>
      <c r="R261" s="257"/>
      <c r="S261" s="258"/>
      <c r="T261" s="255"/>
      <c r="U261" s="258"/>
      <c r="V261" s="259"/>
    </row>
    <row r="262">
      <c r="A262" s="68"/>
      <c r="B262" s="104"/>
      <c r="C262" s="68"/>
      <c r="D262" s="260" t="str">
        <f>IFERROR(__xludf.DUMMYFUNCTION("""COMPUTED_VALUE"""),"   R")</f>
        <v>R</v>
      </c>
      <c r="E262" s="261" t="str">
        <f>IFERROR(__xludf.DUMMYFUNCTION("""COMPUTED_VALUE"""),"PON")</f>
        <v>PON</v>
      </c>
      <c r="F262" s="240" t="str">
        <f>IFERROR(__xludf.DUMMYFUNCTION("""COMPUTED_VALUE"""),"CM")</f>
        <v>CM</v>
      </c>
      <c r="G262" s="239" t="str">
        <f>IFERROR(__xludf.DUMMYFUNCTION("""COMPUTED_VALUE"""),"✴️")</f>
        <v>✴️</v>
      </c>
      <c r="H262" s="243" t="str">
        <f>IFERROR(__xludf.DUMMYFUNCTION("""COMPUTED_VALUE"""),"SelfExplorer")</f>
        <v>SelfExplorer</v>
      </c>
      <c r="I262" s="243" t="str">
        <f>IFERROR(__xludf.DUMMYFUNCTION("""COMPUTED_VALUE"""),"AllLoadSpeed")</f>
        <v>AllLoadSpeed</v>
      </c>
      <c r="J262" s="243" t="str">
        <f>IFERROR(__xludf.DUMMYFUNCTION("""COMPUTED_VALUE"""),"Pon has a X chance at the start of combat to delay opponent weapons for 3 Rounds when attacked by players, if your ship is an Explorer.")</f>
        <v>Pon has a X chance at the start of combat to delay opponent weapons for 3 Rounds when attacked by players, if your ship is an Explorer.</v>
      </c>
      <c r="K262" s="255"/>
      <c r="L262" s="255"/>
      <c r="M262" s="255"/>
      <c r="N262" s="255"/>
      <c r="O262" s="255"/>
      <c r="P262" s="255"/>
      <c r="Q262" s="256"/>
      <c r="R262" s="257"/>
      <c r="S262" s="258"/>
      <c r="T262" s="255"/>
      <c r="U262" s="258"/>
      <c r="V262" s="259"/>
    </row>
    <row r="263">
      <c r="A263" s="68"/>
      <c r="B263" s="111"/>
      <c r="C263" s="68"/>
      <c r="D263" s="250" t="str">
        <f>IFERROR(__xludf.DUMMYFUNCTION("""COMPUTED_VALUE"""),"   R")</f>
        <v>R</v>
      </c>
      <c r="E263" s="251" t="str">
        <f>IFERROR(__xludf.DUMMYFUNCTION("""COMPUTED_VALUE"""),"PON")</f>
        <v>PON</v>
      </c>
      <c r="F263" s="252" t="str">
        <f>IFERROR(__xludf.DUMMYFUNCTION("""COMPUTED_VALUE"""),"OA")</f>
        <v>OA</v>
      </c>
      <c r="G263" s="253" t="str">
        <f>IFERROR(__xludf.DUMMYFUNCTION("""COMPUTED_VALUE"""),"✴️")</f>
        <v>✴️</v>
      </c>
      <c r="H263" s="254" t="str">
        <f>IFERROR(__xludf.DUMMYFUNCTION("""COMPUTED_VALUE"""),"SelfExplorer, SelfHasMorale")</f>
        <v>SelfExplorer, SelfHasMorale</v>
      </c>
      <c r="I263" s="254" t="str">
        <f>IFERROR(__xludf.DUMMYFUNCTION("""COMPUTED_VALUE"""),"CritChance")</f>
        <v>CritChance</v>
      </c>
      <c r="J263" s="254" t="str">
        <f>IFERROR(__xludf.DUMMYFUNCTION("""COMPUTED_VALUE"""),"Pon decreases opponent player's Critical Chance by X at the start of each Round for 3 Rounds if on an Explorer with Morale.")</f>
        <v>Pon decreases opponent player's Critical Chance by X at the start of each Round for 3 Rounds if on an Explorer with Morale.</v>
      </c>
      <c r="K263" s="255"/>
      <c r="L263" s="255"/>
      <c r="M263" s="255"/>
      <c r="N263" s="255"/>
      <c r="O263" s="255"/>
      <c r="P263" s="255"/>
      <c r="Q263" s="256"/>
      <c r="R263" s="257"/>
      <c r="S263" s="258"/>
      <c r="T263" s="255"/>
      <c r="U263" s="258"/>
      <c r="V263" s="259"/>
    </row>
    <row r="264">
      <c r="A264" s="68"/>
      <c r="B264" s="111"/>
      <c r="C264" s="68"/>
      <c r="D264" s="260" t="str">
        <f>IFERROR(__xludf.DUMMYFUNCTION("""COMPUTED_VALUE"""),"   U")</f>
        <v>U</v>
      </c>
      <c r="E264" s="261" t="str">
        <f>IFERROR(__xludf.DUMMYFUNCTION("""COMPUTED_VALUE"""),"QA'UG")</f>
        <v>QA'UG</v>
      </c>
      <c r="F264" s="240" t="str">
        <f>IFERROR(__xludf.DUMMYFUNCTION("""COMPUTED_VALUE"""),"CM")</f>
        <v>CM</v>
      </c>
      <c r="G264" s="239" t="str">
        <f>IFERROR(__xludf.DUMMYFUNCTION("""COMPUTED_VALUE"""),"✴️")</f>
        <v>✴️</v>
      </c>
      <c r="H264" s="243" t="str">
        <f>IFERROR(__xludf.DUMMYFUNCTION("""COMPUTED_VALUE"""),"SelfHasHullBreach")</f>
        <v>SelfHasHullBreach</v>
      </c>
      <c r="I264" s="243" t="str">
        <f>IFERROR(__xludf.DUMMYFUNCTION("""COMPUTED_VALUE"""),"AllDefenses")</f>
        <v>AllDefenses</v>
      </c>
      <c r="J264" s="243" t="str">
        <f>IFERROR(__xludf.DUMMYFUNCTION("""COMPUTED_VALUE"""),"When the ship gets a Hull Breach from the opponent, Qa'ug decreases all the stats of the officers on the opponent's ship by X.")</f>
        <v>When the ship gets a Hull Breach from the opponent, Qa'ug decreases all the stats of the officers on the opponent's ship by X.</v>
      </c>
      <c r="K264" s="255"/>
      <c r="L264" s="255"/>
      <c r="M264" s="255"/>
      <c r="N264" s="255"/>
      <c r="O264" s="255"/>
      <c r="P264" s="255"/>
      <c r="Q264" s="256"/>
      <c r="R264" s="257"/>
      <c r="S264" s="258"/>
      <c r="T264" s="255"/>
      <c r="U264" s="258"/>
      <c r="V264" s="259"/>
    </row>
    <row r="265">
      <c r="A265" s="68"/>
      <c r="B265" s="111"/>
      <c r="C265" s="68"/>
      <c r="D265" s="250" t="str">
        <f>IFERROR(__xludf.DUMMYFUNCTION("""COMPUTED_VALUE"""),"   U")</f>
        <v>U</v>
      </c>
      <c r="E265" s="251" t="str">
        <f>IFERROR(__xludf.DUMMYFUNCTION("""COMPUTED_VALUE"""),"QA'UG")</f>
        <v>QA'UG</v>
      </c>
      <c r="F265" s="252" t="str">
        <f>IFERROR(__xludf.DUMMYFUNCTION("""COMPUTED_VALUE"""),"OA")</f>
        <v>OA</v>
      </c>
      <c r="G265" s="253" t="str">
        <f>IFERROR(__xludf.DUMMYFUNCTION("""COMPUTED_VALUE"""),"✴️")</f>
        <v>✴️</v>
      </c>
      <c r="H265" s="254" t="str">
        <f>IFERROR(__xludf.DUMMYFUNCTION("""COMPUTED_VALUE"""),"SelfHasHullBreach")</f>
        <v>SelfHasHullBreach</v>
      </c>
      <c r="I265" s="254" t="str">
        <f>IFERROR(__xludf.DUMMYFUNCTION("""COMPUTED_VALUE"""),"Accuracy")</f>
        <v>Accuracy</v>
      </c>
      <c r="J265" s="254" t="str">
        <f>IFERROR(__xludf.DUMMYFUNCTION("""COMPUTED_VALUE"""),"When the ship gets a Hull Breach from the opponent, Qa'ug increases Accuracy by X.")</f>
        <v>When the ship gets a Hull Breach from the opponent, Qa'ug increases Accuracy by X.</v>
      </c>
      <c r="K265" s="255"/>
      <c r="L265" s="255"/>
      <c r="M265" s="255"/>
      <c r="N265" s="255"/>
      <c r="O265" s="255"/>
      <c r="P265" s="255"/>
      <c r="Q265" s="256"/>
      <c r="R265" s="257"/>
      <c r="S265" s="258"/>
      <c r="T265" s="255"/>
      <c r="U265" s="258"/>
      <c r="V265" s="259"/>
    </row>
    <row r="266">
      <c r="A266" s="68"/>
      <c r="B266" s="111"/>
      <c r="C266" s="68"/>
      <c r="D266" s="260" t="str">
        <f>IFERROR(__xludf.DUMMYFUNCTION("""COMPUTED_VALUE"""),"   R")</f>
        <v>R</v>
      </c>
      <c r="E266" s="261" t="str">
        <f>IFERROR(__xludf.DUMMYFUNCTION("""COMPUTED_VALUE"""),"RIMA")</f>
        <v>RIMA</v>
      </c>
      <c r="F266" s="240" t="str">
        <f>IFERROR(__xludf.DUMMYFUNCTION("""COMPUTED_VALUE"""),"CM")</f>
        <v>CM</v>
      </c>
      <c r="G266" s="239" t="str">
        <f>IFERROR(__xludf.DUMMYFUNCTION("""COMPUTED_VALUE"""),"✴️")</f>
        <v>✴️</v>
      </c>
      <c r="H266" s="243" t="str">
        <f>IFERROR(__xludf.DUMMYFUNCTION("""COMPUTED_VALUE"""),"SelfHasHullBreach")</f>
        <v>SelfHasHullBreach</v>
      </c>
      <c r="I266" s="243" t="str">
        <f>IFERROR(__xludf.DUMMYFUNCTION("""COMPUTED_VALUE"""),"AllDamage")</f>
        <v>AllDamage</v>
      </c>
      <c r="J266" s="243" t="str">
        <f>IFERROR(__xludf.DUMMYFUNCTION("""COMPUTED_VALUE"""),"At the start of each round, if the ship has a Hull Breach, Rima increases the Damage of the ship by X for this round.")</f>
        <v>At the start of each round, if the ship has a Hull Breach, Rima increases the Damage of the ship by X for this round.</v>
      </c>
      <c r="K266" s="255"/>
      <c r="L266" s="255"/>
      <c r="M266" s="255"/>
      <c r="N266" s="255"/>
      <c r="O266" s="255"/>
      <c r="P266" s="255"/>
      <c r="Q266" s="256"/>
      <c r="R266" s="257"/>
      <c r="S266" s="258"/>
      <c r="T266" s="255"/>
      <c r="U266" s="258"/>
      <c r="V266" s="259"/>
    </row>
    <row r="267">
      <c r="A267" s="68"/>
      <c r="B267" s="111"/>
      <c r="C267" s="68"/>
      <c r="D267" s="250" t="str">
        <f>IFERROR(__xludf.DUMMYFUNCTION("""COMPUTED_VALUE"""),"   R")</f>
        <v>R</v>
      </c>
      <c r="E267" s="251" t="str">
        <f>IFERROR(__xludf.DUMMYFUNCTION("""COMPUTED_VALUE"""),"RIMA")</f>
        <v>RIMA</v>
      </c>
      <c r="F267" s="252" t="str">
        <f>IFERROR(__xludf.DUMMYFUNCTION("""COMPUTED_VALUE"""),"OA")</f>
        <v>OA</v>
      </c>
      <c r="G267" s="253" t="str">
        <f>IFERROR(__xludf.DUMMYFUNCTION("""COMPUTED_VALUE"""),"✴️")</f>
        <v>✴️</v>
      </c>
      <c r="H267" s="254" t="str">
        <f>IFERROR(__xludf.DUMMYFUNCTION("""COMPUTED_VALUE"""),"SelfHasHullBreach")</f>
        <v>SelfHasHullBreach</v>
      </c>
      <c r="I267" s="254" t="str">
        <f>IFERROR(__xludf.DUMMYFUNCTION("""COMPUTED_VALUE"""),"CritChance")</f>
        <v>CritChance</v>
      </c>
      <c r="J267" s="254" t="str">
        <f>IFERROR(__xludf.DUMMYFUNCTION("""COMPUTED_VALUE"""),"At the start of each round, if the ship has a Hull Breach, Rima adds X to Critical Hit chances")</f>
        <v>At the start of each round, if the ship has a Hull Breach, Rima adds X to Critical Hit chances</v>
      </c>
      <c r="K267" s="255"/>
      <c r="L267" s="255"/>
      <c r="M267" s="255"/>
      <c r="N267" s="255"/>
      <c r="O267" s="255"/>
      <c r="P267" s="255"/>
      <c r="Q267" s="256"/>
      <c r="R267" s="257"/>
      <c r="S267" s="258"/>
      <c r="T267" s="255"/>
      <c r="U267" s="258"/>
      <c r="V267" s="259"/>
    </row>
    <row r="268">
      <c r="A268" s="68"/>
      <c r="B268" s="126"/>
      <c r="C268" s="68"/>
      <c r="D268" s="260" t="str">
        <f>IFERROR(__xludf.DUMMYFUNCTION("""COMPUTED_VALUE"""),"   R")</f>
        <v>R</v>
      </c>
      <c r="E268" s="261" t="str">
        <f>IFERROR(__xludf.DUMMYFUNCTION("""COMPUTED_VALUE"""),"ROMI")</f>
        <v>ROMI</v>
      </c>
      <c r="F268" s="240" t="str">
        <f>IFERROR(__xludf.DUMMYFUNCTION("""COMPUTED_VALUE"""),"OA")</f>
        <v>OA</v>
      </c>
      <c r="G268" s="239" t="str">
        <f>IFERROR(__xludf.DUMMYFUNCTION("""COMPUTED_VALUE"""),"✴️")</f>
        <v>✴️</v>
      </c>
      <c r="H268" s="243" t="str">
        <f>IFERROR(__xludf.DUMMYFUNCTION("""COMPUTED_VALUE"""),"TargetHasBurning")</f>
        <v>TargetHasBurning</v>
      </c>
      <c r="I268" s="243" t="str">
        <f>IFERROR(__xludf.DUMMYFUNCTION("""COMPUTED_VALUE"""),"IsolyticDefense")</f>
        <v>IsolyticDefense</v>
      </c>
      <c r="J268" s="243" t="str">
        <f>IFERROR(__xludf.DUMMYFUNCTION("""COMPUTED_VALUE"""),"On round start against players afflicted by Burning, Romi increases your Isolytic Defense by X (X at rank X) for 3 rounds.")</f>
        <v>On round start against players afflicted by Burning, Romi increases your Isolytic Defense by X (X at rank X) for 3 rounds.</v>
      </c>
      <c r="K268" s="255"/>
      <c r="L268" s="255"/>
      <c r="M268" s="255"/>
      <c r="N268" s="255"/>
      <c r="O268" s="255"/>
      <c r="P268" s="255"/>
      <c r="Q268" s="256"/>
      <c r="R268" s="257"/>
      <c r="S268" s="258"/>
      <c r="T268" s="255"/>
      <c r="U268" s="258"/>
      <c r="V268" s="259"/>
    </row>
    <row r="269">
      <c r="A269" s="68"/>
      <c r="B269" s="128"/>
      <c r="C269" s="68"/>
      <c r="D269" s="250" t="str">
        <f>IFERROR(__xludf.DUMMYFUNCTION("""COMPUTED_VALUE"""),"   R")</f>
        <v>R</v>
      </c>
      <c r="E269" s="251" t="str">
        <f>IFERROR(__xludf.DUMMYFUNCTION("""COMPUTED_VALUE"""),"ROMI")</f>
        <v>ROMI</v>
      </c>
      <c r="F269" s="252" t="str">
        <f>IFERROR(__xludf.DUMMYFUNCTION("""COMPUTED_VALUE"""),"BDA")</f>
        <v>BDA</v>
      </c>
      <c r="G269" s="253" t="str">
        <f>IFERROR(__xludf.DUMMYFUNCTION("""COMPUTED_VALUE"""),"✴️")</f>
        <v>✴️</v>
      </c>
      <c r="H269" s="254" t="str">
        <f>IFERROR(__xludf.DUMMYFUNCTION("""COMPUTED_VALUE"""),"TargetHasHullBreach, SelfOfficerTalNotOnBridge")</f>
        <v>TargetHasHullBreach, SelfOfficerTalNotOnBridge</v>
      </c>
      <c r="I269" s="254" t="str">
        <f>IFERROR(__xludf.DUMMYFUNCTION("""COMPUTED_VALUE"""),"ApexBarrier")</f>
        <v>ApexBarrier</v>
      </c>
      <c r="J269" s="254" t="str">
        <f>IFERROR(__xludf.DUMMYFUNCTION("""COMPUTED_VALUE"""),"On round start against players afflicted by Hull Breach, Romi increases your Apex Barrier by X (X at rank X) for 1 round. -- This ability does not trigger when Tal is assigned to the bridge of your ship.")</f>
        <v>On round start against players afflicted by Hull Breach, Romi increases your Apex Barrier by X (X at rank X) for 1 round. -- This ability does not trigger when Tal is assigned to the bridge of your ship.</v>
      </c>
      <c r="K269" s="255"/>
      <c r="L269" s="255"/>
      <c r="M269" s="255"/>
      <c r="N269" s="255"/>
      <c r="O269" s="255"/>
      <c r="P269" s="255"/>
      <c r="Q269" s="256"/>
      <c r="R269" s="257"/>
      <c r="S269" s="258"/>
      <c r="T269" s="255"/>
      <c r="U269" s="258"/>
      <c r="V269" s="259"/>
    </row>
    <row r="270">
      <c r="A270" s="68"/>
      <c r="B270" s="132"/>
      <c r="C270" s="68"/>
      <c r="D270" s="260" t="str">
        <f>IFERROR(__xludf.DUMMYFUNCTION("""COMPUTED_VALUE"""),"   C")</f>
        <v>C</v>
      </c>
      <c r="E270" s="261" t="str">
        <f>IFERROR(__xludf.DUMMYFUNCTION("""COMPUTED_VALUE"""),"RUKOR")</f>
        <v>RUKOR</v>
      </c>
      <c r="F270" s="240" t="str">
        <f>IFERROR(__xludf.DUMMYFUNCTION("""COMPUTED_VALUE"""),"CM")</f>
        <v>CM</v>
      </c>
      <c r="G270" s="239" t="str">
        <f>IFERROR(__xludf.DUMMYFUNCTION("""COMPUTED_VALUE"""),"✴️")</f>
        <v>✴️</v>
      </c>
      <c r="H270" s="243" t="str">
        <f>IFERROR(__xludf.DUMMYFUNCTION("""COMPUTED_VALUE"""),"SelfExplorer")</f>
        <v>SelfExplorer</v>
      </c>
      <c r="I270" s="243" t="str">
        <f>IFERROR(__xludf.DUMMYFUNCTION("""COMPUTED_VALUE"""),"AllDamage")</f>
        <v>AllDamage</v>
      </c>
      <c r="J270" s="243" t="str">
        <f>IFERROR(__xludf.DUMMYFUNCTION("""COMPUTED_VALUE"""),"When inside an Explorer, Rukor increases the Weapon Damage against players by X.")</f>
        <v>When inside an Explorer, Rukor increases the Weapon Damage against players by X.</v>
      </c>
      <c r="K270" s="255"/>
      <c r="L270" s="255"/>
      <c r="M270" s="255"/>
      <c r="N270" s="255"/>
      <c r="O270" s="255"/>
      <c r="P270" s="255"/>
      <c r="Q270" s="256"/>
      <c r="R270" s="257"/>
      <c r="S270" s="258"/>
      <c r="T270" s="255"/>
      <c r="U270" s="258"/>
      <c r="V270" s="259"/>
    </row>
    <row r="271">
      <c r="A271" s="68"/>
      <c r="B271" s="128"/>
      <c r="C271" s="68"/>
      <c r="D271" s="250" t="str">
        <f>IFERROR(__xludf.DUMMYFUNCTION("""COMPUTED_VALUE"""),"   C")</f>
        <v>C</v>
      </c>
      <c r="E271" s="251" t="str">
        <f>IFERROR(__xludf.DUMMYFUNCTION("""COMPUTED_VALUE"""),"RUKOR")</f>
        <v>RUKOR</v>
      </c>
      <c r="F271" s="252" t="str">
        <f>IFERROR(__xludf.DUMMYFUNCTION("""COMPUTED_VALUE"""),"OA")</f>
        <v>OA</v>
      </c>
      <c r="G271" s="253" t="str">
        <f>IFERROR(__xludf.DUMMYFUNCTION("""COMPUTED_VALUE"""),"✴️")</f>
        <v>✴️</v>
      </c>
      <c r="H271" s="254" t="str">
        <f>IFERROR(__xludf.DUMMYFUNCTION("""COMPUTED_VALUE"""),"ModuleEnergy")</f>
        <v>ModuleEnergy</v>
      </c>
      <c r="I271" s="254" t="str">
        <f>IFERROR(__xludf.DUMMYFUNCTION("""COMPUTED_VALUE"""),"AllDamage")</f>
        <v>AllDamage</v>
      </c>
      <c r="J271" s="254" t="str">
        <f>IFERROR(__xludf.DUMMYFUNCTION("""COMPUTED_VALUE"""),"If the opponent is a player, Rukor increases the damage made by the Energy Weapons of the ship by X.")</f>
        <v>If the opponent is a player, Rukor increases the damage made by the Energy Weapons of the ship by X.</v>
      </c>
      <c r="K271" s="255"/>
      <c r="L271" s="255"/>
      <c r="M271" s="255"/>
      <c r="N271" s="255"/>
      <c r="O271" s="255"/>
      <c r="P271" s="255"/>
      <c r="Q271" s="256"/>
      <c r="R271" s="257"/>
      <c r="S271" s="258"/>
      <c r="T271" s="255"/>
      <c r="U271" s="258"/>
      <c r="V271" s="259"/>
    </row>
    <row r="272">
      <c r="A272" s="68"/>
      <c r="B272" s="128"/>
      <c r="C272" s="68"/>
      <c r="D272" s="260" t="str">
        <f>IFERROR(__xludf.DUMMYFUNCTION("""COMPUTED_VALUE"""),"   U")</f>
        <v>U</v>
      </c>
      <c r="E272" s="261" t="str">
        <f>IFERROR(__xludf.DUMMYFUNCTION("""COMPUTED_VALUE"""),"SEVERUS")</f>
        <v>SEVERUS</v>
      </c>
      <c r="F272" s="240" t="str">
        <f>IFERROR(__xludf.DUMMYFUNCTION("""COMPUTED_VALUE"""),"CM")</f>
        <v>CM</v>
      </c>
      <c r="G272" s="239" t="str">
        <f>IFERROR(__xludf.DUMMYFUNCTION("""COMPUTED_VALUE"""),"✴️")</f>
        <v>✴️</v>
      </c>
      <c r="H272" s="243" t="str">
        <f>IFERROR(__xludf.DUMMYFUNCTION("""COMPUTED_VALUE"""),"SelfHasBurning")</f>
        <v>SelfHasBurning</v>
      </c>
      <c r="I272" s="243" t="str">
        <f>IFERROR(__xludf.DUMMYFUNCTION("""COMPUTED_VALUE"""),"HullHPRepair")</f>
        <v>HullHPRepair</v>
      </c>
      <c r="J272" s="243" t="str">
        <f>IFERROR(__xludf.DUMMYFUNCTION("""COMPUTED_VALUE"""),"When the ship is Burning from the opponent, Severus decreases the opponent's Hull Health by X each round.")</f>
        <v>When the ship is Burning from the opponent, Severus decreases the opponent's Hull Health by X each round.</v>
      </c>
      <c r="K272" s="255"/>
      <c r="L272" s="255"/>
      <c r="M272" s="255"/>
      <c r="N272" s="255"/>
      <c r="O272" s="255"/>
      <c r="P272" s="255"/>
      <c r="Q272" s="256"/>
      <c r="R272" s="257"/>
      <c r="S272" s="258"/>
      <c r="T272" s="255"/>
      <c r="U272" s="258"/>
      <c r="V272" s="259"/>
    </row>
    <row r="273">
      <c r="A273" s="68"/>
      <c r="B273" s="128"/>
      <c r="C273" s="68"/>
      <c r="D273" s="250" t="str">
        <f>IFERROR(__xludf.DUMMYFUNCTION("""COMPUTED_VALUE"""),"   U")</f>
        <v>U</v>
      </c>
      <c r="E273" s="251" t="str">
        <f>IFERROR(__xludf.DUMMYFUNCTION("""COMPUTED_VALUE"""),"SEVERUS")</f>
        <v>SEVERUS</v>
      </c>
      <c r="F273" s="252" t="str">
        <f>IFERROR(__xludf.DUMMYFUNCTION("""COMPUTED_VALUE"""),"OA")</f>
        <v>OA</v>
      </c>
      <c r="G273" s="253" t="str">
        <f>IFERROR(__xludf.DUMMYFUNCTION("""COMPUTED_VALUE"""),"✴️")</f>
        <v>✴️</v>
      </c>
      <c r="H273" s="254" t="str">
        <f>IFERROR(__xludf.DUMMYFUNCTION("""COMPUTED_VALUE"""),"SelfHasBurning")</f>
        <v>SelfHasBurning</v>
      </c>
      <c r="I273" s="254" t="str">
        <f>IFERROR(__xludf.DUMMYFUNCTION("""COMPUTED_VALUE"""),"AllDamage")</f>
        <v>AllDamage</v>
      </c>
      <c r="J273" s="254" t="str">
        <f>IFERROR(__xludf.DUMMYFUNCTION("""COMPUTED_VALUE"""),"When the ship is Burning from the opponent, Severus increases the Damage of the ship by X.")</f>
        <v>When the ship is Burning from the opponent, Severus increases the Damage of the ship by X.</v>
      </c>
      <c r="K273" s="255"/>
      <c r="L273" s="255"/>
      <c r="M273" s="255"/>
      <c r="N273" s="255"/>
      <c r="O273" s="255"/>
      <c r="P273" s="255"/>
      <c r="Q273" s="256"/>
      <c r="R273" s="257"/>
      <c r="S273" s="258"/>
      <c r="T273" s="255"/>
      <c r="U273" s="258"/>
      <c r="V273" s="259"/>
    </row>
    <row r="274">
      <c r="A274" s="68"/>
      <c r="B274" s="128"/>
      <c r="C274" s="68"/>
      <c r="D274" s="260" t="str">
        <f>IFERROR(__xludf.DUMMYFUNCTION("""COMPUTED_VALUE"""),"   E")</f>
        <v>E</v>
      </c>
      <c r="E274" s="261" t="str">
        <f>IFERROR(__xludf.DUMMYFUNCTION("""COMPUTED_VALUE"""),"SHAXS")</f>
        <v>SHAXS</v>
      </c>
      <c r="F274" s="240" t="str">
        <f>IFERROR(__xludf.DUMMYFUNCTION("""COMPUTED_VALUE"""),"OA")</f>
        <v>OA</v>
      </c>
      <c r="G274" s="239" t="str">
        <f>IFERROR(__xludf.DUMMYFUNCTION("""COMPUTED_VALUE"""),"✴️")</f>
        <v>✴️</v>
      </c>
      <c r="H274" s="243" t="str">
        <f>IFERROR(__xludf.DUMMYFUNCTION("""COMPUTED_VALUE"""),"SelfBattleship, TargetHasBurning")</f>
        <v>SelfBattleship, TargetHasBurning</v>
      </c>
      <c r="I274" s="243" t="str">
        <f>IFERROR(__xludf.DUMMYFUNCTION("""COMPUTED_VALUE"""),"IsolyticDamage")</f>
        <v>IsolyticDamage</v>
      </c>
      <c r="J274" s="243" t="str">
        <f>IFERROR(__xludf.DUMMYFUNCTION("""COMPUTED_VALUE"""),"On round start, if on a Battleship and enemy player has Burning, Shaxs increases your Isolytic Cascade damage by X for 1 round. -- Isolytic Cascade multiplies your total damage, including Isolytic Damage, and all research and other bonuses.")</f>
        <v>On round start, if on a Battleship and enemy player has Burning, Shaxs increases your Isolytic Cascade damage by X for 1 round. -- Isolytic Cascade multiplies your total damage, including Isolytic Damage, and all research and other bonuses.</v>
      </c>
      <c r="K274" s="255"/>
      <c r="L274" s="255"/>
      <c r="M274" s="255"/>
      <c r="N274" s="255"/>
      <c r="O274" s="255"/>
      <c r="P274" s="255"/>
      <c r="Q274" s="256"/>
      <c r="R274" s="257"/>
      <c r="S274" s="258"/>
      <c r="T274" s="255"/>
      <c r="U274" s="258"/>
      <c r="V274" s="259"/>
    </row>
    <row r="275">
      <c r="A275" s="68"/>
      <c r="B275" s="128"/>
      <c r="C275" s="68"/>
      <c r="D275" s="250" t="str">
        <f>IFERROR(__xludf.DUMMYFUNCTION("""COMPUTED_VALUE"""),"   E")</f>
        <v>E</v>
      </c>
      <c r="E275" s="251" t="str">
        <f>IFERROR(__xludf.DUMMYFUNCTION("""COMPUTED_VALUE"""),"SHAXS")</f>
        <v>SHAXS</v>
      </c>
      <c r="F275" s="252" t="str">
        <f>IFERROR(__xludf.DUMMYFUNCTION("""COMPUTED_VALUE"""),"BDA")</f>
        <v>BDA</v>
      </c>
      <c r="G275" s="253" t="str">
        <f>IFERROR(__xludf.DUMMYFUNCTION("""COMPUTED_VALUE"""),"✴️")</f>
        <v>✴️</v>
      </c>
      <c r="H275" s="254" t="str">
        <f>IFERROR(__xludf.DUMMYFUNCTION("""COMPUTED_VALUE"""),"SelfExplorer, SelfHasMorale")</f>
        <v>SelfExplorer, SelfHasMorale</v>
      </c>
      <c r="I275" s="254" t="str">
        <f>IFERROR(__xludf.DUMMYFUNCTION("""COMPUTED_VALUE"""),"IsolyticDefense")</f>
        <v>IsolyticDefense</v>
      </c>
      <c r="J275" s="254" t="str">
        <f>IFERROR(__xludf.DUMMYFUNCTION("""COMPUTED_VALUE"""),"On round start, if on an Explorer with Morale, Shaxs increases your Isolytic Defense by X for 1 round against players.")</f>
        <v>On round start, if on an Explorer with Morale, Shaxs increases your Isolytic Defense by X for 1 round against players.</v>
      </c>
      <c r="K275" s="255"/>
      <c r="L275" s="255"/>
      <c r="M275" s="255"/>
      <c r="N275" s="255"/>
      <c r="O275" s="255"/>
      <c r="P275" s="255"/>
      <c r="Q275" s="256"/>
      <c r="R275" s="257"/>
      <c r="S275" s="258"/>
      <c r="T275" s="255"/>
      <c r="U275" s="258"/>
      <c r="V275" s="259"/>
    </row>
    <row r="276">
      <c r="A276" s="68"/>
      <c r="B276" s="128"/>
      <c r="C276" s="68"/>
      <c r="D276" s="260" t="str">
        <f>IFERROR(__xludf.DUMMYFUNCTION("""COMPUTED_VALUE"""),"   E")</f>
        <v>E</v>
      </c>
      <c r="E276" s="261" t="str">
        <f>IFERROR(__xludf.DUMMYFUNCTION("""COMPUTED_VALUE"""),"SORAN")</f>
        <v>SORAN</v>
      </c>
      <c r="F276" s="240" t="str">
        <f>IFERROR(__xludf.DUMMYFUNCTION("""COMPUTED_VALUE"""),"CM")</f>
        <v>CM</v>
      </c>
      <c r="G276" s="239" t="str">
        <f>IFERROR(__xludf.DUMMYFUNCTION("""COMPUTED_VALUE"""),"✴️")</f>
        <v>✴️</v>
      </c>
      <c r="H276" s="243" t="str">
        <f>IFERROR(__xludf.DUMMYFUNCTION("""COMPUTED_VALUE"""),"SelfOfficerTalNotOnBridge")</f>
        <v>SelfOfficerTalNotOnBridge</v>
      </c>
      <c r="I276" s="243" t="str">
        <f>IFERROR(__xludf.DUMMYFUNCTION("""COMPUTED_VALUE"""),"AddState")</f>
        <v>AddState</v>
      </c>
      <c r="J276" s="243" t="str">
        <f>IFERROR(__xludf.DUMMYFUNCTION("""COMPUTED_VALUE"""),"On round start against players, Soran has X chance to apply Burning to your target for 1 round. -- This ability does not trigger when Tal is assigned to the bridge of your ship.")</f>
        <v>On round start against players, Soran has X chance to apply Burning to your target for 1 round. -- This ability does not trigger when Tal is assigned to the bridge of your ship.</v>
      </c>
      <c r="K276" s="255"/>
      <c r="L276" s="255"/>
      <c r="M276" s="255"/>
      <c r="N276" s="255"/>
      <c r="O276" s="255"/>
      <c r="P276" s="255"/>
      <c r="Q276" s="256"/>
      <c r="R276" s="257"/>
      <c r="S276" s="258"/>
      <c r="T276" s="255"/>
      <c r="U276" s="258"/>
      <c r="V276" s="259"/>
    </row>
    <row r="277">
      <c r="A277" s="68"/>
      <c r="B277" s="132"/>
      <c r="C277" s="68"/>
      <c r="D277" s="250" t="str">
        <f>IFERROR(__xludf.DUMMYFUNCTION("""COMPUTED_VALUE"""),"   E")</f>
        <v>E</v>
      </c>
      <c r="E277" s="251" t="str">
        <f>IFERROR(__xludf.DUMMYFUNCTION("""COMPUTED_VALUE"""),"SORAN")</f>
        <v>SORAN</v>
      </c>
      <c r="F277" s="252" t="str">
        <f>IFERROR(__xludf.DUMMYFUNCTION("""COMPUTED_VALUE"""),"OA")</f>
        <v>OA</v>
      </c>
      <c r="G277" s="253" t="str">
        <f>IFERROR(__xludf.DUMMYFUNCTION("""COMPUTED_VALUE"""),"✴️")</f>
        <v>✴️</v>
      </c>
      <c r="H277" s="254" t="str">
        <f>IFERROR(__xludf.DUMMYFUNCTION("""COMPUTED_VALUE"""),"EnemyExplorer, TargetHasBurning, SelfOfficerTalNotOnBridge")</f>
        <v>EnemyExplorer, TargetHasBurning, SelfOfficerTalNotOnBridge</v>
      </c>
      <c r="I277" s="254" t="str">
        <f>IFERROR(__xludf.DUMMYFUNCTION("""COMPUTED_VALUE"""),"ApexBarrier")</f>
        <v>ApexBarrier</v>
      </c>
      <c r="J277" s="254" t="str">
        <f>IFERROR(__xludf.DUMMYFUNCTION("""COMPUTED_VALUE"""),"On round start against players commanding an Explorer afflicted by Burning, Soran increases your Apex Barrier by X (X at rank X) for 5 rounds. -- This ability does not trigger when Tal is assigned to the bridge of your ship.")</f>
        <v>On round start against players commanding an Explorer afflicted by Burning, Soran increases your Apex Barrier by X (X at rank X) for 5 rounds. -- This ability does not trigger when Tal is assigned to the bridge of your ship.</v>
      </c>
      <c r="K277" s="255"/>
      <c r="L277" s="255"/>
      <c r="M277" s="255"/>
      <c r="N277" s="255"/>
      <c r="O277" s="255"/>
      <c r="P277" s="255"/>
      <c r="Q277" s="256"/>
      <c r="R277" s="257"/>
      <c r="S277" s="258"/>
      <c r="T277" s="255"/>
      <c r="U277" s="258"/>
      <c r="V277" s="259"/>
    </row>
    <row r="278">
      <c r="A278" s="68"/>
      <c r="B278" s="147"/>
      <c r="C278" s="68"/>
      <c r="D278" s="260" t="str">
        <f>IFERROR(__xludf.DUMMYFUNCTION("""COMPUTED_VALUE"""),"   E")</f>
        <v>E</v>
      </c>
      <c r="E278" s="261" t="str">
        <f>IFERROR(__xludf.DUMMYFUNCTION("""COMPUTED_VALUE"""),"SPECIALIST SEVEN")</f>
        <v>SPECIALIST SEVEN</v>
      </c>
      <c r="F278" s="240" t="str">
        <f>IFERROR(__xludf.DUMMYFUNCTION("""COMPUTED_VALUE"""),"CM")</f>
        <v>CM</v>
      </c>
      <c r="G278" s="239" t="str">
        <f>IFERROR(__xludf.DUMMYFUNCTION("""COMPUTED_VALUE"""),"✴️")</f>
        <v>✴️</v>
      </c>
      <c r="H278" s="243" t="str">
        <f>IFERROR(__xludf.DUMMYFUNCTION("""COMPUTED_VALUE"""),"TargetHasHullBreach, EnemyBattleship")</f>
        <v>TargetHasHullBreach, EnemyBattleship</v>
      </c>
      <c r="I278" s="243" t="str">
        <f>IFERROR(__xludf.DUMMYFUNCTION("""COMPUTED_VALUE"""),"ShotsPerAttack")</f>
        <v>ShotsPerAttack</v>
      </c>
      <c r="J278" s="243" t="str">
        <f>IFERROR(__xludf.DUMMYFUNCTION("""COMPUTED_VALUE"""),"On round start against player Battleships with Hull Breach, Specialist Seven increases your shots by X each round for 4 rounds (Cumulative)")</f>
        <v>On round start against player Battleships with Hull Breach, Specialist Seven increases your shots by X each round for 4 rounds (Cumulative)</v>
      </c>
      <c r="K278" s="255"/>
      <c r="L278" s="255"/>
      <c r="M278" s="255"/>
      <c r="N278" s="255"/>
      <c r="O278" s="255"/>
      <c r="P278" s="255"/>
      <c r="Q278" s="256"/>
      <c r="R278" s="257"/>
      <c r="S278" s="258"/>
      <c r="T278" s="255"/>
      <c r="U278" s="258"/>
      <c r="V278" s="259"/>
    </row>
    <row r="279">
      <c r="A279" s="68"/>
      <c r="B279" s="147"/>
      <c r="C279" s="68"/>
      <c r="D279" s="250" t="str">
        <f>IFERROR(__xludf.DUMMYFUNCTION("""COMPUTED_VALUE"""),"   R")</f>
        <v>R</v>
      </c>
      <c r="E279" s="251" t="str">
        <f>IFERROR(__xludf.DUMMYFUNCTION("""COMPUTED_VALUE"""),"SPOCK")</f>
        <v>SPOCK</v>
      </c>
      <c r="F279" s="252" t="str">
        <f>IFERROR(__xludf.DUMMYFUNCTION("""COMPUTED_VALUE"""),"OA")</f>
        <v>OA</v>
      </c>
      <c r="G279" s="253" t="str">
        <f>IFERROR(__xludf.DUMMYFUNCTION("""COMPUTED_VALUE"""),"✴️")</f>
        <v>✴️</v>
      </c>
      <c r="H279" s="254" t="str">
        <f>IFERROR(__xludf.DUMMYFUNCTION("""COMPUTED_VALUE"""),"SelfHasMorale")</f>
        <v>SelfHasMorale</v>
      </c>
      <c r="I279" s="254" t="str">
        <f>IFERROR(__xludf.DUMMYFUNCTION("""COMPUTED_VALUE"""),"ShieldHPRepair")</f>
        <v>ShieldHPRepair</v>
      </c>
      <c r="J279" s="254" t="str">
        <f>IFERROR(__xludf.DUMMYFUNCTION("""COMPUTED_VALUE"""),"While the ship has Morale, Spock restores Shield Health to an amount equal to X of the Defense of the Officers on the ship.")</f>
        <v>While the ship has Morale, Spock restores Shield Health to an amount equal to X of the Defense of the Officers on the ship.</v>
      </c>
      <c r="K279" s="255"/>
      <c r="L279" s="255"/>
      <c r="M279" s="255"/>
      <c r="N279" s="255"/>
      <c r="O279" s="255"/>
      <c r="P279" s="255"/>
      <c r="Q279" s="256"/>
      <c r="R279" s="257"/>
      <c r="S279" s="258"/>
      <c r="T279" s="255"/>
      <c r="U279" s="258"/>
      <c r="V279" s="259"/>
    </row>
    <row r="280">
      <c r="A280" s="68"/>
      <c r="B280" s="147"/>
      <c r="C280" s="68"/>
      <c r="D280" s="260" t="str">
        <f>IFERROR(__xludf.DUMMYFUNCTION("""COMPUTED_VALUE"""),"   E")</f>
        <v>E</v>
      </c>
      <c r="E280" s="261" t="str">
        <f>IFERROR(__xludf.DUMMYFUNCTION("""COMPUTED_VALUE"""),"STARFLEET Q")</f>
        <v>STARFLEET Q</v>
      </c>
      <c r="F280" s="240" t="str">
        <f>IFERROR(__xludf.DUMMYFUNCTION("""COMPUTED_VALUE"""),"OA")</f>
        <v>OA</v>
      </c>
      <c r="G280" s="239" t="str">
        <f>IFERROR(__xludf.DUMMYFUNCTION("""COMPUTED_VALUE"""),"✴️")</f>
        <v>✴️</v>
      </c>
      <c r="H280" s="243" t="str">
        <f>IFERROR(__xludf.DUMMYFUNCTION("""COMPUTED_VALUE"""),"SelfHasMorale, EnemyInterceptor, SelfOfficerTalNotOnBridge")</f>
        <v>SelfHasMorale, EnemyInterceptor, SelfOfficerTalNotOnBridge</v>
      </c>
      <c r="I280" s="243" t="str">
        <f>IFERROR(__xludf.DUMMYFUNCTION("""COMPUTED_VALUE"""),"ApexBarrier")</f>
        <v>ApexBarrier</v>
      </c>
      <c r="J280" s="243" t="str">
        <f>IFERROR(__xludf.DUMMYFUNCTION("""COMPUTED_VALUE"""),"On round start, if placed on a ship with Morale against players commanding an Interceptor, Starfleet Q increases your Apex Barrier by X (X at rank X) for 5 rounds. -- This ability does not trigger when Tal is assigned to the bridge of your ship.")</f>
        <v>On round start, if placed on a ship with Morale against players commanding an Interceptor, Starfleet Q increases your Apex Barrier by X (X at rank X) for 5 rounds. -- This ability does not trigger when Tal is assigned to the bridge of your ship.</v>
      </c>
      <c r="K280" s="255"/>
      <c r="L280" s="255"/>
      <c r="M280" s="255"/>
      <c r="N280" s="255"/>
      <c r="O280" s="255"/>
      <c r="P280" s="255"/>
      <c r="Q280" s="256"/>
      <c r="R280" s="257"/>
      <c r="S280" s="258"/>
      <c r="T280" s="255"/>
      <c r="U280" s="258"/>
      <c r="V280" s="259"/>
    </row>
    <row r="281">
      <c r="A281" s="68"/>
      <c r="B281" s="147"/>
      <c r="C281" s="68"/>
      <c r="D281" s="250" t="str">
        <f>IFERROR(__xludf.DUMMYFUNCTION("""COMPUTED_VALUE"""),"   E")</f>
        <v>E</v>
      </c>
      <c r="E281" s="251" t="str">
        <f>IFERROR(__xludf.DUMMYFUNCTION("""COMPUTED_VALUE"""),"STRIKE TEAM LA'AN")</f>
        <v>STRIKE TEAM LA'AN</v>
      </c>
      <c r="F281" s="252" t="str">
        <f>IFERROR(__xludf.DUMMYFUNCTION("""COMPUTED_VALUE"""),"CM")</f>
        <v>CM</v>
      </c>
      <c r="G281" s="253" t="str">
        <f>IFERROR(__xludf.DUMMYFUNCTION("""COMPUTED_VALUE"""),"✴️")</f>
        <v>✴️</v>
      </c>
      <c r="H281" s="254" t="str">
        <f>IFERROR(__xludf.DUMMYFUNCTION("""COMPUTED_VALUE"""),"SelfBattleship, TargetHasBurning")</f>
        <v>SelfBattleship, TargetHasBurning</v>
      </c>
      <c r="I281" s="254" t="str">
        <f>IFERROR(__xludf.DUMMYFUNCTION("""COMPUTED_VALUE"""),"ShotsPerAttack")</f>
        <v>ShotsPerAttack</v>
      </c>
      <c r="J281" s="254" t="str">
        <f>IFERROR(__xludf.DUMMYFUNCTION("""COMPUTED_VALUE"""),"While on a Battleship fighting a Burning player ship, at the start of each round Strike Team SNW La'an increases the number of shots per Weapon by X.")</f>
        <v>While on a Battleship fighting a Burning player ship, at the start of each round Strike Team SNW La'an increases the number of shots per Weapon by X.</v>
      </c>
      <c r="K281" s="255"/>
      <c r="L281" s="255"/>
      <c r="M281" s="255"/>
      <c r="N281" s="255"/>
      <c r="O281" s="255"/>
      <c r="P281" s="255"/>
      <c r="Q281" s="256"/>
      <c r="R281" s="257"/>
      <c r="S281" s="258"/>
      <c r="T281" s="255"/>
      <c r="U281" s="258"/>
      <c r="V281" s="259"/>
    </row>
    <row r="282">
      <c r="A282" s="68"/>
      <c r="B282" s="147"/>
      <c r="C282" s="68"/>
      <c r="D282" s="260" t="str">
        <f>IFERROR(__xludf.DUMMYFUNCTION("""COMPUTED_VALUE"""),"   E")</f>
        <v>E</v>
      </c>
      <c r="E282" s="261" t="str">
        <f>IFERROR(__xludf.DUMMYFUNCTION("""COMPUTED_VALUE"""),"STRIKE TEAM LA'AN")</f>
        <v>STRIKE TEAM LA'AN</v>
      </c>
      <c r="F282" s="240" t="str">
        <f>IFERROR(__xludf.DUMMYFUNCTION("""COMPUTED_VALUE"""),"OA")</f>
        <v>OA</v>
      </c>
      <c r="G282" s="239" t="str">
        <f>IFERROR(__xludf.DUMMYFUNCTION("""COMPUTED_VALUE"""),"✴️")</f>
        <v>✴️</v>
      </c>
      <c r="H282" s="243" t="str">
        <f>IFERROR(__xludf.DUMMYFUNCTION("""COMPUTED_VALUE"""),"SelfBattleship")</f>
        <v>SelfBattleship</v>
      </c>
      <c r="I282" s="243" t="str">
        <f>IFERROR(__xludf.DUMMYFUNCTION("""COMPUTED_VALUE"""),"AddState")</f>
        <v>AddState</v>
      </c>
      <c r="J282" s="243" t="str">
        <f>IFERROR(__xludf.DUMMYFUNCTION("""COMPUTED_VALUE"""),"While on a Battleship fighting a player ship, each time your ship hits with a weapon, Strike Team SNW La'an has a X chance of Burning it for 3 rounds.")</f>
        <v>While on a Battleship fighting a player ship, each time your ship hits with a weapon, Strike Team SNW La'an has a X chance of Burning it for 3 rounds.</v>
      </c>
      <c r="K282" s="255"/>
      <c r="L282" s="255"/>
      <c r="M282" s="255"/>
      <c r="N282" s="255"/>
      <c r="O282" s="255"/>
      <c r="P282" s="255"/>
      <c r="Q282" s="256"/>
      <c r="R282" s="257"/>
      <c r="S282" s="258"/>
      <c r="T282" s="255"/>
      <c r="U282" s="258"/>
      <c r="V282" s="259"/>
    </row>
    <row r="283">
      <c r="A283" s="68"/>
      <c r="B283" s="147"/>
      <c r="C283" s="68"/>
      <c r="D283" s="250" t="str">
        <f>IFERROR(__xludf.DUMMYFUNCTION("""COMPUTED_VALUE"""),"   R")</f>
        <v>R</v>
      </c>
      <c r="E283" s="251" t="str">
        <f>IFERROR(__xludf.DUMMYFUNCTION("""COMPUTED_VALUE"""),"STRIKE TEAM ORTEGAS")</f>
        <v>STRIKE TEAM ORTEGAS</v>
      </c>
      <c r="F283" s="252" t="str">
        <f>IFERROR(__xludf.DUMMYFUNCTION("""COMPUTED_VALUE"""),"CM")</f>
        <v>CM</v>
      </c>
      <c r="G283" s="253" t="str">
        <f>IFERROR(__xludf.DUMMYFUNCTION("""COMPUTED_VALUE"""),"✴️")</f>
        <v>✴️</v>
      </c>
      <c r="H283" s="254" t="str">
        <f>IFERROR(__xludf.DUMMYFUNCTION("""COMPUTED_VALUE"""),"EnemyExplorer")</f>
        <v>EnemyExplorer</v>
      </c>
      <c r="I283" s="254" t="str">
        <f>IFERROR(__xludf.DUMMYFUNCTION("""COMPUTED_VALUE"""),"AddState")</f>
        <v>AddState</v>
      </c>
      <c r="J283" s="254" t="str">
        <f>IFERROR(__xludf.DUMMYFUNCTION("""COMPUTED_VALUE"""),"When shot by a player Explorer, Strike Team SNW Ortegas has X chance of Burning them for 3 rounds.")</f>
        <v>When shot by a player Explorer, Strike Team SNW Ortegas has X chance of Burning them for 3 rounds.</v>
      </c>
      <c r="K283" s="255"/>
      <c r="L283" s="255"/>
      <c r="M283" s="255"/>
      <c r="N283" s="255"/>
      <c r="O283" s="255"/>
      <c r="P283" s="255"/>
      <c r="Q283" s="256"/>
      <c r="R283" s="257"/>
      <c r="S283" s="258"/>
      <c r="T283" s="255"/>
      <c r="U283" s="258"/>
      <c r="V283" s="259"/>
    </row>
    <row r="284">
      <c r="A284" s="68"/>
      <c r="B284" s="147"/>
      <c r="C284" s="68"/>
      <c r="D284" s="260" t="str">
        <f>IFERROR(__xludf.DUMMYFUNCTION("""COMPUTED_VALUE"""),"   R")</f>
        <v>R</v>
      </c>
      <c r="E284" s="261" t="str">
        <f>IFERROR(__xludf.DUMMYFUNCTION("""COMPUTED_VALUE"""),"STRIKE TEAM ORTEGAS")</f>
        <v>STRIKE TEAM ORTEGAS</v>
      </c>
      <c r="F284" s="240" t="str">
        <f>IFERROR(__xludf.DUMMYFUNCTION("""COMPUTED_VALUE"""),"OA")</f>
        <v>OA</v>
      </c>
      <c r="G284" s="239" t="str">
        <f>IFERROR(__xludf.DUMMYFUNCTION("""COMPUTED_VALUE"""),"✴️")</f>
        <v>✴️</v>
      </c>
      <c r="H284" s="243" t="str">
        <f>IFERROR(__xludf.DUMMYFUNCTION("""COMPUTED_VALUE"""),"SelfBattleship")</f>
        <v>SelfBattleship</v>
      </c>
      <c r="I284" s="243" t="str">
        <f>IFERROR(__xludf.DUMMYFUNCTION("""COMPUTED_VALUE"""),"AllReloadSpeed")</f>
        <v>AllReloadSpeed</v>
      </c>
      <c r="J284" s="243" t="str">
        <f>IFERROR(__xludf.DUMMYFUNCTION("""COMPUTED_VALUE"""),"While on a Battleship fighting a player ship, Strike Team SNW Ortegas causes weapons shot by them to have a X chance of having their next attack delayed by 1 round.")</f>
        <v>While on a Battleship fighting a player ship, Strike Team SNW Ortegas causes weapons shot by them to have a X chance of having their next attack delayed by 1 round.</v>
      </c>
      <c r="K284" s="255"/>
      <c r="L284" s="255"/>
      <c r="M284" s="255"/>
      <c r="N284" s="255"/>
      <c r="O284" s="255"/>
      <c r="P284" s="255"/>
      <c r="Q284" s="256"/>
      <c r="R284" s="257"/>
      <c r="S284" s="258"/>
      <c r="T284" s="255"/>
      <c r="U284" s="258"/>
      <c r="V284" s="259"/>
    </row>
    <row r="285">
      <c r="A285" s="68"/>
      <c r="B285" s="147"/>
      <c r="C285" s="68"/>
      <c r="D285" s="250" t="str">
        <f>IFERROR(__xludf.DUMMYFUNCTION("""COMPUTED_VALUE"""),"   R")</f>
        <v>R</v>
      </c>
      <c r="E285" s="251" t="str">
        <f>IFERROR(__xludf.DUMMYFUNCTION("""COMPUTED_VALUE"""),"STRIKE TEAM UNA")</f>
        <v>STRIKE TEAM UNA</v>
      </c>
      <c r="F285" s="252" t="str">
        <f>IFERROR(__xludf.DUMMYFUNCTION("""COMPUTED_VALUE"""),"CM")</f>
        <v>CM</v>
      </c>
      <c r="G285" s="253" t="str">
        <f>IFERROR(__xludf.DUMMYFUNCTION("""COMPUTED_VALUE"""),"✴️")</f>
        <v>✴️</v>
      </c>
      <c r="H285" s="254" t="str">
        <f>IFERROR(__xludf.DUMMYFUNCTION("""COMPUTED_VALUE"""),"EnemyExplorer")</f>
        <v>EnemyExplorer</v>
      </c>
      <c r="I285" s="254" t="str">
        <f>IFERROR(__xludf.DUMMYFUNCTION("""COMPUTED_VALUE"""),"OfficerStatAll")</f>
        <v>OfficerStatAll</v>
      </c>
      <c r="J285" s="254" t="str">
        <f>IFERROR(__xludf.DUMMYFUNCTION("""COMPUTED_VALUE"""),"While in combat against a player Explorer, Strike Team SNW Una increases all Officer stats by X each round.")</f>
        <v>While in combat against a player Explorer, Strike Team SNW Una increases all Officer stats by X each round.</v>
      </c>
      <c r="K285" s="255"/>
      <c r="L285" s="255"/>
      <c r="M285" s="255"/>
      <c r="N285" s="255"/>
      <c r="O285" s="255"/>
      <c r="P285" s="255"/>
      <c r="Q285" s="256"/>
      <c r="R285" s="257"/>
      <c r="S285" s="258"/>
      <c r="T285" s="255"/>
      <c r="U285" s="258"/>
      <c r="V285" s="259"/>
    </row>
    <row r="286">
      <c r="A286" s="68"/>
      <c r="B286" s="147"/>
      <c r="C286" s="68"/>
      <c r="D286" s="260" t="str">
        <f>IFERROR(__xludf.DUMMYFUNCTION("""COMPUTED_VALUE"""),"   R")</f>
        <v>R</v>
      </c>
      <c r="E286" s="261" t="str">
        <f>IFERROR(__xludf.DUMMYFUNCTION("""COMPUTED_VALUE"""),"STRIKE TEAM UNA")</f>
        <v>STRIKE TEAM UNA</v>
      </c>
      <c r="F286" s="240" t="str">
        <f>IFERROR(__xludf.DUMMYFUNCTION("""COMPUTED_VALUE"""),"OA")</f>
        <v>OA</v>
      </c>
      <c r="G286" s="239" t="str">
        <f>IFERROR(__xludf.DUMMYFUNCTION("""COMPUTED_VALUE"""),"✴️")</f>
        <v>✴️</v>
      </c>
      <c r="H286" s="243" t="str">
        <f>IFERROR(__xludf.DUMMYFUNCTION("""COMPUTED_VALUE"""),"SelfBattleship")</f>
        <v>SelfBattleship</v>
      </c>
      <c r="I286" s="243" t="str">
        <f>IFERROR(__xludf.DUMMYFUNCTION("""COMPUTED_VALUE"""),"ShieldMitigation")</f>
        <v>ShieldMitigation</v>
      </c>
      <c r="J286" s="243" t="str">
        <f>IFERROR(__xludf.DUMMYFUNCTION("""COMPUTED_VALUE"""),"While on a Battleship fighting a player ship, Strike Team SNW Una decreases their Shield Mitigation by X each round.")</f>
        <v>While on a Battleship fighting a player ship, Strike Team SNW Una decreases their Shield Mitigation by X each round.</v>
      </c>
      <c r="K286" s="255"/>
      <c r="L286" s="255"/>
      <c r="M286" s="255"/>
      <c r="N286" s="255"/>
      <c r="O286" s="255"/>
      <c r="P286" s="255"/>
      <c r="Q286" s="256"/>
      <c r="R286" s="257"/>
      <c r="S286" s="258"/>
      <c r="T286" s="255"/>
      <c r="U286" s="258"/>
      <c r="V286" s="259"/>
    </row>
    <row r="287">
      <c r="A287" s="68"/>
      <c r="B287" s="147"/>
      <c r="C287" s="68"/>
      <c r="D287" s="250" t="str">
        <f>IFERROR(__xludf.DUMMYFUNCTION("""COMPUTED_VALUE"""),"   U")</f>
        <v>U</v>
      </c>
      <c r="E287" s="251" t="str">
        <f>IFERROR(__xludf.DUMMYFUNCTION("""COMPUTED_VALUE"""),"SULU")</f>
        <v>SULU</v>
      </c>
      <c r="F287" s="252" t="str">
        <f>IFERROR(__xludf.DUMMYFUNCTION("""COMPUTED_VALUE"""),"OA")</f>
        <v>OA</v>
      </c>
      <c r="G287" s="253" t="str">
        <f>IFERROR(__xludf.DUMMYFUNCTION("""COMPUTED_VALUE"""),"✴️")</f>
        <v>✴️</v>
      </c>
      <c r="H287" s="254" t="str">
        <f>IFERROR(__xludf.DUMMYFUNCTION("""COMPUTED_VALUE"""),"SelfHasMorale, ModuleEnergy")</f>
        <v>SelfHasMorale, ModuleEnergy</v>
      </c>
      <c r="I287" s="254" t="str">
        <f>IFERROR(__xludf.DUMMYFUNCTION("""COMPUTED_VALUE"""),"AllDamage")</f>
        <v>AllDamage</v>
      </c>
      <c r="J287" s="254" t="str">
        <f>IFERROR(__xludf.DUMMYFUNCTION("""COMPUTED_VALUE"""),"When the ship has Morale, Sulu increases the total damage made by Energy Weapons by X.")</f>
        <v>When the ship has Morale, Sulu increases the total damage made by Energy Weapons by X.</v>
      </c>
      <c r="K287" s="255"/>
      <c r="L287" s="255"/>
      <c r="M287" s="255"/>
      <c r="N287" s="255"/>
      <c r="O287" s="255"/>
      <c r="P287" s="255"/>
      <c r="Q287" s="256"/>
      <c r="R287" s="257"/>
      <c r="S287" s="258"/>
      <c r="T287" s="255"/>
      <c r="U287" s="258"/>
      <c r="V287" s="259"/>
    </row>
    <row r="288">
      <c r="A288" s="68"/>
      <c r="B288" s="147"/>
      <c r="C288" s="68"/>
      <c r="D288" s="260" t="str">
        <f>IFERROR(__xludf.DUMMYFUNCTION("""COMPUTED_VALUE"""),"   R")</f>
        <v>R</v>
      </c>
      <c r="E288" s="261" t="str">
        <f>IFERROR(__xludf.DUMMYFUNCTION("""COMPUTED_VALUE"""),"TAL")</f>
        <v>TAL</v>
      </c>
      <c r="F288" s="240" t="str">
        <f>IFERROR(__xludf.DUMMYFUNCTION("""COMPUTED_VALUE"""),"CM")</f>
        <v>CM</v>
      </c>
      <c r="G288" s="239" t="str">
        <f>IFERROR(__xludf.DUMMYFUNCTION("""COMPUTED_VALUE"""),"✴️")</f>
        <v>✴️</v>
      </c>
      <c r="H288" s="243" t="str">
        <f>IFERROR(__xludf.DUMMYFUNCTION("""COMPUTED_VALUE"""),"EnemyBattleship")</f>
        <v>EnemyBattleship</v>
      </c>
      <c r="I288" s="243" t="str">
        <f>IFERROR(__xludf.DUMMYFUNCTION("""COMPUTED_VALUE"""),"AllDamage")</f>
        <v>AllDamage</v>
      </c>
      <c r="J288" s="243" t="str">
        <f>IFERROR(__xludf.DUMMYFUNCTION("""COMPUTED_VALUE"""),"When fighting Battleships, Tal increases the Weapon damage of the ship by X")</f>
        <v>When fighting Battleships, Tal increases the Weapon damage of the ship by X</v>
      </c>
      <c r="K288" s="255"/>
      <c r="L288" s="255"/>
      <c r="M288" s="255"/>
      <c r="N288" s="255"/>
      <c r="O288" s="255"/>
      <c r="P288" s="255"/>
      <c r="Q288" s="256"/>
      <c r="R288" s="257"/>
      <c r="S288" s="258"/>
      <c r="T288" s="255"/>
      <c r="U288" s="258"/>
      <c r="V288" s="259"/>
    </row>
    <row r="289">
      <c r="A289" s="68"/>
      <c r="B289" s="153" t="str">
        <f>'Infos - Start Here!'!B280</f>
        <v/>
      </c>
      <c r="C289" s="68"/>
      <c r="D289" s="250" t="str">
        <f>IFERROR(__xludf.DUMMYFUNCTION("""COMPUTED_VALUE"""),"   R")</f>
        <v>R</v>
      </c>
      <c r="E289" s="251" t="str">
        <f>IFERROR(__xludf.DUMMYFUNCTION("""COMPUTED_VALUE"""),"TAL")</f>
        <v>TAL</v>
      </c>
      <c r="F289" s="252" t="str">
        <f>IFERROR(__xludf.DUMMYFUNCTION("""COMPUTED_VALUE"""),"OA")</f>
        <v>OA</v>
      </c>
      <c r="G289" s="253" t="str">
        <f>IFERROR(__xludf.DUMMYFUNCTION("""COMPUTED_VALUE"""),"✴️")</f>
        <v>✴️</v>
      </c>
      <c r="H289" s="254" t="str">
        <f>IFERROR(__xludf.DUMMYFUNCTION("""COMPUTED_VALUE"""),"TargetMaxLevel, TargetHasBurning")</f>
        <v>TargetMaxLevel, TargetHasBurning</v>
      </c>
      <c r="I289" s="254" t="str">
        <f>IFERROR(__xludf.DUMMYFUNCTION("""COMPUTED_VALUE"""),"HullHPRepair")</f>
        <v>HullHPRepair</v>
      </c>
      <c r="J289" s="254" t="str">
        <f>IFERROR(__xludf.DUMMYFUNCTION("""COMPUTED_VALUE"""),"Tal decreases the opponent ship's Hull Health by a cumulative X each round while it is Burning versus players, and Hostiles level 60 and under.")</f>
        <v>Tal decreases the opponent ship's Hull Health by a cumulative X each round while it is Burning versus players, and Hostiles level 60 and under.</v>
      </c>
      <c r="K289" s="255"/>
      <c r="L289" s="255"/>
      <c r="M289" s="255"/>
      <c r="N289" s="255"/>
      <c r="O289" s="255"/>
      <c r="P289" s="255"/>
      <c r="Q289" s="256"/>
      <c r="R289" s="257"/>
      <c r="S289" s="258"/>
      <c r="T289" s="255"/>
      <c r="U289" s="258"/>
      <c r="V289" s="259"/>
    </row>
    <row r="290">
      <c r="A290" s="68"/>
      <c r="B290" s="155"/>
      <c r="C290" s="68"/>
      <c r="D290" s="260" t="str">
        <f>IFERROR(__xludf.DUMMYFUNCTION("""COMPUTED_VALUE"""),"   R")</f>
        <v>R</v>
      </c>
      <c r="E290" s="261" t="str">
        <f>IFERROR(__xludf.DUMMYFUNCTION("""COMPUTED_VALUE"""),"TOMALAK")</f>
        <v>TOMALAK</v>
      </c>
      <c r="F290" s="240" t="str">
        <f>IFERROR(__xludf.DUMMYFUNCTION("""COMPUTED_VALUE"""),"OA")</f>
        <v>OA</v>
      </c>
      <c r="G290" s="239" t="str">
        <f>IFERROR(__xludf.DUMMYFUNCTION("""COMPUTED_VALUE"""),"✴️")</f>
        <v>✴️</v>
      </c>
      <c r="H290" s="243" t="str">
        <f>IFERROR(__xludf.DUMMYFUNCTION("""COMPUTED_VALUE"""),"Klingon")</f>
        <v>Klingon</v>
      </c>
      <c r="I290" s="243" t="str">
        <f>IFERROR(__xludf.DUMMYFUNCTION("""COMPUTED_VALUE"""),"AllDamage")</f>
        <v>AllDamage</v>
      </c>
      <c r="J290" s="243" t="str">
        <f>IFERROR(__xludf.DUMMYFUNCTION("""COMPUTED_VALUE"""),"Tomalak increases Weapon Damage against Klingon targets by X of total Crew Attack.")</f>
        <v>Tomalak increases Weapon Damage against Klingon targets by X of total Crew Attack.</v>
      </c>
      <c r="K290" s="255"/>
      <c r="L290" s="255"/>
      <c r="M290" s="255"/>
      <c r="N290" s="255"/>
      <c r="O290" s="255"/>
      <c r="P290" s="255"/>
      <c r="Q290" s="256"/>
      <c r="R290" s="257"/>
      <c r="S290" s="258"/>
      <c r="T290" s="255"/>
      <c r="U290" s="258"/>
      <c r="V290" s="259"/>
    </row>
    <row r="291">
      <c r="A291" s="68"/>
      <c r="B291" s="164"/>
      <c r="C291" s="68"/>
      <c r="D291" s="250" t="str">
        <f>IFERROR(__xludf.DUMMYFUNCTION("""COMPUTED_VALUE"""),"   E")</f>
        <v>E</v>
      </c>
      <c r="E291" s="251" t="str">
        <f>IFERROR(__xludf.DUMMYFUNCTION("""COMPUTED_VALUE"""),"TOS KIRK")</f>
        <v>TOS KIRK</v>
      </c>
      <c r="F291" s="252" t="str">
        <f>IFERROR(__xludf.DUMMYFUNCTION("""COMPUTED_VALUE"""),"CM")</f>
        <v>CM</v>
      </c>
      <c r="G291" s="253" t="str">
        <f>IFERROR(__xludf.DUMMYFUNCTION("""COMPUTED_VALUE"""),"✴️")</f>
        <v>✴️</v>
      </c>
      <c r="H291" s="254" t="str">
        <f>IFERROR(__xludf.DUMMYFUNCTION("""COMPUTED_VALUE"""),"SelfHasMorale, ModuleEnergy")</f>
        <v>SelfHasMorale, ModuleEnergy</v>
      </c>
      <c r="I291" s="254" t="str">
        <f>IFERROR(__xludf.DUMMYFUNCTION("""COMPUTED_VALUE"""),"AllDamage")</f>
        <v>AllDamage</v>
      </c>
      <c r="J291" s="254" t="str">
        <f>IFERROR(__xludf.DUMMYFUNCTION("""COMPUTED_VALUE"""),"When fighting players, at the start of each turn, as long as the ship has Morale, TOS James T. Kirk increases the damage of energy weapons by X of the total Defense of all Officers on the ship (cumulative).")</f>
        <v>When fighting players, at the start of each turn, as long as the ship has Morale, TOS James T. Kirk increases the damage of energy weapons by X of the total Defense of all Officers on the ship (cumulative).</v>
      </c>
      <c r="K291" s="255"/>
      <c r="L291" s="255"/>
      <c r="M291" s="255"/>
      <c r="N291" s="255"/>
      <c r="O291" s="255"/>
      <c r="P291" s="255"/>
      <c r="Q291" s="256"/>
      <c r="R291" s="257"/>
      <c r="S291" s="258"/>
      <c r="T291" s="255"/>
      <c r="U291" s="258"/>
      <c r="V291" s="259"/>
    </row>
    <row r="292">
      <c r="A292" s="68"/>
      <c r="B292" s="164"/>
      <c r="C292" s="68"/>
      <c r="D292" s="260" t="str">
        <f>IFERROR(__xludf.DUMMYFUNCTION("""COMPUTED_VALUE"""),"   E")</f>
        <v>E</v>
      </c>
      <c r="E292" s="261" t="str">
        <f>IFERROR(__xludf.DUMMYFUNCTION("""COMPUTED_VALUE"""),"TOS KIRK")</f>
        <v>TOS KIRK</v>
      </c>
      <c r="F292" s="240" t="str">
        <f>IFERROR(__xludf.DUMMYFUNCTION("""COMPUTED_VALUE"""),"OA")</f>
        <v>OA</v>
      </c>
      <c r="G292" s="239" t="str">
        <f>IFERROR(__xludf.DUMMYFUNCTION("""COMPUTED_VALUE"""),"✴️")</f>
        <v>✴️</v>
      </c>
      <c r="H292" s="243" t="str">
        <f>IFERROR(__xludf.DUMMYFUNCTION("""COMPUTED_VALUE"""),"HullHealthAbove")</f>
        <v>HullHealthAbove</v>
      </c>
      <c r="I292" s="243" t="str">
        <f>IFERROR(__xludf.DUMMYFUNCTION("""COMPUTED_VALUE"""),"AddState")</f>
        <v>AddState</v>
      </c>
      <c r="J292" s="243" t="str">
        <f>IFERROR(__xludf.DUMMYFUNCTION("""COMPUTED_VALUE"""),"At the start of each round, if the ship's Health is above 30% of its starting value, TOS James T. Kirk has a X chance to inspire Morale to the ship for this round.")</f>
        <v>At the start of each round, if the ship's Health is above 30% of its starting value, TOS James T. Kirk has a X chance to inspire Morale to the ship for this round.</v>
      </c>
      <c r="K292" s="255"/>
      <c r="L292" s="255"/>
      <c r="M292" s="255"/>
      <c r="N292" s="255"/>
      <c r="O292" s="255"/>
      <c r="P292" s="255"/>
      <c r="Q292" s="256"/>
      <c r="R292" s="257"/>
      <c r="S292" s="258"/>
      <c r="T292" s="255"/>
      <c r="U292" s="258"/>
      <c r="V292" s="259"/>
    </row>
    <row r="293">
      <c r="A293" s="68"/>
      <c r="B293" s="164"/>
      <c r="C293" s="68"/>
      <c r="D293" s="250" t="str">
        <f>IFERROR(__xludf.DUMMYFUNCTION("""COMPUTED_VALUE"""),"   R")</f>
        <v>R</v>
      </c>
      <c r="E293" s="251" t="str">
        <f>IFERROR(__xludf.DUMMYFUNCTION("""COMPUTED_VALUE"""),"TOS MCCOY")</f>
        <v>TOS MCCOY</v>
      </c>
      <c r="F293" s="252" t="str">
        <f>IFERROR(__xludf.DUMMYFUNCTION("""COMPUTED_VALUE"""),"OA")</f>
        <v>OA</v>
      </c>
      <c r="G293" s="253" t="str">
        <f>IFERROR(__xludf.DUMMYFUNCTION("""COMPUTED_VALUE"""),"✴️")</f>
        <v>✴️</v>
      </c>
      <c r="H293" s="254" t="str">
        <f>IFERROR(__xludf.DUMMYFUNCTION("""COMPUTED_VALUE"""),"SelfExplorer")</f>
        <v>SelfExplorer</v>
      </c>
      <c r="I293" s="254" t="str">
        <f>IFERROR(__xludf.DUMMYFUNCTION("""COMPUTED_VALUE"""),"OfficerStatAll")</f>
        <v>OfficerStatAll</v>
      </c>
      <c r="J293" s="254" t="str">
        <f>IFERROR(__xludf.DUMMYFUNCTION("""COMPUTED_VALUE"""),"If the ship is an Explorer, TOS Leonard McCoy increases the Attack, Defense, and Health of all Officers on the ship by X.")</f>
        <v>If the ship is an Explorer, TOS Leonard McCoy increases the Attack, Defense, and Health of all Officers on the ship by X.</v>
      </c>
      <c r="K293" s="255"/>
      <c r="L293" s="255"/>
      <c r="M293" s="255"/>
      <c r="N293" s="255"/>
      <c r="O293" s="255"/>
      <c r="P293" s="255"/>
      <c r="Q293" s="256"/>
      <c r="R293" s="257"/>
      <c r="S293" s="258"/>
      <c r="T293" s="255"/>
      <c r="U293" s="258"/>
      <c r="V293" s="259"/>
    </row>
    <row r="294">
      <c r="A294" s="68"/>
      <c r="B294" s="164"/>
      <c r="C294" s="68"/>
      <c r="D294" s="260" t="str">
        <f>IFERROR(__xludf.DUMMYFUNCTION("""COMPUTED_VALUE"""),"   E")</f>
        <v>E</v>
      </c>
      <c r="E294" s="261" t="str">
        <f>IFERROR(__xludf.DUMMYFUNCTION("""COMPUTED_VALUE"""),"TOS SPOCK")</f>
        <v>TOS SPOCK</v>
      </c>
      <c r="F294" s="240" t="str">
        <f>IFERROR(__xludf.DUMMYFUNCTION("""COMPUTED_VALUE"""),"OA")</f>
        <v>OA</v>
      </c>
      <c r="G294" s="239" t="str">
        <f>IFERROR(__xludf.DUMMYFUNCTION("""COMPUTED_VALUE"""),"✴️")</f>
        <v>✴️</v>
      </c>
      <c r="H294" s="243" t="str">
        <f>IFERROR(__xludf.DUMMYFUNCTION("""COMPUTED_VALUE"""),"SelfHasMorale")</f>
        <v>SelfHasMorale</v>
      </c>
      <c r="I294" s="243" t="str">
        <f>IFERROR(__xludf.DUMMYFUNCTION("""COMPUTED_VALUE"""),"CritDamage")</f>
        <v>CritDamage</v>
      </c>
      <c r="J294" s="243" t="str">
        <f>IFERROR(__xludf.DUMMYFUNCTION("""COMPUTED_VALUE"""),"When fighting players, as long as the ship has Morale, TOS Spock decreases the Critical Hit Damage bonus of the opponent's ship by X.")</f>
        <v>When fighting players, as long as the ship has Morale, TOS Spock decreases the Critical Hit Damage bonus of the opponent's ship by X.</v>
      </c>
      <c r="K294" s="255"/>
      <c r="L294" s="255"/>
      <c r="M294" s="255"/>
      <c r="N294" s="255"/>
      <c r="O294" s="255"/>
      <c r="P294" s="255"/>
      <c r="Q294" s="256"/>
      <c r="R294" s="257"/>
      <c r="S294" s="258"/>
      <c r="T294" s="255"/>
      <c r="U294" s="258"/>
      <c r="V294" s="259"/>
    </row>
    <row r="295">
      <c r="A295" s="68"/>
      <c r="B295" s="164"/>
      <c r="C295" s="68"/>
      <c r="D295" s="250" t="str">
        <f>IFERROR(__xludf.DUMMYFUNCTION("""COMPUTED_VALUE"""),"   R")</f>
        <v>R</v>
      </c>
      <c r="E295" s="251" t="str">
        <f>IFERROR(__xludf.DUMMYFUNCTION("""COMPUTED_VALUE"""),"TOS SULU")</f>
        <v>TOS SULU</v>
      </c>
      <c r="F295" s="252" t="str">
        <f>IFERROR(__xludf.DUMMYFUNCTION("""COMPUTED_VALUE"""),"OA")</f>
        <v>OA</v>
      </c>
      <c r="G295" s="253" t="str">
        <f>IFERROR(__xludf.DUMMYFUNCTION("""COMPUTED_VALUE"""),"✴️")</f>
        <v>✴️</v>
      </c>
      <c r="H295" s="254" t="str">
        <f>IFERROR(__xludf.DUMMYFUNCTION("""COMPUTED_VALUE"""),"SelfExplorer, SelfHasMorale")</f>
        <v>SelfExplorer, SelfHasMorale</v>
      </c>
      <c r="I295" s="254" t="str">
        <f>IFERROR(__xludf.DUMMYFUNCTION("""COMPUTED_VALUE"""),"CritChance")</f>
        <v>CritChance</v>
      </c>
      <c r="J295" s="254" t="str">
        <f>IFERROR(__xludf.DUMMYFUNCTION("""COMPUTED_VALUE"""),"If the ship is an Explorer, at the start of each turn, if the ship has Morale, TOS Hikaru Sulu increases its Critical Hit Chance by X for that round.")</f>
        <v>If the ship is an Explorer, at the start of each turn, if the ship has Morale, TOS Hikaru Sulu increases its Critical Hit Chance by X for that round.</v>
      </c>
      <c r="K295" s="255"/>
      <c r="L295" s="255"/>
      <c r="M295" s="255"/>
      <c r="N295" s="255"/>
      <c r="O295" s="255"/>
      <c r="P295" s="255"/>
      <c r="Q295" s="256"/>
      <c r="R295" s="257"/>
      <c r="S295" s="258"/>
      <c r="T295" s="255"/>
      <c r="U295" s="258"/>
      <c r="V295" s="259"/>
    </row>
    <row r="296">
      <c r="A296" s="68"/>
      <c r="B296" s="164"/>
      <c r="C296" s="68"/>
      <c r="D296" s="260" t="str">
        <f>IFERROR(__xludf.DUMMYFUNCTION("""COMPUTED_VALUE"""),"   R")</f>
        <v>R</v>
      </c>
      <c r="E296" s="261" t="str">
        <f>IFERROR(__xludf.DUMMYFUNCTION("""COMPUTED_VALUE"""),"TOS UHURA")</f>
        <v>TOS UHURA</v>
      </c>
      <c r="F296" s="240" t="str">
        <f>IFERROR(__xludf.DUMMYFUNCTION("""COMPUTED_VALUE"""),"CM")</f>
        <v>CM</v>
      </c>
      <c r="G296" s="239" t="str">
        <f>IFERROR(__xludf.DUMMYFUNCTION("""COMPUTED_VALUE"""),"✴️")</f>
        <v>✴️</v>
      </c>
      <c r="H296" s="243" t="str">
        <f>IFERROR(__xludf.DUMMYFUNCTION("""COMPUTED_VALUE"""),"SelfHasMorale")</f>
        <v>SelfHasMorale</v>
      </c>
      <c r="I296" s="243" t="str">
        <f>IFERROR(__xludf.DUMMYFUNCTION("""COMPUTED_VALUE"""),"CritChance")</f>
        <v>CritChance</v>
      </c>
      <c r="J296" s="243" t="str">
        <f>IFERROR(__xludf.DUMMYFUNCTION("""COMPUTED_VALUE"""),"When fighting players, as long as the ship has Morale, TOS Nyota Uhura decreases the opponent's Critical Hit Chance by X.")</f>
        <v>When fighting players, as long as the ship has Morale, TOS Nyota Uhura decreases the opponent's Critical Hit Chance by X.</v>
      </c>
      <c r="K296" s="255"/>
      <c r="L296" s="255"/>
      <c r="M296" s="255"/>
      <c r="N296" s="255"/>
      <c r="O296" s="255"/>
      <c r="P296" s="255"/>
      <c r="Q296" s="256"/>
      <c r="R296" s="257"/>
      <c r="S296" s="258"/>
      <c r="T296" s="255"/>
      <c r="U296" s="258"/>
      <c r="V296" s="259"/>
    </row>
    <row r="297">
      <c r="A297" s="68"/>
      <c r="B297" s="164"/>
      <c r="C297" s="68"/>
      <c r="D297" s="250" t="str">
        <f>IFERROR(__xludf.DUMMYFUNCTION("""COMPUTED_VALUE"""),"   R")</f>
        <v>R</v>
      </c>
      <c r="E297" s="251" t="str">
        <f>IFERROR(__xludf.DUMMYFUNCTION("""COMPUTED_VALUE"""),"TOS UHURA")</f>
        <v>TOS UHURA</v>
      </c>
      <c r="F297" s="252" t="str">
        <f>IFERROR(__xludf.DUMMYFUNCTION("""COMPUTED_VALUE"""),"OA")</f>
        <v>OA</v>
      </c>
      <c r="G297" s="253" t="str">
        <f>IFERROR(__xludf.DUMMYFUNCTION("""COMPUTED_VALUE"""),"✴️")</f>
        <v>✴️</v>
      </c>
      <c r="H297" s="254" t="str">
        <f>IFERROR(__xludf.DUMMYFUNCTION("""COMPUTED_VALUE"""),"SelfHasMorale")</f>
        <v>SelfHasMorale</v>
      </c>
      <c r="I297" s="254" t="str">
        <f>IFERROR(__xludf.DUMMYFUNCTION("""COMPUTED_VALUE"""),"ShieldMitigation")</f>
        <v>ShieldMitigation</v>
      </c>
      <c r="J297" s="254" t="str">
        <f>IFERROR(__xludf.DUMMYFUNCTION("""COMPUTED_VALUE"""),"When fighting players, as long as the ship has Morale, TOS Nyota Uhura removes X from the Shield Mitigation of the opponent's ship. -- Shield Mitigation determines the amount of damage dealt to the shield health")</f>
        <v>When fighting players, as long as the ship has Morale, TOS Nyota Uhura removes X from the Shield Mitigation of the opponent's ship. -- Shield Mitigation determines the amount of damage dealt to the shield health</v>
      </c>
      <c r="K297" s="255"/>
      <c r="L297" s="255"/>
      <c r="M297" s="255"/>
      <c r="N297" s="255"/>
      <c r="O297" s="255"/>
      <c r="P297" s="255"/>
      <c r="Q297" s="256"/>
      <c r="R297" s="257"/>
      <c r="S297" s="258"/>
      <c r="T297" s="255"/>
      <c r="U297" s="258"/>
      <c r="V297" s="259"/>
    </row>
    <row r="298">
      <c r="A298" s="68"/>
      <c r="B298" s="164"/>
      <c r="C298" s="68"/>
      <c r="D298" s="260" t="str">
        <f>IFERROR(__xludf.DUMMYFUNCTION("""COMPUTED_VALUE"""),"   R")</f>
        <v>R</v>
      </c>
      <c r="E298" s="261" t="str">
        <f>IFERROR(__xludf.DUMMYFUNCTION("""COMPUTED_VALUE"""),"TYLER")</f>
        <v>TYLER</v>
      </c>
      <c r="F298" s="240" t="str">
        <f>IFERROR(__xludf.DUMMYFUNCTION("""COMPUTED_VALUE"""),"OA")</f>
        <v>OA</v>
      </c>
      <c r="G298" s="239" t="str">
        <f>IFERROR(__xludf.DUMMYFUNCTION("""COMPUTED_VALUE"""),"✴️")</f>
        <v>✴️</v>
      </c>
      <c r="H298" s="243" t="str">
        <f>IFERROR(__xludf.DUMMYFUNCTION("""COMPUTED_VALUE"""),"TargetHasBurning")</f>
        <v>TargetHasBurning</v>
      </c>
      <c r="I298" s="243" t="str">
        <f>IFERROR(__xludf.DUMMYFUNCTION("""COMPUTED_VALUE"""),"AllDamage")</f>
        <v>AllDamage</v>
      </c>
      <c r="J298" s="243" t="str">
        <f>IFERROR(__xludf.DUMMYFUNCTION("""COMPUTED_VALUE"""),"At the start of each round, if the opponent is Burning, Ash Tyler increases the damage of the ship by X of the total Attack of all officers on the ship (cumulative).")</f>
        <v>At the start of each round, if the opponent is Burning, Ash Tyler increases the damage of the ship by X of the total Attack of all officers on the ship (cumulative).</v>
      </c>
      <c r="K298" s="255"/>
      <c r="L298" s="255"/>
      <c r="M298" s="255"/>
      <c r="N298" s="255"/>
      <c r="O298" s="255"/>
      <c r="P298" s="255"/>
      <c r="Q298" s="256"/>
      <c r="R298" s="257"/>
      <c r="S298" s="258"/>
      <c r="T298" s="255"/>
      <c r="U298" s="258"/>
      <c r="V298" s="259"/>
    </row>
    <row r="299">
      <c r="A299" s="68"/>
      <c r="B299" s="164"/>
      <c r="C299" s="68"/>
      <c r="D299" s="250" t="str">
        <f>IFERROR(__xludf.DUMMYFUNCTION("""COMPUTED_VALUE"""),"   C")</f>
        <v>C</v>
      </c>
      <c r="E299" s="251" t="str">
        <f>IFERROR(__xludf.DUMMYFUNCTION("""COMPUTED_VALUE"""),"VARTOQ")</f>
        <v>VARTOQ</v>
      </c>
      <c r="F299" s="252" t="str">
        <f>IFERROR(__xludf.DUMMYFUNCTION("""COMPUTED_VALUE"""),"CM")</f>
        <v>CM</v>
      </c>
      <c r="G299" s="253" t="str">
        <f>IFERROR(__xludf.DUMMYFUNCTION("""COMPUTED_VALUE"""),"✴️")</f>
        <v>✴️</v>
      </c>
      <c r="H299" s="254" t="str">
        <f>IFERROR(__xludf.DUMMYFUNCTION("""COMPUTED_VALUE"""),"SelfInterceptor")</f>
        <v>SelfInterceptor</v>
      </c>
      <c r="I299" s="254" t="str">
        <f>IFERROR(__xludf.DUMMYFUNCTION("""COMPUTED_VALUE"""),"AllDamage")</f>
        <v>AllDamage</v>
      </c>
      <c r="J299" s="254" t="str">
        <f>IFERROR(__xludf.DUMMYFUNCTION("""COMPUTED_VALUE"""),"When inside an Interceptor, Vartoq increases the Weapon Damage against players by X.")</f>
        <v>When inside an Interceptor, Vartoq increases the Weapon Damage against players by X.</v>
      </c>
      <c r="K299" s="255"/>
      <c r="L299" s="255"/>
      <c r="M299" s="255"/>
      <c r="N299" s="255"/>
      <c r="O299" s="255"/>
      <c r="P299" s="255"/>
      <c r="Q299" s="256"/>
      <c r="R299" s="257"/>
      <c r="S299" s="258"/>
      <c r="T299" s="255"/>
      <c r="U299" s="258"/>
      <c r="V299" s="259"/>
    </row>
    <row r="300">
      <c r="A300" s="68"/>
      <c r="B300" s="182"/>
      <c r="C300" s="68"/>
      <c r="D300" s="260" t="str">
        <f>IFERROR(__xludf.DUMMYFUNCTION("""COMPUTED_VALUE"""),"   C")</f>
        <v>C</v>
      </c>
      <c r="E300" s="261" t="str">
        <f>IFERROR(__xludf.DUMMYFUNCTION("""COMPUTED_VALUE"""),"VARTOQ")</f>
        <v>VARTOQ</v>
      </c>
      <c r="F300" s="240" t="str">
        <f>IFERROR(__xludf.DUMMYFUNCTION("""COMPUTED_VALUE"""),"OA")</f>
        <v>OA</v>
      </c>
      <c r="G300" s="239" t="str">
        <f>IFERROR(__xludf.DUMMYFUNCTION("""COMPUTED_VALUE"""),"✴️")</f>
        <v>✴️</v>
      </c>
      <c r="H300" s="243" t="str">
        <f>IFERROR(__xludf.DUMMYFUNCTION("""COMPUTED_VALUE"""),"ModuleKinetic")</f>
        <v>ModuleKinetic</v>
      </c>
      <c r="I300" s="243" t="str">
        <f>IFERROR(__xludf.DUMMYFUNCTION("""COMPUTED_VALUE"""),"AllDamage")</f>
        <v>AllDamage</v>
      </c>
      <c r="J300" s="243" t="str">
        <f>IFERROR(__xludf.DUMMYFUNCTION("""COMPUTED_VALUE"""),"If the opponent is a player, Vartoq increases the damage made by the Kinetic Weapons of the ship by X.")</f>
        <v>If the opponent is a player, Vartoq increases the damage made by the Kinetic Weapons of the ship by X.</v>
      </c>
      <c r="K300" s="255"/>
      <c r="L300" s="255"/>
      <c r="M300" s="255"/>
      <c r="N300" s="255"/>
      <c r="O300" s="255"/>
      <c r="P300" s="255"/>
      <c r="Q300" s="256"/>
      <c r="R300" s="257"/>
      <c r="S300" s="258"/>
      <c r="T300" s="255"/>
      <c r="U300" s="258"/>
      <c r="V300" s="259"/>
    </row>
    <row r="301">
      <c r="A301" s="68"/>
      <c r="B301" s="184"/>
      <c r="C301" s="68"/>
      <c r="D301" s="250" t="str">
        <f>IFERROR(__xludf.DUMMYFUNCTION("""COMPUTED_VALUE"""),"   U")</f>
        <v>U</v>
      </c>
      <c r="E301" s="251" t="str">
        <f>IFERROR(__xludf.DUMMYFUNCTION("""COMPUTED_VALUE"""),"VELLA")</f>
        <v>VELLA</v>
      </c>
      <c r="F301" s="252" t="str">
        <f>IFERROR(__xludf.DUMMYFUNCTION("""COMPUTED_VALUE"""),"CM")</f>
        <v>CM</v>
      </c>
      <c r="G301" s="253" t="str">
        <f>IFERROR(__xludf.DUMMYFUNCTION("""COMPUTED_VALUE"""),"✴️")</f>
        <v>✴️</v>
      </c>
      <c r="H301" s="254" t="str">
        <f>IFERROR(__xludf.DUMMYFUNCTION("""COMPUTED_VALUE"""),"EnemyExplorer")</f>
        <v>EnemyExplorer</v>
      </c>
      <c r="I301" s="254" t="str">
        <f>IFERROR(__xludf.DUMMYFUNCTION("""COMPUTED_VALUE"""),"AllDamage")</f>
        <v>AllDamage</v>
      </c>
      <c r="J301" s="254" t="str">
        <f>IFERROR(__xludf.DUMMYFUNCTION("""COMPUTED_VALUE"""),"If the opponent's ship is an Explorer, Vella increases the damage of weapons by X.")</f>
        <v>If the opponent's ship is an Explorer, Vella increases the damage of weapons by X.</v>
      </c>
      <c r="K301" s="255"/>
      <c r="L301" s="255"/>
      <c r="M301" s="255"/>
      <c r="N301" s="255"/>
      <c r="O301" s="255"/>
      <c r="P301" s="255"/>
      <c r="Q301" s="256"/>
      <c r="R301" s="257"/>
      <c r="S301" s="258"/>
      <c r="T301" s="255"/>
      <c r="U301" s="258"/>
      <c r="V301" s="259"/>
    </row>
    <row r="302">
      <c r="A302" s="68"/>
      <c r="B302" s="184"/>
      <c r="C302" s="68"/>
      <c r="D302" s="260" t="str">
        <f>IFERROR(__xludf.DUMMYFUNCTION("""COMPUTED_VALUE"""),"   R")</f>
        <v>R</v>
      </c>
      <c r="E302" s="261" t="str">
        <f>IFERROR(__xludf.DUMMYFUNCTION("""COMPUTED_VALUE"""),"VEMET")</f>
        <v>VEMET</v>
      </c>
      <c r="F302" s="240" t="str">
        <f>IFERROR(__xludf.DUMMYFUNCTION("""COMPUTED_VALUE"""),"OA")</f>
        <v>OA</v>
      </c>
      <c r="G302" s="239" t="str">
        <f>IFERROR(__xludf.DUMMYFUNCTION("""COMPUTED_VALUE"""),"✴️")</f>
        <v>✴️</v>
      </c>
      <c r="H302" s="243" t="str">
        <f>IFERROR(__xludf.DUMMYFUNCTION("""COMPUTED_VALUE"""),"TargetHasBurning")</f>
        <v>TargetHasBurning</v>
      </c>
      <c r="I302" s="243" t="str">
        <f>IFERROR(__xludf.DUMMYFUNCTION("""COMPUTED_VALUE"""),"ShieldHPRepair")</f>
        <v>ShieldHPRepair</v>
      </c>
      <c r="J302" s="243" t="str">
        <f>IFERROR(__xludf.DUMMYFUNCTION("""COMPUTED_VALUE"""),"At the beginning of each round, if the opponent's ship is Burning, Vemet decreases its Shield Health by an amount equal to X of the Health of all Officers on the ship.")</f>
        <v>At the beginning of each round, if the opponent's ship is Burning, Vemet decreases its Shield Health by an amount equal to X of the Health of all Officers on the ship.</v>
      </c>
      <c r="K302" s="255"/>
      <c r="L302" s="255"/>
      <c r="M302" s="255"/>
      <c r="N302" s="255"/>
      <c r="O302" s="255"/>
      <c r="P302" s="255"/>
      <c r="Q302" s="256"/>
      <c r="R302" s="257"/>
      <c r="S302" s="258"/>
      <c r="T302" s="255"/>
      <c r="U302" s="258"/>
      <c r="V302" s="259"/>
    </row>
    <row r="303">
      <c r="A303" s="68"/>
      <c r="B303" s="184"/>
      <c r="C303" s="68"/>
      <c r="D303" s="250" t="str">
        <f>IFERROR(__xludf.DUMMYFUNCTION("""COMPUTED_VALUE"""),"   U")</f>
        <v>U</v>
      </c>
      <c r="E303" s="251" t="str">
        <f>IFERROR(__xludf.DUMMYFUNCTION("""COMPUTED_VALUE"""),"VIXIS")</f>
        <v>VIXIS</v>
      </c>
      <c r="F303" s="252" t="str">
        <f>IFERROR(__xludf.DUMMYFUNCTION("""COMPUTED_VALUE"""),"OA")</f>
        <v>OA</v>
      </c>
      <c r="G303" s="253" t="str">
        <f>IFERROR(__xludf.DUMMYFUNCTION("""COMPUTED_VALUE"""),"✴️")</f>
        <v>✴️</v>
      </c>
      <c r="H303" s="254" t="str">
        <f>IFERROR(__xludf.DUMMYFUNCTION("""COMPUTED_VALUE"""),"ModuleEnergy")</f>
        <v>ModuleEnergy</v>
      </c>
      <c r="I303" s="254" t="str">
        <f>IFERROR(__xludf.DUMMYFUNCTION("""COMPUTED_VALUE"""),"AllDamage")</f>
        <v>AllDamage</v>
      </c>
      <c r="J303" s="254" t="str">
        <f>IFERROR(__xludf.DUMMYFUNCTION("""COMPUTED_VALUE"""),"Vixis decreases the Energy Weapon Damage of opponent players by X.")</f>
        <v>Vixis decreases the Energy Weapon Damage of opponent players by X.</v>
      </c>
      <c r="K303" s="255"/>
      <c r="L303" s="255"/>
      <c r="M303" s="255"/>
      <c r="N303" s="255"/>
      <c r="O303" s="255"/>
      <c r="P303" s="255"/>
      <c r="Q303" s="256"/>
      <c r="R303" s="257"/>
      <c r="S303" s="258"/>
      <c r="T303" s="255"/>
      <c r="U303" s="258"/>
      <c r="V303" s="259"/>
    </row>
    <row r="304">
      <c r="A304" s="68"/>
      <c r="B304" s="184"/>
      <c r="C304" s="68"/>
      <c r="D304" s="260" t="str">
        <f>IFERROR(__xludf.DUMMYFUNCTION("""COMPUTED_VALUE"""),"   E")</f>
        <v>E</v>
      </c>
      <c r="E304" s="261" t="str">
        <f>IFERROR(__xludf.DUMMYFUNCTION("""COMPUTED_VALUE"""),"WEYOUN")</f>
        <v>WEYOUN</v>
      </c>
      <c r="F304" s="240" t="str">
        <f>IFERROR(__xludf.DUMMYFUNCTION("""COMPUTED_VALUE"""),"CM")</f>
        <v>CM</v>
      </c>
      <c r="G304" s="239" t="str">
        <f>IFERROR(__xludf.DUMMYFUNCTION("""COMPUTED_VALUE"""),"✴️")</f>
        <v>✴️</v>
      </c>
      <c r="H304" s="243" t="str">
        <f>IFERROR(__xludf.DUMMYFUNCTION("""COMPUTED_VALUE"""),"SelfExplorer")</f>
        <v>SelfExplorer</v>
      </c>
      <c r="I304" s="243" t="str">
        <f>IFERROR(__xludf.DUMMYFUNCTION("""COMPUTED_VALUE"""),"AddState")</f>
        <v>AddState</v>
      </c>
      <c r="J304" s="243" t="str">
        <f>IFERROR(__xludf.DUMMYFUNCTION("""COMPUTED_VALUE"""),"On round start, Weyoun has a X chance to apply Morale for 3 rounds when fighting against players, if on an Explorer.")</f>
        <v>On round start, Weyoun has a X chance to apply Morale for 3 rounds when fighting against players, if on an Explorer.</v>
      </c>
      <c r="K304" s="255"/>
      <c r="L304" s="255"/>
      <c r="M304" s="255"/>
      <c r="N304" s="255"/>
      <c r="O304" s="255"/>
      <c r="P304" s="255"/>
      <c r="Q304" s="256"/>
      <c r="R304" s="257"/>
      <c r="S304" s="258"/>
      <c r="T304" s="255"/>
      <c r="U304" s="258"/>
      <c r="V304" s="259"/>
    </row>
    <row r="305">
      <c r="A305" s="68"/>
      <c r="B305" s="184"/>
      <c r="C305" s="68"/>
      <c r="D305" s="250" t="str">
        <f>IFERROR(__xludf.DUMMYFUNCTION("""COMPUTED_VALUE"""),"   E")</f>
        <v>E</v>
      </c>
      <c r="E305" s="251" t="str">
        <f>IFERROR(__xludf.DUMMYFUNCTION("""COMPUTED_VALUE"""),"WEYOUN")</f>
        <v>WEYOUN</v>
      </c>
      <c r="F305" s="252" t="str">
        <f>IFERROR(__xludf.DUMMYFUNCTION("""COMPUTED_VALUE"""),"OA")</f>
        <v>OA</v>
      </c>
      <c r="G305" s="253" t="str">
        <f>IFERROR(__xludf.DUMMYFUNCTION("""COMPUTED_VALUE"""),"✴️")</f>
        <v>✴️</v>
      </c>
      <c r="H305" s="254" t="str">
        <f>IFERROR(__xludf.DUMMYFUNCTION("""COMPUTED_VALUE"""),"SelfExplorer, SelfHasMorale")</f>
        <v>SelfExplorer, SelfHasMorale</v>
      </c>
      <c r="I305" s="254" t="str">
        <f>IFERROR(__xludf.DUMMYFUNCTION("""COMPUTED_VALUE"""),"ShotsPerAttack")</f>
        <v>ShotsPerAttack</v>
      </c>
      <c r="J305" s="254" t="str">
        <f>IFERROR(__xludf.DUMMYFUNCTION("""COMPUTED_VALUE"""),"Weyoun increases Weapon Shots by +X at the start of each Round for 2 Rounds when fighting players, if on an Explorer with Morale.")</f>
        <v>Weyoun increases Weapon Shots by +X at the start of each Round for 2 Rounds when fighting players, if on an Explorer with Morale.</v>
      </c>
      <c r="K305" s="255"/>
      <c r="L305" s="255"/>
      <c r="M305" s="255"/>
      <c r="N305" s="255"/>
      <c r="O305" s="255"/>
      <c r="P305" s="255"/>
      <c r="Q305" s="256"/>
      <c r="R305" s="257"/>
      <c r="S305" s="258"/>
      <c r="T305" s="255"/>
      <c r="U305" s="258"/>
      <c r="V305" s="259"/>
    </row>
    <row r="306">
      <c r="A306" s="68"/>
      <c r="B306" s="184"/>
      <c r="C306" s="68"/>
      <c r="D306" s="260" t="str">
        <f>IFERROR(__xludf.DUMMYFUNCTION("""COMPUTED_VALUE"""),"   E")</f>
        <v>E</v>
      </c>
      <c r="E306" s="261" t="str">
        <f>IFERROR(__xludf.DUMMYFUNCTION("""COMPUTED_VALUE"""),"WOK JOACHIM")</f>
        <v>WOK JOACHIM</v>
      </c>
      <c r="F306" s="240" t="str">
        <f>IFERROR(__xludf.DUMMYFUNCTION("""COMPUTED_VALUE"""),"OA")</f>
        <v>OA</v>
      </c>
      <c r="G306" s="239" t="str">
        <f>IFERROR(__xludf.DUMMYFUNCTION("""COMPUTED_VALUE"""),"✴️")</f>
        <v>✴️</v>
      </c>
      <c r="H306" s="243" t="str">
        <f>IFERROR(__xludf.DUMMYFUNCTION("""COMPUTED_VALUE"""),"SelfSurveyor, SelfOfficerTalNotOnBridge")</f>
        <v>SelfSurveyor, SelfOfficerTalNotOnBridge</v>
      </c>
      <c r="I306" s="243" t="str">
        <f>IFERROR(__xludf.DUMMYFUNCTION("""COMPUTED_VALUE"""),"ApexBarrier")</f>
        <v>ApexBarrier</v>
      </c>
      <c r="J306" s="243" t="str">
        <f>IFERROR(__xludf.DUMMYFUNCTION("""COMPUTED_VALUE"""),"On combat start, WOK Joachim increases your Apex Barrier by X (X at rank X) when attacked by a player while on a Survey ship. -- This ability does not trigger when Tal is assigned to the bridge of your ship.")</f>
        <v>On combat start, WOK Joachim increases your Apex Barrier by X (X at rank X) when attacked by a player while on a Survey ship. -- This ability does not trigger when Tal is assigned to the bridge of your ship.</v>
      </c>
      <c r="K306" s="255"/>
      <c r="L306" s="255"/>
      <c r="M306" s="255"/>
      <c r="N306" s="255"/>
      <c r="O306" s="255"/>
      <c r="P306" s="255"/>
      <c r="Q306" s="256"/>
      <c r="R306" s="257"/>
      <c r="S306" s="258"/>
      <c r="T306" s="255"/>
      <c r="U306" s="258"/>
      <c r="V306" s="259"/>
    </row>
    <row r="307">
      <c r="A307" s="68"/>
      <c r="B307" s="184"/>
      <c r="C307" s="68"/>
      <c r="D307" s="250" t="str">
        <f>IFERROR(__xludf.DUMMYFUNCTION("""COMPUTED_VALUE"""),"   U")</f>
        <v>U</v>
      </c>
      <c r="E307" s="251" t="str">
        <f>IFERROR(__xludf.DUMMYFUNCTION("""COMPUTED_VALUE"""),"WOTELN")</f>
        <v>WOTELN</v>
      </c>
      <c r="F307" s="252" t="str">
        <f>IFERROR(__xludf.DUMMYFUNCTION("""COMPUTED_VALUE"""),"CM")</f>
        <v>CM</v>
      </c>
      <c r="G307" s="253" t="str">
        <f>IFERROR(__xludf.DUMMYFUNCTION("""COMPUTED_VALUE"""),"✴️")</f>
        <v>✴️</v>
      </c>
      <c r="H307" s="254" t="str">
        <f>IFERROR(__xludf.DUMMYFUNCTION("""COMPUTED_VALUE"""),"EnemyBattleship")</f>
        <v>EnemyBattleship</v>
      </c>
      <c r="I307" s="254" t="str">
        <f>IFERROR(__xludf.DUMMYFUNCTION("""COMPUTED_VALUE"""),"AllDamage")</f>
        <v>AllDamage</v>
      </c>
      <c r="J307" s="254" t="str">
        <f>IFERROR(__xludf.DUMMYFUNCTION("""COMPUTED_VALUE"""),"If the opponent's ship is a Battleship, Woteln increases the Damage of the weapons by X.")</f>
        <v>If the opponent's ship is a Battleship, Woteln increases the Damage of the weapons by X.</v>
      </c>
      <c r="K307" s="255"/>
      <c r="L307" s="255"/>
      <c r="M307" s="255"/>
      <c r="N307" s="255"/>
      <c r="O307" s="255"/>
      <c r="P307" s="255"/>
      <c r="Q307" s="256"/>
      <c r="R307" s="257"/>
      <c r="S307" s="258"/>
      <c r="T307" s="255"/>
      <c r="U307" s="258"/>
      <c r="V307" s="259"/>
    </row>
    <row r="308">
      <c r="A308" s="68"/>
      <c r="B308" s="184"/>
      <c r="C308" s="68"/>
      <c r="D308" s="260" t="str">
        <f>IFERROR(__xludf.DUMMYFUNCTION("""COMPUTED_VALUE"""),"   U")</f>
        <v>U</v>
      </c>
      <c r="E308" s="261" t="str">
        <f>IFERROR(__xludf.DUMMYFUNCTION("""COMPUTED_VALUE"""),"WOTELN")</f>
        <v>WOTELN</v>
      </c>
      <c r="F308" s="240" t="str">
        <f>IFERROR(__xludf.DUMMYFUNCTION("""COMPUTED_VALUE"""),"OA")</f>
        <v>OA</v>
      </c>
      <c r="G308" s="239" t="str">
        <f>IFERROR(__xludf.DUMMYFUNCTION("""COMPUTED_VALUE"""),"✴️")</f>
        <v>✴️</v>
      </c>
      <c r="H308" s="243" t="str">
        <f>IFERROR(__xludf.DUMMYFUNCTION("""COMPUTED_VALUE"""),"SelfInterceptor")</f>
        <v>SelfInterceptor</v>
      </c>
      <c r="I308" s="243" t="str">
        <f>IFERROR(__xludf.DUMMYFUNCTION("""COMPUTED_VALUE"""),"ShipDodge")</f>
        <v>ShipDodge</v>
      </c>
      <c r="J308" s="243" t="str">
        <f>IFERROR(__xludf.DUMMYFUNCTION("""COMPUTED_VALUE"""),"If the ship is an Interceptor, Woteln increases its Dodge value by X.")</f>
        <v>If the ship is an Interceptor, Woteln increases its Dodge value by X.</v>
      </c>
      <c r="K308" s="255"/>
      <c r="L308" s="255"/>
      <c r="M308" s="255"/>
      <c r="N308" s="255"/>
      <c r="O308" s="255"/>
      <c r="P308" s="255"/>
      <c r="Q308" s="256"/>
      <c r="R308" s="257"/>
      <c r="S308" s="258"/>
      <c r="T308" s="255"/>
      <c r="U308" s="258"/>
      <c r="V308" s="259"/>
    </row>
    <row r="309">
      <c r="A309" s="68"/>
      <c r="B309" s="184"/>
      <c r="C309" s="68"/>
      <c r="D309" s="250" t="str">
        <f>IFERROR(__xludf.DUMMYFUNCTION("""COMPUTED_VALUE"""),"   U")</f>
        <v>U</v>
      </c>
      <c r="E309" s="251" t="str">
        <f>IFERROR(__xludf.DUMMYFUNCTION("""COMPUTED_VALUE"""),"YAN'AGH")</f>
        <v>YAN'AGH</v>
      </c>
      <c r="F309" s="252" t="str">
        <f>IFERROR(__xludf.DUMMYFUNCTION("""COMPUTED_VALUE"""),"OA")</f>
        <v>OA</v>
      </c>
      <c r="G309" s="253" t="str">
        <f>IFERROR(__xludf.DUMMYFUNCTION("""COMPUTED_VALUE"""),"✴️")</f>
        <v>✴️</v>
      </c>
      <c r="H309" s="254" t="str">
        <f>IFERROR(__xludf.DUMMYFUNCTION("""COMPUTED_VALUE"""),"Romulan")</f>
        <v>Romulan</v>
      </c>
      <c r="I309" s="254" t="str">
        <f>IFERROR(__xludf.DUMMYFUNCTION("""COMPUTED_VALUE"""),"AllDamage")</f>
        <v>AllDamage</v>
      </c>
      <c r="J309" s="254" t="str">
        <f>IFERROR(__xludf.DUMMYFUNCTION("""COMPUTED_VALUE"""),"Yan'agh increases the Damage against Romulan ships by X of the crew's Health.")</f>
        <v>Yan'agh increases the Damage against Romulan ships by X of the crew's Health.</v>
      </c>
      <c r="K309" s="255"/>
      <c r="L309" s="255"/>
      <c r="M309" s="255"/>
      <c r="N309" s="255"/>
      <c r="O309" s="255"/>
      <c r="P309" s="255"/>
      <c r="Q309" s="256"/>
      <c r="R309" s="257"/>
      <c r="S309" s="258"/>
      <c r="T309" s="255"/>
      <c r="U309" s="258"/>
      <c r="V309" s="259"/>
    </row>
    <row r="310">
      <c r="A310" s="68"/>
      <c r="B310" s="184"/>
      <c r="C310" s="68"/>
      <c r="D310" s="260" t="str">
        <f>IFERROR(__xludf.DUMMYFUNCTION("""COMPUTED_VALUE"""),"   R")</f>
        <v>R</v>
      </c>
      <c r="E310" s="261" t="str">
        <f>IFERROR(__xludf.DUMMYFUNCTION("""COMPUTED_VALUE"""),"YUKI")</f>
        <v>YUKI</v>
      </c>
      <c r="F310" s="240" t="str">
        <f>IFERROR(__xludf.DUMMYFUNCTION("""COMPUTED_VALUE"""),"OA")</f>
        <v>OA</v>
      </c>
      <c r="G310" s="239" t="str">
        <f>IFERROR(__xludf.DUMMYFUNCTION("""COMPUTED_VALUE"""),"✴️")</f>
        <v>✴️</v>
      </c>
      <c r="H310" s="243" t="str">
        <f>IFERROR(__xludf.DUMMYFUNCTION("""COMPUTED_VALUE"""),"Romulan")</f>
        <v>Romulan</v>
      </c>
      <c r="I310" s="243" t="str">
        <f>IFERROR(__xludf.DUMMYFUNCTION("""COMPUTED_VALUE"""),"AllDamage")</f>
        <v>AllDamage</v>
      </c>
      <c r="J310" s="243" t="str">
        <f>IFERROR(__xludf.DUMMYFUNCTION("""COMPUTED_VALUE"""),"Yuki Sulu increases the Weapon Damage against Romulan ships by X of the Health of the crew on the ship.")</f>
        <v>Yuki Sulu increases the Weapon Damage against Romulan ships by X of the Health of the crew on the ship.</v>
      </c>
      <c r="K310" s="255"/>
      <c r="L310" s="255"/>
      <c r="M310" s="255"/>
      <c r="N310" s="255"/>
      <c r="O310" s="255"/>
      <c r="P310" s="255"/>
      <c r="Q310" s="256"/>
      <c r="R310" s="257"/>
      <c r="S310" s="258"/>
      <c r="T310" s="255"/>
      <c r="U310" s="258"/>
      <c r="V310" s="259"/>
    </row>
    <row r="311">
      <c r="A311" s="68"/>
      <c r="B311" s="184"/>
      <c r="C311" s="68"/>
      <c r="D311" s="250" t="str">
        <f>IFERROR(__xludf.DUMMYFUNCTION("""COMPUTED_VALUE"""),"   U")</f>
        <v>U</v>
      </c>
      <c r="E311" s="251" t="str">
        <f>IFERROR(__xludf.DUMMYFUNCTION("""COMPUTED_VALUE"""),"ZHOU")</f>
        <v>ZHOU</v>
      </c>
      <c r="F311" s="252" t="str">
        <f>IFERROR(__xludf.DUMMYFUNCTION("""COMPUTED_VALUE"""),"OA")</f>
        <v>OA</v>
      </c>
      <c r="G311" s="253" t="str">
        <f>IFERROR(__xludf.DUMMYFUNCTION("""COMPUTED_VALUE"""),"✴️")</f>
        <v>✴️</v>
      </c>
      <c r="H311" s="254" t="str">
        <f>IFERROR(__xludf.DUMMYFUNCTION("""COMPUTED_VALUE"""),"SelfHasMorale")</f>
        <v>SelfHasMorale</v>
      </c>
      <c r="I311" s="254" t="str">
        <f>IFERROR(__xludf.DUMMYFUNCTION("""COMPUTED_VALUE"""),"AllDefenses")</f>
        <v>AllDefenses</v>
      </c>
      <c r="J311" s="254" t="str">
        <f>IFERROR(__xludf.DUMMYFUNCTION("""COMPUTED_VALUE"""),"As long as the ship has Morale, Paul Zhou increases the Shield deflection, Armor and Dodge of the ship by X of the crew's Defense.")</f>
        <v>As long as the ship has Morale, Paul Zhou increases the Shield deflection, Armor and Dodge of the ship by X of the crew's Defense.</v>
      </c>
      <c r="K311" s="255"/>
      <c r="L311" s="255"/>
      <c r="M311" s="255"/>
      <c r="N311" s="255"/>
      <c r="O311" s="255"/>
      <c r="P311" s="255"/>
      <c r="Q311" s="256"/>
      <c r="R311" s="257"/>
      <c r="S311" s="258"/>
      <c r="T311" s="255"/>
      <c r="U311" s="258"/>
      <c r="V311" s="259"/>
    </row>
    <row r="312">
      <c r="A312" s="68"/>
      <c r="B312" s="184"/>
      <c r="C312" s="68"/>
      <c r="D312" s="260"/>
      <c r="E312" s="261"/>
      <c r="F312" s="240"/>
      <c r="G312" s="239"/>
      <c r="H312" s="243"/>
      <c r="I312" s="243"/>
      <c r="J312" s="243"/>
      <c r="K312" s="255"/>
      <c r="L312" s="255"/>
      <c r="M312" s="255"/>
      <c r="N312" s="255"/>
      <c r="O312" s="255"/>
      <c r="P312" s="255"/>
      <c r="Q312" s="256"/>
      <c r="R312" s="257"/>
      <c r="S312" s="258"/>
      <c r="T312" s="255"/>
      <c r="U312" s="258"/>
      <c r="V312" s="259"/>
    </row>
    <row r="313">
      <c r="A313" s="68"/>
      <c r="B313" s="184"/>
      <c r="C313" s="68"/>
      <c r="D313" s="250"/>
      <c r="E313" s="251"/>
      <c r="F313" s="252"/>
      <c r="G313" s="253"/>
      <c r="H313" s="254"/>
      <c r="I313" s="254"/>
      <c r="J313" s="254"/>
      <c r="K313" s="255"/>
      <c r="L313" s="255"/>
      <c r="M313" s="255"/>
      <c r="N313" s="255"/>
      <c r="O313" s="255"/>
      <c r="P313" s="255"/>
      <c r="Q313" s="256"/>
      <c r="R313" s="257"/>
      <c r="S313" s="258"/>
      <c r="T313" s="255"/>
      <c r="U313" s="258"/>
      <c r="V313" s="259"/>
    </row>
    <row r="314">
      <c r="A314" s="68"/>
      <c r="B314" s="184"/>
      <c r="C314" s="68"/>
      <c r="D314" s="260"/>
      <c r="E314" s="261"/>
      <c r="F314" s="240"/>
      <c r="G314" s="239"/>
      <c r="H314" s="243"/>
      <c r="I314" s="243"/>
      <c r="J314" s="243"/>
      <c r="K314" s="255"/>
      <c r="L314" s="255"/>
      <c r="M314" s="255"/>
      <c r="N314" s="255"/>
      <c r="O314" s="255"/>
      <c r="P314" s="255"/>
      <c r="Q314" s="256"/>
      <c r="R314" s="257"/>
      <c r="S314" s="258"/>
      <c r="T314" s="255"/>
      <c r="U314" s="258"/>
      <c r="V314" s="259"/>
    </row>
    <row r="315">
      <c r="A315" s="68"/>
      <c r="B315" s="147"/>
      <c r="C315" s="68"/>
      <c r="D315" s="250"/>
      <c r="E315" s="251"/>
      <c r="F315" s="252"/>
      <c r="G315" s="253"/>
      <c r="H315" s="254"/>
      <c r="I315" s="254"/>
      <c r="J315" s="254"/>
      <c r="K315" s="255"/>
      <c r="L315" s="255"/>
      <c r="M315" s="255"/>
      <c r="N315" s="255"/>
      <c r="O315" s="255"/>
      <c r="P315" s="255"/>
      <c r="Q315" s="256"/>
      <c r="R315" s="257"/>
      <c r="S315" s="258"/>
      <c r="T315" s="255"/>
      <c r="U315" s="258"/>
      <c r="V315" s="259"/>
    </row>
    <row r="316">
      <c r="A316" s="68"/>
      <c r="B316" s="147"/>
      <c r="C316" s="68"/>
      <c r="D316" s="260"/>
      <c r="E316" s="261"/>
      <c r="F316" s="240"/>
      <c r="G316" s="239"/>
      <c r="H316" s="243"/>
      <c r="I316" s="243"/>
      <c r="J316" s="243"/>
      <c r="K316" s="255"/>
      <c r="L316" s="255"/>
      <c r="M316" s="255"/>
      <c r="N316" s="255"/>
      <c r="O316" s="255"/>
      <c r="P316" s="255"/>
      <c r="Q316" s="256"/>
      <c r="R316" s="257"/>
      <c r="S316" s="258"/>
      <c r="T316" s="255"/>
      <c r="U316" s="258"/>
      <c r="V316" s="259"/>
    </row>
    <row r="317">
      <c r="A317" s="68"/>
      <c r="B317" s="147"/>
      <c r="C317" s="68"/>
      <c r="D317" s="260"/>
      <c r="E317" s="261"/>
      <c r="F317" s="240"/>
      <c r="G317" s="239"/>
      <c r="H317" s="243"/>
      <c r="I317" s="243"/>
      <c r="J317" s="243"/>
      <c r="K317" s="255"/>
      <c r="L317" s="255"/>
      <c r="M317" s="255"/>
      <c r="N317" s="255"/>
      <c r="O317" s="255"/>
      <c r="P317" s="255"/>
      <c r="Q317" s="256"/>
      <c r="R317" s="257"/>
      <c r="S317" s="258"/>
      <c r="T317" s="255"/>
      <c r="U317" s="258"/>
      <c r="V317" s="259"/>
    </row>
    <row r="318">
      <c r="A318" s="68"/>
      <c r="B318" s="147"/>
      <c r="C318" s="68"/>
      <c r="D318" s="21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E318" s="261"/>
      <c r="F318" s="240"/>
      <c r="G318" s="239"/>
      <c r="H318" s="243"/>
      <c r="I318" s="243"/>
      <c r="J318" s="243"/>
      <c r="K318" s="255"/>
      <c r="L318" s="255"/>
      <c r="M318" s="255"/>
      <c r="N318" s="255"/>
      <c r="O318" s="255"/>
      <c r="P318" s="255"/>
      <c r="Q318" s="256"/>
      <c r="R318" s="257"/>
      <c r="S318" s="258"/>
      <c r="T318" s="255"/>
      <c r="U318" s="258"/>
      <c r="V318" s="259"/>
    </row>
    <row r="319">
      <c r="A319" s="68"/>
      <c r="B319" s="266"/>
      <c r="C319" s="68"/>
      <c r="D319" s="215"/>
      <c r="E319" s="261"/>
      <c r="F319" s="240"/>
      <c r="G319" s="239"/>
      <c r="H319" s="243"/>
      <c r="I319" s="243"/>
      <c r="J319" s="243"/>
      <c r="K319" s="255"/>
      <c r="L319" s="255"/>
      <c r="M319" s="255"/>
      <c r="N319" s="255"/>
      <c r="O319" s="255"/>
      <c r="P319" s="255"/>
      <c r="Q319" s="256"/>
      <c r="R319" s="257"/>
      <c r="S319" s="258"/>
      <c r="T319" s="255"/>
      <c r="U319" s="258"/>
      <c r="V319" s="259"/>
    </row>
  </sheetData>
  <mergeCells count="6">
    <mergeCell ref="E4:G4"/>
    <mergeCell ref="E5:G5"/>
    <mergeCell ref="E6:G6"/>
    <mergeCell ref="E8:G8"/>
    <mergeCell ref="B147:B148"/>
    <mergeCell ref="B154:B155"/>
  </mergeCells>
  <conditionalFormatting sqref="B44:B49 B91:B96 B138:B143 B183:B188 B257:B262 D318:D319">
    <cfRule type="expression" dxfId="0" priority="1">
      <formula>$G44="OA"</formula>
    </cfRule>
  </conditionalFormatting>
  <conditionalFormatting sqref="B44:B49 B91:B96 B138:B143 B183:B188 B257:B262 D318:D319">
    <cfRule type="expression" dxfId="1" priority="2">
      <formula>$G44="CM"</formula>
    </cfRule>
  </conditionalFormatting>
  <conditionalFormatting sqref="B44:B49 B91:B96 B138:B143 B183:B188 B257:B262 D318:D319">
    <cfRule type="expression" dxfId="2" priority="3">
      <formula>$G44="BDA"</formula>
    </cfRule>
  </conditionalFormatting>
  <conditionalFormatting sqref="B9:B18 B39:B43 B86:B89 B133:B136 B178:B182 B252:B256">
    <cfRule type="expression" dxfId="3" priority="4">
      <formula>#REF!="Epic"</formula>
    </cfRule>
  </conditionalFormatting>
  <conditionalFormatting sqref="B9:B18 B39:B43 B86:B89 B133:B136 B178:B182 B252:B256">
    <cfRule type="expression" dxfId="4" priority="5">
      <formula>#REF!="Rare"</formula>
    </cfRule>
  </conditionalFormatting>
  <conditionalFormatting sqref="B9:B18 B39:B43 B86:B89 B133:B136 B178:B182 B252:B256">
    <cfRule type="expression" dxfId="5" priority="6">
      <formula>#REF!="Uncommon"</formula>
    </cfRule>
  </conditionalFormatting>
  <conditionalFormatting sqref="B9:B18 B39:B43 B86:B89 B133:B136 B178:B182 B252:B256">
    <cfRule type="expression" dxfId="6" priority="7">
      <formula>#REF!="Common"</formula>
    </cfRule>
  </conditionalFormatting>
  <conditionalFormatting sqref="B9:B18 B39:B43 B56:B65 B86:B90 B103:B112 B133:B137 B178:B182 B195:B204 B252:B256 B269:B278">
    <cfRule type="expression" dxfId="7" priority="8">
      <formula>$H9="CM"</formula>
    </cfRule>
  </conditionalFormatting>
  <conditionalFormatting sqref="B9:B18 B39:B43 B56:B65 B86:B90 B103:B112 B133:B137 B178:B182 B195:B204 B252:B256 B269:B278">
    <cfRule type="expression" dxfId="8" priority="9">
      <formula>$H9="OA"</formula>
    </cfRule>
  </conditionalFormatting>
  <conditionalFormatting sqref="B9:B18 B39:B43 B56:B65 B86:B90 B103:B112 B133:B137 B178:B182 B195:B204 B252:B256 B269:B278">
    <cfRule type="expression" dxfId="9" priority="10">
      <formula>$H9="BDA"</formula>
    </cfRule>
  </conditionalFormatting>
  <conditionalFormatting sqref="B39:B42 B178:B181 B252:B255">
    <cfRule type="expression" dxfId="3" priority="11">
      <formula>#REF!="Epic"</formula>
    </cfRule>
  </conditionalFormatting>
  <conditionalFormatting sqref="B39:B42 B178:B181 B252:B255">
    <cfRule type="expression" dxfId="4" priority="12">
      <formula>#REF!="Rare"</formula>
    </cfRule>
  </conditionalFormatting>
  <conditionalFormatting sqref="B39:B42 B178:B181 B252:B255">
    <cfRule type="expression" dxfId="5" priority="13">
      <formula>#REF!="Uncommon"</formula>
    </cfRule>
  </conditionalFormatting>
  <conditionalFormatting sqref="B39:B42 B178:B181 B252:B255">
    <cfRule type="expression" dxfId="6" priority="14">
      <formula>#REF!="Common"</formula>
    </cfRule>
  </conditionalFormatting>
  <conditionalFormatting sqref="D7:E319">
    <cfRule type="expression" dxfId="12" priority="15">
      <formula>$D7="e"</formula>
    </cfRule>
  </conditionalFormatting>
  <conditionalFormatting sqref="D7:E319">
    <cfRule type="expression" dxfId="13" priority="16">
      <formula>$D7="r"</formula>
    </cfRule>
  </conditionalFormatting>
  <conditionalFormatting sqref="D7:E319">
    <cfRule type="expression" dxfId="14" priority="17">
      <formula>$D7="u"</formula>
    </cfRule>
  </conditionalFormatting>
  <conditionalFormatting sqref="F7:F319">
    <cfRule type="expression" dxfId="15" priority="18">
      <formula>$F7="CM"</formula>
    </cfRule>
  </conditionalFormatting>
  <conditionalFormatting sqref="F7:F319">
    <cfRule type="expression" dxfId="16" priority="19">
      <formula>$F7="OA"</formula>
    </cfRule>
  </conditionalFormatting>
  <conditionalFormatting sqref="F7:F319">
    <cfRule type="expression" dxfId="17" priority="20">
      <formula>$F7="BDA"</formula>
    </cfRule>
  </conditionalFormatting>
  <conditionalFormatting sqref="D8:F319">
    <cfRule type="expression" dxfId="18" priority="21">
      <formula>$D2="c"</formula>
    </cfRule>
  </conditionalFormatting>
  <dataValidations>
    <dataValidation type="list" allowBlank="1" showErrorMessage="1" sqref="E5">
      <formula1>"CM,OA,BDA"</formula1>
    </dataValidation>
    <dataValidation type="list" allowBlank="1" showErrorMessage="1" sqref="E4">
      <formula1>settings[Target]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88F7"/>
    <outlinePr summaryBelow="0" summaryRight="0"/>
  </sheetPr>
  <sheetViews>
    <sheetView showGridLines="0" workbookViewId="0">
      <pane xSplit="7.0" ySplit="8.0" topLeftCell="H9" activePane="bottomRight" state="frozen"/>
      <selection activeCell="H1" sqref="H1" pane="topRight"/>
      <selection activeCell="A9" sqref="A9" pane="bottomLeft"/>
      <selection activeCell="H9" sqref="H9" pane="bottomRight"/>
    </sheetView>
  </sheetViews>
  <sheetFormatPr customHeight="1" defaultColWidth="12.63" defaultRowHeight="15.75"/>
  <cols>
    <col customWidth="1" min="1" max="1" width="2.75"/>
    <col customWidth="1" min="2" max="2" width="12.5"/>
    <col customWidth="1" min="3" max="3" width="2.75"/>
    <col customWidth="1" min="4" max="4" width="4.25"/>
    <col customWidth="1" min="5" max="5" width="18.0"/>
    <col customWidth="1" min="6" max="6" width="5.13"/>
    <col customWidth="1" min="7" max="7" width="4.38"/>
    <col customWidth="1" min="8" max="8" width="21.38"/>
    <col customWidth="1" min="9" max="9" width="20.75"/>
    <col customWidth="1" min="10" max="10" width="64.0"/>
    <col customWidth="1" min="11" max="11" width="11.38"/>
    <col customWidth="1" min="12" max="22" width="16.5"/>
  </cols>
  <sheetData>
    <row r="1" ht="54.75" customHeight="1">
      <c r="A1" s="28"/>
      <c r="B1" s="2"/>
      <c r="C1" s="2"/>
      <c r="D1" s="2"/>
      <c r="E1" s="2"/>
      <c r="F1" s="267"/>
      <c r="G1" s="28"/>
      <c r="H1" s="220"/>
      <c r="I1" s="28"/>
      <c r="J1" s="28"/>
      <c r="K1" s="221"/>
      <c r="L1" s="28"/>
      <c r="M1" s="28"/>
      <c r="N1" s="28"/>
      <c r="O1" s="28"/>
      <c r="P1" s="28"/>
      <c r="Q1" s="28"/>
      <c r="R1" s="28"/>
      <c r="S1" s="28"/>
      <c r="T1" s="28"/>
      <c r="U1" s="28"/>
      <c r="V1" s="28"/>
    </row>
    <row r="2" ht="16.5" customHeight="1">
      <c r="A2" s="28"/>
      <c r="B2" s="3"/>
      <c r="C2" s="3"/>
      <c r="D2" s="3"/>
      <c r="E2" s="3"/>
      <c r="F2" s="268"/>
      <c r="G2" s="100" t="str">
        <f>'Infos - Start Here!'!G2</f>
        <v>1.4-RC M86</v>
      </c>
      <c r="H2" s="101"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102"/>
      <c r="J2" s="102"/>
      <c r="K2" s="102"/>
      <c r="L2" s="102"/>
      <c r="M2" s="102"/>
      <c r="N2" s="102"/>
      <c r="O2" s="102"/>
      <c r="P2" s="102"/>
      <c r="Q2" s="102"/>
      <c r="R2" s="102"/>
      <c r="S2" s="102"/>
      <c r="T2" s="102"/>
      <c r="U2" s="102"/>
      <c r="V2" s="102"/>
    </row>
    <row r="3" ht="16.5" customHeight="1">
      <c r="A3" s="28"/>
      <c r="B3" s="223"/>
      <c r="C3" s="224"/>
      <c r="D3" s="224"/>
      <c r="E3" s="224"/>
      <c r="F3" s="269"/>
      <c r="G3" s="225"/>
      <c r="H3" s="226"/>
      <c r="I3" s="226"/>
      <c r="J3" s="226"/>
      <c r="K3" s="28"/>
      <c r="L3" s="28"/>
      <c r="M3" s="28"/>
      <c r="N3" s="28"/>
      <c r="O3" s="28"/>
      <c r="P3" s="28"/>
      <c r="Q3" s="28"/>
      <c r="R3" s="28"/>
      <c r="S3" s="28"/>
      <c r="T3" s="28"/>
      <c r="U3" s="28"/>
      <c r="V3" s="28"/>
    </row>
    <row r="4" ht="23.25" customHeight="1">
      <c r="A4" s="227"/>
      <c r="B4" s="111"/>
      <c r="C4" s="224"/>
      <c r="D4" s="228" t="s">
        <v>51</v>
      </c>
      <c r="E4" s="229" t="s">
        <v>99</v>
      </c>
      <c r="F4" s="23"/>
      <c r="G4" s="24"/>
      <c r="H4" s="230" t="s">
        <v>94</v>
      </c>
      <c r="I4" s="231"/>
      <c r="J4" s="232" t="s">
        <v>100</v>
      </c>
      <c r="K4" s="221"/>
      <c r="L4" s="221"/>
      <c r="M4" s="221"/>
      <c r="N4" s="221"/>
      <c r="O4" s="221"/>
      <c r="P4" s="221"/>
      <c r="Q4" s="221"/>
      <c r="R4" s="221"/>
      <c r="S4" s="221"/>
      <c r="T4" s="221"/>
      <c r="U4" s="221"/>
      <c r="V4" s="221"/>
    </row>
    <row r="5" ht="23.25" customHeight="1">
      <c r="A5" s="227"/>
      <c r="B5" s="111"/>
      <c r="C5" s="224"/>
      <c r="D5" s="228" t="s">
        <v>51</v>
      </c>
      <c r="E5" s="233" t="s">
        <v>101</v>
      </c>
      <c r="F5" s="234"/>
      <c r="G5" s="235"/>
      <c r="H5" s="230" t="s">
        <v>102</v>
      </c>
      <c r="I5" s="231"/>
      <c r="J5" s="231"/>
      <c r="K5" s="221"/>
      <c r="L5" s="236"/>
      <c r="M5" s="221"/>
      <c r="N5" s="231"/>
      <c r="O5" s="231"/>
      <c r="P5" s="231"/>
      <c r="Q5" s="231"/>
      <c r="R5" s="231"/>
      <c r="S5" s="231"/>
      <c r="T5" s="231"/>
      <c r="U5" s="231"/>
      <c r="V5" s="231"/>
    </row>
    <row r="6" ht="23.25" customHeight="1">
      <c r="A6" s="227"/>
      <c r="B6" s="111"/>
      <c r="C6" s="224"/>
      <c r="D6" s="228" t="s">
        <v>51</v>
      </c>
      <c r="E6" s="237"/>
      <c r="F6" s="17"/>
      <c r="G6" s="18"/>
      <c r="H6" s="230" t="s">
        <v>98</v>
      </c>
      <c r="I6" s="231"/>
      <c r="J6" s="231"/>
      <c r="K6" s="221"/>
      <c r="L6" s="238"/>
      <c r="M6" s="221"/>
      <c r="N6" s="231"/>
      <c r="O6" s="231"/>
      <c r="P6" s="231"/>
      <c r="Q6" s="231"/>
      <c r="R6" s="231"/>
      <c r="S6" s="231"/>
      <c r="T6" s="231"/>
      <c r="U6" s="231"/>
      <c r="V6" s="231"/>
    </row>
    <row r="7">
      <c r="A7" s="28"/>
      <c r="B7" s="111"/>
      <c r="C7" s="2"/>
      <c r="D7" s="239"/>
      <c r="E7" s="239"/>
      <c r="F7" s="270"/>
      <c r="G7" s="221"/>
      <c r="H7" s="241"/>
      <c r="I7" s="242"/>
      <c r="J7" s="243"/>
      <c r="K7" s="221"/>
      <c r="L7" s="221"/>
      <c r="M7" s="221"/>
      <c r="N7" s="226"/>
      <c r="O7" s="226"/>
      <c r="P7" s="226"/>
      <c r="Q7" s="226"/>
      <c r="R7" s="226"/>
      <c r="S7" s="226"/>
      <c r="T7" s="226"/>
      <c r="U7" s="226"/>
      <c r="V7" s="226"/>
    </row>
    <row r="8">
      <c r="A8" s="244"/>
      <c r="B8" s="245"/>
      <c r="C8" s="244"/>
      <c r="D8" s="246" t="str">
        <f>IFERROR(__xludf.DUMMYFUNCTION("Query(
FILTER(
FILTER(LCARS_Tech[#ALL] ,
CONDITION_ONE_OF_RANGE( LCARS_Tech[#HEADERS] , settings[Minimum])
+(LCARS_Tech[#HEADERS] = E4)
),
ISNUMBER(SEARCH( E6, LCARS_Tech[[#ALL],[Ability Description]])) + (LCARS_Tech[[#ALL],[BuffID]]=""BuffID""), (LCARS_T"&amp;"ech[[#ALL],[TechType]] = LEFT(E5, 2))+(LCARS_Tech[[#ALL],[BuffID]]=""BuffID"")
)
, ""SELECT * WHERE Col4 != '➖' ORDER BY Col4, Col2, Col3"",1
)"),"   Rarity")</f>
        <v>Rarity</v>
      </c>
      <c r="E8" s="247" t="str">
        <f>IFERROR(__xludf.DUMMYFUNCTION("""COMPUTED_VALUE"""),"TechName")</f>
        <v>TechName</v>
      </c>
      <c r="H8" s="241" t="str">
        <f>IFERROR(__xludf.DUMMYFUNCTION("""COMPUTED_VALUE"""),"Reason")</f>
        <v>Reason</v>
      </c>
      <c r="I8" s="241" t="str">
        <f>IFERROR(__xludf.DUMMYFUNCTION("""COMPUTED_VALUE"""),"Ability Modifier")</f>
        <v>Ability Modifier</v>
      </c>
      <c r="J8" s="241" t="str">
        <f>IFERROR(__xludf.DUMMYFUNCTION("""COMPUTED_VALUE"""),"Ability Description")</f>
        <v>Ability Description</v>
      </c>
      <c r="K8" s="241"/>
      <c r="L8" s="241"/>
      <c r="M8" s="241"/>
      <c r="N8" s="241"/>
      <c r="O8" s="241"/>
      <c r="P8" s="241"/>
      <c r="Q8" s="241"/>
      <c r="R8" s="248"/>
      <c r="S8" s="249"/>
      <c r="T8" s="241"/>
      <c r="U8" s="249"/>
      <c r="V8" s="249"/>
    </row>
    <row r="9">
      <c r="A9" s="28"/>
      <c r="B9" s="128"/>
      <c r="C9" s="28"/>
      <c r="D9" s="250" t="str">
        <f>IFERROR(__xludf.DUMMYFUNCTION("""COMPUTED_VALUE"""),"   E")</f>
        <v>E</v>
      </c>
      <c r="E9" s="251" t="str">
        <f>IFERROR(__xludf.DUMMYFUNCTION("""COMPUTED_VALUE"""),"C-12 Stasis Globe")</f>
        <v>C-12 Stasis Globe</v>
      </c>
      <c r="F9" s="271">
        <f>IFERROR(__xludf.DUMMYFUNCTION("""COMPUTED_VALUE"""),3.0)</f>
        <v>3</v>
      </c>
      <c r="G9" s="253" t="str">
        <f>IFERROR(__xludf.DUMMYFUNCTION("""COMPUTED_VALUE"""),"✅")</f>
        <v>✅</v>
      </c>
      <c r="H9" s="254"/>
      <c r="I9" s="254" t="str">
        <f>IFERROR(__xludf.DUMMYFUNCTION("""COMPUTED_VALUE"""),"HullHPMax")</f>
        <v>HullHPMax</v>
      </c>
      <c r="J9" s="254" t="str">
        <f>IFERROR(__xludf.DUMMYFUNCTION("""COMPUTED_VALUE"""),"Increases base HHP by X.")</f>
        <v>Increases base HHP by X.</v>
      </c>
      <c r="K9" s="255"/>
      <c r="L9" s="255"/>
      <c r="M9" s="255"/>
      <c r="N9" s="255"/>
      <c r="O9" s="255"/>
      <c r="P9" s="255"/>
      <c r="Q9" s="256"/>
      <c r="R9" s="257"/>
      <c r="S9" s="258"/>
      <c r="T9" s="255"/>
      <c r="U9" s="258"/>
      <c r="V9" s="259"/>
    </row>
    <row r="10">
      <c r="A10" s="28"/>
      <c r="B10" s="132"/>
      <c r="C10" s="28"/>
      <c r="D10" s="260" t="str">
        <f>IFERROR(__xludf.DUMMYFUNCTION("""COMPUTED_VALUE"""),"   R")</f>
        <v>R</v>
      </c>
      <c r="E10" s="261" t="str">
        <f>IFERROR(__xludf.DUMMYFUNCTION("""COMPUTED_VALUE"""),"Genesis Device")</f>
        <v>Genesis Device</v>
      </c>
      <c r="F10" s="270">
        <f>IFERROR(__xludf.DUMMYFUNCTION("""COMPUTED_VALUE"""),3.0)</f>
        <v>3</v>
      </c>
      <c r="G10" s="239" t="str">
        <f>IFERROR(__xludf.DUMMYFUNCTION("""COMPUTED_VALUE"""),"✅")</f>
        <v>✅</v>
      </c>
      <c r="H10" s="243"/>
      <c r="I10" s="243" t="str">
        <f>IFERROR(__xludf.DUMMYFUNCTION("""COMPUTED_VALUE"""),"ShieldHPMax")</f>
        <v>ShieldHPMax</v>
      </c>
      <c r="J10" s="243" t="str">
        <f>IFERROR(__xludf.DUMMYFUNCTION("""COMPUTED_VALUE"""),"Increases base SHP by X.")</f>
        <v>Increases base SHP by X.</v>
      </c>
      <c r="K10" s="255"/>
      <c r="L10" s="255"/>
      <c r="M10" s="255"/>
      <c r="N10" s="255"/>
      <c r="O10" s="255"/>
      <c r="P10" s="255"/>
      <c r="Q10" s="256"/>
      <c r="R10" s="257"/>
      <c r="S10" s="258"/>
      <c r="T10" s="255"/>
      <c r="U10" s="258"/>
      <c r="V10" s="259"/>
    </row>
    <row r="11">
      <c r="A11" s="28"/>
      <c r="B11" s="128"/>
      <c r="C11" s="28"/>
      <c r="D11" s="250" t="str">
        <f>IFERROR(__xludf.DUMMYFUNCTION("""COMPUTED_VALUE"""),"   R")</f>
        <v>R</v>
      </c>
      <c r="E11" s="251" t="str">
        <f>IFERROR(__xludf.DUMMYFUNCTION("""COMPUTED_VALUE"""),"Mark VI Photon Torpedo")</f>
        <v>Mark VI Photon Torpedo</v>
      </c>
      <c r="F11" s="271">
        <f>IFERROR(__xludf.DUMMYFUNCTION("""COMPUTED_VALUE"""),3.0)</f>
        <v>3</v>
      </c>
      <c r="G11" s="253" t="str">
        <f>IFERROR(__xludf.DUMMYFUNCTION("""COMPUTED_VALUE"""),"✅")</f>
        <v>✅</v>
      </c>
      <c r="H11" s="254"/>
      <c r="I11" s="254" t="str">
        <f>IFERROR(__xludf.DUMMYFUNCTION("""COMPUTED_VALUE"""),"HullHPMax")</f>
        <v>HullHPMax</v>
      </c>
      <c r="J11" s="254" t="str">
        <f>IFERROR(__xludf.DUMMYFUNCTION("""COMPUTED_VALUE"""),"Increases base Hull Health by X.")</f>
        <v>Increases base Hull Health by X.</v>
      </c>
      <c r="K11" s="255"/>
      <c r="L11" s="255"/>
      <c r="M11" s="255"/>
      <c r="N11" s="255"/>
      <c r="O11" s="255"/>
      <c r="P11" s="255"/>
      <c r="Q11" s="256"/>
      <c r="R11" s="257"/>
      <c r="S11" s="258"/>
      <c r="T11" s="255"/>
      <c r="U11" s="258"/>
      <c r="V11" s="259"/>
    </row>
    <row r="12">
      <c r="A12" s="28"/>
      <c r="B12" s="128"/>
      <c r="C12" s="28"/>
      <c r="D12" s="260" t="str">
        <f>IFERROR(__xludf.DUMMYFUNCTION("""COMPUTED_VALUE"""),"   R")</f>
        <v>R</v>
      </c>
      <c r="E12" s="261" t="str">
        <f>IFERROR(__xludf.DUMMYFUNCTION("""COMPUTED_VALUE"""),"Omega Molecule")</f>
        <v>Omega Molecule</v>
      </c>
      <c r="F12" s="270">
        <f>IFERROR(__xludf.DUMMYFUNCTION("""COMPUTED_VALUE"""),3.0)</f>
        <v>3</v>
      </c>
      <c r="G12" s="239" t="str">
        <f>IFERROR(__xludf.DUMMYFUNCTION("""COMPUTED_VALUE"""),"✅")</f>
        <v>✅</v>
      </c>
      <c r="H12" s="243"/>
      <c r="I12" s="243" t="str">
        <f>IFERROR(__xludf.DUMMYFUNCTION("""COMPUTED_VALUE"""),"CritDamage")</f>
        <v>CritDamage</v>
      </c>
      <c r="J12" s="243" t="str">
        <f>IFERROR(__xludf.DUMMYFUNCTION("""COMPUTED_VALUE"""),"Increases base Crit Damage for all ships by X.")</f>
        <v>Increases base Crit Damage for all ships by X.</v>
      </c>
      <c r="K12" s="255"/>
      <c r="L12" s="255"/>
      <c r="M12" s="255"/>
      <c r="N12" s="255"/>
      <c r="O12" s="255"/>
      <c r="P12" s="255"/>
      <c r="Q12" s="256"/>
      <c r="R12" s="257"/>
      <c r="S12" s="258"/>
      <c r="T12" s="255"/>
      <c r="U12" s="258"/>
      <c r="V12" s="259"/>
    </row>
    <row r="13">
      <c r="A13" s="28"/>
      <c r="B13" s="128"/>
      <c r="C13" s="28"/>
      <c r="D13" s="250" t="str">
        <f>IFERROR(__xludf.DUMMYFUNCTION("""COMPUTED_VALUE"""),"   E")</f>
        <v>E</v>
      </c>
      <c r="E13" s="251" t="str">
        <f>IFERROR(__xludf.DUMMYFUNCTION("""COMPUTED_VALUE"""),"The Godsend")</f>
        <v>The Godsend</v>
      </c>
      <c r="F13" s="271">
        <f>IFERROR(__xludf.DUMMYFUNCTION("""COMPUTED_VALUE"""),1.0)</f>
        <v>1</v>
      </c>
      <c r="G13" s="253" t="str">
        <f>IFERROR(__xludf.DUMMYFUNCTION("""COMPUTED_VALUE"""),"✅")</f>
        <v>✅</v>
      </c>
      <c r="H13" s="254"/>
      <c r="I13" s="254" t="str">
        <f>IFERROR(__xludf.DUMMYFUNCTION("""COMPUTED_VALUE"""),"AllDamage")</f>
        <v>AllDamage</v>
      </c>
      <c r="J13" s="254" t="str">
        <f>IFERROR(__xludf.DUMMYFUNCTION("""COMPUTED_VALUE"""),"Increases base Weapon Damage against hostiles by X.")</f>
        <v>Increases base Weapon Damage against hostiles by X.</v>
      </c>
      <c r="K13" s="255"/>
      <c r="L13" s="255"/>
      <c r="M13" s="255"/>
      <c r="N13" s="255"/>
      <c r="O13" s="255"/>
      <c r="P13" s="255"/>
      <c r="Q13" s="256"/>
      <c r="R13" s="257"/>
      <c r="S13" s="258"/>
      <c r="T13" s="255"/>
      <c r="U13" s="258"/>
      <c r="V13" s="259"/>
    </row>
    <row r="14">
      <c r="A14" s="28"/>
      <c r="B14" s="128"/>
      <c r="C14" s="28"/>
      <c r="D14" s="260" t="str">
        <f>IFERROR(__xludf.DUMMYFUNCTION("""COMPUTED_VALUE"""),"   R")</f>
        <v>R</v>
      </c>
      <c r="E14" s="261" t="str">
        <f>IFERROR(__xludf.DUMMYFUNCTION("""COMPUTED_VALUE"""),"Tothian Mines")</f>
        <v>Tothian Mines</v>
      </c>
      <c r="F14" s="270">
        <f>IFERROR(__xludf.DUMMYFUNCTION("""COMPUTED_VALUE"""),1.0)</f>
        <v>1</v>
      </c>
      <c r="G14" s="239" t="str">
        <f>IFERROR(__xludf.DUMMYFUNCTION("""COMPUTED_VALUE"""),"✅")</f>
        <v>✅</v>
      </c>
      <c r="H14" s="243"/>
      <c r="I14" s="243" t="str">
        <f>IFERROR(__xludf.DUMMYFUNCTION("""COMPUTED_VALUE"""),"IsolyticDefense")</f>
        <v>IsolyticDefense</v>
      </c>
      <c r="J14" s="243" t="str">
        <f>IFERROR(__xludf.DUMMYFUNCTION("""COMPUTED_VALUE"""),"Increases Isolytic Defense by X for 2 rounds when hit by a Critical Hit.")</f>
        <v>Increases Isolytic Defense by X for 2 rounds when hit by a Critical Hit.</v>
      </c>
      <c r="K14" s="255"/>
      <c r="L14" s="255"/>
      <c r="M14" s="255"/>
      <c r="N14" s="255"/>
      <c r="O14" s="255"/>
      <c r="P14" s="255"/>
      <c r="Q14" s="256"/>
      <c r="R14" s="257"/>
      <c r="S14" s="258"/>
      <c r="T14" s="255"/>
      <c r="U14" s="258"/>
      <c r="V14" s="259"/>
    </row>
    <row r="15">
      <c r="A15" s="28"/>
      <c r="B15" s="128"/>
      <c r="C15" s="28"/>
      <c r="D15" s="250" t="str">
        <f>IFERROR(__xludf.DUMMYFUNCTION("""COMPUTED_VALUE"""),"   E")</f>
        <v>E</v>
      </c>
      <c r="E15" s="251" t="str">
        <f>IFERROR(__xludf.DUMMYFUNCTION("""COMPUTED_VALUE"""),"Echo Papa 607")</f>
        <v>Echo Papa 607</v>
      </c>
      <c r="F15" s="271">
        <f>IFERROR(__xludf.DUMMYFUNCTION("""COMPUTED_VALUE"""),1.0)</f>
        <v>1</v>
      </c>
      <c r="G15" s="253" t="str">
        <f>IFERROR(__xludf.DUMMYFUNCTION("""COMPUTED_VALUE"""),"✴️")</f>
        <v>✴️</v>
      </c>
      <c r="H15" s="254" t="str">
        <f>IFERROR(__xludf.DUMMYFUNCTION("""COMPUTED_VALUE"""),"HullHealthBelow")</f>
        <v>HullHealthBelow</v>
      </c>
      <c r="I15" s="254" t="str">
        <f>IFERROR(__xludf.DUMMYFUNCTION("""COMPUTED_VALUE"""),"AllDamage")</f>
        <v>AllDamage</v>
      </c>
      <c r="J15" s="254" t="str">
        <f>IFERROR(__xludf.DUMMYFUNCTION("""COMPUTED_VALUE"""),"Increases Weapon Damage by X when enemy HHP is below 40%.")</f>
        <v>Increases Weapon Damage by X when enemy HHP is below 40%.</v>
      </c>
      <c r="K15" s="255"/>
      <c r="L15" s="255"/>
      <c r="M15" s="255"/>
      <c r="N15" s="255"/>
      <c r="O15" s="255"/>
      <c r="P15" s="255"/>
      <c r="Q15" s="256"/>
      <c r="R15" s="257"/>
      <c r="S15" s="258"/>
      <c r="T15" s="255"/>
      <c r="U15" s="258"/>
      <c r="V15" s="259"/>
    </row>
    <row r="16">
      <c r="A16" s="28"/>
      <c r="B16" s="128"/>
      <c r="C16" s="28"/>
      <c r="D16" s="260" t="str">
        <f>IFERROR(__xludf.DUMMYFUNCTION("""COMPUTED_VALUE"""),"   R")</f>
        <v>R</v>
      </c>
      <c r="E16" s="261" t="str">
        <f>IFERROR(__xludf.DUMMYFUNCTION("""COMPUTED_VALUE"""),"Particle Synthesis")</f>
        <v>Particle Synthesis</v>
      </c>
      <c r="F16" s="270">
        <f>IFERROR(__xludf.DUMMYFUNCTION("""COMPUTED_VALUE"""),2.0)</f>
        <v>2</v>
      </c>
      <c r="G16" s="239" t="str">
        <f>IFERROR(__xludf.DUMMYFUNCTION("""COMPUTED_VALUE"""),"✴️")</f>
        <v>✴️</v>
      </c>
      <c r="H16" s="243" t="str">
        <f>IFERROR(__xludf.DUMMYFUNCTION("""COMPUTED_VALUE"""),"CombatPveRewards (on Serene Squall)")</f>
        <v>CombatPveRewards (on Serene Squall)</v>
      </c>
      <c r="I16" s="243" t="str">
        <f>IFERROR(__xludf.DUMMYFUNCTION("""COMPUTED_VALUE"""),"CombatPveRewards")</f>
        <v>CombatPveRewards</v>
      </c>
      <c r="J16" s="243" t="str">
        <f>IFERROR(__xludf.DUMMYFUNCTION("""COMPUTED_VALUE"""),"Increases loot from all Hostiles, Armadas or Outposts when using Serene Squall by X.")</f>
        <v>Increases loot from all Hostiles, Armadas or Outposts when using Serene Squall by X.</v>
      </c>
      <c r="K16" s="255"/>
      <c r="L16" s="255"/>
      <c r="M16" s="255"/>
      <c r="N16" s="255"/>
      <c r="O16" s="255"/>
      <c r="P16" s="255"/>
      <c r="Q16" s="256"/>
      <c r="R16" s="257"/>
      <c r="S16" s="258"/>
      <c r="T16" s="255"/>
      <c r="U16" s="258"/>
      <c r="V16" s="259"/>
    </row>
    <row r="17">
      <c r="A17" s="68"/>
      <c r="B17" s="132"/>
      <c r="C17" s="68"/>
      <c r="D17" s="250"/>
      <c r="E17" s="251"/>
      <c r="F17" s="271"/>
      <c r="G17" s="253"/>
      <c r="H17" s="254"/>
      <c r="I17" s="254"/>
      <c r="J17" s="254"/>
      <c r="K17" s="255"/>
      <c r="L17" s="255"/>
      <c r="M17" s="255"/>
      <c r="N17" s="255"/>
      <c r="O17" s="255"/>
      <c r="P17" s="255"/>
      <c r="Q17" s="256"/>
      <c r="R17" s="257"/>
      <c r="S17" s="258"/>
      <c r="T17" s="255"/>
      <c r="U17" s="258"/>
      <c r="V17" s="259"/>
    </row>
    <row r="18">
      <c r="A18" s="68"/>
      <c r="B18" s="147"/>
      <c r="C18" s="68"/>
      <c r="D18" s="260"/>
      <c r="E18" s="261"/>
      <c r="F18" s="270"/>
      <c r="G18" s="239"/>
      <c r="H18" s="243"/>
      <c r="I18" s="243"/>
      <c r="J18" s="243"/>
      <c r="K18" s="255"/>
      <c r="L18" s="255"/>
      <c r="M18" s="255"/>
      <c r="N18" s="255"/>
      <c r="O18" s="255"/>
      <c r="P18" s="255"/>
      <c r="Q18" s="256"/>
      <c r="R18" s="257"/>
      <c r="S18" s="258"/>
      <c r="T18" s="255"/>
      <c r="U18" s="258"/>
      <c r="V18" s="259"/>
    </row>
    <row r="19">
      <c r="A19" s="68"/>
      <c r="B19" s="147"/>
      <c r="C19" s="68"/>
      <c r="D19" s="250"/>
      <c r="E19" s="251"/>
      <c r="F19" s="271"/>
      <c r="G19" s="253"/>
      <c r="H19" s="254"/>
      <c r="I19" s="254"/>
      <c r="J19" s="254"/>
      <c r="K19" s="255"/>
      <c r="L19" s="255"/>
      <c r="M19" s="255"/>
      <c r="N19" s="255"/>
      <c r="O19" s="255"/>
      <c r="P19" s="255"/>
      <c r="Q19" s="256"/>
      <c r="R19" s="257"/>
      <c r="S19" s="258"/>
      <c r="T19" s="255"/>
      <c r="U19" s="258"/>
      <c r="V19" s="259"/>
    </row>
    <row r="20">
      <c r="A20" s="68"/>
      <c r="B20" s="147"/>
      <c r="C20" s="68"/>
      <c r="D20" s="260"/>
      <c r="E20" s="261"/>
      <c r="F20" s="270"/>
      <c r="G20" s="239"/>
      <c r="H20" s="243"/>
      <c r="I20" s="243"/>
      <c r="J20" s="243"/>
      <c r="K20" s="255"/>
      <c r="L20" s="255"/>
      <c r="M20" s="255"/>
      <c r="N20" s="255"/>
      <c r="O20" s="255"/>
      <c r="P20" s="255"/>
      <c r="Q20" s="256"/>
      <c r="R20" s="257"/>
      <c r="S20" s="258"/>
      <c r="T20" s="255"/>
      <c r="U20" s="258"/>
      <c r="V20" s="259"/>
    </row>
    <row r="21">
      <c r="A21" s="68"/>
      <c r="B21" s="147"/>
      <c r="C21" s="68"/>
      <c r="D21" s="250"/>
      <c r="E21" s="251"/>
      <c r="F21" s="271"/>
      <c r="G21" s="253"/>
      <c r="H21" s="254"/>
      <c r="I21" s="254"/>
      <c r="J21" s="254"/>
      <c r="K21" s="255"/>
      <c r="L21" s="255"/>
      <c r="M21" s="255"/>
      <c r="N21" s="255"/>
      <c r="O21" s="255"/>
      <c r="P21" s="255"/>
      <c r="Q21" s="256"/>
      <c r="R21" s="257"/>
      <c r="S21" s="258"/>
      <c r="T21" s="255"/>
      <c r="U21" s="258"/>
      <c r="V21" s="259"/>
    </row>
    <row r="22">
      <c r="A22" s="68"/>
      <c r="B22" s="153" t="str">
        <f>'Infos - Start Here!'!B22</f>
        <v/>
      </c>
      <c r="C22" s="68"/>
      <c r="D22" s="260"/>
      <c r="E22" s="261"/>
      <c r="F22" s="270"/>
      <c r="G22" s="239"/>
      <c r="H22" s="243"/>
      <c r="I22" s="243"/>
      <c r="J22" s="243"/>
      <c r="K22" s="255"/>
      <c r="L22" s="255"/>
      <c r="M22" s="255"/>
      <c r="N22" s="255"/>
      <c r="O22" s="255"/>
      <c r="P22" s="255"/>
      <c r="Q22" s="256"/>
      <c r="R22" s="257"/>
      <c r="S22" s="258"/>
      <c r="T22" s="255"/>
      <c r="U22" s="258"/>
      <c r="V22" s="259"/>
    </row>
    <row r="23">
      <c r="A23" s="68"/>
      <c r="B23" s="155"/>
      <c r="C23" s="68"/>
      <c r="D23" s="250"/>
      <c r="E23" s="251"/>
      <c r="F23" s="271"/>
      <c r="G23" s="253"/>
      <c r="H23" s="254"/>
      <c r="I23" s="254"/>
      <c r="J23" s="254"/>
      <c r="K23" s="255"/>
      <c r="L23" s="255"/>
      <c r="M23" s="255"/>
      <c r="N23" s="255"/>
      <c r="O23" s="255"/>
      <c r="P23" s="255"/>
      <c r="Q23" s="256"/>
      <c r="R23" s="257"/>
      <c r="S23" s="258"/>
      <c r="T23" s="255"/>
      <c r="U23" s="258"/>
      <c r="V23" s="259"/>
    </row>
    <row r="24">
      <c r="A24" s="68"/>
      <c r="B24" s="164"/>
      <c r="C24" s="68"/>
      <c r="D24" s="260"/>
      <c r="E24" s="261"/>
      <c r="F24" s="270"/>
      <c r="G24" s="239"/>
      <c r="H24" s="243"/>
      <c r="I24" s="243"/>
      <c r="J24" s="243"/>
      <c r="K24" s="255"/>
      <c r="L24" s="255"/>
      <c r="M24" s="255"/>
      <c r="N24" s="255"/>
      <c r="O24" s="255"/>
      <c r="P24" s="255"/>
      <c r="Q24" s="256"/>
      <c r="R24" s="257"/>
      <c r="S24" s="258"/>
      <c r="T24" s="255"/>
      <c r="U24" s="258"/>
      <c r="V24" s="259"/>
    </row>
    <row r="25">
      <c r="A25" s="68"/>
      <c r="B25" s="164"/>
      <c r="C25" s="68"/>
      <c r="D25" s="250"/>
      <c r="E25" s="251"/>
      <c r="F25" s="271"/>
      <c r="G25" s="253"/>
      <c r="H25" s="254"/>
      <c r="I25" s="254"/>
      <c r="J25" s="254"/>
      <c r="K25" s="255"/>
      <c r="L25" s="255"/>
      <c r="M25" s="255"/>
      <c r="N25" s="255"/>
      <c r="O25" s="255"/>
      <c r="P25" s="255"/>
      <c r="Q25" s="256"/>
      <c r="R25" s="257"/>
      <c r="S25" s="258"/>
      <c r="T25" s="255"/>
      <c r="U25" s="258"/>
      <c r="V25" s="259"/>
    </row>
    <row r="26">
      <c r="A26" s="68"/>
      <c r="B26" s="164"/>
      <c r="C26" s="68"/>
      <c r="D26" s="260"/>
      <c r="E26" s="261"/>
      <c r="F26" s="270"/>
      <c r="G26" s="239"/>
      <c r="H26" s="243"/>
      <c r="I26" s="243"/>
      <c r="J26" s="243"/>
      <c r="K26" s="255"/>
      <c r="L26" s="255"/>
      <c r="M26" s="255"/>
      <c r="N26" s="255"/>
      <c r="O26" s="255"/>
      <c r="P26" s="255"/>
      <c r="Q26" s="256"/>
      <c r="R26" s="257"/>
      <c r="S26" s="258"/>
      <c r="T26" s="255"/>
      <c r="U26" s="258"/>
      <c r="V26" s="259"/>
    </row>
    <row r="27">
      <c r="A27" s="68"/>
      <c r="B27" s="164"/>
      <c r="C27" s="68"/>
      <c r="D27" s="250"/>
      <c r="E27" s="251"/>
      <c r="F27" s="271"/>
      <c r="G27" s="253"/>
      <c r="H27" s="254"/>
      <c r="I27" s="254"/>
      <c r="J27" s="254"/>
      <c r="K27" s="255"/>
      <c r="L27" s="255"/>
      <c r="M27" s="255"/>
      <c r="N27" s="255"/>
      <c r="O27" s="255"/>
      <c r="P27" s="255"/>
      <c r="Q27" s="256"/>
      <c r="R27" s="257"/>
      <c r="S27" s="258"/>
      <c r="T27" s="255"/>
      <c r="U27" s="258"/>
      <c r="V27" s="259"/>
    </row>
    <row r="28">
      <c r="A28" s="68"/>
      <c r="B28" s="164"/>
      <c r="C28" s="68"/>
      <c r="D28" s="260"/>
      <c r="E28" s="261"/>
      <c r="F28" s="270"/>
      <c r="G28" s="239"/>
      <c r="H28" s="243"/>
      <c r="I28" s="243"/>
      <c r="J28" s="243"/>
      <c r="K28" s="255"/>
      <c r="L28" s="255"/>
      <c r="M28" s="255"/>
      <c r="N28" s="255"/>
      <c r="O28" s="255"/>
      <c r="P28" s="255"/>
      <c r="Q28" s="256"/>
      <c r="R28" s="257"/>
      <c r="S28" s="258"/>
      <c r="T28" s="255"/>
      <c r="U28" s="258"/>
      <c r="V28" s="259"/>
    </row>
    <row r="29">
      <c r="A29" s="68"/>
      <c r="B29" s="164"/>
      <c r="C29" s="68"/>
      <c r="D29" s="250"/>
      <c r="E29" s="251"/>
      <c r="F29" s="271"/>
      <c r="G29" s="253"/>
      <c r="H29" s="254"/>
      <c r="I29" s="254"/>
      <c r="J29" s="254"/>
      <c r="K29" s="255"/>
      <c r="L29" s="255"/>
      <c r="M29" s="255"/>
      <c r="N29" s="255"/>
      <c r="O29" s="255"/>
      <c r="P29" s="255"/>
      <c r="Q29" s="256"/>
      <c r="R29" s="257"/>
      <c r="S29" s="258"/>
      <c r="T29" s="255"/>
      <c r="U29" s="258"/>
      <c r="V29" s="259"/>
    </row>
    <row r="30">
      <c r="A30" s="68"/>
      <c r="B30" s="182"/>
      <c r="C30" s="68"/>
      <c r="D30" s="260"/>
      <c r="E30" s="261"/>
      <c r="F30" s="270"/>
      <c r="G30" s="239"/>
      <c r="H30" s="243"/>
      <c r="I30" s="243"/>
      <c r="J30" s="243"/>
      <c r="K30" s="255"/>
      <c r="L30" s="255"/>
      <c r="M30" s="255"/>
      <c r="N30" s="255"/>
      <c r="O30" s="255"/>
      <c r="P30" s="255"/>
      <c r="Q30" s="256"/>
      <c r="R30" s="257"/>
      <c r="S30" s="258"/>
      <c r="T30" s="255"/>
      <c r="U30" s="258"/>
      <c r="V30" s="259"/>
    </row>
    <row r="31">
      <c r="A31" s="68"/>
      <c r="B31" s="184"/>
      <c r="C31" s="68"/>
      <c r="D31" s="250"/>
      <c r="E31" s="251"/>
      <c r="F31" s="271"/>
      <c r="G31" s="253"/>
      <c r="H31" s="254"/>
      <c r="I31" s="254"/>
      <c r="J31" s="254"/>
      <c r="K31" s="255"/>
      <c r="L31" s="255"/>
      <c r="M31" s="255"/>
      <c r="N31" s="255"/>
      <c r="O31" s="255"/>
      <c r="P31" s="255"/>
      <c r="Q31" s="256"/>
      <c r="R31" s="257"/>
      <c r="S31" s="258"/>
      <c r="T31" s="255"/>
      <c r="U31" s="258"/>
      <c r="V31" s="259"/>
    </row>
    <row r="32">
      <c r="A32" s="68"/>
      <c r="B32" s="184"/>
      <c r="C32" s="68"/>
      <c r="D32" s="260"/>
      <c r="E32" s="261"/>
      <c r="F32" s="270"/>
      <c r="G32" s="239"/>
      <c r="H32" s="243"/>
      <c r="I32" s="243"/>
      <c r="J32" s="243"/>
      <c r="K32" s="255"/>
      <c r="L32" s="255"/>
      <c r="M32" s="255"/>
      <c r="N32" s="255"/>
      <c r="O32" s="255"/>
      <c r="P32" s="255"/>
      <c r="Q32" s="256"/>
      <c r="R32" s="257"/>
      <c r="S32" s="258"/>
      <c r="T32" s="255"/>
      <c r="U32" s="258"/>
      <c r="V32" s="259"/>
    </row>
    <row r="33">
      <c r="A33" s="68"/>
      <c r="B33" s="184"/>
      <c r="C33" s="68"/>
      <c r="D33" s="250"/>
      <c r="E33" s="251"/>
      <c r="F33" s="271"/>
      <c r="G33" s="253"/>
      <c r="H33" s="254"/>
      <c r="I33" s="254"/>
      <c r="J33" s="254"/>
      <c r="K33" s="255"/>
      <c r="L33" s="255"/>
      <c r="M33" s="255"/>
      <c r="N33" s="255"/>
      <c r="O33" s="255"/>
      <c r="P33" s="255"/>
      <c r="Q33" s="256"/>
      <c r="R33" s="257"/>
      <c r="S33" s="258"/>
      <c r="T33" s="255"/>
      <c r="U33" s="258"/>
      <c r="V33" s="259"/>
    </row>
    <row r="34">
      <c r="A34" s="68"/>
      <c r="B34" s="184"/>
      <c r="C34" s="68"/>
      <c r="D34" s="260"/>
      <c r="E34" s="261"/>
      <c r="F34" s="270"/>
      <c r="G34" s="239"/>
      <c r="H34" s="243"/>
      <c r="I34" s="243"/>
      <c r="J34" s="243"/>
      <c r="K34" s="255"/>
      <c r="L34" s="255"/>
      <c r="M34" s="255"/>
      <c r="N34" s="255"/>
      <c r="O34" s="255"/>
      <c r="P34" s="255"/>
      <c r="Q34" s="256"/>
      <c r="R34" s="257"/>
      <c r="S34" s="258"/>
      <c r="T34" s="255"/>
      <c r="U34" s="258"/>
      <c r="V34" s="259"/>
    </row>
    <row r="35">
      <c r="A35" s="68"/>
      <c r="B35" s="147"/>
      <c r="C35" s="68"/>
      <c r="D35" s="250"/>
      <c r="E35" s="251"/>
      <c r="F35" s="271"/>
      <c r="G35" s="253"/>
      <c r="H35" s="254"/>
      <c r="I35" s="254"/>
      <c r="J35" s="254"/>
      <c r="K35" s="255"/>
      <c r="L35" s="255"/>
      <c r="M35" s="255"/>
      <c r="N35" s="255"/>
      <c r="O35" s="255"/>
      <c r="P35" s="255"/>
      <c r="Q35" s="256"/>
      <c r="R35" s="257"/>
      <c r="S35" s="258"/>
      <c r="T35" s="255"/>
      <c r="U35" s="258"/>
      <c r="V35" s="259"/>
    </row>
    <row r="36">
      <c r="A36" s="68"/>
      <c r="B36" s="147"/>
      <c r="C36" s="68"/>
      <c r="D36" s="260"/>
      <c r="E36" s="261"/>
      <c r="F36" s="270"/>
      <c r="G36" s="239"/>
      <c r="H36" s="243"/>
      <c r="I36" s="243"/>
      <c r="J36" s="243"/>
      <c r="K36" s="255"/>
      <c r="L36" s="255"/>
      <c r="M36" s="255"/>
      <c r="N36" s="255"/>
      <c r="O36" s="255"/>
      <c r="P36" s="255"/>
      <c r="Q36" s="256"/>
      <c r="R36" s="257"/>
      <c r="S36" s="258"/>
      <c r="T36" s="255"/>
      <c r="U36" s="258"/>
      <c r="V36" s="259"/>
    </row>
    <row r="37">
      <c r="A37" s="68"/>
      <c r="B37" s="147"/>
      <c r="C37" s="68"/>
      <c r="D37" s="250"/>
      <c r="E37" s="251"/>
      <c r="F37" s="271"/>
      <c r="G37" s="253"/>
      <c r="H37" s="254"/>
      <c r="I37" s="254"/>
      <c r="J37" s="254"/>
      <c r="K37" s="255"/>
      <c r="L37" s="255"/>
      <c r="M37" s="255"/>
      <c r="N37" s="255"/>
      <c r="O37" s="255"/>
      <c r="P37" s="255"/>
      <c r="Q37" s="256"/>
      <c r="R37" s="257"/>
      <c r="S37" s="258"/>
      <c r="T37" s="255"/>
      <c r="U37" s="258"/>
      <c r="V37" s="259"/>
    </row>
    <row r="38">
      <c r="A38" s="68"/>
      <c r="B38" s="147"/>
      <c r="C38" s="68"/>
      <c r="D38" s="260"/>
      <c r="E38" s="261"/>
      <c r="F38" s="270"/>
      <c r="G38" s="239"/>
      <c r="H38" s="243"/>
      <c r="I38" s="243"/>
      <c r="J38" s="243"/>
      <c r="K38" s="255"/>
      <c r="L38" s="255"/>
      <c r="M38" s="255"/>
      <c r="N38" s="255"/>
      <c r="O38" s="255"/>
      <c r="P38" s="255"/>
      <c r="Q38" s="256"/>
      <c r="R38" s="257"/>
      <c r="S38" s="258"/>
      <c r="T38" s="255"/>
      <c r="U38" s="258"/>
      <c r="V38" s="259"/>
    </row>
    <row r="39">
      <c r="A39" s="68"/>
      <c r="B39" s="201"/>
      <c r="C39" s="68"/>
      <c r="D39" s="250"/>
      <c r="E39" s="251"/>
      <c r="F39" s="271"/>
      <c r="G39" s="253"/>
      <c r="H39" s="254"/>
      <c r="I39" s="254"/>
      <c r="J39" s="254"/>
      <c r="K39" s="255"/>
      <c r="L39" s="255"/>
      <c r="M39" s="255"/>
      <c r="N39" s="255"/>
      <c r="O39" s="255"/>
      <c r="P39" s="255"/>
      <c r="Q39" s="256"/>
      <c r="R39" s="257"/>
      <c r="S39" s="258"/>
      <c r="T39" s="255"/>
      <c r="U39" s="258"/>
      <c r="V39" s="259"/>
    </row>
    <row r="40">
      <c r="A40" s="68"/>
      <c r="B40" s="201"/>
      <c r="C40" s="68"/>
      <c r="D40" s="260"/>
      <c r="E40" s="261"/>
      <c r="F40" s="270"/>
      <c r="G40" s="239"/>
      <c r="H40" s="243"/>
      <c r="I40" s="243"/>
      <c r="J40" s="243"/>
      <c r="K40" s="255"/>
      <c r="L40" s="255"/>
      <c r="M40" s="255"/>
      <c r="N40" s="255"/>
      <c r="O40" s="255"/>
      <c r="P40" s="255"/>
      <c r="Q40" s="256"/>
      <c r="R40" s="257"/>
      <c r="S40" s="258"/>
      <c r="T40" s="255"/>
      <c r="U40" s="258"/>
      <c r="V40" s="259"/>
    </row>
    <row r="41">
      <c r="A41" s="68"/>
      <c r="B41" s="201"/>
      <c r="C41" s="68"/>
      <c r="D41" s="250"/>
      <c r="E41" s="251"/>
      <c r="F41" s="271"/>
      <c r="G41" s="253"/>
      <c r="H41" s="254"/>
      <c r="I41" s="254"/>
      <c r="J41" s="254"/>
      <c r="K41" s="255"/>
      <c r="L41" s="255"/>
      <c r="M41" s="255"/>
      <c r="N41" s="255"/>
      <c r="O41" s="255"/>
      <c r="P41" s="255"/>
      <c r="Q41" s="256"/>
      <c r="R41" s="257"/>
      <c r="S41" s="258"/>
      <c r="T41" s="255"/>
      <c r="U41" s="258"/>
      <c r="V41" s="259"/>
    </row>
    <row r="42">
      <c r="A42" s="68"/>
      <c r="B42" s="128"/>
      <c r="C42" s="68"/>
      <c r="D42" s="260"/>
      <c r="E42" s="261"/>
      <c r="F42" s="270"/>
      <c r="G42" s="239"/>
      <c r="H42" s="243"/>
      <c r="I42" s="243"/>
      <c r="J42" s="243"/>
      <c r="K42" s="255"/>
      <c r="L42" s="255"/>
      <c r="M42" s="255"/>
      <c r="N42" s="255"/>
      <c r="O42" s="255"/>
      <c r="P42" s="255"/>
      <c r="Q42" s="256"/>
      <c r="R42" s="257"/>
      <c r="S42" s="258"/>
      <c r="T42" s="255"/>
      <c r="U42" s="258"/>
      <c r="V42" s="259"/>
    </row>
    <row r="43">
      <c r="A43" s="68"/>
      <c r="B43" s="214"/>
      <c r="C43" s="68"/>
      <c r="D43" s="250"/>
      <c r="E43" s="251"/>
      <c r="F43" s="271"/>
      <c r="G43" s="253"/>
      <c r="H43" s="254"/>
      <c r="I43" s="254"/>
      <c r="J43" s="254"/>
      <c r="K43" s="255"/>
      <c r="L43" s="255"/>
      <c r="M43" s="255"/>
      <c r="N43" s="255"/>
      <c r="O43" s="255"/>
      <c r="P43" s="255"/>
      <c r="Q43" s="256"/>
      <c r="R43" s="257"/>
      <c r="S43" s="258"/>
      <c r="T43" s="255"/>
      <c r="U43" s="258"/>
      <c r="V43" s="259"/>
    </row>
    <row r="44">
      <c r="A44" s="68"/>
      <c r="B44" s="218"/>
      <c r="C44" s="68"/>
      <c r="D44" s="260"/>
      <c r="E44" s="261"/>
      <c r="F44" s="270"/>
      <c r="G44" s="239"/>
      <c r="H44" s="243"/>
      <c r="I44" s="243"/>
      <c r="J44" s="243"/>
      <c r="K44" s="255"/>
      <c r="L44" s="255"/>
      <c r="M44" s="255"/>
      <c r="N44" s="255"/>
      <c r="O44" s="255"/>
      <c r="P44" s="255"/>
      <c r="Q44" s="256"/>
      <c r="R44" s="257"/>
      <c r="S44" s="258"/>
      <c r="T44" s="255"/>
      <c r="U44" s="258"/>
      <c r="V44" s="259"/>
    </row>
    <row r="45">
      <c r="A45" s="68"/>
      <c r="B45" s="218"/>
      <c r="C45" s="68"/>
      <c r="D45" s="250"/>
      <c r="E45" s="251"/>
      <c r="F45" s="271"/>
      <c r="G45" s="253"/>
      <c r="H45" s="254"/>
      <c r="I45" s="254"/>
      <c r="J45" s="254"/>
      <c r="K45" s="255"/>
      <c r="L45" s="255"/>
      <c r="M45" s="255"/>
      <c r="N45" s="255"/>
      <c r="O45" s="255"/>
      <c r="P45" s="255"/>
      <c r="Q45" s="256"/>
      <c r="R45" s="257"/>
      <c r="S45" s="258"/>
      <c r="T45" s="255"/>
      <c r="U45" s="258"/>
      <c r="V45" s="259"/>
    </row>
    <row r="46">
      <c r="A46" s="68"/>
      <c r="B46" s="218"/>
      <c r="C46" s="68"/>
      <c r="D46" s="260"/>
      <c r="E46" s="261"/>
      <c r="F46" s="270"/>
      <c r="G46" s="239"/>
      <c r="H46" s="243"/>
      <c r="I46" s="243"/>
      <c r="J46" s="243"/>
      <c r="K46" s="255"/>
      <c r="L46" s="255"/>
      <c r="M46" s="255"/>
      <c r="N46" s="255"/>
      <c r="O46" s="255"/>
      <c r="P46" s="255"/>
      <c r="Q46" s="256"/>
      <c r="R46" s="257"/>
      <c r="S46" s="258"/>
      <c r="T46" s="255"/>
      <c r="U46" s="258"/>
      <c r="V46" s="259"/>
    </row>
    <row r="47">
      <c r="A47" s="68"/>
      <c r="B47" s="218"/>
      <c r="C47" s="68"/>
      <c r="D47" s="250"/>
      <c r="E47" s="251"/>
      <c r="F47" s="271"/>
      <c r="G47" s="253"/>
      <c r="H47" s="254"/>
      <c r="I47" s="254"/>
      <c r="J47" s="254"/>
      <c r="K47" s="255"/>
      <c r="L47" s="255"/>
      <c r="M47" s="255"/>
      <c r="N47" s="255"/>
      <c r="O47" s="255"/>
      <c r="P47" s="255"/>
      <c r="Q47" s="256"/>
      <c r="R47" s="257"/>
      <c r="S47" s="258"/>
      <c r="T47" s="255"/>
      <c r="U47" s="258"/>
      <c r="V47" s="259"/>
    </row>
    <row r="48">
      <c r="A48" s="68"/>
      <c r="B48" s="218"/>
      <c r="C48" s="68"/>
      <c r="D48" s="260"/>
      <c r="E48" s="261"/>
      <c r="F48" s="270"/>
      <c r="G48" s="239"/>
      <c r="H48" s="243"/>
      <c r="I48" s="243"/>
      <c r="J48" s="243"/>
      <c r="K48" s="255"/>
      <c r="L48" s="255"/>
      <c r="M48" s="255"/>
      <c r="N48" s="255"/>
      <c r="O48" s="255"/>
      <c r="P48" s="255"/>
      <c r="Q48" s="256"/>
      <c r="R48" s="257"/>
      <c r="S48" s="258"/>
      <c r="T48" s="255"/>
      <c r="U48" s="258"/>
      <c r="V48" s="259"/>
    </row>
    <row r="49">
      <c r="A49" s="68"/>
      <c r="B49" s="104"/>
      <c r="C49" s="68"/>
      <c r="D49" s="250"/>
      <c r="E49" s="251"/>
      <c r="F49" s="271"/>
      <c r="G49" s="253"/>
      <c r="H49" s="254"/>
      <c r="I49" s="254"/>
      <c r="J49" s="254"/>
      <c r="K49" s="255"/>
      <c r="L49" s="255"/>
      <c r="M49" s="255"/>
      <c r="N49" s="255"/>
      <c r="O49" s="255"/>
      <c r="P49" s="255"/>
      <c r="Q49" s="256"/>
      <c r="R49" s="257"/>
      <c r="S49" s="258"/>
      <c r="T49" s="255"/>
      <c r="U49" s="258"/>
      <c r="V49" s="259"/>
    </row>
    <row r="50">
      <c r="A50" s="68"/>
      <c r="B50" s="111"/>
      <c r="C50" s="68"/>
      <c r="D50" s="260"/>
      <c r="E50" s="261"/>
      <c r="F50" s="270"/>
      <c r="G50" s="239"/>
      <c r="H50" s="243"/>
      <c r="I50" s="243"/>
      <c r="J50" s="243"/>
      <c r="K50" s="255"/>
      <c r="L50" s="255"/>
      <c r="M50" s="255"/>
      <c r="N50" s="255"/>
      <c r="O50" s="255"/>
      <c r="P50" s="255"/>
      <c r="Q50" s="256"/>
      <c r="R50" s="257"/>
      <c r="S50" s="258"/>
      <c r="T50" s="255"/>
      <c r="U50" s="258"/>
      <c r="V50" s="259"/>
    </row>
    <row r="51">
      <c r="A51" s="68"/>
      <c r="B51" s="111"/>
      <c r="C51" s="68"/>
      <c r="D51" s="250"/>
      <c r="E51" s="251"/>
      <c r="F51" s="271"/>
      <c r="G51" s="253"/>
      <c r="H51" s="254"/>
      <c r="I51" s="254"/>
      <c r="J51" s="254"/>
      <c r="K51" s="255"/>
      <c r="L51" s="255"/>
      <c r="M51" s="255"/>
      <c r="N51" s="255"/>
      <c r="O51" s="255"/>
      <c r="P51" s="255"/>
      <c r="Q51" s="256"/>
      <c r="R51" s="257"/>
      <c r="S51" s="258"/>
      <c r="T51" s="255"/>
      <c r="U51" s="258"/>
      <c r="V51" s="259"/>
    </row>
    <row r="52">
      <c r="A52" s="68"/>
      <c r="B52" s="111"/>
      <c r="C52" s="68"/>
      <c r="D52" s="260"/>
      <c r="E52" s="261"/>
      <c r="F52" s="270"/>
      <c r="G52" s="239"/>
      <c r="H52" s="243"/>
      <c r="I52" s="243"/>
      <c r="J52" s="243"/>
      <c r="K52" s="255"/>
      <c r="L52" s="255"/>
      <c r="M52" s="255"/>
      <c r="N52" s="255"/>
      <c r="O52" s="255"/>
      <c r="P52" s="255"/>
      <c r="Q52" s="256"/>
      <c r="R52" s="257"/>
      <c r="S52" s="258"/>
      <c r="T52" s="255"/>
      <c r="U52" s="258"/>
      <c r="V52" s="259"/>
    </row>
    <row r="53">
      <c r="A53" s="68"/>
      <c r="B53" s="111"/>
      <c r="C53" s="68"/>
      <c r="D53" s="250"/>
      <c r="E53" s="251"/>
      <c r="F53" s="271"/>
      <c r="G53" s="253"/>
      <c r="H53" s="254"/>
      <c r="I53" s="254"/>
      <c r="J53" s="254"/>
      <c r="K53" s="255"/>
      <c r="L53" s="255"/>
      <c r="M53" s="255"/>
      <c r="N53" s="255"/>
      <c r="O53" s="255"/>
      <c r="P53" s="255"/>
      <c r="Q53" s="256"/>
      <c r="R53" s="257"/>
      <c r="S53" s="258"/>
      <c r="T53" s="255"/>
      <c r="U53" s="258"/>
      <c r="V53" s="259"/>
    </row>
    <row r="54">
      <c r="A54" s="68"/>
      <c r="B54" s="111"/>
      <c r="C54" s="68"/>
      <c r="D54" s="260"/>
      <c r="E54" s="261"/>
      <c r="F54" s="270"/>
      <c r="G54" s="239"/>
      <c r="H54" s="243"/>
      <c r="I54" s="243"/>
      <c r="J54" s="243"/>
      <c r="K54" s="255"/>
      <c r="L54" s="255"/>
      <c r="M54" s="255"/>
      <c r="N54" s="255"/>
      <c r="O54" s="255"/>
      <c r="P54" s="255"/>
      <c r="Q54" s="256"/>
      <c r="R54" s="257"/>
      <c r="S54" s="258"/>
      <c r="T54" s="255"/>
      <c r="U54" s="258"/>
      <c r="V54" s="259"/>
    </row>
    <row r="55">
      <c r="A55" s="68"/>
      <c r="B55" s="126"/>
      <c r="C55" s="68"/>
      <c r="D55" s="250"/>
      <c r="E55" s="251"/>
      <c r="F55" s="271"/>
      <c r="G55" s="253"/>
      <c r="H55" s="254"/>
      <c r="I55" s="254"/>
      <c r="J55" s="254"/>
      <c r="K55" s="255"/>
      <c r="L55" s="255"/>
      <c r="M55" s="255"/>
      <c r="N55" s="255"/>
      <c r="O55" s="255"/>
      <c r="P55" s="255"/>
      <c r="Q55" s="256"/>
      <c r="R55" s="257"/>
      <c r="S55" s="258"/>
      <c r="T55" s="255"/>
      <c r="U55" s="258"/>
      <c r="V55" s="259"/>
    </row>
    <row r="56">
      <c r="A56" s="68"/>
      <c r="B56" s="128"/>
      <c r="C56" s="68"/>
      <c r="D56" s="260"/>
      <c r="E56" s="261"/>
      <c r="F56" s="270"/>
      <c r="G56" s="239"/>
      <c r="H56" s="243"/>
      <c r="I56" s="243"/>
      <c r="J56" s="243"/>
      <c r="K56" s="255"/>
      <c r="L56" s="255"/>
      <c r="M56" s="255"/>
      <c r="N56" s="255"/>
      <c r="O56" s="255"/>
      <c r="P56" s="255"/>
      <c r="Q56" s="256"/>
      <c r="R56" s="257"/>
      <c r="S56" s="258"/>
      <c r="T56" s="255"/>
      <c r="U56" s="258"/>
      <c r="V56" s="259"/>
    </row>
    <row r="57">
      <c r="A57" s="68"/>
      <c r="B57" s="132"/>
      <c r="C57" s="68"/>
      <c r="D57" s="250"/>
      <c r="E57" s="251"/>
      <c r="F57" s="271"/>
      <c r="G57" s="253"/>
      <c r="H57" s="254"/>
      <c r="I57" s="254"/>
      <c r="J57" s="254"/>
      <c r="K57" s="255"/>
      <c r="L57" s="255"/>
      <c r="M57" s="255"/>
      <c r="N57" s="255"/>
      <c r="O57" s="255"/>
      <c r="P57" s="255"/>
      <c r="Q57" s="256"/>
      <c r="R57" s="257"/>
      <c r="S57" s="258"/>
      <c r="T57" s="255"/>
      <c r="U57" s="258"/>
      <c r="V57" s="259"/>
    </row>
    <row r="58">
      <c r="A58" s="68"/>
      <c r="B58" s="128"/>
      <c r="C58" s="68"/>
      <c r="D58" s="260"/>
      <c r="E58" s="261"/>
      <c r="F58" s="270"/>
      <c r="G58" s="239"/>
      <c r="H58" s="243"/>
      <c r="I58" s="243"/>
      <c r="J58" s="243"/>
      <c r="K58" s="255"/>
      <c r="L58" s="255"/>
      <c r="M58" s="255"/>
      <c r="N58" s="255"/>
      <c r="O58" s="255"/>
      <c r="P58" s="255"/>
      <c r="Q58" s="256"/>
      <c r="R58" s="257"/>
      <c r="S58" s="258"/>
      <c r="T58" s="255"/>
      <c r="U58" s="258"/>
      <c r="V58" s="259"/>
    </row>
    <row r="59">
      <c r="A59" s="68"/>
      <c r="B59" s="128"/>
      <c r="C59" s="68"/>
      <c r="D59" s="250"/>
      <c r="E59" s="251"/>
      <c r="F59" s="271"/>
      <c r="G59" s="253"/>
      <c r="H59" s="254"/>
      <c r="I59" s="254"/>
      <c r="J59" s="254"/>
      <c r="K59" s="255"/>
      <c r="L59" s="255"/>
      <c r="M59" s="255"/>
      <c r="N59" s="255"/>
      <c r="O59" s="255"/>
      <c r="P59" s="255"/>
      <c r="Q59" s="256"/>
      <c r="R59" s="257"/>
      <c r="S59" s="258"/>
      <c r="T59" s="255"/>
      <c r="U59" s="258"/>
      <c r="V59" s="259"/>
    </row>
    <row r="60">
      <c r="A60" s="68"/>
      <c r="B60" s="128"/>
      <c r="C60" s="68"/>
      <c r="D60" s="260"/>
      <c r="E60" s="261"/>
      <c r="F60" s="270"/>
      <c r="G60" s="239"/>
      <c r="H60" s="243"/>
      <c r="I60" s="243"/>
      <c r="J60" s="243"/>
      <c r="K60" s="255"/>
      <c r="L60" s="255"/>
      <c r="M60" s="255"/>
      <c r="N60" s="255"/>
      <c r="O60" s="255"/>
      <c r="P60" s="255"/>
      <c r="Q60" s="256"/>
      <c r="R60" s="257"/>
      <c r="S60" s="258"/>
      <c r="T60" s="255"/>
      <c r="U60" s="258"/>
      <c r="V60" s="259"/>
    </row>
    <row r="61">
      <c r="A61" s="68"/>
      <c r="B61" s="128"/>
      <c r="C61" s="68"/>
      <c r="D61" s="250"/>
      <c r="E61" s="251"/>
      <c r="F61" s="271"/>
      <c r="G61" s="253"/>
      <c r="H61" s="254"/>
      <c r="I61" s="254"/>
      <c r="J61" s="254"/>
      <c r="K61" s="255"/>
      <c r="L61" s="255"/>
      <c r="M61" s="255"/>
      <c r="N61" s="255"/>
      <c r="O61" s="255"/>
      <c r="P61" s="255"/>
      <c r="Q61" s="256"/>
      <c r="R61" s="257"/>
      <c r="S61" s="258"/>
      <c r="T61" s="255"/>
      <c r="U61" s="258"/>
      <c r="V61" s="259"/>
    </row>
    <row r="62">
      <c r="A62" s="68"/>
      <c r="B62" s="128"/>
      <c r="C62" s="68"/>
      <c r="D62" s="260"/>
      <c r="E62" s="261"/>
      <c r="F62" s="270"/>
      <c r="G62" s="239"/>
      <c r="H62" s="243"/>
      <c r="I62" s="243"/>
      <c r="J62" s="243"/>
      <c r="K62" s="255"/>
      <c r="L62" s="255"/>
      <c r="M62" s="255"/>
      <c r="N62" s="255"/>
      <c r="O62" s="255"/>
      <c r="P62" s="255"/>
      <c r="Q62" s="256"/>
      <c r="R62" s="257"/>
      <c r="S62" s="258"/>
      <c r="T62" s="255"/>
      <c r="U62" s="258"/>
      <c r="V62" s="259"/>
    </row>
    <row r="63">
      <c r="A63" s="68"/>
      <c r="B63" s="128"/>
      <c r="C63" s="68"/>
      <c r="D63" s="250"/>
      <c r="E63" s="251"/>
      <c r="F63" s="271"/>
      <c r="G63" s="253"/>
      <c r="H63" s="254"/>
      <c r="I63" s="254"/>
      <c r="J63" s="254"/>
      <c r="K63" s="255"/>
      <c r="L63" s="255"/>
      <c r="M63" s="255"/>
      <c r="N63" s="255"/>
      <c r="O63" s="255"/>
      <c r="P63" s="255"/>
      <c r="Q63" s="256"/>
      <c r="R63" s="257"/>
      <c r="S63" s="258"/>
      <c r="T63" s="255"/>
      <c r="U63" s="258"/>
      <c r="V63" s="259"/>
    </row>
    <row r="64">
      <c r="A64" s="68"/>
      <c r="B64" s="132"/>
      <c r="C64" s="68"/>
      <c r="D64" s="260"/>
      <c r="E64" s="261"/>
      <c r="F64" s="270"/>
      <c r="G64" s="239"/>
      <c r="H64" s="243"/>
      <c r="I64" s="243"/>
      <c r="J64" s="243"/>
      <c r="K64" s="255"/>
      <c r="L64" s="255"/>
      <c r="M64" s="255"/>
      <c r="N64" s="255"/>
      <c r="O64" s="255"/>
      <c r="P64" s="255"/>
      <c r="Q64" s="256"/>
      <c r="R64" s="257"/>
      <c r="S64" s="258"/>
      <c r="T64" s="255"/>
      <c r="U64" s="258"/>
      <c r="V64" s="259"/>
    </row>
    <row r="65">
      <c r="A65" s="68"/>
      <c r="B65" s="147"/>
      <c r="C65" s="68"/>
      <c r="D65" s="250"/>
      <c r="E65" s="251"/>
      <c r="F65" s="271"/>
      <c r="G65" s="253"/>
      <c r="H65" s="254"/>
      <c r="I65" s="254"/>
      <c r="J65" s="254"/>
      <c r="K65" s="255"/>
      <c r="L65" s="255"/>
      <c r="M65" s="255"/>
      <c r="N65" s="255"/>
      <c r="O65" s="255"/>
      <c r="P65" s="255"/>
      <c r="Q65" s="256"/>
      <c r="R65" s="257"/>
      <c r="S65" s="258"/>
      <c r="T65" s="255"/>
      <c r="U65" s="258"/>
      <c r="V65" s="259"/>
    </row>
    <row r="66">
      <c r="A66" s="68"/>
      <c r="B66" s="147"/>
      <c r="C66" s="68"/>
      <c r="D66" s="260"/>
      <c r="E66" s="261"/>
      <c r="F66" s="270"/>
      <c r="G66" s="239"/>
      <c r="H66" s="243"/>
      <c r="I66" s="243"/>
      <c r="J66" s="243"/>
      <c r="K66" s="255"/>
      <c r="L66" s="255"/>
      <c r="M66" s="255"/>
      <c r="N66" s="255"/>
      <c r="O66" s="255"/>
      <c r="P66" s="255"/>
      <c r="Q66" s="256"/>
      <c r="R66" s="257"/>
      <c r="S66" s="258"/>
      <c r="T66" s="255"/>
      <c r="U66" s="258"/>
      <c r="V66" s="259"/>
    </row>
    <row r="67">
      <c r="A67" s="68"/>
      <c r="B67" s="147"/>
      <c r="C67" s="68"/>
      <c r="D67" s="250"/>
      <c r="E67" s="251"/>
      <c r="F67" s="271"/>
      <c r="G67" s="253"/>
      <c r="H67" s="254"/>
      <c r="I67" s="254"/>
      <c r="J67" s="254"/>
      <c r="K67" s="255"/>
      <c r="L67" s="255"/>
      <c r="M67" s="255"/>
      <c r="N67" s="255"/>
      <c r="O67" s="255"/>
      <c r="P67" s="255"/>
      <c r="Q67" s="256"/>
      <c r="R67" s="257"/>
      <c r="S67" s="258"/>
      <c r="T67" s="255"/>
      <c r="U67" s="258"/>
      <c r="V67" s="259"/>
    </row>
    <row r="68">
      <c r="A68" s="68"/>
      <c r="B68" s="147"/>
      <c r="C68" s="68"/>
      <c r="D68" s="260"/>
      <c r="E68" s="261"/>
      <c r="F68" s="270"/>
      <c r="G68" s="239"/>
      <c r="H68" s="243"/>
      <c r="I68" s="243"/>
      <c r="J68" s="243"/>
      <c r="K68" s="255"/>
      <c r="L68" s="255"/>
      <c r="M68" s="255"/>
      <c r="N68" s="255"/>
      <c r="O68" s="255"/>
      <c r="P68" s="255"/>
      <c r="Q68" s="256"/>
      <c r="R68" s="257"/>
      <c r="S68" s="258"/>
      <c r="T68" s="255"/>
      <c r="U68" s="258"/>
      <c r="V68" s="259"/>
    </row>
    <row r="69">
      <c r="A69" s="68"/>
      <c r="B69" s="153" t="str">
        <f>'Infos - Start Here!'!B67</f>
        <v/>
      </c>
      <c r="C69" s="68"/>
      <c r="D69" s="250"/>
      <c r="E69" s="251"/>
      <c r="F69" s="271"/>
      <c r="G69" s="253"/>
      <c r="H69" s="254"/>
      <c r="I69" s="254"/>
      <c r="J69" s="254"/>
      <c r="K69" s="255"/>
      <c r="L69" s="255"/>
      <c r="M69" s="255"/>
      <c r="N69" s="255"/>
      <c r="O69" s="255"/>
      <c r="P69" s="255"/>
      <c r="Q69" s="256"/>
      <c r="R69" s="257"/>
      <c r="S69" s="258"/>
      <c r="T69" s="255"/>
      <c r="U69" s="258"/>
      <c r="V69" s="259"/>
    </row>
    <row r="70">
      <c r="A70" s="68"/>
      <c r="B70" s="155"/>
      <c r="C70" s="68"/>
      <c r="D70" s="260"/>
      <c r="E70" s="261"/>
      <c r="F70" s="270"/>
      <c r="G70" s="239"/>
      <c r="H70" s="243"/>
      <c r="I70" s="243"/>
      <c r="J70" s="243"/>
      <c r="K70" s="255"/>
      <c r="L70" s="255"/>
      <c r="M70" s="255"/>
      <c r="N70" s="255"/>
      <c r="O70" s="255"/>
      <c r="P70" s="255"/>
      <c r="Q70" s="256"/>
      <c r="R70" s="257"/>
      <c r="S70" s="258"/>
      <c r="T70" s="255"/>
      <c r="U70" s="258"/>
      <c r="V70" s="259"/>
    </row>
    <row r="71">
      <c r="A71" s="68"/>
      <c r="B71" s="164"/>
      <c r="C71" s="68"/>
      <c r="D71" s="250"/>
      <c r="E71" s="251"/>
      <c r="F71" s="271"/>
      <c r="G71" s="253"/>
      <c r="H71" s="254"/>
      <c r="I71" s="254"/>
      <c r="J71" s="254"/>
      <c r="K71" s="255"/>
      <c r="L71" s="255"/>
      <c r="M71" s="255"/>
      <c r="N71" s="255"/>
      <c r="O71" s="255"/>
      <c r="P71" s="255"/>
      <c r="Q71" s="256"/>
      <c r="R71" s="257"/>
      <c r="S71" s="258"/>
      <c r="T71" s="255"/>
      <c r="U71" s="258"/>
      <c r="V71" s="259"/>
    </row>
    <row r="72">
      <c r="A72" s="68"/>
      <c r="B72" s="164"/>
      <c r="C72" s="68"/>
      <c r="D72" s="260"/>
      <c r="E72" s="261"/>
      <c r="F72" s="270"/>
      <c r="G72" s="239"/>
      <c r="H72" s="243"/>
      <c r="I72" s="243"/>
      <c r="J72" s="243"/>
      <c r="K72" s="255"/>
      <c r="L72" s="255"/>
      <c r="M72" s="255"/>
      <c r="N72" s="255"/>
      <c r="O72" s="255"/>
      <c r="P72" s="255"/>
      <c r="Q72" s="256"/>
      <c r="R72" s="257"/>
      <c r="S72" s="258"/>
      <c r="T72" s="255"/>
      <c r="U72" s="258"/>
      <c r="V72" s="259"/>
    </row>
    <row r="73">
      <c r="A73" s="68"/>
      <c r="B73" s="164"/>
      <c r="C73" s="68"/>
      <c r="D73" s="250"/>
      <c r="E73" s="251"/>
      <c r="F73" s="271"/>
      <c r="G73" s="253"/>
      <c r="H73" s="254"/>
      <c r="I73" s="254"/>
      <c r="J73" s="254"/>
      <c r="K73" s="255"/>
      <c r="L73" s="255"/>
      <c r="M73" s="255"/>
      <c r="N73" s="255"/>
      <c r="O73" s="255"/>
      <c r="P73" s="255"/>
      <c r="Q73" s="256"/>
      <c r="R73" s="257"/>
      <c r="S73" s="258"/>
      <c r="T73" s="255"/>
      <c r="U73" s="258"/>
      <c r="V73" s="259"/>
    </row>
    <row r="74">
      <c r="A74" s="68"/>
      <c r="B74" s="164"/>
      <c r="C74" s="68"/>
      <c r="D74" s="260"/>
      <c r="E74" s="261"/>
      <c r="F74" s="270"/>
      <c r="G74" s="239"/>
      <c r="H74" s="243"/>
      <c r="I74" s="243"/>
      <c r="J74" s="243"/>
      <c r="K74" s="255"/>
      <c r="L74" s="255"/>
      <c r="M74" s="255"/>
      <c r="N74" s="255"/>
      <c r="O74" s="255"/>
      <c r="P74" s="255"/>
      <c r="Q74" s="256"/>
      <c r="R74" s="257"/>
      <c r="S74" s="258"/>
      <c r="T74" s="255"/>
      <c r="U74" s="258"/>
      <c r="V74" s="259"/>
    </row>
    <row r="75">
      <c r="A75" s="68"/>
      <c r="B75" s="164"/>
      <c r="C75" s="68"/>
      <c r="D75" s="250"/>
      <c r="E75" s="251"/>
      <c r="F75" s="271"/>
      <c r="G75" s="253"/>
      <c r="H75" s="254"/>
      <c r="I75" s="254"/>
      <c r="J75" s="254"/>
      <c r="K75" s="255"/>
      <c r="L75" s="255"/>
      <c r="M75" s="255"/>
      <c r="N75" s="255"/>
      <c r="O75" s="255"/>
      <c r="P75" s="255"/>
      <c r="Q75" s="256"/>
      <c r="R75" s="257"/>
      <c r="S75" s="258"/>
      <c r="T75" s="255"/>
      <c r="U75" s="258"/>
      <c r="V75" s="259"/>
    </row>
    <row r="76">
      <c r="A76" s="68"/>
      <c r="B76" s="164"/>
      <c r="C76" s="68"/>
      <c r="D76" s="260"/>
      <c r="E76" s="261"/>
      <c r="F76" s="270"/>
      <c r="G76" s="239"/>
      <c r="H76" s="243"/>
      <c r="I76" s="243"/>
      <c r="J76" s="243"/>
      <c r="K76" s="255"/>
      <c r="L76" s="255"/>
      <c r="M76" s="255"/>
      <c r="N76" s="255"/>
      <c r="O76" s="255"/>
      <c r="P76" s="255"/>
      <c r="Q76" s="256"/>
      <c r="R76" s="257"/>
      <c r="S76" s="258"/>
      <c r="T76" s="255"/>
      <c r="U76" s="258"/>
      <c r="V76" s="259"/>
    </row>
    <row r="77">
      <c r="A77" s="68"/>
      <c r="B77" s="182"/>
      <c r="C77" s="68"/>
      <c r="D77" s="250"/>
      <c r="E77" s="251"/>
      <c r="F77" s="271"/>
      <c r="G77" s="253"/>
      <c r="H77" s="254"/>
      <c r="I77" s="254"/>
      <c r="J77" s="254"/>
      <c r="K77" s="255"/>
      <c r="L77" s="255"/>
      <c r="M77" s="255"/>
      <c r="N77" s="255"/>
      <c r="O77" s="255"/>
      <c r="P77" s="255"/>
      <c r="Q77" s="256"/>
      <c r="R77" s="257"/>
      <c r="S77" s="258"/>
      <c r="T77" s="255"/>
      <c r="U77" s="258"/>
      <c r="V77" s="259"/>
    </row>
    <row r="78">
      <c r="A78" s="68"/>
      <c r="B78" s="184"/>
      <c r="C78" s="68"/>
      <c r="D78" s="260"/>
      <c r="E78" s="261"/>
      <c r="F78" s="270"/>
      <c r="G78" s="239"/>
      <c r="H78" s="243"/>
      <c r="I78" s="243"/>
      <c r="J78" s="243"/>
      <c r="K78" s="255"/>
      <c r="L78" s="255"/>
      <c r="M78" s="255"/>
      <c r="N78" s="255"/>
      <c r="O78" s="255"/>
      <c r="P78" s="255"/>
      <c r="Q78" s="256"/>
      <c r="R78" s="257"/>
      <c r="S78" s="258"/>
      <c r="T78" s="255"/>
      <c r="U78" s="258"/>
      <c r="V78" s="259"/>
    </row>
    <row r="79">
      <c r="A79" s="68"/>
      <c r="B79" s="184"/>
      <c r="C79" s="68"/>
      <c r="D79" s="250"/>
      <c r="E79" s="251"/>
      <c r="F79" s="271"/>
      <c r="G79" s="253"/>
      <c r="H79" s="254"/>
      <c r="I79" s="254"/>
      <c r="J79" s="254"/>
      <c r="K79" s="255"/>
      <c r="L79" s="255"/>
      <c r="M79" s="255"/>
      <c r="N79" s="255"/>
      <c r="O79" s="255"/>
      <c r="P79" s="255"/>
      <c r="Q79" s="256"/>
      <c r="R79" s="257"/>
      <c r="S79" s="258"/>
      <c r="T79" s="255"/>
      <c r="U79" s="258"/>
      <c r="V79" s="259"/>
    </row>
    <row r="80">
      <c r="A80" s="68"/>
      <c r="B80" s="184"/>
      <c r="C80" s="68"/>
      <c r="D80" s="260"/>
      <c r="E80" s="261"/>
      <c r="F80" s="270"/>
      <c r="G80" s="239"/>
      <c r="H80" s="243"/>
      <c r="I80" s="243"/>
      <c r="J80" s="243"/>
      <c r="K80" s="255"/>
      <c r="L80" s="255"/>
      <c r="M80" s="255"/>
      <c r="N80" s="255"/>
      <c r="O80" s="255"/>
      <c r="P80" s="255"/>
      <c r="Q80" s="256"/>
      <c r="R80" s="257"/>
      <c r="S80" s="258"/>
      <c r="T80" s="255"/>
      <c r="U80" s="258"/>
      <c r="V80" s="259"/>
    </row>
    <row r="81">
      <c r="A81" s="68"/>
      <c r="B81" s="184"/>
      <c r="C81" s="68"/>
      <c r="D81" s="250"/>
      <c r="E81" s="251"/>
      <c r="F81" s="271"/>
      <c r="G81" s="253"/>
      <c r="H81" s="254"/>
      <c r="I81" s="254"/>
      <c r="J81" s="254"/>
      <c r="K81" s="255"/>
      <c r="L81" s="255"/>
      <c r="M81" s="255"/>
      <c r="N81" s="255"/>
      <c r="O81" s="255"/>
      <c r="P81" s="255"/>
      <c r="Q81" s="256"/>
      <c r="R81" s="257"/>
      <c r="S81" s="258"/>
      <c r="T81" s="255"/>
      <c r="U81" s="258"/>
      <c r="V81" s="259"/>
    </row>
    <row r="82">
      <c r="A82" s="68"/>
      <c r="B82" s="147"/>
      <c r="C82" s="68"/>
      <c r="D82" s="260"/>
      <c r="E82" s="261"/>
      <c r="F82" s="270"/>
      <c r="G82" s="239"/>
      <c r="H82" s="243"/>
      <c r="I82" s="243"/>
      <c r="J82" s="243"/>
      <c r="K82" s="255"/>
      <c r="L82" s="255"/>
      <c r="M82" s="255"/>
      <c r="N82" s="255"/>
      <c r="O82" s="255"/>
      <c r="P82" s="255"/>
      <c r="Q82" s="256"/>
      <c r="R82" s="257"/>
      <c r="S82" s="258"/>
      <c r="T82" s="255"/>
      <c r="U82" s="258"/>
      <c r="V82" s="259"/>
    </row>
    <row r="83">
      <c r="A83" s="68"/>
      <c r="B83" s="147"/>
      <c r="C83" s="68"/>
      <c r="D83" s="250"/>
      <c r="E83" s="251"/>
      <c r="F83" s="271"/>
      <c r="G83" s="253"/>
      <c r="H83" s="254"/>
      <c r="I83" s="254"/>
      <c r="J83" s="254"/>
      <c r="K83" s="255"/>
      <c r="L83" s="255"/>
      <c r="M83" s="255"/>
      <c r="N83" s="255"/>
      <c r="O83" s="255"/>
      <c r="P83" s="255"/>
      <c r="Q83" s="256"/>
      <c r="R83" s="257"/>
      <c r="S83" s="258"/>
      <c r="T83" s="255"/>
      <c r="U83" s="258"/>
      <c r="V83" s="259"/>
    </row>
    <row r="84">
      <c r="A84" s="68"/>
      <c r="B84" s="147"/>
      <c r="C84" s="68"/>
      <c r="D84" s="260"/>
      <c r="E84" s="261"/>
      <c r="F84" s="270"/>
      <c r="G84" s="239"/>
      <c r="H84" s="243"/>
      <c r="I84" s="243"/>
      <c r="J84" s="243"/>
      <c r="K84" s="255"/>
      <c r="L84" s="255"/>
      <c r="M84" s="255"/>
      <c r="N84" s="255"/>
      <c r="O84" s="255"/>
      <c r="P84" s="255"/>
      <c r="Q84" s="256"/>
      <c r="R84" s="257"/>
      <c r="S84" s="258"/>
      <c r="T84" s="255"/>
      <c r="U84" s="258"/>
      <c r="V84" s="259"/>
    </row>
    <row r="85">
      <c r="A85" s="68"/>
      <c r="B85" s="147"/>
      <c r="C85" s="68"/>
      <c r="D85" s="250"/>
      <c r="E85" s="251"/>
      <c r="F85" s="271"/>
      <c r="G85" s="253"/>
      <c r="H85" s="254"/>
      <c r="I85" s="254"/>
      <c r="J85" s="254"/>
      <c r="K85" s="255"/>
      <c r="L85" s="255"/>
      <c r="M85" s="255"/>
      <c r="N85" s="255"/>
      <c r="O85" s="255"/>
      <c r="P85" s="255"/>
      <c r="Q85" s="256"/>
      <c r="R85" s="257"/>
      <c r="S85" s="258"/>
      <c r="T85" s="255"/>
      <c r="U85" s="258"/>
      <c r="V85" s="259"/>
    </row>
    <row r="86">
      <c r="A86" s="68"/>
      <c r="B86" s="201"/>
      <c r="C86" s="68"/>
      <c r="D86" s="260"/>
      <c r="E86" s="261"/>
      <c r="F86" s="270"/>
      <c r="G86" s="239"/>
      <c r="H86" s="243"/>
      <c r="I86" s="243"/>
      <c r="J86" s="243"/>
      <c r="K86" s="255"/>
      <c r="L86" s="255"/>
      <c r="M86" s="255"/>
      <c r="N86" s="255"/>
      <c r="O86" s="255"/>
      <c r="P86" s="255"/>
      <c r="Q86" s="256"/>
      <c r="R86" s="257"/>
      <c r="S86" s="258"/>
      <c r="T86" s="255"/>
      <c r="U86" s="258"/>
      <c r="V86" s="259"/>
    </row>
    <row r="87">
      <c r="A87" s="68"/>
      <c r="B87" s="201"/>
      <c r="C87" s="68"/>
      <c r="D87" s="250"/>
      <c r="E87" s="251"/>
      <c r="F87" s="271"/>
      <c r="G87" s="253"/>
      <c r="H87" s="254"/>
      <c r="I87" s="254"/>
      <c r="J87" s="254"/>
      <c r="K87" s="255"/>
      <c r="L87" s="255"/>
      <c r="M87" s="255"/>
      <c r="N87" s="255"/>
      <c r="O87" s="255"/>
      <c r="P87" s="255"/>
      <c r="Q87" s="256"/>
      <c r="R87" s="257"/>
      <c r="S87" s="258"/>
      <c r="T87" s="255"/>
      <c r="U87" s="258"/>
      <c r="V87" s="259"/>
    </row>
    <row r="88">
      <c r="A88" s="68"/>
      <c r="B88" s="201"/>
      <c r="C88" s="68"/>
      <c r="D88" s="260"/>
      <c r="E88" s="261"/>
      <c r="F88" s="270"/>
      <c r="G88" s="239"/>
      <c r="H88" s="243"/>
      <c r="I88" s="243"/>
      <c r="J88" s="243"/>
      <c r="K88" s="255"/>
      <c r="L88" s="255"/>
      <c r="M88" s="255"/>
      <c r="N88" s="255"/>
      <c r="O88" s="255"/>
      <c r="P88" s="255"/>
      <c r="Q88" s="256"/>
      <c r="R88" s="257"/>
      <c r="S88" s="258"/>
      <c r="T88" s="255"/>
      <c r="U88" s="258"/>
      <c r="V88" s="259"/>
    </row>
    <row r="89">
      <c r="A89" s="68"/>
      <c r="B89" s="128"/>
      <c r="C89" s="68"/>
      <c r="D89" s="250"/>
      <c r="E89" s="251"/>
      <c r="F89" s="271"/>
      <c r="G89" s="253"/>
      <c r="H89" s="254"/>
      <c r="I89" s="254"/>
      <c r="J89" s="254"/>
      <c r="K89" s="255"/>
      <c r="L89" s="255"/>
      <c r="M89" s="255"/>
      <c r="N89" s="255"/>
      <c r="O89" s="255"/>
      <c r="P89" s="255"/>
      <c r="Q89" s="256"/>
      <c r="R89" s="257"/>
      <c r="S89" s="258"/>
      <c r="T89" s="255"/>
      <c r="U89" s="258"/>
      <c r="V89" s="259"/>
    </row>
    <row r="90">
      <c r="A90" s="68"/>
      <c r="B90" s="214"/>
      <c r="C90" s="68"/>
      <c r="D90" s="260"/>
      <c r="E90" s="261"/>
      <c r="F90" s="270"/>
      <c r="G90" s="239"/>
      <c r="H90" s="243"/>
      <c r="I90" s="243"/>
      <c r="J90" s="243"/>
      <c r="K90" s="255"/>
      <c r="L90" s="255"/>
      <c r="M90" s="255"/>
      <c r="N90" s="255"/>
      <c r="O90" s="255"/>
      <c r="P90" s="255"/>
      <c r="Q90" s="256"/>
      <c r="R90" s="257"/>
      <c r="S90" s="258"/>
      <c r="T90" s="255"/>
      <c r="U90" s="258"/>
      <c r="V90" s="259"/>
    </row>
    <row r="91">
      <c r="A91" s="68"/>
      <c r="B91" s="218"/>
      <c r="C91" s="68"/>
      <c r="D91" s="250"/>
      <c r="E91" s="251"/>
      <c r="F91" s="271"/>
      <c r="G91" s="253"/>
      <c r="H91" s="254"/>
      <c r="I91" s="254"/>
      <c r="J91" s="254"/>
      <c r="K91" s="255"/>
      <c r="L91" s="255"/>
      <c r="M91" s="255"/>
      <c r="N91" s="255"/>
      <c r="O91" s="255"/>
      <c r="P91" s="255"/>
      <c r="Q91" s="256"/>
      <c r="R91" s="257"/>
      <c r="S91" s="258"/>
      <c r="T91" s="255"/>
      <c r="U91" s="258"/>
      <c r="V91" s="259"/>
    </row>
    <row r="92">
      <c r="A92" s="68"/>
      <c r="B92" s="218"/>
      <c r="C92" s="68"/>
      <c r="D92" s="260"/>
      <c r="E92" s="261"/>
      <c r="F92" s="270"/>
      <c r="G92" s="239"/>
      <c r="H92" s="243"/>
      <c r="I92" s="243"/>
      <c r="J92" s="243"/>
      <c r="K92" s="255"/>
      <c r="L92" s="255"/>
      <c r="M92" s="255"/>
      <c r="N92" s="255"/>
      <c r="O92" s="255"/>
      <c r="P92" s="255"/>
      <c r="Q92" s="256"/>
      <c r="R92" s="257"/>
      <c r="S92" s="258"/>
      <c r="T92" s="255"/>
      <c r="U92" s="258"/>
      <c r="V92" s="259"/>
    </row>
    <row r="93">
      <c r="A93" s="68"/>
      <c r="B93" s="218"/>
      <c r="C93" s="68"/>
      <c r="D93" s="250"/>
      <c r="E93" s="251"/>
      <c r="F93" s="271"/>
      <c r="G93" s="253"/>
      <c r="H93" s="254"/>
      <c r="I93" s="254"/>
      <c r="J93" s="254"/>
      <c r="K93" s="255"/>
      <c r="L93" s="255"/>
      <c r="M93" s="255"/>
      <c r="N93" s="255"/>
      <c r="O93" s="255"/>
      <c r="P93" s="255"/>
      <c r="Q93" s="256"/>
      <c r="R93" s="257"/>
      <c r="S93" s="258"/>
      <c r="T93" s="255"/>
      <c r="U93" s="258"/>
      <c r="V93" s="259"/>
    </row>
    <row r="94">
      <c r="A94" s="68"/>
      <c r="B94" s="218"/>
      <c r="C94" s="68"/>
      <c r="D94" s="260"/>
      <c r="E94" s="261"/>
      <c r="F94" s="270"/>
      <c r="G94" s="239"/>
      <c r="H94" s="243"/>
      <c r="I94" s="243"/>
      <c r="J94" s="243"/>
      <c r="K94" s="255"/>
      <c r="L94" s="255"/>
      <c r="M94" s="255"/>
      <c r="N94" s="255"/>
      <c r="O94" s="255"/>
      <c r="P94" s="255"/>
      <c r="Q94" s="256"/>
      <c r="R94" s="257"/>
      <c r="S94" s="258"/>
      <c r="T94" s="255"/>
      <c r="U94" s="258"/>
      <c r="V94" s="259"/>
    </row>
    <row r="95">
      <c r="A95" s="68"/>
      <c r="B95" s="218"/>
      <c r="C95" s="68"/>
      <c r="D95" s="250"/>
      <c r="E95" s="251"/>
      <c r="F95" s="271"/>
      <c r="G95" s="253"/>
      <c r="H95" s="254"/>
      <c r="I95" s="254"/>
      <c r="J95" s="254"/>
      <c r="K95" s="255"/>
      <c r="L95" s="255"/>
      <c r="M95" s="255"/>
      <c r="N95" s="255"/>
      <c r="O95" s="255"/>
      <c r="P95" s="255"/>
      <c r="Q95" s="256"/>
      <c r="R95" s="257"/>
      <c r="S95" s="258"/>
      <c r="T95" s="255"/>
      <c r="U95" s="258"/>
      <c r="V95" s="259"/>
    </row>
    <row r="96">
      <c r="A96" s="68"/>
      <c r="B96" s="104"/>
      <c r="C96" s="68"/>
      <c r="D96" s="260"/>
      <c r="E96" s="261"/>
      <c r="F96" s="270"/>
      <c r="G96" s="239"/>
      <c r="H96" s="243"/>
      <c r="I96" s="243"/>
      <c r="J96" s="243"/>
      <c r="K96" s="255"/>
      <c r="L96" s="255"/>
      <c r="M96" s="255"/>
      <c r="N96" s="255"/>
      <c r="O96" s="255"/>
      <c r="P96" s="255"/>
      <c r="Q96" s="256"/>
      <c r="R96" s="257"/>
      <c r="S96" s="258"/>
      <c r="T96" s="255"/>
      <c r="U96" s="258"/>
      <c r="V96" s="259"/>
    </row>
    <row r="97">
      <c r="A97" s="68"/>
      <c r="B97" s="111"/>
      <c r="C97" s="68"/>
      <c r="D97" s="250"/>
      <c r="E97" s="251"/>
      <c r="F97" s="271"/>
      <c r="G97" s="253"/>
      <c r="H97" s="254"/>
      <c r="I97" s="254"/>
      <c r="J97" s="254"/>
      <c r="K97" s="255"/>
      <c r="L97" s="255"/>
      <c r="M97" s="255"/>
      <c r="N97" s="255"/>
      <c r="O97" s="255"/>
      <c r="P97" s="255"/>
      <c r="Q97" s="256"/>
      <c r="R97" s="257"/>
      <c r="S97" s="258"/>
      <c r="T97" s="255"/>
      <c r="U97" s="258"/>
      <c r="V97" s="259"/>
    </row>
    <row r="98">
      <c r="A98" s="68"/>
      <c r="B98" s="111"/>
      <c r="C98" s="68"/>
      <c r="D98" s="260"/>
      <c r="E98" s="261"/>
      <c r="F98" s="270"/>
      <c r="G98" s="239"/>
      <c r="H98" s="243"/>
      <c r="I98" s="243"/>
      <c r="J98" s="243"/>
      <c r="K98" s="255"/>
      <c r="L98" s="255"/>
      <c r="M98" s="255"/>
      <c r="N98" s="255"/>
      <c r="O98" s="255"/>
      <c r="P98" s="255"/>
      <c r="Q98" s="256"/>
      <c r="R98" s="257"/>
      <c r="S98" s="258"/>
      <c r="T98" s="255"/>
      <c r="U98" s="258"/>
      <c r="V98" s="259"/>
    </row>
    <row r="99">
      <c r="A99" s="68"/>
      <c r="B99" s="111"/>
      <c r="C99" s="68"/>
      <c r="D99" s="250"/>
      <c r="E99" s="251"/>
      <c r="F99" s="271"/>
      <c r="G99" s="253"/>
      <c r="H99" s="254"/>
      <c r="I99" s="254"/>
      <c r="J99" s="254"/>
      <c r="K99" s="255"/>
      <c r="L99" s="255"/>
      <c r="M99" s="255"/>
      <c r="N99" s="255"/>
      <c r="O99" s="255"/>
      <c r="P99" s="255"/>
      <c r="Q99" s="256"/>
      <c r="R99" s="257"/>
      <c r="S99" s="258"/>
      <c r="T99" s="255"/>
      <c r="U99" s="258"/>
      <c r="V99" s="259"/>
    </row>
    <row r="100">
      <c r="A100" s="68"/>
      <c r="B100" s="111"/>
      <c r="C100" s="68"/>
      <c r="D100" s="260"/>
      <c r="E100" s="261"/>
      <c r="F100" s="270"/>
      <c r="G100" s="239"/>
      <c r="H100" s="243"/>
      <c r="I100" s="243"/>
      <c r="J100" s="243"/>
      <c r="K100" s="255"/>
      <c r="L100" s="255"/>
      <c r="M100" s="255"/>
      <c r="N100" s="255"/>
      <c r="O100" s="255"/>
      <c r="P100" s="255"/>
      <c r="Q100" s="256"/>
      <c r="R100" s="257"/>
      <c r="S100" s="258"/>
      <c r="T100" s="255"/>
      <c r="U100" s="258"/>
      <c r="V100" s="259"/>
    </row>
    <row r="101">
      <c r="A101" s="68"/>
      <c r="B101" s="111"/>
      <c r="C101" s="68"/>
      <c r="D101" s="250"/>
      <c r="E101" s="251"/>
      <c r="F101" s="271"/>
      <c r="G101" s="253"/>
      <c r="H101" s="254"/>
      <c r="I101" s="254"/>
      <c r="J101" s="254"/>
      <c r="K101" s="255"/>
      <c r="L101" s="255"/>
      <c r="M101" s="255"/>
      <c r="N101" s="255"/>
      <c r="O101" s="255"/>
      <c r="P101" s="255"/>
      <c r="Q101" s="256"/>
      <c r="R101" s="257"/>
      <c r="S101" s="258"/>
      <c r="T101" s="255"/>
      <c r="U101" s="258"/>
      <c r="V101" s="259"/>
    </row>
    <row r="102">
      <c r="A102" s="68"/>
      <c r="B102" s="126"/>
      <c r="C102" s="68"/>
      <c r="D102" s="260"/>
      <c r="E102" s="261"/>
      <c r="F102" s="270"/>
      <c r="G102" s="239"/>
      <c r="H102" s="243"/>
      <c r="I102" s="243"/>
      <c r="J102" s="243"/>
      <c r="K102" s="255"/>
      <c r="L102" s="255"/>
      <c r="M102" s="255"/>
      <c r="N102" s="255"/>
      <c r="O102" s="255"/>
      <c r="P102" s="255"/>
      <c r="Q102" s="256"/>
      <c r="R102" s="257"/>
      <c r="S102" s="258"/>
      <c r="T102" s="255"/>
      <c r="U102" s="258"/>
      <c r="V102" s="259"/>
    </row>
    <row r="103">
      <c r="A103" s="68"/>
      <c r="B103" s="128"/>
      <c r="C103" s="68"/>
      <c r="D103" s="250"/>
      <c r="E103" s="251"/>
      <c r="F103" s="271"/>
      <c r="G103" s="253"/>
      <c r="H103" s="254"/>
      <c r="I103" s="254"/>
      <c r="J103" s="254"/>
      <c r="K103" s="255"/>
      <c r="L103" s="255"/>
      <c r="M103" s="255"/>
      <c r="N103" s="255"/>
      <c r="O103" s="255"/>
      <c r="P103" s="255"/>
      <c r="Q103" s="256"/>
      <c r="R103" s="257"/>
      <c r="S103" s="258"/>
      <c r="T103" s="255"/>
      <c r="U103" s="258"/>
      <c r="V103" s="259"/>
    </row>
    <row r="104">
      <c r="A104" s="68"/>
      <c r="B104" s="132"/>
      <c r="C104" s="68"/>
      <c r="D104" s="260"/>
      <c r="E104" s="261"/>
      <c r="F104" s="270"/>
      <c r="G104" s="239"/>
      <c r="H104" s="243"/>
      <c r="I104" s="243"/>
      <c r="J104" s="243"/>
      <c r="K104" s="255"/>
      <c r="L104" s="255"/>
      <c r="M104" s="255"/>
      <c r="N104" s="255"/>
      <c r="O104" s="255"/>
      <c r="P104" s="255"/>
      <c r="Q104" s="256"/>
      <c r="R104" s="257"/>
      <c r="S104" s="258"/>
      <c r="T104" s="255"/>
      <c r="U104" s="258"/>
      <c r="V104" s="259"/>
    </row>
    <row r="105">
      <c r="A105" s="68"/>
      <c r="B105" s="128"/>
      <c r="C105" s="68"/>
      <c r="D105" s="250"/>
      <c r="E105" s="251"/>
      <c r="F105" s="271"/>
      <c r="G105" s="253"/>
      <c r="H105" s="254"/>
      <c r="I105" s="254"/>
      <c r="J105" s="254"/>
      <c r="K105" s="255"/>
      <c r="L105" s="255"/>
      <c r="M105" s="255"/>
      <c r="N105" s="255"/>
      <c r="O105" s="255"/>
      <c r="P105" s="255"/>
      <c r="Q105" s="256"/>
      <c r="R105" s="257"/>
      <c r="S105" s="258"/>
      <c r="T105" s="255"/>
      <c r="U105" s="258"/>
      <c r="V105" s="259"/>
    </row>
    <row r="106">
      <c r="A106" s="68"/>
      <c r="B106" s="128"/>
      <c r="C106" s="68"/>
      <c r="D106" s="260"/>
      <c r="E106" s="261"/>
      <c r="F106" s="270"/>
      <c r="G106" s="239"/>
      <c r="H106" s="243"/>
      <c r="I106" s="243"/>
      <c r="J106" s="243"/>
      <c r="K106" s="255"/>
      <c r="L106" s="255"/>
      <c r="M106" s="255"/>
      <c r="N106" s="255"/>
      <c r="O106" s="255"/>
      <c r="P106" s="255"/>
      <c r="Q106" s="256"/>
      <c r="R106" s="257"/>
      <c r="S106" s="258"/>
      <c r="T106" s="255"/>
      <c r="U106" s="258"/>
      <c r="V106" s="259"/>
    </row>
    <row r="107">
      <c r="A107" s="68"/>
      <c r="B107" s="128"/>
      <c r="C107" s="68"/>
      <c r="D107" s="250"/>
      <c r="E107" s="251"/>
      <c r="F107" s="271"/>
      <c r="G107" s="253"/>
      <c r="H107" s="254"/>
      <c r="I107" s="254"/>
      <c r="J107" s="254"/>
      <c r="K107" s="255"/>
      <c r="L107" s="255"/>
      <c r="M107" s="255"/>
      <c r="N107" s="255"/>
      <c r="O107" s="255"/>
      <c r="P107" s="255"/>
      <c r="Q107" s="256"/>
      <c r="R107" s="257"/>
      <c r="S107" s="258"/>
      <c r="T107" s="255"/>
      <c r="U107" s="258"/>
      <c r="V107" s="259"/>
    </row>
    <row r="108">
      <c r="A108" s="68"/>
      <c r="B108" s="128"/>
      <c r="C108" s="68"/>
      <c r="D108" s="260"/>
      <c r="E108" s="261"/>
      <c r="F108" s="270"/>
      <c r="G108" s="239"/>
      <c r="H108" s="243"/>
      <c r="I108" s="243"/>
      <c r="J108" s="243"/>
      <c r="K108" s="255"/>
      <c r="L108" s="255"/>
      <c r="M108" s="255"/>
      <c r="N108" s="255"/>
      <c r="O108" s="255"/>
      <c r="P108" s="255"/>
      <c r="Q108" s="256"/>
      <c r="R108" s="257"/>
      <c r="S108" s="258"/>
      <c r="T108" s="255"/>
      <c r="U108" s="258"/>
      <c r="V108" s="259"/>
    </row>
    <row r="109">
      <c r="A109" s="68"/>
      <c r="B109" s="128"/>
      <c r="C109" s="68"/>
      <c r="D109" s="250"/>
      <c r="E109" s="251"/>
      <c r="F109" s="271"/>
      <c r="G109" s="253"/>
      <c r="H109" s="254"/>
      <c r="I109" s="254"/>
      <c r="J109" s="254"/>
      <c r="K109" s="255"/>
      <c r="L109" s="255"/>
      <c r="M109" s="255"/>
      <c r="N109" s="255"/>
      <c r="O109" s="255"/>
      <c r="P109" s="255"/>
      <c r="Q109" s="256"/>
      <c r="R109" s="257"/>
      <c r="S109" s="258"/>
      <c r="T109" s="255"/>
      <c r="U109" s="258"/>
      <c r="V109" s="259"/>
    </row>
    <row r="110">
      <c r="A110" s="68"/>
      <c r="B110" s="128"/>
      <c r="C110" s="68"/>
      <c r="D110" s="260"/>
      <c r="E110" s="261"/>
      <c r="F110" s="270"/>
      <c r="G110" s="239"/>
      <c r="H110" s="243"/>
      <c r="I110" s="243"/>
      <c r="J110" s="243"/>
      <c r="K110" s="255"/>
      <c r="L110" s="255"/>
      <c r="M110" s="255"/>
      <c r="N110" s="255"/>
      <c r="O110" s="255"/>
      <c r="P110" s="255"/>
      <c r="Q110" s="256"/>
      <c r="R110" s="257"/>
      <c r="S110" s="258"/>
      <c r="T110" s="255"/>
      <c r="U110" s="258"/>
      <c r="V110" s="259"/>
    </row>
    <row r="111">
      <c r="A111" s="68"/>
      <c r="B111" s="132"/>
      <c r="C111" s="68"/>
      <c r="D111" s="250"/>
      <c r="E111" s="251"/>
      <c r="F111" s="271"/>
      <c r="G111" s="253"/>
      <c r="H111" s="254"/>
      <c r="I111" s="254"/>
      <c r="J111" s="254"/>
      <c r="K111" s="255"/>
      <c r="L111" s="255"/>
      <c r="M111" s="255"/>
      <c r="N111" s="255"/>
      <c r="O111" s="255"/>
      <c r="P111" s="255"/>
      <c r="Q111" s="256"/>
      <c r="R111" s="257"/>
      <c r="S111" s="258"/>
      <c r="T111" s="255"/>
      <c r="U111" s="258"/>
      <c r="V111" s="259"/>
    </row>
    <row r="112">
      <c r="A112" s="68"/>
      <c r="B112" s="147"/>
      <c r="C112" s="68"/>
      <c r="D112" s="260"/>
      <c r="E112" s="261"/>
      <c r="F112" s="270"/>
      <c r="G112" s="239"/>
      <c r="H112" s="243"/>
      <c r="I112" s="243"/>
      <c r="J112" s="243"/>
      <c r="K112" s="255"/>
      <c r="L112" s="255"/>
      <c r="M112" s="255"/>
      <c r="N112" s="255"/>
      <c r="O112" s="255"/>
      <c r="P112" s="255"/>
      <c r="Q112" s="256"/>
      <c r="R112" s="257"/>
      <c r="S112" s="258"/>
      <c r="T112" s="255"/>
      <c r="U112" s="258"/>
      <c r="V112" s="259"/>
    </row>
    <row r="113">
      <c r="A113" s="68"/>
      <c r="B113" s="147"/>
      <c r="C113" s="68"/>
      <c r="D113" s="250"/>
      <c r="E113" s="251"/>
      <c r="F113" s="271"/>
      <c r="G113" s="253"/>
      <c r="H113" s="254"/>
      <c r="I113" s="254"/>
      <c r="J113" s="254"/>
      <c r="K113" s="255"/>
      <c r="L113" s="255"/>
      <c r="M113" s="255"/>
      <c r="N113" s="255"/>
      <c r="O113" s="255"/>
      <c r="P113" s="255"/>
      <c r="Q113" s="256"/>
      <c r="R113" s="257"/>
      <c r="S113" s="258"/>
      <c r="T113" s="255"/>
      <c r="U113" s="258"/>
      <c r="V113" s="259"/>
    </row>
    <row r="114">
      <c r="A114" s="68"/>
      <c r="B114" s="147"/>
      <c r="C114" s="68"/>
      <c r="D114" s="260"/>
      <c r="E114" s="261"/>
      <c r="F114" s="270"/>
      <c r="G114" s="239"/>
      <c r="H114" s="243"/>
      <c r="I114" s="243"/>
      <c r="J114" s="243"/>
      <c r="K114" s="255"/>
      <c r="L114" s="255"/>
      <c r="M114" s="255"/>
      <c r="N114" s="255"/>
      <c r="O114" s="255"/>
      <c r="P114" s="255"/>
      <c r="Q114" s="256"/>
      <c r="R114" s="257"/>
      <c r="S114" s="258"/>
      <c r="T114" s="255"/>
      <c r="U114" s="258"/>
      <c r="V114" s="259"/>
    </row>
    <row r="115">
      <c r="A115" s="68"/>
      <c r="B115" s="147"/>
      <c r="C115" s="68"/>
      <c r="D115" s="250"/>
      <c r="E115" s="251"/>
      <c r="F115" s="271"/>
      <c r="G115" s="253"/>
      <c r="H115" s="254"/>
      <c r="I115" s="254"/>
      <c r="J115" s="254"/>
      <c r="K115" s="255"/>
      <c r="L115" s="255"/>
      <c r="M115" s="255"/>
      <c r="N115" s="255"/>
      <c r="O115" s="255"/>
      <c r="P115" s="255"/>
      <c r="Q115" s="256"/>
      <c r="R115" s="257"/>
      <c r="S115" s="258"/>
      <c r="T115" s="255"/>
      <c r="U115" s="258"/>
      <c r="V115" s="259"/>
    </row>
    <row r="116">
      <c r="A116" s="68"/>
      <c r="B116" s="153" t="str">
        <f>'Infos - Start Here!'!B114</f>
        <v/>
      </c>
      <c r="C116" s="68"/>
      <c r="D116" s="260"/>
      <c r="E116" s="261"/>
      <c r="F116" s="270"/>
      <c r="G116" s="239"/>
      <c r="H116" s="243"/>
      <c r="I116" s="243"/>
      <c r="J116" s="243"/>
      <c r="K116" s="255"/>
      <c r="L116" s="255"/>
      <c r="M116" s="255"/>
      <c r="N116" s="255"/>
      <c r="O116" s="255"/>
      <c r="P116" s="255"/>
      <c r="Q116" s="256"/>
      <c r="R116" s="257"/>
      <c r="S116" s="258"/>
      <c r="T116" s="255"/>
      <c r="U116" s="258"/>
      <c r="V116" s="259"/>
    </row>
    <row r="117">
      <c r="A117" s="68"/>
      <c r="B117" s="155"/>
      <c r="C117" s="68"/>
      <c r="D117" s="250"/>
      <c r="E117" s="251"/>
      <c r="F117" s="271"/>
      <c r="G117" s="253"/>
      <c r="H117" s="254"/>
      <c r="I117" s="254"/>
      <c r="J117" s="254"/>
      <c r="K117" s="255"/>
      <c r="L117" s="255"/>
      <c r="M117" s="255"/>
      <c r="N117" s="255"/>
      <c r="O117" s="255"/>
      <c r="P117" s="255"/>
      <c r="Q117" s="256"/>
      <c r="R117" s="257"/>
      <c r="S117" s="258"/>
      <c r="T117" s="255"/>
      <c r="U117" s="258"/>
      <c r="V117" s="259"/>
    </row>
    <row r="118">
      <c r="A118" s="68"/>
      <c r="B118" s="164"/>
      <c r="C118" s="68"/>
      <c r="D118" s="260"/>
      <c r="E118" s="261"/>
      <c r="F118" s="270"/>
      <c r="G118" s="239"/>
      <c r="H118" s="243"/>
      <c r="I118" s="243"/>
      <c r="J118" s="243"/>
      <c r="K118" s="255"/>
      <c r="L118" s="255"/>
      <c r="M118" s="255"/>
      <c r="N118" s="255"/>
      <c r="O118" s="255"/>
      <c r="P118" s="255"/>
      <c r="Q118" s="256"/>
      <c r="R118" s="257"/>
      <c r="S118" s="258"/>
      <c r="T118" s="255"/>
      <c r="U118" s="258"/>
      <c r="V118" s="259"/>
    </row>
    <row r="119">
      <c r="A119" s="68"/>
      <c r="B119" s="164"/>
      <c r="C119" s="68"/>
      <c r="D119" s="250"/>
      <c r="E119" s="251"/>
      <c r="F119" s="271"/>
      <c r="G119" s="253"/>
      <c r="H119" s="254"/>
      <c r="I119" s="254"/>
      <c r="J119" s="254"/>
      <c r="K119" s="255"/>
      <c r="L119" s="255"/>
      <c r="M119" s="255"/>
      <c r="N119" s="255"/>
      <c r="O119" s="255"/>
      <c r="P119" s="255"/>
      <c r="Q119" s="256"/>
      <c r="R119" s="257"/>
      <c r="S119" s="258"/>
      <c r="T119" s="255"/>
      <c r="U119" s="258"/>
      <c r="V119" s="259"/>
    </row>
    <row r="120">
      <c r="A120" s="68"/>
      <c r="B120" s="164"/>
      <c r="C120" s="68"/>
      <c r="D120" s="260"/>
      <c r="E120" s="261"/>
      <c r="F120" s="270"/>
      <c r="G120" s="239"/>
      <c r="H120" s="243"/>
      <c r="I120" s="243"/>
      <c r="J120" s="243"/>
      <c r="K120" s="255"/>
      <c r="L120" s="255"/>
      <c r="M120" s="255"/>
      <c r="N120" s="255"/>
      <c r="O120" s="255"/>
      <c r="P120" s="255"/>
      <c r="Q120" s="256"/>
      <c r="R120" s="257"/>
      <c r="S120" s="258"/>
      <c r="T120" s="255"/>
      <c r="U120" s="258"/>
      <c r="V120" s="259"/>
    </row>
    <row r="121">
      <c r="A121" s="68"/>
      <c r="B121" s="164"/>
      <c r="C121" s="68"/>
      <c r="D121" s="250"/>
      <c r="E121" s="251"/>
      <c r="F121" s="271"/>
      <c r="G121" s="253"/>
      <c r="H121" s="254"/>
      <c r="I121" s="254"/>
      <c r="J121" s="254"/>
      <c r="K121" s="255"/>
      <c r="L121" s="255"/>
      <c r="M121" s="255"/>
      <c r="N121" s="255"/>
      <c r="O121" s="255"/>
      <c r="P121" s="255"/>
      <c r="Q121" s="256"/>
      <c r="R121" s="257"/>
      <c r="S121" s="258"/>
      <c r="T121" s="255"/>
      <c r="U121" s="258"/>
      <c r="V121" s="259"/>
    </row>
    <row r="122">
      <c r="A122" s="68"/>
      <c r="B122" s="164"/>
      <c r="C122" s="68"/>
      <c r="D122" s="260"/>
      <c r="E122" s="261"/>
      <c r="F122" s="270"/>
      <c r="G122" s="239"/>
      <c r="H122" s="243"/>
      <c r="I122" s="243"/>
      <c r="J122" s="243"/>
      <c r="K122" s="255"/>
      <c r="L122" s="255"/>
      <c r="M122" s="255"/>
      <c r="N122" s="255"/>
      <c r="O122" s="255"/>
      <c r="P122" s="255"/>
      <c r="Q122" s="256"/>
      <c r="R122" s="257"/>
      <c r="S122" s="258"/>
      <c r="T122" s="255"/>
      <c r="U122" s="258"/>
      <c r="V122" s="259"/>
    </row>
    <row r="123">
      <c r="A123" s="68"/>
      <c r="B123" s="164"/>
      <c r="C123" s="68"/>
      <c r="D123" s="250"/>
      <c r="E123" s="251"/>
      <c r="F123" s="271"/>
      <c r="G123" s="253"/>
      <c r="H123" s="254"/>
      <c r="I123" s="254"/>
      <c r="J123" s="254"/>
      <c r="K123" s="255"/>
      <c r="L123" s="255"/>
      <c r="M123" s="255"/>
      <c r="N123" s="255"/>
      <c r="O123" s="255"/>
      <c r="P123" s="255"/>
      <c r="Q123" s="256"/>
      <c r="R123" s="257"/>
      <c r="S123" s="258"/>
      <c r="T123" s="255"/>
      <c r="U123" s="258"/>
      <c r="V123" s="259"/>
    </row>
    <row r="124">
      <c r="A124" s="68"/>
      <c r="B124" s="182"/>
      <c r="C124" s="68"/>
      <c r="D124" s="260"/>
      <c r="E124" s="261"/>
      <c r="F124" s="270"/>
      <c r="G124" s="239"/>
      <c r="H124" s="243"/>
      <c r="I124" s="243"/>
      <c r="J124" s="243"/>
      <c r="K124" s="255"/>
      <c r="L124" s="255"/>
      <c r="M124" s="255"/>
      <c r="N124" s="255"/>
      <c r="O124" s="255"/>
      <c r="P124" s="255"/>
      <c r="Q124" s="256"/>
      <c r="R124" s="257"/>
      <c r="S124" s="258"/>
      <c r="T124" s="255"/>
      <c r="U124" s="258"/>
      <c r="V124" s="259"/>
    </row>
    <row r="125">
      <c r="A125" s="68"/>
      <c r="B125" s="184"/>
      <c r="C125" s="68"/>
      <c r="D125" s="250"/>
      <c r="E125" s="251"/>
      <c r="F125" s="271"/>
      <c r="G125" s="253"/>
      <c r="H125" s="254"/>
      <c r="I125" s="254"/>
      <c r="J125" s="254"/>
      <c r="K125" s="255"/>
      <c r="L125" s="255"/>
      <c r="M125" s="255"/>
      <c r="N125" s="255"/>
      <c r="O125" s="255"/>
      <c r="P125" s="255"/>
      <c r="Q125" s="256"/>
      <c r="R125" s="257"/>
      <c r="S125" s="258"/>
      <c r="T125" s="255"/>
      <c r="U125" s="258"/>
      <c r="V125" s="259"/>
    </row>
    <row r="126">
      <c r="A126" s="68"/>
      <c r="B126" s="184"/>
      <c r="C126" s="68"/>
      <c r="D126" s="260"/>
      <c r="E126" s="261"/>
      <c r="F126" s="270"/>
      <c r="G126" s="239"/>
      <c r="H126" s="243"/>
      <c r="I126" s="243"/>
      <c r="J126" s="243"/>
      <c r="K126" s="255"/>
      <c r="L126" s="255"/>
      <c r="M126" s="255"/>
      <c r="N126" s="255"/>
      <c r="O126" s="255"/>
      <c r="P126" s="255"/>
      <c r="Q126" s="256"/>
      <c r="R126" s="257"/>
      <c r="S126" s="258"/>
      <c r="T126" s="255"/>
      <c r="U126" s="258"/>
      <c r="V126" s="259"/>
    </row>
    <row r="127">
      <c r="A127" s="68"/>
      <c r="B127" s="184"/>
      <c r="C127" s="68"/>
      <c r="D127" s="250"/>
      <c r="E127" s="251"/>
      <c r="F127" s="271"/>
      <c r="G127" s="253"/>
      <c r="H127" s="254"/>
      <c r="I127" s="254"/>
      <c r="J127" s="254"/>
      <c r="K127" s="255"/>
      <c r="L127" s="255"/>
      <c r="M127" s="255"/>
      <c r="N127" s="255"/>
      <c r="O127" s="255"/>
      <c r="P127" s="255"/>
      <c r="Q127" s="256"/>
      <c r="R127" s="257"/>
      <c r="S127" s="258"/>
      <c r="T127" s="255"/>
      <c r="U127" s="258"/>
      <c r="V127" s="259"/>
    </row>
    <row r="128">
      <c r="A128" s="68"/>
      <c r="B128" s="184"/>
      <c r="C128" s="68"/>
      <c r="D128" s="260"/>
      <c r="E128" s="261"/>
      <c r="F128" s="270"/>
      <c r="G128" s="239"/>
      <c r="H128" s="243"/>
      <c r="I128" s="243"/>
      <c r="J128" s="243"/>
      <c r="K128" s="255"/>
      <c r="L128" s="255"/>
      <c r="M128" s="255"/>
      <c r="N128" s="255"/>
      <c r="O128" s="255"/>
      <c r="P128" s="255"/>
      <c r="Q128" s="256"/>
      <c r="R128" s="257"/>
      <c r="S128" s="258"/>
      <c r="T128" s="255"/>
      <c r="U128" s="258"/>
      <c r="V128" s="259"/>
    </row>
    <row r="129">
      <c r="A129" s="68"/>
      <c r="B129" s="147"/>
      <c r="C129" s="68"/>
      <c r="D129" s="250"/>
      <c r="E129" s="251"/>
      <c r="F129" s="271"/>
      <c r="G129" s="253"/>
      <c r="H129" s="254"/>
      <c r="I129" s="254"/>
      <c r="J129" s="254"/>
      <c r="K129" s="255"/>
      <c r="L129" s="255"/>
      <c r="M129" s="255"/>
      <c r="N129" s="255"/>
      <c r="O129" s="255"/>
      <c r="P129" s="255"/>
      <c r="Q129" s="256"/>
      <c r="R129" s="257"/>
      <c r="S129" s="258"/>
      <c r="T129" s="255"/>
      <c r="U129" s="258"/>
      <c r="V129" s="259"/>
    </row>
    <row r="130">
      <c r="A130" s="68"/>
      <c r="B130" s="147"/>
      <c r="C130" s="68"/>
      <c r="D130" s="260"/>
      <c r="E130" s="261"/>
      <c r="F130" s="270"/>
      <c r="G130" s="239"/>
      <c r="H130" s="243"/>
      <c r="I130" s="243"/>
      <c r="J130" s="243"/>
      <c r="K130" s="255"/>
      <c r="L130" s="255"/>
      <c r="M130" s="255"/>
      <c r="N130" s="255"/>
      <c r="O130" s="255"/>
      <c r="P130" s="255"/>
      <c r="Q130" s="256"/>
      <c r="R130" s="257"/>
      <c r="S130" s="258"/>
      <c r="T130" s="255"/>
      <c r="U130" s="258"/>
      <c r="V130" s="259"/>
    </row>
    <row r="131">
      <c r="A131" s="68"/>
      <c r="B131" s="147"/>
      <c r="C131" s="68"/>
      <c r="D131" s="250"/>
      <c r="E131" s="251"/>
      <c r="F131" s="271"/>
      <c r="G131" s="253"/>
      <c r="H131" s="254"/>
      <c r="I131" s="254"/>
      <c r="J131" s="254"/>
      <c r="K131" s="255"/>
      <c r="L131" s="255"/>
      <c r="M131" s="255"/>
      <c r="N131" s="255"/>
      <c r="O131" s="255"/>
      <c r="P131" s="255"/>
      <c r="Q131" s="256"/>
      <c r="R131" s="257"/>
      <c r="S131" s="258"/>
      <c r="T131" s="255"/>
      <c r="U131" s="258"/>
      <c r="V131" s="259"/>
    </row>
    <row r="132">
      <c r="A132" s="68"/>
      <c r="B132" s="147"/>
      <c r="C132" s="68"/>
      <c r="D132" s="260"/>
      <c r="E132" s="261"/>
      <c r="F132" s="270"/>
      <c r="G132" s="239"/>
      <c r="H132" s="243"/>
      <c r="I132" s="243"/>
      <c r="J132" s="243"/>
      <c r="K132" s="255"/>
      <c r="L132" s="255"/>
      <c r="M132" s="255"/>
      <c r="N132" s="255"/>
      <c r="O132" s="255"/>
      <c r="P132" s="255"/>
      <c r="Q132" s="256"/>
      <c r="R132" s="257"/>
      <c r="S132" s="258"/>
      <c r="T132" s="255"/>
      <c r="U132" s="258"/>
      <c r="V132" s="259"/>
    </row>
    <row r="133">
      <c r="A133" s="68"/>
      <c r="B133" s="201"/>
      <c r="C133" s="68"/>
      <c r="D133" s="250"/>
      <c r="E133" s="251"/>
      <c r="F133" s="271"/>
      <c r="G133" s="253"/>
      <c r="H133" s="254"/>
      <c r="I133" s="254"/>
      <c r="J133" s="254"/>
      <c r="K133" s="255"/>
      <c r="L133" s="255"/>
      <c r="M133" s="255"/>
      <c r="N133" s="255"/>
      <c r="O133" s="255"/>
      <c r="P133" s="255"/>
      <c r="Q133" s="256"/>
      <c r="R133" s="257"/>
      <c r="S133" s="258"/>
      <c r="T133" s="255"/>
      <c r="U133" s="258"/>
      <c r="V133" s="259"/>
    </row>
    <row r="134">
      <c r="A134" s="68"/>
      <c r="B134" s="201"/>
      <c r="C134" s="68"/>
      <c r="D134" s="260"/>
      <c r="E134" s="261"/>
      <c r="F134" s="270"/>
      <c r="G134" s="239"/>
      <c r="H134" s="243"/>
      <c r="I134" s="243"/>
      <c r="J134" s="243"/>
      <c r="K134" s="255"/>
      <c r="L134" s="255"/>
      <c r="M134" s="255"/>
      <c r="N134" s="255"/>
      <c r="O134" s="255"/>
      <c r="P134" s="255"/>
      <c r="Q134" s="256"/>
      <c r="R134" s="257"/>
      <c r="S134" s="258"/>
      <c r="T134" s="255"/>
      <c r="U134" s="258"/>
      <c r="V134" s="259"/>
    </row>
    <row r="135">
      <c r="A135" s="68"/>
      <c r="B135" s="201"/>
      <c r="C135" s="68"/>
      <c r="D135" s="250"/>
      <c r="E135" s="251"/>
      <c r="F135" s="271"/>
      <c r="G135" s="253"/>
      <c r="H135" s="254"/>
      <c r="I135" s="254"/>
      <c r="J135" s="254"/>
      <c r="K135" s="255"/>
      <c r="L135" s="255"/>
      <c r="M135" s="255"/>
      <c r="N135" s="255"/>
      <c r="O135" s="255"/>
      <c r="P135" s="255"/>
      <c r="Q135" s="256"/>
      <c r="R135" s="257"/>
      <c r="S135" s="258"/>
      <c r="T135" s="255"/>
      <c r="U135" s="258"/>
      <c r="V135" s="259"/>
    </row>
    <row r="136">
      <c r="A136" s="68"/>
      <c r="B136" s="128"/>
      <c r="C136" s="68"/>
      <c r="D136" s="260"/>
      <c r="E136" s="261"/>
      <c r="F136" s="270"/>
      <c r="G136" s="239"/>
      <c r="H136" s="243"/>
      <c r="I136" s="243"/>
      <c r="J136" s="243"/>
      <c r="K136" s="255"/>
      <c r="L136" s="255"/>
      <c r="M136" s="255"/>
      <c r="N136" s="255"/>
      <c r="O136" s="255"/>
      <c r="P136" s="255"/>
      <c r="Q136" s="256"/>
      <c r="R136" s="257"/>
      <c r="S136" s="258"/>
      <c r="T136" s="255"/>
      <c r="U136" s="258"/>
      <c r="V136" s="259"/>
    </row>
    <row r="137">
      <c r="A137" s="68"/>
      <c r="B137" s="214"/>
      <c r="C137" s="68"/>
      <c r="D137" s="250"/>
      <c r="E137" s="251"/>
      <c r="F137" s="271"/>
      <c r="G137" s="253"/>
      <c r="H137" s="254"/>
      <c r="I137" s="254"/>
      <c r="J137" s="254"/>
      <c r="K137" s="255"/>
      <c r="L137" s="255"/>
      <c r="M137" s="255"/>
      <c r="N137" s="255"/>
      <c r="O137" s="255"/>
      <c r="P137" s="255"/>
      <c r="Q137" s="256"/>
      <c r="R137" s="257"/>
      <c r="S137" s="258"/>
      <c r="T137" s="255"/>
      <c r="U137" s="258"/>
      <c r="V137" s="259"/>
    </row>
    <row r="138">
      <c r="A138" s="68"/>
      <c r="B138" s="218"/>
      <c r="C138" s="68"/>
      <c r="D138" s="260"/>
      <c r="E138" s="261"/>
      <c r="F138" s="270"/>
      <c r="G138" s="239"/>
      <c r="H138" s="243"/>
      <c r="I138" s="243"/>
      <c r="J138" s="243"/>
      <c r="K138" s="255"/>
      <c r="L138" s="255"/>
      <c r="M138" s="255"/>
      <c r="N138" s="255"/>
      <c r="O138" s="255"/>
      <c r="P138" s="255"/>
      <c r="Q138" s="256"/>
      <c r="R138" s="257"/>
      <c r="S138" s="258"/>
      <c r="T138" s="255"/>
      <c r="U138" s="258"/>
      <c r="V138" s="259"/>
    </row>
    <row r="139">
      <c r="A139" s="68"/>
      <c r="B139" s="218"/>
      <c r="C139" s="68"/>
      <c r="D139" s="250"/>
      <c r="E139" s="251"/>
      <c r="F139" s="271"/>
      <c r="G139" s="253"/>
      <c r="H139" s="254"/>
      <c r="I139" s="254"/>
      <c r="J139" s="254"/>
      <c r="K139" s="255"/>
      <c r="L139" s="255"/>
      <c r="M139" s="255"/>
      <c r="N139" s="255"/>
      <c r="O139" s="255"/>
      <c r="P139" s="255"/>
      <c r="Q139" s="256"/>
      <c r="R139" s="257"/>
      <c r="S139" s="258"/>
      <c r="T139" s="255"/>
      <c r="U139" s="258"/>
      <c r="V139" s="259"/>
    </row>
    <row r="140">
      <c r="A140" s="68"/>
      <c r="B140" s="218"/>
      <c r="C140" s="68"/>
      <c r="D140" s="260"/>
      <c r="E140" s="261"/>
      <c r="F140" s="270"/>
      <c r="G140" s="239"/>
      <c r="H140" s="243"/>
      <c r="I140" s="243"/>
      <c r="J140" s="243"/>
      <c r="K140" s="255"/>
      <c r="L140" s="255"/>
      <c r="M140" s="255"/>
      <c r="N140" s="255"/>
      <c r="O140" s="255"/>
      <c r="P140" s="255"/>
      <c r="Q140" s="256"/>
      <c r="R140" s="257"/>
      <c r="S140" s="258"/>
      <c r="T140" s="255"/>
      <c r="U140" s="258"/>
      <c r="V140" s="259"/>
    </row>
    <row r="141">
      <c r="A141" s="68"/>
      <c r="B141" s="218"/>
      <c r="C141" s="68"/>
      <c r="D141" s="250"/>
      <c r="E141" s="251"/>
      <c r="F141" s="271"/>
      <c r="G141" s="253"/>
      <c r="H141" s="254"/>
      <c r="I141" s="254"/>
      <c r="J141" s="254"/>
      <c r="K141" s="255"/>
      <c r="L141" s="255"/>
      <c r="M141" s="255"/>
      <c r="N141" s="255"/>
      <c r="O141" s="255"/>
      <c r="P141" s="255"/>
      <c r="Q141" s="256"/>
      <c r="R141" s="257"/>
      <c r="S141" s="258"/>
      <c r="T141" s="255"/>
      <c r="U141" s="258"/>
      <c r="V141" s="259"/>
    </row>
    <row r="142">
      <c r="A142" s="68"/>
      <c r="B142" s="218"/>
      <c r="C142" s="68"/>
      <c r="D142" s="260"/>
      <c r="E142" s="261"/>
      <c r="F142" s="270"/>
      <c r="G142" s="239"/>
      <c r="H142" s="243"/>
      <c r="I142" s="243"/>
      <c r="J142" s="243"/>
      <c r="K142" s="255"/>
      <c r="L142" s="255"/>
      <c r="M142" s="255"/>
      <c r="N142" s="255"/>
      <c r="O142" s="255"/>
      <c r="P142" s="255"/>
      <c r="Q142" s="256"/>
      <c r="R142" s="257"/>
      <c r="S142" s="258"/>
      <c r="T142" s="255"/>
      <c r="U142" s="258"/>
      <c r="V142" s="259"/>
    </row>
    <row r="143">
      <c r="A143" s="68"/>
      <c r="B143" s="14"/>
      <c r="C143" s="68"/>
      <c r="D143" s="250"/>
      <c r="E143" s="251"/>
      <c r="F143" s="271"/>
      <c r="G143" s="253"/>
      <c r="H143" s="254"/>
      <c r="I143" s="254"/>
      <c r="J143" s="254"/>
      <c r="K143" s="255"/>
      <c r="L143" s="255"/>
      <c r="M143" s="255"/>
      <c r="N143" s="255"/>
      <c r="O143" s="255"/>
      <c r="P143" s="255"/>
      <c r="Q143" s="256"/>
      <c r="R143" s="257"/>
      <c r="S143" s="258"/>
      <c r="T143" s="255"/>
      <c r="U143" s="258"/>
      <c r="V143" s="259"/>
    </row>
    <row r="144">
      <c r="A144" s="68"/>
      <c r="B144" s="21"/>
      <c r="C144" s="68"/>
      <c r="D144" s="260"/>
      <c r="E144" s="261"/>
      <c r="F144" s="270"/>
      <c r="G144" s="239"/>
      <c r="H144" s="243"/>
      <c r="I144" s="243"/>
      <c r="J144" s="243"/>
      <c r="K144" s="255"/>
      <c r="L144" s="255"/>
      <c r="M144" s="255"/>
      <c r="N144" s="255"/>
      <c r="O144" s="255"/>
      <c r="P144" s="255"/>
      <c r="Q144" s="256"/>
      <c r="R144" s="257"/>
      <c r="S144" s="258"/>
      <c r="T144" s="255"/>
      <c r="U144" s="258"/>
      <c r="V144" s="259"/>
    </row>
    <row r="145">
      <c r="A145" s="68"/>
      <c r="B145" s="26"/>
      <c r="C145" s="68"/>
      <c r="D145" s="250"/>
      <c r="E145" s="251"/>
      <c r="F145" s="271"/>
      <c r="G145" s="253"/>
      <c r="H145" s="254"/>
      <c r="I145" s="254"/>
      <c r="J145" s="254"/>
      <c r="K145" s="255"/>
      <c r="L145" s="255"/>
      <c r="M145" s="255"/>
      <c r="N145" s="255"/>
      <c r="O145" s="255"/>
      <c r="P145" s="255"/>
      <c r="Q145" s="256"/>
      <c r="R145" s="257"/>
      <c r="S145" s="258"/>
      <c r="T145" s="255"/>
      <c r="U145" s="258"/>
      <c r="V145" s="259"/>
    </row>
    <row r="146">
      <c r="A146" s="68"/>
      <c r="B146" s="26"/>
      <c r="C146" s="68"/>
      <c r="D146" s="260"/>
      <c r="E146" s="261"/>
      <c r="F146" s="270"/>
      <c r="G146" s="239"/>
      <c r="H146" s="243"/>
      <c r="I146" s="243"/>
      <c r="J146" s="243"/>
      <c r="K146" s="255"/>
      <c r="L146" s="255"/>
      <c r="M146" s="255"/>
      <c r="N146" s="255"/>
      <c r="O146" s="255"/>
      <c r="P146" s="255"/>
      <c r="Q146" s="256"/>
      <c r="R146" s="257"/>
      <c r="S146" s="258"/>
      <c r="T146" s="255"/>
      <c r="U146" s="258"/>
      <c r="V146" s="259"/>
    </row>
    <row r="147">
      <c r="A147" s="68"/>
      <c r="B147" s="54"/>
      <c r="C147" s="68"/>
      <c r="D147" s="250"/>
      <c r="E147" s="251"/>
      <c r="F147" s="271"/>
      <c r="G147" s="253"/>
      <c r="H147" s="254"/>
      <c r="I147" s="254"/>
      <c r="J147" s="254"/>
      <c r="K147" s="255"/>
      <c r="L147" s="255"/>
      <c r="M147" s="255"/>
      <c r="N147" s="255"/>
      <c r="O147" s="255"/>
      <c r="P147" s="255"/>
      <c r="Q147" s="256"/>
      <c r="R147" s="257"/>
      <c r="S147" s="258"/>
      <c r="T147" s="255"/>
      <c r="U147" s="258"/>
      <c r="V147" s="259"/>
    </row>
    <row r="148">
      <c r="A148" s="68"/>
      <c r="B148" s="36"/>
      <c r="C148" s="68"/>
      <c r="D148" s="260"/>
      <c r="E148" s="261"/>
      <c r="F148" s="270"/>
      <c r="G148" s="239"/>
      <c r="H148" s="243"/>
      <c r="I148" s="243"/>
      <c r="J148" s="243"/>
      <c r="K148" s="255"/>
      <c r="L148" s="255"/>
      <c r="M148" s="255"/>
      <c r="N148" s="255"/>
      <c r="O148" s="255"/>
      <c r="P148" s="255"/>
      <c r="Q148" s="256"/>
      <c r="R148" s="257"/>
      <c r="S148" s="258"/>
      <c r="T148" s="255"/>
      <c r="U148" s="258"/>
      <c r="V148" s="259"/>
    </row>
    <row r="149">
      <c r="A149" s="68"/>
      <c r="B149" s="26"/>
      <c r="C149" s="68"/>
      <c r="D149" s="250"/>
      <c r="E149" s="251"/>
      <c r="F149" s="271"/>
      <c r="G149" s="253"/>
      <c r="H149" s="254"/>
      <c r="I149" s="254"/>
      <c r="J149" s="254"/>
      <c r="K149" s="255"/>
      <c r="L149" s="255"/>
      <c r="M149" s="255"/>
      <c r="N149" s="255"/>
      <c r="O149" s="255"/>
      <c r="P149" s="255"/>
      <c r="Q149" s="256"/>
      <c r="R149" s="257"/>
      <c r="S149" s="258"/>
      <c r="T149" s="255"/>
      <c r="U149" s="258"/>
      <c r="V149" s="259"/>
    </row>
    <row r="150">
      <c r="A150" s="68"/>
      <c r="B150" s="26"/>
      <c r="C150" s="68"/>
      <c r="D150" s="260"/>
      <c r="E150" s="261"/>
      <c r="F150" s="270"/>
      <c r="G150" s="239"/>
      <c r="H150" s="243"/>
      <c r="I150" s="243"/>
      <c r="J150" s="243"/>
      <c r="K150" s="255"/>
      <c r="L150" s="255"/>
      <c r="M150" s="255"/>
      <c r="N150" s="255"/>
      <c r="O150" s="255"/>
      <c r="P150" s="255"/>
      <c r="Q150" s="256"/>
      <c r="R150" s="257"/>
      <c r="S150" s="258"/>
      <c r="T150" s="255"/>
      <c r="U150" s="258"/>
      <c r="V150" s="259"/>
    </row>
    <row r="151">
      <c r="A151" s="68"/>
      <c r="B151" s="26"/>
      <c r="C151" s="68"/>
      <c r="D151" s="250"/>
      <c r="E151" s="251"/>
      <c r="F151" s="271"/>
      <c r="G151" s="253"/>
      <c r="H151" s="254"/>
      <c r="I151" s="254"/>
      <c r="J151" s="254"/>
      <c r="K151" s="255"/>
      <c r="L151" s="255"/>
      <c r="M151" s="255"/>
      <c r="N151" s="255"/>
      <c r="O151" s="255"/>
      <c r="P151" s="255"/>
      <c r="Q151" s="256"/>
      <c r="R151" s="257"/>
      <c r="S151" s="258"/>
      <c r="T151" s="255"/>
      <c r="U151" s="258"/>
      <c r="V151" s="259"/>
    </row>
    <row r="152">
      <c r="A152" s="68"/>
      <c r="B152" s="26"/>
      <c r="C152" s="68"/>
      <c r="D152" s="260"/>
      <c r="E152" s="261"/>
      <c r="F152" s="270"/>
      <c r="G152" s="239"/>
      <c r="H152" s="243"/>
      <c r="I152" s="243"/>
      <c r="J152" s="243"/>
      <c r="K152" s="255"/>
      <c r="L152" s="255"/>
      <c r="M152" s="255"/>
      <c r="N152" s="255"/>
      <c r="O152" s="255"/>
      <c r="P152" s="255"/>
      <c r="Q152" s="256"/>
      <c r="R152" s="257"/>
      <c r="S152" s="258"/>
      <c r="T152" s="255"/>
      <c r="U152" s="258"/>
      <c r="V152" s="259"/>
    </row>
    <row r="153">
      <c r="A153" s="68"/>
      <c r="B153" s="52"/>
      <c r="C153" s="68"/>
      <c r="D153" s="250"/>
      <c r="E153" s="251"/>
      <c r="F153" s="271"/>
      <c r="G153" s="253"/>
      <c r="H153" s="254"/>
      <c r="I153" s="254"/>
      <c r="J153" s="254"/>
      <c r="K153" s="255"/>
      <c r="L153" s="255"/>
      <c r="M153" s="255"/>
      <c r="N153" s="255"/>
      <c r="O153" s="255"/>
      <c r="P153" s="255"/>
      <c r="Q153" s="256"/>
      <c r="R153" s="257"/>
      <c r="S153" s="258"/>
      <c r="T153" s="255"/>
      <c r="U153" s="258"/>
      <c r="V153" s="259"/>
    </row>
    <row r="154">
      <c r="A154" s="68"/>
      <c r="B154" s="54"/>
      <c r="C154" s="68"/>
      <c r="D154" s="260"/>
      <c r="E154" s="261"/>
      <c r="F154" s="270"/>
      <c r="G154" s="239"/>
      <c r="H154" s="243"/>
      <c r="I154" s="243"/>
      <c r="J154" s="243"/>
      <c r="K154" s="255"/>
      <c r="L154" s="255"/>
      <c r="M154" s="255"/>
      <c r="N154" s="255"/>
      <c r="O154" s="255"/>
      <c r="P154" s="255"/>
      <c r="Q154" s="256"/>
      <c r="R154" s="257"/>
      <c r="S154" s="258"/>
      <c r="T154" s="255"/>
      <c r="U154" s="258"/>
      <c r="V154" s="259"/>
    </row>
    <row r="155">
      <c r="A155" s="68"/>
      <c r="B155" s="36"/>
      <c r="C155" s="68"/>
      <c r="D155" s="250"/>
      <c r="E155" s="251"/>
      <c r="F155" s="271"/>
      <c r="G155" s="253"/>
      <c r="H155" s="254"/>
      <c r="I155" s="254"/>
      <c r="J155" s="254"/>
      <c r="K155" s="255"/>
      <c r="L155" s="255"/>
      <c r="M155" s="255"/>
      <c r="N155" s="255"/>
      <c r="O155" s="255"/>
      <c r="P155" s="255"/>
      <c r="Q155" s="256"/>
      <c r="R155" s="257"/>
      <c r="S155" s="258"/>
      <c r="T155" s="255"/>
      <c r="U155" s="258"/>
      <c r="V155" s="259"/>
    </row>
    <row r="156">
      <c r="A156" s="68"/>
      <c r="B156" s="55"/>
      <c r="C156" s="68"/>
      <c r="D156" s="260"/>
      <c r="E156" s="261"/>
      <c r="F156" s="270"/>
      <c r="G156" s="239"/>
      <c r="H156" s="243"/>
      <c r="I156" s="243"/>
      <c r="J156" s="243"/>
      <c r="K156" s="255"/>
      <c r="L156" s="255"/>
      <c r="M156" s="255"/>
      <c r="N156" s="255"/>
      <c r="O156" s="255"/>
      <c r="P156" s="255"/>
      <c r="Q156" s="256"/>
      <c r="R156" s="257"/>
      <c r="S156" s="258"/>
      <c r="T156" s="255"/>
      <c r="U156" s="258"/>
      <c r="V156" s="259"/>
    </row>
    <row r="157">
      <c r="A157" s="68"/>
      <c r="B157" s="8"/>
      <c r="C157" s="68"/>
      <c r="D157" s="250"/>
      <c r="E157" s="251"/>
      <c r="F157" s="271"/>
      <c r="G157" s="253"/>
      <c r="H157" s="254"/>
      <c r="I157" s="254"/>
      <c r="J157" s="254"/>
      <c r="K157" s="255"/>
      <c r="L157" s="255"/>
      <c r="M157" s="255"/>
      <c r="N157" s="255"/>
      <c r="O157" s="255"/>
      <c r="P157" s="255"/>
      <c r="Q157" s="256"/>
      <c r="R157" s="257"/>
      <c r="S157" s="258"/>
      <c r="T157" s="255"/>
      <c r="U157" s="258"/>
      <c r="V157" s="259"/>
    </row>
    <row r="158">
      <c r="A158" s="68"/>
      <c r="B158" s="8"/>
      <c r="C158" s="68"/>
      <c r="D158" s="260"/>
      <c r="E158" s="261"/>
      <c r="F158" s="270"/>
      <c r="G158" s="239"/>
      <c r="H158" s="243"/>
      <c r="I158" s="243"/>
      <c r="J158" s="243"/>
      <c r="K158" s="255"/>
      <c r="L158" s="255"/>
      <c r="M158" s="255"/>
      <c r="N158" s="255"/>
      <c r="O158" s="255"/>
      <c r="P158" s="255"/>
      <c r="Q158" s="256"/>
      <c r="R158" s="257"/>
      <c r="S158" s="258"/>
      <c r="T158" s="255"/>
      <c r="U158" s="258"/>
      <c r="V158" s="259"/>
    </row>
    <row r="159">
      <c r="A159" s="68"/>
      <c r="B159" s="61"/>
      <c r="C159" s="68"/>
      <c r="D159" s="250"/>
      <c r="E159" s="251"/>
      <c r="F159" s="271"/>
      <c r="G159" s="253"/>
      <c r="H159" s="254"/>
      <c r="I159" s="254"/>
      <c r="J159" s="254"/>
      <c r="K159" s="255"/>
      <c r="L159" s="255"/>
      <c r="M159" s="255"/>
      <c r="N159" s="255"/>
      <c r="O159" s="255"/>
      <c r="P159" s="255"/>
      <c r="Q159" s="256"/>
      <c r="R159" s="257"/>
      <c r="S159" s="258"/>
      <c r="T159" s="255"/>
      <c r="U159" s="258"/>
      <c r="V159" s="259"/>
    </row>
    <row r="160">
      <c r="A160" s="68"/>
      <c r="B160" s="61"/>
      <c r="C160" s="68"/>
      <c r="D160" s="260"/>
      <c r="E160" s="261"/>
      <c r="F160" s="270"/>
      <c r="G160" s="239"/>
      <c r="H160" s="243"/>
      <c r="I160" s="243"/>
      <c r="J160" s="243"/>
      <c r="K160" s="255"/>
      <c r="L160" s="255"/>
      <c r="M160" s="255"/>
      <c r="N160" s="255"/>
      <c r="O160" s="255"/>
      <c r="P160" s="255"/>
      <c r="Q160" s="256"/>
      <c r="R160" s="257"/>
      <c r="S160" s="258"/>
      <c r="T160" s="255"/>
      <c r="U160" s="258"/>
      <c r="V160" s="259"/>
    </row>
    <row r="161">
      <c r="A161" s="68"/>
      <c r="B161" s="153"/>
      <c r="C161" s="68"/>
      <c r="D161" s="250"/>
      <c r="E161" s="251"/>
      <c r="F161" s="271"/>
      <c r="G161" s="253"/>
      <c r="H161" s="254"/>
      <c r="I161" s="254"/>
      <c r="J161" s="254"/>
      <c r="K161" s="255"/>
      <c r="L161" s="255"/>
      <c r="M161" s="255"/>
      <c r="N161" s="255"/>
      <c r="O161" s="255"/>
      <c r="P161" s="255"/>
      <c r="Q161" s="256"/>
      <c r="R161" s="257"/>
      <c r="S161" s="258"/>
      <c r="T161" s="255"/>
      <c r="U161" s="258"/>
      <c r="V161" s="259"/>
    </row>
    <row r="162">
      <c r="A162" s="68"/>
      <c r="B162" s="155"/>
      <c r="C162" s="68"/>
      <c r="D162" s="260"/>
      <c r="E162" s="261"/>
      <c r="F162" s="270"/>
      <c r="G162" s="239"/>
      <c r="H162" s="243"/>
      <c r="I162" s="243"/>
      <c r="J162" s="243"/>
      <c r="K162" s="255"/>
      <c r="L162" s="255"/>
      <c r="M162" s="255"/>
      <c r="N162" s="255"/>
      <c r="O162" s="255"/>
      <c r="P162" s="255"/>
      <c r="Q162" s="256"/>
      <c r="R162" s="257"/>
      <c r="S162" s="258"/>
      <c r="T162" s="255"/>
      <c r="U162" s="258"/>
      <c r="V162" s="259"/>
    </row>
    <row r="163">
      <c r="A163" s="68"/>
      <c r="B163" s="164"/>
      <c r="C163" s="68"/>
      <c r="D163" s="250"/>
      <c r="E163" s="251"/>
      <c r="F163" s="271"/>
      <c r="G163" s="253"/>
      <c r="H163" s="254"/>
      <c r="I163" s="254"/>
      <c r="J163" s="254"/>
      <c r="K163" s="255"/>
      <c r="L163" s="255"/>
      <c r="M163" s="255"/>
      <c r="N163" s="255"/>
      <c r="O163" s="255"/>
      <c r="P163" s="255"/>
      <c r="Q163" s="256"/>
      <c r="R163" s="257"/>
      <c r="S163" s="258"/>
      <c r="T163" s="255"/>
      <c r="U163" s="258"/>
      <c r="V163" s="259"/>
    </row>
    <row r="164">
      <c r="A164" s="68"/>
      <c r="B164" s="164"/>
      <c r="C164" s="68"/>
      <c r="D164" s="260"/>
      <c r="E164" s="261"/>
      <c r="F164" s="270"/>
      <c r="G164" s="239"/>
      <c r="H164" s="243"/>
      <c r="I164" s="243"/>
      <c r="J164" s="243"/>
      <c r="K164" s="255"/>
      <c r="L164" s="255"/>
      <c r="M164" s="255"/>
      <c r="N164" s="255"/>
      <c r="O164" s="255"/>
      <c r="P164" s="255"/>
      <c r="Q164" s="256"/>
      <c r="R164" s="257"/>
      <c r="S164" s="258"/>
      <c r="T164" s="255"/>
      <c r="U164" s="258"/>
      <c r="V164" s="259"/>
    </row>
    <row r="165">
      <c r="A165" s="68"/>
      <c r="B165" s="164"/>
      <c r="C165" s="68"/>
      <c r="D165" s="250"/>
      <c r="E165" s="251"/>
      <c r="F165" s="271"/>
      <c r="G165" s="253"/>
      <c r="H165" s="254"/>
      <c r="I165" s="254"/>
      <c r="J165" s="254"/>
      <c r="K165" s="255"/>
      <c r="L165" s="255"/>
      <c r="M165" s="255"/>
      <c r="N165" s="255"/>
      <c r="O165" s="255"/>
      <c r="P165" s="255"/>
      <c r="Q165" s="256"/>
      <c r="R165" s="257"/>
      <c r="S165" s="258"/>
      <c r="T165" s="255"/>
      <c r="U165" s="258"/>
      <c r="V165" s="259"/>
    </row>
    <row r="166">
      <c r="A166" s="68"/>
      <c r="B166" s="164"/>
      <c r="C166" s="68"/>
      <c r="D166" s="260"/>
      <c r="E166" s="261"/>
      <c r="F166" s="270"/>
      <c r="G166" s="239"/>
      <c r="H166" s="243"/>
      <c r="I166" s="243"/>
      <c r="J166" s="243"/>
      <c r="K166" s="255"/>
      <c r="L166" s="255"/>
      <c r="M166" s="255"/>
      <c r="N166" s="255"/>
      <c r="O166" s="255"/>
      <c r="P166" s="255"/>
      <c r="Q166" s="256"/>
      <c r="R166" s="257"/>
      <c r="S166" s="258"/>
      <c r="T166" s="255"/>
      <c r="U166" s="258"/>
      <c r="V166" s="259"/>
    </row>
    <row r="167">
      <c r="A167" s="68"/>
      <c r="B167" s="164"/>
      <c r="C167" s="68"/>
      <c r="D167" s="250"/>
      <c r="E167" s="251"/>
      <c r="F167" s="271"/>
      <c r="G167" s="253"/>
      <c r="H167" s="254"/>
      <c r="I167" s="254"/>
      <c r="J167" s="254"/>
      <c r="K167" s="255"/>
      <c r="L167" s="255"/>
      <c r="M167" s="255"/>
      <c r="N167" s="255"/>
      <c r="O167" s="255"/>
      <c r="P167" s="255"/>
      <c r="Q167" s="256"/>
      <c r="R167" s="257"/>
      <c r="S167" s="258"/>
      <c r="T167" s="255"/>
      <c r="U167" s="258"/>
      <c r="V167" s="259"/>
    </row>
    <row r="168">
      <c r="A168" s="68"/>
      <c r="B168" s="164"/>
      <c r="C168" s="68"/>
      <c r="D168" s="260"/>
      <c r="E168" s="261"/>
      <c r="F168" s="270"/>
      <c r="G168" s="239"/>
      <c r="H168" s="243"/>
      <c r="I168" s="243"/>
      <c r="J168" s="243"/>
      <c r="K168" s="255"/>
      <c r="L168" s="255"/>
      <c r="M168" s="255"/>
      <c r="N168" s="255"/>
      <c r="O168" s="255"/>
      <c r="P168" s="255"/>
      <c r="Q168" s="256"/>
      <c r="R168" s="257"/>
      <c r="S168" s="258"/>
      <c r="T168" s="255"/>
      <c r="U168" s="258"/>
      <c r="V168" s="259"/>
    </row>
    <row r="169">
      <c r="A169" s="68"/>
      <c r="B169" s="182"/>
      <c r="C169" s="68"/>
      <c r="D169" s="250"/>
      <c r="E169" s="251"/>
      <c r="F169" s="271"/>
      <c r="G169" s="253"/>
      <c r="H169" s="254"/>
      <c r="I169" s="254"/>
      <c r="J169" s="254"/>
      <c r="K169" s="255"/>
      <c r="L169" s="255"/>
      <c r="M169" s="255"/>
      <c r="N169" s="255"/>
      <c r="O169" s="255"/>
      <c r="P169" s="255"/>
      <c r="Q169" s="256"/>
      <c r="R169" s="257"/>
      <c r="S169" s="258"/>
      <c r="T169" s="255"/>
      <c r="U169" s="258"/>
      <c r="V169" s="259"/>
    </row>
    <row r="170">
      <c r="A170" s="68"/>
      <c r="B170" s="184"/>
      <c r="C170" s="68"/>
      <c r="D170" s="260"/>
      <c r="E170" s="261"/>
      <c r="F170" s="270"/>
      <c r="G170" s="239"/>
      <c r="H170" s="243"/>
      <c r="I170" s="243"/>
      <c r="J170" s="243"/>
      <c r="K170" s="255"/>
      <c r="L170" s="255"/>
      <c r="M170" s="255"/>
      <c r="N170" s="255"/>
      <c r="O170" s="255"/>
      <c r="P170" s="255"/>
      <c r="Q170" s="256"/>
      <c r="R170" s="257"/>
      <c r="S170" s="258"/>
      <c r="T170" s="255"/>
      <c r="U170" s="258"/>
      <c r="V170" s="259"/>
    </row>
    <row r="171">
      <c r="A171" s="68"/>
      <c r="B171" s="184"/>
      <c r="C171" s="68"/>
      <c r="D171" s="250"/>
      <c r="E171" s="251"/>
      <c r="F171" s="271"/>
      <c r="G171" s="253"/>
      <c r="H171" s="254"/>
      <c r="I171" s="254"/>
      <c r="J171" s="254"/>
      <c r="K171" s="255"/>
      <c r="L171" s="255"/>
      <c r="M171" s="255"/>
      <c r="N171" s="255"/>
      <c r="O171" s="255"/>
      <c r="P171" s="255"/>
      <c r="Q171" s="256"/>
      <c r="R171" s="257"/>
      <c r="S171" s="258"/>
      <c r="T171" s="255"/>
      <c r="U171" s="258"/>
      <c r="V171" s="259"/>
    </row>
    <row r="172">
      <c r="A172" s="68"/>
      <c r="B172" s="184"/>
      <c r="C172" s="68"/>
      <c r="D172" s="260"/>
      <c r="E172" s="261"/>
      <c r="F172" s="270"/>
      <c r="G172" s="239"/>
      <c r="H172" s="243"/>
      <c r="I172" s="243"/>
      <c r="J172" s="243"/>
      <c r="K172" s="255"/>
      <c r="L172" s="255"/>
      <c r="M172" s="255"/>
      <c r="N172" s="255"/>
      <c r="O172" s="255"/>
      <c r="P172" s="255"/>
      <c r="Q172" s="256"/>
      <c r="R172" s="257"/>
      <c r="S172" s="258"/>
      <c r="T172" s="255"/>
      <c r="U172" s="258"/>
      <c r="V172" s="259"/>
    </row>
    <row r="173">
      <c r="A173" s="68"/>
      <c r="B173" s="184"/>
      <c r="C173" s="68"/>
      <c r="D173" s="250"/>
      <c r="E173" s="251"/>
      <c r="F173" s="271"/>
      <c r="G173" s="253"/>
      <c r="H173" s="254"/>
      <c r="I173" s="254"/>
      <c r="J173" s="254"/>
      <c r="K173" s="255"/>
      <c r="L173" s="255"/>
      <c r="M173" s="255"/>
      <c r="N173" s="255"/>
      <c r="O173" s="255"/>
      <c r="P173" s="255"/>
      <c r="Q173" s="256"/>
      <c r="R173" s="257"/>
      <c r="S173" s="258"/>
      <c r="T173" s="255"/>
      <c r="U173" s="258"/>
      <c r="V173" s="259"/>
    </row>
    <row r="174">
      <c r="A174" s="68"/>
      <c r="B174" s="147"/>
      <c r="C174" s="68"/>
      <c r="D174" s="260"/>
      <c r="E174" s="261"/>
      <c r="F174" s="270"/>
      <c r="G174" s="239"/>
      <c r="H174" s="243"/>
      <c r="I174" s="243"/>
      <c r="J174" s="243"/>
      <c r="K174" s="255"/>
      <c r="L174" s="255"/>
      <c r="M174" s="255"/>
      <c r="N174" s="255"/>
      <c r="O174" s="255"/>
      <c r="P174" s="255"/>
      <c r="Q174" s="256"/>
      <c r="R174" s="257"/>
      <c r="S174" s="258"/>
      <c r="T174" s="255"/>
      <c r="U174" s="258"/>
      <c r="V174" s="259"/>
    </row>
    <row r="175">
      <c r="A175" s="68"/>
      <c r="B175" s="147"/>
      <c r="C175" s="68"/>
      <c r="D175" s="250"/>
      <c r="E175" s="251"/>
      <c r="F175" s="271"/>
      <c r="G175" s="253"/>
      <c r="H175" s="254"/>
      <c r="I175" s="254"/>
      <c r="J175" s="254"/>
      <c r="K175" s="255"/>
      <c r="L175" s="255"/>
      <c r="M175" s="255"/>
      <c r="N175" s="255"/>
      <c r="O175" s="255"/>
      <c r="P175" s="255"/>
      <c r="Q175" s="256"/>
      <c r="R175" s="257"/>
      <c r="S175" s="258"/>
      <c r="T175" s="255"/>
      <c r="U175" s="258"/>
      <c r="V175" s="259"/>
    </row>
    <row r="176">
      <c r="A176" s="68"/>
      <c r="B176" s="147"/>
      <c r="C176" s="68"/>
      <c r="D176" s="260"/>
      <c r="E176" s="261"/>
      <c r="F176" s="270"/>
      <c r="G176" s="239"/>
      <c r="H176" s="243"/>
      <c r="I176" s="243"/>
      <c r="J176" s="243"/>
      <c r="K176" s="255"/>
      <c r="L176" s="255"/>
      <c r="M176" s="255"/>
      <c r="N176" s="255"/>
      <c r="O176" s="255"/>
      <c r="P176" s="255"/>
      <c r="Q176" s="256"/>
      <c r="R176" s="257"/>
      <c r="S176" s="258"/>
      <c r="T176" s="255"/>
      <c r="U176" s="258"/>
      <c r="V176" s="259"/>
    </row>
    <row r="177">
      <c r="A177" s="68"/>
      <c r="B177" s="147"/>
      <c r="C177" s="68"/>
      <c r="D177" s="250"/>
      <c r="E177" s="251"/>
      <c r="F177" s="271"/>
      <c r="G177" s="253"/>
      <c r="H177" s="254"/>
      <c r="I177" s="254"/>
      <c r="J177" s="254"/>
      <c r="K177" s="255"/>
      <c r="L177" s="255"/>
      <c r="M177" s="255"/>
      <c r="N177" s="255"/>
      <c r="O177" s="255"/>
      <c r="P177" s="255"/>
      <c r="Q177" s="256"/>
      <c r="R177" s="257"/>
      <c r="S177" s="258"/>
      <c r="T177" s="255"/>
      <c r="U177" s="258"/>
      <c r="V177" s="259"/>
    </row>
    <row r="178">
      <c r="A178" s="68"/>
      <c r="B178" s="201"/>
      <c r="C178" s="68"/>
      <c r="D178" s="260"/>
      <c r="E178" s="261"/>
      <c r="F178" s="270"/>
      <c r="G178" s="239"/>
      <c r="H178" s="243"/>
      <c r="I178" s="243"/>
      <c r="J178" s="243"/>
      <c r="K178" s="255"/>
      <c r="L178" s="255"/>
      <c r="M178" s="255"/>
      <c r="N178" s="255"/>
      <c r="O178" s="255"/>
      <c r="P178" s="255"/>
      <c r="Q178" s="256"/>
      <c r="R178" s="257"/>
      <c r="S178" s="258"/>
      <c r="T178" s="255"/>
      <c r="U178" s="258"/>
      <c r="V178" s="259"/>
    </row>
    <row r="179">
      <c r="A179" s="68"/>
      <c r="B179" s="201"/>
      <c r="C179" s="68"/>
      <c r="D179" s="250"/>
      <c r="E179" s="251"/>
      <c r="F179" s="271"/>
      <c r="G179" s="253"/>
      <c r="H179" s="254"/>
      <c r="I179" s="254"/>
      <c r="J179" s="254"/>
      <c r="K179" s="255"/>
      <c r="L179" s="255"/>
      <c r="M179" s="255"/>
      <c r="N179" s="255"/>
      <c r="O179" s="255"/>
      <c r="P179" s="255"/>
      <c r="Q179" s="256"/>
      <c r="R179" s="257"/>
      <c r="S179" s="258"/>
      <c r="T179" s="255"/>
      <c r="U179" s="258"/>
      <c r="V179" s="259"/>
    </row>
    <row r="180">
      <c r="A180" s="68"/>
      <c r="B180" s="201"/>
      <c r="C180" s="68"/>
      <c r="D180" s="260"/>
      <c r="E180" s="261"/>
      <c r="F180" s="270"/>
      <c r="G180" s="239"/>
      <c r="H180" s="243"/>
      <c r="I180" s="243"/>
      <c r="J180" s="243"/>
      <c r="K180" s="255"/>
      <c r="L180" s="255"/>
      <c r="M180" s="255"/>
      <c r="N180" s="255"/>
      <c r="O180" s="255"/>
      <c r="P180" s="255"/>
      <c r="Q180" s="256"/>
      <c r="R180" s="257"/>
      <c r="S180" s="258"/>
      <c r="T180" s="255"/>
      <c r="U180" s="258"/>
      <c r="V180" s="259"/>
    </row>
    <row r="181">
      <c r="A181" s="68"/>
      <c r="B181" s="128"/>
      <c r="C181" s="68"/>
      <c r="D181" s="250"/>
      <c r="E181" s="251"/>
      <c r="F181" s="271"/>
      <c r="G181" s="253"/>
      <c r="H181" s="254"/>
      <c r="I181" s="254"/>
      <c r="J181" s="254"/>
      <c r="K181" s="255"/>
      <c r="L181" s="255"/>
      <c r="M181" s="255"/>
      <c r="N181" s="255"/>
      <c r="O181" s="255"/>
      <c r="P181" s="255"/>
      <c r="Q181" s="256"/>
      <c r="R181" s="257"/>
      <c r="S181" s="258"/>
      <c r="T181" s="255"/>
      <c r="U181" s="258"/>
      <c r="V181" s="259"/>
    </row>
    <row r="182">
      <c r="A182" s="68"/>
      <c r="B182" s="214"/>
      <c r="C182" s="68"/>
      <c r="D182" s="260"/>
      <c r="E182" s="261"/>
      <c r="F182" s="270"/>
      <c r="G182" s="239"/>
      <c r="H182" s="243"/>
      <c r="I182" s="243"/>
      <c r="J182" s="243"/>
      <c r="K182" s="255"/>
      <c r="L182" s="255"/>
      <c r="M182" s="255"/>
      <c r="N182" s="255"/>
      <c r="O182" s="255"/>
      <c r="P182" s="255"/>
      <c r="Q182" s="256"/>
      <c r="R182" s="257"/>
      <c r="S182" s="258"/>
      <c r="T182" s="255"/>
      <c r="U182" s="258"/>
      <c r="V182" s="259"/>
    </row>
    <row r="183">
      <c r="A183" s="68"/>
      <c r="B183" s="218"/>
      <c r="C183" s="68"/>
      <c r="D183" s="250"/>
      <c r="E183" s="251"/>
      <c r="F183" s="271"/>
      <c r="G183" s="253"/>
      <c r="H183" s="254"/>
      <c r="I183" s="254"/>
      <c r="J183" s="254"/>
      <c r="K183" s="255"/>
      <c r="L183" s="255"/>
      <c r="M183" s="255"/>
      <c r="N183" s="255"/>
      <c r="O183" s="255"/>
      <c r="P183" s="255"/>
      <c r="Q183" s="256"/>
      <c r="R183" s="257"/>
      <c r="S183" s="258"/>
      <c r="T183" s="255"/>
      <c r="U183" s="258"/>
      <c r="V183" s="259"/>
    </row>
    <row r="184">
      <c r="A184" s="68"/>
      <c r="B184" s="218"/>
      <c r="C184" s="68"/>
      <c r="D184" s="260"/>
      <c r="E184" s="261"/>
      <c r="F184" s="270"/>
      <c r="G184" s="239"/>
      <c r="H184" s="243"/>
      <c r="I184" s="243"/>
      <c r="J184" s="243"/>
      <c r="K184" s="255"/>
      <c r="L184" s="255"/>
      <c r="M184" s="255"/>
      <c r="N184" s="255"/>
      <c r="O184" s="255"/>
      <c r="P184" s="255"/>
      <c r="Q184" s="256"/>
      <c r="R184" s="257"/>
      <c r="S184" s="258"/>
      <c r="T184" s="255"/>
      <c r="U184" s="258"/>
      <c r="V184" s="259"/>
    </row>
    <row r="185">
      <c r="A185" s="68"/>
      <c r="B185" s="218"/>
      <c r="C185" s="68"/>
      <c r="D185" s="250"/>
      <c r="E185" s="251"/>
      <c r="F185" s="271"/>
      <c r="G185" s="253"/>
      <c r="H185" s="254"/>
      <c r="I185" s="254"/>
      <c r="J185" s="254"/>
      <c r="K185" s="255"/>
      <c r="L185" s="255"/>
      <c r="M185" s="255"/>
      <c r="N185" s="255"/>
      <c r="O185" s="255"/>
      <c r="P185" s="255"/>
      <c r="Q185" s="256"/>
      <c r="R185" s="257"/>
      <c r="S185" s="258"/>
      <c r="T185" s="255"/>
      <c r="U185" s="258"/>
      <c r="V185" s="259"/>
    </row>
    <row r="186">
      <c r="A186" s="68"/>
      <c r="B186" s="218"/>
      <c r="C186" s="68"/>
      <c r="D186" s="260"/>
      <c r="E186" s="261"/>
      <c r="F186" s="270"/>
      <c r="G186" s="239"/>
      <c r="H186" s="243"/>
      <c r="I186" s="243"/>
      <c r="J186" s="243"/>
      <c r="K186" s="255"/>
      <c r="L186" s="255"/>
      <c r="M186" s="255"/>
      <c r="N186" s="255"/>
      <c r="O186" s="255"/>
      <c r="P186" s="255"/>
      <c r="Q186" s="256"/>
      <c r="R186" s="257"/>
      <c r="S186" s="258"/>
      <c r="T186" s="255"/>
      <c r="U186" s="258"/>
      <c r="V186" s="259"/>
    </row>
    <row r="187">
      <c r="A187" s="68"/>
      <c r="B187" s="218"/>
      <c r="C187" s="68"/>
      <c r="D187" s="250"/>
      <c r="E187" s="251"/>
      <c r="F187" s="271"/>
      <c r="G187" s="253"/>
      <c r="H187" s="254"/>
      <c r="I187" s="254"/>
      <c r="J187" s="254"/>
      <c r="K187" s="255"/>
      <c r="L187" s="255"/>
      <c r="M187" s="255"/>
      <c r="N187" s="255"/>
      <c r="O187" s="255"/>
      <c r="P187" s="255"/>
      <c r="Q187" s="256"/>
      <c r="R187" s="257"/>
      <c r="S187" s="258"/>
      <c r="T187" s="255"/>
      <c r="U187" s="258"/>
      <c r="V187" s="259"/>
    </row>
    <row r="188">
      <c r="A188" s="68"/>
      <c r="B188" s="104"/>
      <c r="C188" s="68"/>
      <c r="D188" s="260"/>
      <c r="E188" s="261"/>
      <c r="F188" s="270"/>
      <c r="G188" s="239"/>
      <c r="H188" s="243"/>
      <c r="I188" s="243"/>
      <c r="J188" s="243"/>
      <c r="K188" s="255"/>
      <c r="L188" s="255"/>
      <c r="M188" s="255"/>
      <c r="N188" s="255"/>
      <c r="O188" s="255"/>
      <c r="P188" s="255"/>
      <c r="Q188" s="256"/>
      <c r="R188" s="257"/>
      <c r="S188" s="258"/>
      <c r="T188" s="255"/>
      <c r="U188" s="258"/>
      <c r="V188" s="259"/>
    </row>
    <row r="189">
      <c r="A189" s="68"/>
      <c r="B189" s="111"/>
      <c r="C189" s="68"/>
      <c r="D189" s="250"/>
      <c r="E189" s="251"/>
      <c r="F189" s="271"/>
      <c r="G189" s="253"/>
      <c r="H189" s="254"/>
      <c r="I189" s="254"/>
      <c r="J189" s="254"/>
      <c r="K189" s="255"/>
      <c r="L189" s="255"/>
      <c r="M189" s="255"/>
      <c r="N189" s="255"/>
      <c r="O189" s="255"/>
      <c r="P189" s="255"/>
      <c r="Q189" s="256"/>
      <c r="R189" s="257"/>
      <c r="S189" s="258"/>
      <c r="T189" s="255"/>
      <c r="U189" s="258"/>
      <c r="V189" s="259"/>
    </row>
    <row r="190">
      <c r="A190" s="68"/>
      <c r="B190" s="111"/>
      <c r="C190" s="68"/>
      <c r="D190" s="260"/>
      <c r="E190" s="261"/>
      <c r="F190" s="270"/>
      <c r="G190" s="239"/>
      <c r="H190" s="243"/>
      <c r="I190" s="243"/>
      <c r="J190" s="243"/>
      <c r="K190" s="255"/>
      <c r="L190" s="255"/>
      <c r="M190" s="255"/>
      <c r="N190" s="255"/>
      <c r="O190" s="255"/>
      <c r="P190" s="255"/>
      <c r="Q190" s="256"/>
      <c r="R190" s="257"/>
      <c r="S190" s="258"/>
      <c r="T190" s="255"/>
      <c r="U190" s="258"/>
      <c r="V190" s="259"/>
    </row>
    <row r="191">
      <c r="A191" s="68"/>
      <c r="B191" s="111"/>
      <c r="C191" s="68"/>
      <c r="D191" s="250"/>
      <c r="E191" s="251"/>
      <c r="F191" s="271"/>
      <c r="G191" s="253"/>
      <c r="H191" s="254"/>
      <c r="I191" s="254"/>
      <c r="J191" s="254"/>
      <c r="K191" s="255"/>
      <c r="L191" s="255"/>
      <c r="M191" s="255"/>
      <c r="N191" s="255"/>
      <c r="O191" s="255"/>
      <c r="P191" s="255"/>
      <c r="Q191" s="256"/>
      <c r="R191" s="257"/>
      <c r="S191" s="258"/>
      <c r="T191" s="255"/>
      <c r="U191" s="258"/>
      <c r="V191" s="259"/>
    </row>
    <row r="192">
      <c r="A192" s="68"/>
      <c r="B192" s="111"/>
      <c r="C192" s="68"/>
      <c r="D192" s="260"/>
      <c r="E192" s="261"/>
      <c r="F192" s="270"/>
      <c r="G192" s="239"/>
      <c r="H192" s="243"/>
      <c r="I192" s="243"/>
      <c r="J192" s="243"/>
      <c r="K192" s="255"/>
      <c r="L192" s="255"/>
      <c r="M192" s="255"/>
      <c r="N192" s="255"/>
      <c r="O192" s="255"/>
      <c r="P192" s="255"/>
      <c r="Q192" s="256"/>
      <c r="R192" s="257"/>
      <c r="S192" s="258"/>
      <c r="T192" s="255"/>
      <c r="U192" s="258"/>
      <c r="V192" s="259"/>
    </row>
    <row r="193">
      <c r="A193" s="68"/>
      <c r="B193" s="111"/>
      <c r="C193" s="68"/>
      <c r="D193" s="250"/>
      <c r="E193" s="251"/>
      <c r="F193" s="271"/>
      <c r="G193" s="253"/>
      <c r="H193" s="254"/>
      <c r="I193" s="254"/>
      <c r="J193" s="254"/>
      <c r="K193" s="255"/>
      <c r="L193" s="255"/>
      <c r="M193" s="255"/>
      <c r="N193" s="255"/>
      <c r="O193" s="255"/>
      <c r="P193" s="255"/>
      <c r="Q193" s="256"/>
      <c r="R193" s="257"/>
      <c r="S193" s="258"/>
      <c r="T193" s="255"/>
      <c r="U193" s="258"/>
      <c r="V193" s="259"/>
    </row>
    <row r="194">
      <c r="A194" s="68"/>
      <c r="B194" s="126"/>
      <c r="C194" s="68"/>
      <c r="D194" s="260"/>
      <c r="E194" s="261"/>
      <c r="F194" s="270"/>
      <c r="G194" s="239"/>
      <c r="H194" s="243"/>
      <c r="I194" s="243"/>
      <c r="J194" s="243"/>
      <c r="K194" s="255"/>
      <c r="L194" s="255"/>
      <c r="M194" s="255"/>
      <c r="N194" s="255"/>
      <c r="O194" s="255"/>
      <c r="P194" s="255"/>
      <c r="Q194" s="256"/>
      <c r="R194" s="257"/>
      <c r="S194" s="258"/>
      <c r="T194" s="255"/>
      <c r="U194" s="258"/>
      <c r="V194" s="259"/>
    </row>
    <row r="195">
      <c r="A195" s="68"/>
      <c r="B195" s="128"/>
      <c r="C195" s="68"/>
      <c r="D195" s="250"/>
      <c r="E195" s="251"/>
      <c r="F195" s="271"/>
      <c r="G195" s="253"/>
      <c r="H195" s="254"/>
      <c r="I195" s="254"/>
      <c r="J195" s="254"/>
      <c r="K195" s="255"/>
      <c r="L195" s="255"/>
      <c r="M195" s="255"/>
      <c r="N195" s="255"/>
      <c r="O195" s="255"/>
      <c r="P195" s="255"/>
      <c r="Q195" s="256"/>
      <c r="R195" s="257"/>
      <c r="S195" s="258"/>
      <c r="T195" s="255"/>
      <c r="U195" s="258"/>
      <c r="V195" s="259"/>
    </row>
    <row r="196">
      <c r="A196" s="68"/>
      <c r="B196" s="132"/>
      <c r="C196" s="68"/>
      <c r="D196" s="260"/>
      <c r="E196" s="261"/>
      <c r="F196" s="270"/>
      <c r="G196" s="239"/>
      <c r="H196" s="243"/>
      <c r="I196" s="243"/>
      <c r="J196" s="243"/>
      <c r="K196" s="255"/>
      <c r="L196" s="255"/>
      <c r="M196" s="255"/>
      <c r="N196" s="255"/>
      <c r="O196" s="255"/>
      <c r="P196" s="255"/>
      <c r="Q196" s="256"/>
      <c r="R196" s="257"/>
      <c r="S196" s="258"/>
      <c r="T196" s="255"/>
      <c r="U196" s="258"/>
      <c r="V196" s="259"/>
    </row>
    <row r="197">
      <c r="A197" s="68"/>
      <c r="B197" s="128"/>
      <c r="C197" s="68"/>
      <c r="D197" s="250"/>
      <c r="E197" s="251"/>
      <c r="F197" s="271"/>
      <c r="G197" s="253"/>
      <c r="H197" s="254"/>
      <c r="I197" s="254"/>
      <c r="J197" s="254"/>
      <c r="K197" s="255"/>
      <c r="L197" s="255"/>
      <c r="M197" s="255"/>
      <c r="N197" s="255"/>
      <c r="O197" s="255"/>
      <c r="P197" s="255"/>
      <c r="Q197" s="256"/>
      <c r="R197" s="257"/>
      <c r="S197" s="258"/>
      <c r="T197" s="255"/>
      <c r="U197" s="258"/>
      <c r="V197" s="259"/>
    </row>
    <row r="198">
      <c r="A198" s="68"/>
      <c r="B198" s="128"/>
      <c r="C198" s="68"/>
      <c r="D198" s="260"/>
      <c r="E198" s="261"/>
      <c r="F198" s="270"/>
      <c r="G198" s="239"/>
      <c r="H198" s="243"/>
      <c r="I198" s="243"/>
      <c r="J198" s="243"/>
      <c r="K198" s="255"/>
      <c r="L198" s="255"/>
      <c r="M198" s="255"/>
      <c r="N198" s="255"/>
      <c r="O198" s="255"/>
      <c r="P198" s="255"/>
      <c r="Q198" s="256"/>
      <c r="R198" s="257"/>
      <c r="S198" s="258"/>
      <c r="T198" s="255"/>
      <c r="U198" s="258"/>
      <c r="V198" s="259"/>
    </row>
    <row r="199">
      <c r="A199" s="68"/>
      <c r="B199" s="128"/>
      <c r="C199" s="68"/>
      <c r="D199" s="250"/>
      <c r="E199" s="251"/>
      <c r="F199" s="271"/>
      <c r="G199" s="253"/>
      <c r="H199" s="254"/>
      <c r="I199" s="254"/>
      <c r="J199" s="254"/>
      <c r="K199" s="255"/>
      <c r="L199" s="255"/>
      <c r="M199" s="255"/>
      <c r="N199" s="255"/>
      <c r="O199" s="255"/>
      <c r="P199" s="255"/>
      <c r="Q199" s="256"/>
      <c r="R199" s="257"/>
      <c r="S199" s="258"/>
      <c r="T199" s="255"/>
      <c r="U199" s="258"/>
      <c r="V199" s="259"/>
    </row>
    <row r="200">
      <c r="A200" s="68"/>
      <c r="B200" s="128"/>
      <c r="C200" s="68"/>
      <c r="D200" s="260"/>
      <c r="E200" s="261"/>
      <c r="F200" s="270"/>
      <c r="G200" s="239"/>
      <c r="H200" s="243"/>
      <c r="I200" s="243"/>
      <c r="J200" s="243"/>
      <c r="K200" s="255"/>
      <c r="L200" s="255"/>
      <c r="M200" s="255"/>
      <c r="N200" s="255"/>
      <c r="O200" s="255"/>
      <c r="P200" s="255"/>
      <c r="Q200" s="256"/>
      <c r="R200" s="257"/>
      <c r="S200" s="258"/>
      <c r="T200" s="255"/>
      <c r="U200" s="258"/>
      <c r="V200" s="259"/>
    </row>
    <row r="201">
      <c r="A201" s="68"/>
      <c r="B201" s="128"/>
      <c r="C201" s="68"/>
      <c r="D201" s="250"/>
      <c r="E201" s="251"/>
      <c r="F201" s="271"/>
      <c r="G201" s="253"/>
      <c r="H201" s="254"/>
      <c r="I201" s="254"/>
      <c r="J201" s="254"/>
      <c r="K201" s="255"/>
      <c r="L201" s="255"/>
      <c r="M201" s="255"/>
      <c r="N201" s="255"/>
      <c r="O201" s="255"/>
      <c r="P201" s="255"/>
      <c r="Q201" s="256"/>
      <c r="R201" s="257"/>
      <c r="S201" s="258"/>
      <c r="T201" s="255"/>
      <c r="U201" s="258"/>
      <c r="V201" s="259"/>
    </row>
    <row r="202">
      <c r="A202" s="68"/>
      <c r="B202" s="128"/>
      <c r="C202" s="68"/>
      <c r="D202" s="260"/>
      <c r="E202" s="261"/>
      <c r="F202" s="270"/>
      <c r="G202" s="239"/>
      <c r="H202" s="243"/>
      <c r="I202" s="243"/>
      <c r="J202" s="243"/>
      <c r="K202" s="255"/>
      <c r="L202" s="255"/>
      <c r="M202" s="255"/>
      <c r="N202" s="255"/>
      <c r="O202" s="255"/>
      <c r="P202" s="255"/>
      <c r="Q202" s="256"/>
      <c r="R202" s="257"/>
      <c r="S202" s="258"/>
      <c r="T202" s="255"/>
      <c r="U202" s="258"/>
      <c r="V202" s="259"/>
    </row>
    <row r="203">
      <c r="A203" s="68"/>
      <c r="B203" s="132"/>
      <c r="C203" s="68"/>
      <c r="D203" s="250"/>
      <c r="E203" s="251"/>
      <c r="F203" s="271"/>
      <c r="G203" s="253"/>
      <c r="H203" s="254"/>
      <c r="I203" s="254"/>
      <c r="J203" s="254"/>
      <c r="K203" s="255"/>
      <c r="L203" s="255"/>
      <c r="M203" s="255"/>
      <c r="N203" s="255"/>
      <c r="O203" s="255"/>
      <c r="P203" s="255"/>
      <c r="Q203" s="256"/>
      <c r="R203" s="257"/>
      <c r="S203" s="258"/>
      <c r="T203" s="255"/>
      <c r="U203" s="258"/>
      <c r="V203" s="259"/>
    </row>
    <row r="204">
      <c r="A204" s="68"/>
      <c r="B204" s="147"/>
      <c r="C204" s="68"/>
      <c r="D204" s="260"/>
      <c r="E204" s="261"/>
      <c r="F204" s="270"/>
      <c r="G204" s="239"/>
      <c r="H204" s="243"/>
      <c r="I204" s="243"/>
      <c r="J204" s="243"/>
      <c r="K204" s="255"/>
      <c r="L204" s="255"/>
      <c r="M204" s="255"/>
      <c r="N204" s="255"/>
      <c r="O204" s="255"/>
      <c r="P204" s="255"/>
      <c r="Q204" s="256"/>
      <c r="R204" s="257"/>
      <c r="S204" s="258"/>
      <c r="T204" s="255"/>
      <c r="U204" s="258"/>
      <c r="V204" s="259"/>
    </row>
    <row r="205">
      <c r="A205" s="68"/>
      <c r="B205" s="147"/>
      <c r="C205" s="68"/>
      <c r="D205" s="250"/>
      <c r="E205" s="251"/>
      <c r="F205" s="271"/>
      <c r="G205" s="253"/>
      <c r="H205" s="254"/>
      <c r="I205" s="254"/>
      <c r="J205" s="254"/>
      <c r="K205" s="255"/>
      <c r="L205" s="255"/>
      <c r="M205" s="255"/>
      <c r="N205" s="255"/>
      <c r="O205" s="255"/>
      <c r="P205" s="255"/>
      <c r="Q205" s="256"/>
      <c r="R205" s="257"/>
      <c r="S205" s="258"/>
      <c r="T205" s="255"/>
      <c r="U205" s="258"/>
      <c r="V205" s="259"/>
    </row>
    <row r="206">
      <c r="A206" s="68"/>
      <c r="B206" s="147"/>
      <c r="C206" s="68"/>
      <c r="D206" s="260"/>
      <c r="E206" s="261"/>
      <c r="F206" s="270"/>
      <c r="G206" s="239"/>
      <c r="H206" s="243"/>
      <c r="I206" s="243"/>
      <c r="J206" s="243"/>
      <c r="K206" s="255"/>
      <c r="L206" s="255"/>
      <c r="M206" s="255"/>
      <c r="N206" s="255"/>
      <c r="O206" s="255"/>
      <c r="P206" s="255"/>
      <c r="Q206" s="256"/>
      <c r="R206" s="257"/>
      <c r="S206" s="258"/>
      <c r="T206" s="255"/>
      <c r="U206" s="258"/>
      <c r="V206" s="259"/>
    </row>
    <row r="207">
      <c r="A207" s="68"/>
      <c r="B207" s="147"/>
      <c r="C207" s="68"/>
      <c r="D207" s="250"/>
      <c r="E207" s="251"/>
      <c r="F207" s="271"/>
      <c r="G207" s="253"/>
      <c r="H207" s="254"/>
      <c r="I207" s="254"/>
      <c r="J207" s="254"/>
      <c r="K207" s="255"/>
      <c r="L207" s="255"/>
      <c r="M207" s="255"/>
      <c r="N207" s="255"/>
      <c r="O207" s="255"/>
      <c r="P207" s="255"/>
      <c r="Q207" s="256"/>
      <c r="R207" s="257"/>
      <c r="S207" s="258"/>
      <c r="T207" s="255"/>
      <c r="U207" s="258"/>
      <c r="V207" s="259"/>
    </row>
    <row r="208">
      <c r="A208" s="68"/>
      <c r="B208" s="153" t="str">
        <f>'Infos - Start Here!'!B206</f>
        <v/>
      </c>
      <c r="C208" s="68"/>
      <c r="D208" s="260"/>
      <c r="E208" s="261"/>
      <c r="F208" s="270"/>
      <c r="G208" s="239"/>
      <c r="H208" s="243"/>
      <c r="I208" s="243"/>
      <c r="J208" s="243"/>
      <c r="K208" s="255"/>
      <c r="L208" s="255"/>
      <c r="M208" s="255"/>
      <c r="N208" s="255"/>
      <c r="O208" s="255"/>
      <c r="P208" s="255"/>
      <c r="Q208" s="256"/>
      <c r="R208" s="257"/>
      <c r="S208" s="258"/>
      <c r="T208" s="255"/>
      <c r="U208" s="258"/>
      <c r="V208" s="259"/>
    </row>
    <row r="209">
      <c r="A209" s="68"/>
      <c r="B209" s="155"/>
      <c r="C209" s="68"/>
      <c r="D209" s="250"/>
      <c r="E209" s="251"/>
      <c r="F209" s="271"/>
      <c r="G209" s="253"/>
      <c r="H209" s="254"/>
      <c r="I209" s="254"/>
      <c r="J209" s="254"/>
      <c r="K209" s="255"/>
      <c r="L209" s="255"/>
      <c r="M209" s="255"/>
      <c r="N209" s="255"/>
      <c r="O209" s="255"/>
      <c r="P209" s="255"/>
      <c r="Q209" s="256"/>
      <c r="R209" s="257"/>
      <c r="S209" s="258"/>
      <c r="T209" s="255"/>
      <c r="U209" s="258"/>
      <c r="V209" s="259"/>
    </row>
    <row r="210">
      <c r="A210" s="68"/>
      <c r="B210" s="164"/>
      <c r="C210" s="68"/>
      <c r="D210" s="260"/>
      <c r="E210" s="261"/>
      <c r="F210" s="270"/>
      <c r="G210" s="239"/>
      <c r="H210" s="243"/>
      <c r="I210" s="243"/>
      <c r="J210" s="243"/>
      <c r="K210" s="255"/>
      <c r="L210" s="255"/>
      <c r="M210" s="255"/>
      <c r="N210" s="255"/>
      <c r="O210" s="255"/>
      <c r="P210" s="255"/>
      <c r="Q210" s="256"/>
      <c r="R210" s="257"/>
      <c r="S210" s="258"/>
      <c r="T210" s="255"/>
      <c r="U210" s="258"/>
      <c r="V210" s="259"/>
    </row>
    <row r="211">
      <c r="A211" s="68"/>
      <c r="B211" s="164"/>
      <c r="C211" s="68"/>
      <c r="D211" s="250"/>
      <c r="E211" s="251"/>
      <c r="F211" s="271"/>
      <c r="G211" s="253"/>
      <c r="H211" s="254"/>
      <c r="I211" s="254"/>
      <c r="J211" s="254"/>
      <c r="K211" s="255"/>
      <c r="L211" s="255"/>
      <c r="M211" s="255"/>
      <c r="N211" s="255"/>
      <c r="O211" s="255"/>
      <c r="P211" s="255"/>
      <c r="Q211" s="256"/>
      <c r="R211" s="257"/>
      <c r="S211" s="258"/>
      <c r="T211" s="255"/>
      <c r="U211" s="258"/>
      <c r="V211" s="259"/>
    </row>
    <row r="212">
      <c r="A212" s="68"/>
      <c r="B212" s="164"/>
      <c r="C212" s="68"/>
      <c r="D212" s="260"/>
      <c r="E212" s="261"/>
      <c r="F212" s="270"/>
      <c r="G212" s="239"/>
      <c r="H212" s="243"/>
      <c r="I212" s="243"/>
      <c r="J212" s="243"/>
      <c r="K212" s="255"/>
      <c r="L212" s="255"/>
      <c r="M212" s="255"/>
      <c r="N212" s="255"/>
      <c r="O212" s="255"/>
      <c r="P212" s="255"/>
      <c r="Q212" s="256"/>
      <c r="R212" s="257"/>
      <c r="S212" s="258"/>
      <c r="T212" s="255"/>
      <c r="U212" s="258"/>
      <c r="V212" s="259"/>
    </row>
    <row r="213">
      <c r="A213" s="68"/>
      <c r="B213" s="164"/>
      <c r="C213" s="68"/>
      <c r="D213" s="250"/>
      <c r="E213" s="251"/>
      <c r="F213" s="271"/>
      <c r="G213" s="253"/>
      <c r="H213" s="254"/>
      <c r="I213" s="254"/>
      <c r="J213" s="254"/>
      <c r="K213" s="255"/>
      <c r="L213" s="255"/>
      <c r="M213" s="255"/>
      <c r="N213" s="255"/>
      <c r="O213" s="255"/>
      <c r="P213" s="255"/>
      <c r="Q213" s="256"/>
      <c r="R213" s="257"/>
      <c r="S213" s="258"/>
      <c r="T213" s="255"/>
      <c r="U213" s="258"/>
      <c r="V213" s="259"/>
    </row>
    <row r="214">
      <c r="A214" s="68"/>
      <c r="B214" s="164"/>
      <c r="C214" s="68"/>
      <c r="D214" s="260"/>
      <c r="E214" s="261"/>
      <c r="F214" s="270"/>
      <c r="G214" s="239"/>
      <c r="H214" s="243"/>
      <c r="I214" s="243"/>
      <c r="J214" s="243"/>
      <c r="K214" s="255"/>
      <c r="L214" s="255"/>
      <c r="M214" s="255"/>
      <c r="N214" s="255"/>
      <c r="O214" s="255"/>
      <c r="P214" s="255"/>
      <c r="Q214" s="256"/>
      <c r="R214" s="257"/>
      <c r="S214" s="258"/>
      <c r="T214" s="255"/>
      <c r="U214" s="258"/>
      <c r="V214" s="259"/>
    </row>
    <row r="215">
      <c r="A215" s="28"/>
      <c r="B215" s="164"/>
      <c r="C215" s="2"/>
      <c r="D215" s="250"/>
      <c r="E215" s="251"/>
      <c r="F215" s="271"/>
      <c r="G215" s="253"/>
      <c r="H215" s="254"/>
      <c r="I215" s="254"/>
      <c r="J215" s="254"/>
      <c r="K215" s="255"/>
      <c r="L215" s="255"/>
      <c r="M215" s="255"/>
      <c r="N215" s="255"/>
      <c r="O215" s="255"/>
      <c r="P215" s="255"/>
      <c r="Q215" s="256"/>
      <c r="R215" s="257"/>
      <c r="S215" s="258"/>
      <c r="T215" s="255"/>
      <c r="U215" s="258"/>
      <c r="V215" s="259"/>
    </row>
    <row r="216">
      <c r="A216" s="28"/>
      <c r="B216" s="182"/>
      <c r="C216" s="262"/>
      <c r="D216" s="260"/>
      <c r="E216" s="261"/>
      <c r="F216" s="270"/>
      <c r="G216" s="239"/>
      <c r="H216" s="243"/>
      <c r="I216" s="243"/>
      <c r="J216" s="243"/>
      <c r="K216" s="255"/>
      <c r="L216" s="255"/>
      <c r="M216" s="255"/>
      <c r="N216" s="255"/>
      <c r="O216" s="255"/>
      <c r="P216" s="255"/>
      <c r="Q216" s="256"/>
      <c r="R216" s="257"/>
      <c r="S216" s="258"/>
      <c r="T216" s="255"/>
      <c r="U216" s="258"/>
      <c r="V216" s="259"/>
    </row>
    <row r="217">
      <c r="A217" s="28"/>
      <c r="B217" s="263"/>
      <c r="C217" s="224"/>
      <c r="D217" s="250"/>
      <c r="E217" s="251"/>
      <c r="F217" s="271"/>
      <c r="G217" s="253"/>
      <c r="H217" s="254"/>
      <c r="I217" s="254"/>
      <c r="J217" s="254"/>
      <c r="K217" s="255"/>
      <c r="L217" s="255"/>
      <c r="M217" s="255"/>
      <c r="N217" s="255"/>
      <c r="O217" s="255"/>
      <c r="P217" s="255"/>
      <c r="Q217" s="256"/>
      <c r="R217" s="257"/>
      <c r="S217" s="258"/>
      <c r="T217" s="255"/>
      <c r="U217" s="258"/>
      <c r="V217" s="259"/>
    </row>
    <row r="218">
      <c r="A218" s="28"/>
      <c r="B218" s="263"/>
      <c r="C218" s="224"/>
      <c r="D218" s="260"/>
      <c r="E218" s="261"/>
      <c r="F218" s="270"/>
      <c r="G218" s="239"/>
      <c r="H218" s="243"/>
      <c r="I218" s="243"/>
      <c r="J218" s="243"/>
      <c r="K218" s="255"/>
      <c r="L218" s="255"/>
      <c r="M218" s="255"/>
      <c r="N218" s="255"/>
      <c r="O218" s="255"/>
      <c r="P218" s="255"/>
      <c r="Q218" s="256"/>
      <c r="R218" s="257"/>
      <c r="S218" s="258"/>
      <c r="T218" s="255"/>
      <c r="U218" s="258"/>
      <c r="V218" s="259"/>
    </row>
    <row r="219">
      <c r="A219" s="28"/>
      <c r="B219" s="263"/>
      <c r="C219" s="224"/>
      <c r="D219" s="250"/>
      <c r="E219" s="251"/>
      <c r="F219" s="271"/>
      <c r="G219" s="253"/>
      <c r="H219" s="254"/>
      <c r="I219" s="254"/>
      <c r="J219" s="254"/>
      <c r="K219" s="255"/>
      <c r="L219" s="255"/>
      <c r="M219" s="255"/>
      <c r="N219" s="255"/>
      <c r="O219" s="255"/>
      <c r="P219" s="255"/>
      <c r="Q219" s="256"/>
      <c r="R219" s="257"/>
      <c r="S219" s="258"/>
      <c r="T219" s="255"/>
      <c r="U219" s="258"/>
      <c r="V219" s="259"/>
    </row>
    <row r="220">
      <c r="A220" s="28"/>
      <c r="B220" s="263"/>
      <c r="C220" s="224"/>
      <c r="D220" s="260"/>
      <c r="E220" s="261"/>
      <c r="F220" s="270"/>
      <c r="G220" s="239"/>
      <c r="H220" s="243"/>
      <c r="I220" s="243"/>
      <c r="J220" s="243"/>
      <c r="K220" s="255"/>
      <c r="L220" s="255"/>
      <c r="M220" s="255"/>
      <c r="N220" s="255"/>
      <c r="O220" s="255"/>
      <c r="P220" s="255"/>
      <c r="Q220" s="256"/>
      <c r="R220" s="257"/>
      <c r="S220" s="258"/>
      <c r="T220" s="255"/>
      <c r="U220" s="258"/>
      <c r="V220" s="259"/>
    </row>
    <row r="221">
      <c r="A221" s="28"/>
      <c r="B221" s="263"/>
      <c r="C221" s="224"/>
      <c r="D221" s="250"/>
      <c r="E221" s="251"/>
      <c r="F221" s="271"/>
      <c r="G221" s="253"/>
      <c r="H221" s="254"/>
      <c r="I221" s="254"/>
      <c r="J221" s="254"/>
      <c r="K221" s="255"/>
      <c r="L221" s="255"/>
      <c r="M221" s="255"/>
      <c r="N221" s="255"/>
      <c r="O221" s="255"/>
      <c r="P221" s="255"/>
      <c r="Q221" s="256"/>
      <c r="R221" s="257"/>
      <c r="S221" s="258"/>
      <c r="T221" s="255"/>
      <c r="U221" s="258"/>
      <c r="V221" s="259"/>
    </row>
    <row r="222">
      <c r="A222" s="28"/>
      <c r="B222" s="263"/>
      <c r="C222" s="2"/>
      <c r="D222" s="260"/>
      <c r="E222" s="261"/>
      <c r="F222" s="270"/>
      <c r="G222" s="239"/>
      <c r="H222" s="243"/>
      <c r="I222" s="243"/>
      <c r="J222" s="243"/>
      <c r="K222" s="255"/>
      <c r="L222" s="255"/>
      <c r="M222" s="255"/>
      <c r="N222" s="255"/>
      <c r="O222" s="255"/>
      <c r="P222" s="255"/>
      <c r="Q222" s="256"/>
      <c r="R222" s="257"/>
      <c r="S222" s="258"/>
      <c r="T222" s="255"/>
      <c r="U222" s="258"/>
      <c r="V222" s="259"/>
    </row>
    <row r="223">
      <c r="A223" s="28"/>
      <c r="B223" s="263"/>
      <c r="C223" s="28"/>
      <c r="D223" s="250"/>
      <c r="E223" s="251"/>
      <c r="F223" s="271"/>
      <c r="G223" s="253"/>
      <c r="H223" s="254"/>
      <c r="I223" s="254"/>
      <c r="J223" s="254"/>
      <c r="K223" s="255"/>
      <c r="L223" s="255"/>
      <c r="M223" s="255"/>
      <c r="N223" s="255"/>
      <c r="O223" s="255"/>
      <c r="P223" s="255"/>
      <c r="Q223" s="256"/>
      <c r="R223" s="257"/>
      <c r="S223" s="258"/>
      <c r="T223" s="255"/>
      <c r="U223" s="258"/>
      <c r="V223" s="259"/>
    </row>
    <row r="224">
      <c r="A224" s="28"/>
      <c r="B224" s="263"/>
      <c r="C224" s="28"/>
      <c r="D224" s="260"/>
      <c r="E224" s="261"/>
      <c r="F224" s="270"/>
      <c r="G224" s="239"/>
      <c r="H224" s="243"/>
      <c r="I224" s="243"/>
      <c r="J224" s="243"/>
      <c r="K224" s="255"/>
      <c r="L224" s="255"/>
      <c r="M224" s="255"/>
      <c r="N224" s="255"/>
      <c r="O224" s="255"/>
      <c r="P224" s="255"/>
      <c r="Q224" s="256"/>
      <c r="R224" s="257"/>
      <c r="S224" s="258"/>
      <c r="T224" s="255"/>
      <c r="U224" s="258"/>
      <c r="V224" s="259"/>
    </row>
    <row r="225">
      <c r="A225" s="28"/>
      <c r="B225" s="7"/>
      <c r="C225" s="28"/>
      <c r="D225" s="250"/>
      <c r="E225" s="251"/>
      <c r="F225" s="271"/>
      <c r="G225" s="253"/>
      <c r="H225" s="254"/>
      <c r="I225" s="254"/>
      <c r="J225" s="254"/>
      <c r="K225" s="255"/>
      <c r="L225" s="255"/>
      <c r="M225" s="255"/>
      <c r="N225" s="255"/>
      <c r="O225" s="255"/>
      <c r="P225" s="255"/>
      <c r="Q225" s="256"/>
      <c r="R225" s="257"/>
      <c r="S225" s="258"/>
      <c r="T225" s="255"/>
      <c r="U225" s="258"/>
      <c r="V225" s="259"/>
    </row>
    <row r="226">
      <c r="A226" s="28"/>
      <c r="B226" s="264"/>
      <c r="C226" s="28"/>
      <c r="D226" s="260"/>
      <c r="E226" s="261"/>
      <c r="F226" s="270"/>
      <c r="G226" s="239"/>
      <c r="H226" s="243"/>
      <c r="I226" s="243"/>
      <c r="J226" s="243"/>
      <c r="K226" s="255"/>
      <c r="L226" s="255"/>
      <c r="M226" s="255"/>
      <c r="N226" s="255"/>
      <c r="O226" s="255"/>
      <c r="P226" s="255"/>
      <c r="Q226" s="256"/>
      <c r="R226" s="257"/>
      <c r="S226" s="258"/>
      <c r="T226" s="255"/>
      <c r="U226" s="258"/>
      <c r="V226" s="259"/>
    </row>
    <row r="227">
      <c r="A227" s="28"/>
      <c r="B227" s="265"/>
      <c r="C227" s="28"/>
      <c r="D227" s="250"/>
      <c r="E227" s="251"/>
      <c r="F227" s="271"/>
      <c r="G227" s="253"/>
      <c r="H227" s="254"/>
      <c r="I227" s="254"/>
      <c r="J227" s="254"/>
      <c r="K227" s="255"/>
      <c r="L227" s="255"/>
      <c r="M227" s="255"/>
      <c r="N227" s="255"/>
      <c r="O227" s="255"/>
      <c r="P227" s="255"/>
      <c r="Q227" s="256"/>
      <c r="R227" s="257"/>
      <c r="S227" s="258"/>
      <c r="T227" s="255"/>
      <c r="U227" s="258"/>
      <c r="V227" s="259"/>
    </row>
    <row r="228">
      <c r="A228" s="28"/>
      <c r="B228" s="265"/>
      <c r="C228" s="28"/>
      <c r="D228" s="260"/>
      <c r="E228" s="261"/>
      <c r="F228" s="270"/>
      <c r="G228" s="239"/>
      <c r="H228" s="243"/>
      <c r="I228" s="243"/>
      <c r="J228" s="243"/>
      <c r="K228" s="255"/>
      <c r="L228" s="255"/>
      <c r="M228" s="255"/>
      <c r="N228" s="255"/>
      <c r="O228" s="255"/>
      <c r="P228" s="255"/>
      <c r="Q228" s="256"/>
      <c r="R228" s="257"/>
      <c r="S228" s="258"/>
      <c r="T228" s="255"/>
      <c r="U228" s="258"/>
      <c r="V228" s="259"/>
    </row>
    <row r="229">
      <c r="A229" s="28"/>
      <c r="B229" s="265"/>
      <c r="C229" s="28"/>
      <c r="D229" s="250"/>
      <c r="E229" s="251"/>
      <c r="F229" s="271"/>
      <c r="G229" s="253"/>
      <c r="H229" s="254"/>
      <c r="I229" s="254"/>
      <c r="J229" s="254"/>
      <c r="K229" s="255"/>
      <c r="L229" s="255"/>
      <c r="M229" s="255"/>
      <c r="N229" s="255"/>
      <c r="O229" s="255"/>
      <c r="P229" s="255"/>
      <c r="Q229" s="256"/>
      <c r="R229" s="257"/>
      <c r="S229" s="258"/>
      <c r="T229" s="255"/>
      <c r="U229" s="258"/>
      <c r="V229" s="259"/>
    </row>
    <row r="230">
      <c r="A230" s="28"/>
      <c r="B230" s="265"/>
      <c r="C230" s="28"/>
      <c r="D230" s="260"/>
      <c r="E230" s="261"/>
      <c r="F230" s="270"/>
      <c r="G230" s="239"/>
      <c r="H230" s="243"/>
      <c r="I230" s="243"/>
      <c r="J230" s="243"/>
      <c r="K230" s="255"/>
      <c r="L230" s="255"/>
      <c r="M230" s="255"/>
      <c r="N230" s="255"/>
      <c r="O230" s="255"/>
      <c r="P230" s="255"/>
      <c r="Q230" s="256"/>
      <c r="R230" s="257"/>
      <c r="S230" s="258"/>
      <c r="T230" s="255"/>
      <c r="U230" s="258"/>
      <c r="V230" s="259"/>
    </row>
    <row r="231">
      <c r="A231" s="28"/>
      <c r="B231" s="265"/>
      <c r="C231" s="28"/>
      <c r="D231" s="250"/>
      <c r="E231" s="251"/>
      <c r="F231" s="271"/>
      <c r="G231" s="253"/>
      <c r="H231" s="254"/>
      <c r="I231" s="254"/>
      <c r="J231" s="254"/>
      <c r="K231" s="255"/>
      <c r="L231" s="255"/>
      <c r="M231" s="255"/>
      <c r="N231" s="255"/>
      <c r="O231" s="255"/>
      <c r="P231" s="255"/>
      <c r="Q231" s="256"/>
      <c r="R231" s="257"/>
      <c r="S231" s="258"/>
      <c r="T231" s="255"/>
      <c r="U231" s="258"/>
      <c r="V231" s="259"/>
    </row>
    <row r="232">
      <c r="A232" s="68"/>
      <c r="B232" s="265"/>
      <c r="C232" s="68"/>
      <c r="D232" s="260"/>
      <c r="E232" s="261"/>
      <c r="F232" s="270"/>
      <c r="G232" s="239"/>
      <c r="H232" s="243"/>
      <c r="I232" s="243"/>
      <c r="J232" s="243"/>
      <c r="K232" s="255"/>
      <c r="L232" s="255"/>
      <c r="M232" s="255"/>
      <c r="N232" s="255"/>
      <c r="O232" s="255"/>
      <c r="P232" s="255"/>
      <c r="Q232" s="256"/>
      <c r="R232" s="257"/>
      <c r="S232" s="258"/>
      <c r="T232" s="255"/>
      <c r="U232" s="258"/>
      <c r="V232" s="259"/>
    </row>
    <row r="233">
      <c r="A233" s="68"/>
      <c r="B233" s="265"/>
      <c r="C233" s="68"/>
      <c r="D233" s="250"/>
      <c r="E233" s="251"/>
      <c r="F233" s="271"/>
      <c r="G233" s="253"/>
      <c r="H233" s="254"/>
      <c r="I233" s="254"/>
      <c r="J233" s="254"/>
      <c r="K233" s="255"/>
      <c r="L233" s="255"/>
      <c r="M233" s="255"/>
      <c r="N233" s="255"/>
      <c r="O233" s="255"/>
      <c r="P233" s="255"/>
      <c r="Q233" s="256"/>
      <c r="R233" s="257"/>
      <c r="S233" s="258"/>
      <c r="T233" s="255"/>
      <c r="U233" s="258"/>
      <c r="V233" s="259"/>
    </row>
    <row r="234">
      <c r="A234" s="68"/>
      <c r="B234" s="265"/>
      <c r="C234" s="68"/>
      <c r="D234" s="260"/>
      <c r="E234" s="261"/>
      <c r="F234" s="270"/>
      <c r="G234" s="239"/>
      <c r="H234" s="243"/>
      <c r="I234" s="243"/>
      <c r="J234" s="243"/>
      <c r="K234" s="255"/>
      <c r="L234" s="255"/>
      <c r="M234" s="255"/>
      <c r="N234" s="255"/>
      <c r="O234" s="255"/>
      <c r="P234" s="255"/>
      <c r="Q234" s="256"/>
      <c r="R234" s="257"/>
      <c r="S234" s="258"/>
      <c r="T234" s="255"/>
      <c r="U234" s="258"/>
      <c r="V234" s="259"/>
    </row>
    <row r="235">
      <c r="A235" s="68"/>
      <c r="B235" s="265"/>
      <c r="C235" s="68"/>
      <c r="D235" s="250"/>
      <c r="E235" s="251"/>
      <c r="F235" s="271"/>
      <c r="G235" s="253"/>
      <c r="H235" s="254"/>
      <c r="I235" s="254"/>
      <c r="J235" s="254"/>
      <c r="K235" s="255"/>
      <c r="L235" s="255"/>
      <c r="M235" s="255"/>
      <c r="N235" s="255"/>
      <c r="O235" s="255"/>
      <c r="P235" s="255"/>
      <c r="Q235" s="256"/>
      <c r="R235" s="257"/>
      <c r="S235" s="258"/>
      <c r="T235" s="255"/>
      <c r="U235" s="258"/>
      <c r="V235" s="259"/>
    </row>
    <row r="236">
      <c r="A236" s="68"/>
      <c r="B236" s="155"/>
      <c r="C236" s="68"/>
      <c r="D236" s="260"/>
      <c r="E236" s="261"/>
      <c r="F236" s="270"/>
      <c r="G236" s="239"/>
      <c r="H236" s="243"/>
      <c r="I236" s="243"/>
      <c r="J236" s="243"/>
      <c r="K236" s="255"/>
      <c r="L236" s="255"/>
      <c r="M236" s="255"/>
      <c r="N236" s="255"/>
      <c r="O236" s="255"/>
      <c r="P236" s="255"/>
      <c r="Q236" s="256"/>
      <c r="R236" s="257"/>
      <c r="S236" s="258"/>
      <c r="T236" s="255"/>
      <c r="U236" s="258"/>
      <c r="V236" s="259"/>
    </row>
    <row r="237">
      <c r="A237" s="68"/>
      <c r="B237" s="164"/>
      <c r="C237" s="68"/>
      <c r="D237" s="250"/>
      <c r="E237" s="251"/>
      <c r="F237" s="271"/>
      <c r="G237" s="253"/>
      <c r="H237" s="254"/>
      <c r="I237" s="254"/>
      <c r="J237" s="254"/>
      <c r="K237" s="255"/>
      <c r="L237" s="255"/>
      <c r="M237" s="255"/>
      <c r="N237" s="255"/>
      <c r="O237" s="255"/>
      <c r="P237" s="255"/>
      <c r="Q237" s="256"/>
      <c r="R237" s="257"/>
      <c r="S237" s="258"/>
      <c r="T237" s="255"/>
      <c r="U237" s="258"/>
      <c r="V237" s="259"/>
    </row>
    <row r="238">
      <c r="A238" s="68"/>
      <c r="B238" s="164"/>
      <c r="C238" s="68"/>
      <c r="D238" s="260"/>
      <c r="E238" s="261"/>
      <c r="F238" s="270"/>
      <c r="G238" s="239"/>
      <c r="H238" s="243"/>
      <c r="I238" s="243"/>
      <c r="J238" s="243"/>
      <c r="K238" s="255"/>
      <c r="L238" s="255"/>
      <c r="M238" s="255"/>
      <c r="N238" s="255"/>
      <c r="O238" s="255"/>
      <c r="P238" s="255"/>
      <c r="Q238" s="256"/>
      <c r="R238" s="257"/>
      <c r="S238" s="258"/>
      <c r="T238" s="255"/>
      <c r="U238" s="258"/>
      <c r="V238" s="259"/>
    </row>
    <row r="239">
      <c r="A239" s="68"/>
      <c r="B239" s="164"/>
      <c r="C239" s="68"/>
      <c r="D239" s="250"/>
      <c r="E239" s="251"/>
      <c r="F239" s="271"/>
      <c r="G239" s="253"/>
      <c r="H239" s="254"/>
      <c r="I239" s="254"/>
      <c r="J239" s="254"/>
      <c r="K239" s="255"/>
      <c r="L239" s="255"/>
      <c r="M239" s="255"/>
      <c r="N239" s="255"/>
      <c r="O239" s="255"/>
      <c r="P239" s="255"/>
      <c r="Q239" s="256"/>
      <c r="R239" s="257"/>
      <c r="S239" s="258"/>
      <c r="T239" s="255"/>
      <c r="U239" s="258"/>
      <c r="V239" s="259"/>
    </row>
    <row r="240">
      <c r="A240" s="68"/>
      <c r="B240" s="164"/>
      <c r="C240" s="68"/>
      <c r="D240" s="260"/>
      <c r="E240" s="261"/>
      <c r="F240" s="270"/>
      <c r="G240" s="239"/>
      <c r="H240" s="243"/>
      <c r="I240" s="243"/>
      <c r="J240" s="243"/>
      <c r="K240" s="255"/>
      <c r="L240" s="255"/>
      <c r="M240" s="255"/>
      <c r="N240" s="255"/>
      <c r="O240" s="255"/>
      <c r="P240" s="255"/>
      <c r="Q240" s="256"/>
      <c r="R240" s="257"/>
      <c r="S240" s="258"/>
      <c r="T240" s="255"/>
      <c r="U240" s="258"/>
      <c r="V240" s="259"/>
    </row>
    <row r="241">
      <c r="A241" s="68"/>
      <c r="B241" s="164"/>
      <c r="C241" s="68"/>
      <c r="D241" s="250"/>
      <c r="E241" s="251"/>
      <c r="F241" s="271"/>
      <c r="G241" s="253"/>
      <c r="H241" s="254"/>
      <c r="I241" s="254"/>
      <c r="J241" s="254"/>
      <c r="K241" s="255"/>
      <c r="L241" s="255"/>
      <c r="M241" s="255"/>
      <c r="N241" s="255"/>
      <c r="O241" s="255"/>
      <c r="P241" s="255"/>
      <c r="Q241" s="256"/>
      <c r="R241" s="257"/>
      <c r="S241" s="258"/>
      <c r="T241" s="255"/>
      <c r="U241" s="258"/>
      <c r="V241" s="259"/>
    </row>
    <row r="242">
      <c r="A242" s="68"/>
      <c r="B242" s="164"/>
      <c r="C242" s="68"/>
      <c r="D242" s="260"/>
      <c r="E242" s="261"/>
      <c r="F242" s="270"/>
      <c r="G242" s="239"/>
      <c r="H242" s="243"/>
      <c r="I242" s="243"/>
      <c r="J242" s="243"/>
      <c r="K242" s="255"/>
      <c r="L242" s="255"/>
      <c r="M242" s="255"/>
      <c r="N242" s="255"/>
      <c r="O242" s="255"/>
      <c r="P242" s="255"/>
      <c r="Q242" s="256"/>
      <c r="R242" s="257"/>
      <c r="S242" s="258"/>
      <c r="T242" s="255"/>
      <c r="U242" s="258"/>
      <c r="V242" s="259"/>
    </row>
    <row r="243">
      <c r="A243" s="68"/>
      <c r="B243" s="182"/>
      <c r="C243" s="68"/>
      <c r="D243" s="250"/>
      <c r="E243" s="251"/>
      <c r="F243" s="271"/>
      <c r="G243" s="253"/>
      <c r="H243" s="254"/>
      <c r="I243" s="254"/>
      <c r="J243" s="254"/>
      <c r="K243" s="255"/>
      <c r="L243" s="255"/>
      <c r="M243" s="255"/>
      <c r="N243" s="255"/>
      <c r="O243" s="255"/>
      <c r="P243" s="255"/>
      <c r="Q243" s="256"/>
      <c r="R243" s="257"/>
      <c r="S243" s="258"/>
      <c r="T243" s="255"/>
      <c r="U243" s="258"/>
      <c r="V243" s="259"/>
    </row>
    <row r="244">
      <c r="A244" s="68"/>
      <c r="B244" s="184"/>
      <c r="C244" s="68"/>
      <c r="D244" s="260"/>
      <c r="E244" s="261"/>
      <c r="F244" s="270"/>
      <c r="G244" s="239"/>
      <c r="H244" s="243"/>
      <c r="I244" s="243"/>
      <c r="J244" s="243"/>
      <c r="K244" s="255"/>
      <c r="L244" s="255"/>
      <c r="M244" s="255"/>
      <c r="N244" s="255"/>
      <c r="O244" s="255"/>
      <c r="P244" s="255"/>
      <c r="Q244" s="256"/>
      <c r="R244" s="257"/>
      <c r="S244" s="258"/>
      <c r="T244" s="255"/>
      <c r="U244" s="258"/>
      <c r="V244" s="259"/>
    </row>
    <row r="245">
      <c r="A245" s="68"/>
      <c r="B245" s="184"/>
      <c r="C245" s="68"/>
      <c r="D245" s="250"/>
      <c r="E245" s="251"/>
      <c r="F245" s="271"/>
      <c r="G245" s="253"/>
      <c r="H245" s="254"/>
      <c r="I245" s="254"/>
      <c r="J245" s="254"/>
      <c r="K245" s="255"/>
      <c r="L245" s="255"/>
      <c r="M245" s="255"/>
      <c r="N245" s="255"/>
      <c r="O245" s="255"/>
      <c r="P245" s="255"/>
      <c r="Q245" s="256"/>
      <c r="R245" s="257"/>
      <c r="S245" s="258"/>
      <c r="T245" s="255"/>
      <c r="U245" s="258"/>
      <c r="V245" s="259"/>
    </row>
    <row r="246">
      <c r="A246" s="68"/>
      <c r="B246" s="184"/>
      <c r="C246" s="68"/>
      <c r="D246" s="260"/>
      <c r="E246" s="261"/>
      <c r="F246" s="270"/>
      <c r="G246" s="239"/>
      <c r="H246" s="243"/>
      <c r="I246" s="243"/>
      <c r="J246" s="243"/>
      <c r="K246" s="255"/>
      <c r="L246" s="255"/>
      <c r="M246" s="255"/>
      <c r="N246" s="255"/>
      <c r="O246" s="255"/>
      <c r="P246" s="255"/>
      <c r="Q246" s="256"/>
      <c r="R246" s="257"/>
      <c r="S246" s="258"/>
      <c r="T246" s="255"/>
      <c r="U246" s="258"/>
      <c r="V246" s="259"/>
    </row>
    <row r="247">
      <c r="A247" s="68"/>
      <c r="B247" s="184"/>
      <c r="C247" s="68"/>
      <c r="D247" s="250"/>
      <c r="E247" s="251"/>
      <c r="F247" s="271"/>
      <c r="G247" s="253"/>
      <c r="H247" s="254"/>
      <c r="I247" s="254"/>
      <c r="J247" s="254"/>
      <c r="K247" s="255"/>
      <c r="L247" s="255"/>
      <c r="M247" s="255"/>
      <c r="N247" s="255"/>
      <c r="O247" s="255"/>
      <c r="P247" s="255"/>
      <c r="Q247" s="256"/>
      <c r="R247" s="257"/>
      <c r="S247" s="258"/>
      <c r="T247" s="255"/>
      <c r="U247" s="258"/>
      <c r="V247" s="259"/>
    </row>
    <row r="248">
      <c r="A248" s="68"/>
      <c r="B248" s="147"/>
      <c r="C248" s="68"/>
      <c r="D248" s="260"/>
      <c r="E248" s="261"/>
      <c r="F248" s="270"/>
      <c r="G248" s="239"/>
      <c r="H248" s="243"/>
      <c r="I248" s="243"/>
      <c r="J248" s="243"/>
      <c r="K248" s="255"/>
      <c r="L248" s="255"/>
      <c r="M248" s="255"/>
      <c r="N248" s="255"/>
      <c r="O248" s="255"/>
      <c r="P248" s="255"/>
      <c r="Q248" s="256"/>
      <c r="R248" s="257"/>
      <c r="S248" s="258"/>
      <c r="T248" s="255"/>
      <c r="U248" s="258"/>
      <c r="V248" s="259"/>
    </row>
    <row r="249">
      <c r="A249" s="68"/>
      <c r="B249" s="147"/>
      <c r="C249" s="68"/>
      <c r="D249" s="250"/>
      <c r="E249" s="251"/>
      <c r="F249" s="271"/>
      <c r="G249" s="253"/>
      <c r="H249" s="254"/>
      <c r="I249" s="254"/>
      <c r="J249" s="254"/>
      <c r="K249" s="255"/>
      <c r="L249" s="255"/>
      <c r="M249" s="255"/>
      <c r="N249" s="255"/>
      <c r="O249" s="255"/>
      <c r="P249" s="255"/>
      <c r="Q249" s="256"/>
      <c r="R249" s="257"/>
      <c r="S249" s="258"/>
      <c r="T249" s="255"/>
      <c r="U249" s="258"/>
      <c r="V249" s="259"/>
    </row>
    <row r="250">
      <c r="A250" s="68"/>
      <c r="B250" s="147"/>
      <c r="C250" s="68"/>
      <c r="D250" s="260"/>
      <c r="E250" s="261"/>
      <c r="F250" s="270"/>
      <c r="G250" s="239"/>
      <c r="H250" s="243"/>
      <c r="I250" s="243"/>
      <c r="J250" s="243"/>
      <c r="K250" s="255"/>
      <c r="L250" s="255"/>
      <c r="M250" s="255"/>
      <c r="N250" s="255"/>
      <c r="O250" s="255"/>
      <c r="P250" s="255"/>
      <c r="Q250" s="256"/>
      <c r="R250" s="257"/>
      <c r="S250" s="258"/>
      <c r="T250" s="255"/>
      <c r="U250" s="258"/>
      <c r="V250" s="259"/>
    </row>
    <row r="251">
      <c r="A251" s="68"/>
      <c r="B251" s="147"/>
      <c r="C251" s="68"/>
      <c r="D251" s="250"/>
      <c r="E251" s="251"/>
      <c r="F251" s="271"/>
      <c r="G251" s="253"/>
      <c r="H251" s="254"/>
      <c r="I251" s="254"/>
      <c r="J251" s="254"/>
      <c r="K251" s="255"/>
      <c r="L251" s="255"/>
      <c r="M251" s="255"/>
      <c r="N251" s="255"/>
      <c r="O251" s="255"/>
      <c r="P251" s="255"/>
      <c r="Q251" s="256"/>
      <c r="R251" s="257"/>
      <c r="S251" s="258"/>
      <c r="T251" s="255"/>
      <c r="U251" s="258"/>
      <c r="V251" s="259"/>
    </row>
    <row r="252">
      <c r="A252" s="68"/>
      <c r="B252" s="201"/>
      <c r="C252" s="68"/>
      <c r="D252" s="260"/>
      <c r="E252" s="261"/>
      <c r="F252" s="270"/>
      <c r="G252" s="239"/>
      <c r="H252" s="243"/>
      <c r="I252" s="243"/>
      <c r="J252" s="243"/>
      <c r="K252" s="255"/>
      <c r="L252" s="255"/>
      <c r="M252" s="255"/>
      <c r="N252" s="255"/>
      <c r="O252" s="255"/>
      <c r="P252" s="255"/>
      <c r="Q252" s="256"/>
      <c r="R252" s="257"/>
      <c r="S252" s="258"/>
      <c r="T252" s="255"/>
      <c r="U252" s="258"/>
      <c r="V252" s="259"/>
    </row>
    <row r="253">
      <c r="A253" s="68"/>
      <c r="B253" s="201"/>
      <c r="C253" s="68"/>
      <c r="D253" s="250"/>
      <c r="E253" s="251"/>
      <c r="F253" s="271"/>
      <c r="G253" s="253"/>
      <c r="H253" s="254"/>
      <c r="I253" s="254"/>
      <c r="J253" s="254"/>
      <c r="K253" s="255"/>
      <c r="L253" s="255"/>
      <c r="M253" s="255"/>
      <c r="N253" s="255"/>
      <c r="O253" s="255"/>
      <c r="P253" s="255"/>
      <c r="Q253" s="256"/>
      <c r="R253" s="257"/>
      <c r="S253" s="258"/>
      <c r="T253" s="255"/>
      <c r="U253" s="258"/>
      <c r="V253" s="259"/>
    </row>
    <row r="254">
      <c r="A254" s="68"/>
      <c r="B254" s="201"/>
      <c r="C254" s="68"/>
      <c r="D254" s="260"/>
      <c r="E254" s="261"/>
      <c r="F254" s="270"/>
      <c r="G254" s="239"/>
      <c r="H254" s="243"/>
      <c r="I254" s="243"/>
      <c r="J254" s="243"/>
      <c r="K254" s="255"/>
      <c r="L254" s="255"/>
      <c r="M254" s="255"/>
      <c r="N254" s="255"/>
      <c r="O254" s="255"/>
      <c r="P254" s="255"/>
      <c r="Q254" s="256"/>
      <c r="R254" s="257"/>
      <c r="S254" s="258"/>
      <c r="T254" s="255"/>
      <c r="U254" s="258"/>
      <c r="V254" s="259"/>
    </row>
    <row r="255">
      <c r="A255" s="68"/>
      <c r="B255" s="128"/>
      <c r="C255" s="68"/>
      <c r="D255" s="250"/>
      <c r="E255" s="251"/>
      <c r="F255" s="271"/>
      <c r="G255" s="253"/>
      <c r="H255" s="254"/>
      <c r="I255" s="254"/>
      <c r="J255" s="254"/>
      <c r="K255" s="255"/>
      <c r="L255" s="255"/>
      <c r="M255" s="255"/>
      <c r="N255" s="255"/>
      <c r="O255" s="255"/>
      <c r="P255" s="255"/>
      <c r="Q255" s="256"/>
      <c r="R255" s="257"/>
      <c r="S255" s="258"/>
      <c r="T255" s="255"/>
      <c r="U255" s="258"/>
      <c r="V255" s="259"/>
    </row>
    <row r="256">
      <c r="A256" s="68"/>
      <c r="B256" s="214"/>
      <c r="C256" s="68"/>
      <c r="D256" s="260"/>
      <c r="E256" s="261"/>
      <c r="F256" s="270"/>
      <c r="G256" s="239"/>
      <c r="H256" s="243"/>
      <c r="I256" s="243"/>
      <c r="J256" s="243"/>
      <c r="K256" s="255"/>
      <c r="L256" s="255"/>
      <c r="M256" s="255"/>
      <c r="N256" s="255"/>
      <c r="O256" s="255"/>
      <c r="P256" s="255"/>
      <c r="Q256" s="256"/>
      <c r="R256" s="257"/>
      <c r="S256" s="258"/>
      <c r="T256" s="255"/>
      <c r="U256" s="258"/>
      <c r="V256" s="259"/>
    </row>
    <row r="257">
      <c r="A257" s="68"/>
      <c r="B257" s="218"/>
      <c r="C257" s="68"/>
      <c r="D257" s="250"/>
      <c r="E257" s="251"/>
      <c r="F257" s="271"/>
      <c r="G257" s="253"/>
      <c r="H257" s="254"/>
      <c r="I257" s="254"/>
      <c r="J257" s="254"/>
      <c r="K257" s="255"/>
      <c r="L257" s="255"/>
      <c r="M257" s="255"/>
      <c r="N257" s="255"/>
      <c r="O257" s="255"/>
      <c r="P257" s="255"/>
      <c r="Q257" s="256"/>
      <c r="R257" s="257"/>
      <c r="S257" s="258"/>
      <c r="T257" s="255"/>
      <c r="U257" s="258"/>
      <c r="V257" s="259"/>
    </row>
    <row r="258">
      <c r="A258" s="68"/>
      <c r="B258" s="218"/>
      <c r="C258" s="68"/>
      <c r="D258" s="260"/>
      <c r="E258" s="261"/>
      <c r="F258" s="270"/>
      <c r="G258" s="239"/>
      <c r="H258" s="243"/>
      <c r="I258" s="243"/>
      <c r="J258" s="243"/>
      <c r="K258" s="255"/>
      <c r="L258" s="255"/>
      <c r="M258" s="255"/>
      <c r="N258" s="255"/>
      <c r="O258" s="255"/>
      <c r="P258" s="255"/>
      <c r="Q258" s="256"/>
      <c r="R258" s="257"/>
      <c r="S258" s="258"/>
      <c r="T258" s="255"/>
      <c r="U258" s="258"/>
      <c r="V258" s="259"/>
    </row>
    <row r="259">
      <c r="A259" s="68"/>
      <c r="B259" s="218"/>
      <c r="C259" s="68"/>
      <c r="D259" s="250"/>
      <c r="E259" s="251"/>
      <c r="F259" s="271"/>
      <c r="G259" s="253"/>
      <c r="H259" s="254"/>
      <c r="I259" s="254"/>
      <c r="J259" s="254"/>
      <c r="K259" s="255"/>
      <c r="L259" s="255"/>
      <c r="M259" s="255"/>
      <c r="N259" s="255"/>
      <c r="O259" s="255"/>
      <c r="P259" s="255"/>
      <c r="Q259" s="256"/>
      <c r="R259" s="257"/>
      <c r="S259" s="258"/>
      <c r="T259" s="255"/>
      <c r="U259" s="258"/>
      <c r="V259" s="259"/>
    </row>
    <row r="260">
      <c r="A260" s="68"/>
      <c r="B260" s="218"/>
      <c r="C260" s="68"/>
      <c r="D260" s="260"/>
      <c r="E260" s="261"/>
      <c r="F260" s="270"/>
      <c r="G260" s="239"/>
      <c r="H260" s="243"/>
      <c r="I260" s="243"/>
      <c r="J260" s="243"/>
      <c r="K260" s="255"/>
      <c r="L260" s="255"/>
      <c r="M260" s="255"/>
      <c r="N260" s="255"/>
      <c r="O260" s="255"/>
      <c r="P260" s="255"/>
      <c r="Q260" s="256"/>
      <c r="R260" s="257"/>
      <c r="S260" s="258"/>
      <c r="T260" s="255"/>
      <c r="U260" s="258"/>
      <c r="V260" s="259"/>
    </row>
    <row r="261">
      <c r="A261" s="68"/>
      <c r="B261" s="218"/>
      <c r="C261" s="68"/>
      <c r="D261" s="250"/>
      <c r="E261" s="251"/>
      <c r="F261" s="271"/>
      <c r="G261" s="253"/>
      <c r="H261" s="254"/>
      <c r="I261" s="254"/>
      <c r="J261" s="254"/>
      <c r="K261" s="255"/>
      <c r="L261" s="255"/>
      <c r="M261" s="255"/>
      <c r="N261" s="255"/>
      <c r="O261" s="255"/>
      <c r="P261" s="255"/>
      <c r="Q261" s="256"/>
      <c r="R261" s="257"/>
      <c r="S261" s="258"/>
      <c r="T261" s="255"/>
      <c r="U261" s="258"/>
      <c r="V261" s="259"/>
    </row>
    <row r="262">
      <c r="A262" s="68"/>
      <c r="B262" s="104"/>
      <c r="C262" s="68"/>
      <c r="D262" s="260"/>
      <c r="E262" s="261"/>
      <c r="F262" s="270"/>
      <c r="G262" s="239"/>
      <c r="H262" s="243"/>
      <c r="I262" s="243"/>
      <c r="J262" s="243"/>
      <c r="K262" s="255"/>
      <c r="L262" s="255"/>
      <c r="M262" s="255"/>
      <c r="N262" s="255"/>
      <c r="O262" s="255"/>
      <c r="P262" s="255"/>
      <c r="Q262" s="256"/>
      <c r="R262" s="257"/>
      <c r="S262" s="258"/>
      <c r="T262" s="255"/>
      <c r="U262" s="258"/>
      <c r="V262" s="259"/>
    </row>
    <row r="263">
      <c r="A263" s="68"/>
      <c r="B263" s="111"/>
      <c r="C263" s="68"/>
      <c r="D263" s="250"/>
      <c r="E263" s="251"/>
      <c r="F263" s="271"/>
      <c r="G263" s="253"/>
      <c r="H263" s="254"/>
      <c r="I263" s="254"/>
      <c r="J263" s="254"/>
      <c r="K263" s="255"/>
      <c r="L263" s="255"/>
      <c r="M263" s="255"/>
      <c r="N263" s="255"/>
      <c r="O263" s="255"/>
      <c r="P263" s="255"/>
      <c r="Q263" s="256"/>
      <c r="R263" s="257"/>
      <c r="S263" s="258"/>
      <c r="T263" s="255"/>
      <c r="U263" s="258"/>
      <c r="V263" s="259"/>
    </row>
    <row r="264">
      <c r="A264" s="68"/>
      <c r="B264" s="111"/>
      <c r="C264" s="68"/>
      <c r="D264" s="260"/>
      <c r="E264" s="261"/>
      <c r="F264" s="270"/>
      <c r="G264" s="239"/>
      <c r="H264" s="243"/>
      <c r="I264" s="243"/>
      <c r="J264" s="243"/>
      <c r="K264" s="255"/>
      <c r="L264" s="255"/>
      <c r="M264" s="255"/>
      <c r="N264" s="255"/>
      <c r="O264" s="255"/>
      <c r="P264" s="255"/>
      <c r="Q264" s="256"/>
      <c r="R264" s="257"/>
      <c r="S264" s="258"/>
      <c r="T264" s="255"/>
      <c r="U264" s="258"/>
      <c r="V264" s="259"/>
    </row>
    <row r="265">
      <c r="A265" s="68"/>
      <c r="B265" s="111"/>
      <c r="C265" s="68"/>
      <c r="D265" s="250"/>
      <c r="E265" s="251"/>
      <c r="F265" s="271"/>
      <c r="G265" s="253"/>
      <c r="H265" s="254"/>
      <c r="I265" s="254"/>
      <c r="J265" s="254"/>
      <c r="K265" s="255"/>
      <c r="L265" s="255"/>
      <c r="M265" s="255"/>
      <c r="N265" s="255"/>
      <c r="O265" s="255"/>
      <c r="P265" s="255"/>
      <c r="Q265" s="256"/>
      <c r="R265" s="257"/>
      <c r="S265" s="258"/>
      <c r="T265" s="255"/>
      <c r="U265" s="258"/>
      <c r="V265" s="259"/>
    </row>
    <row r="266">
      <c r="A266" s="68"/>
      <c r="B266" s="111"/>
      <c r="C266" s="68"/>
      <c r="D266" s="260"/>
      <c r="E266" s="261"/>
      <c r="F266" s="270"/>
      <c r="G266" s="239"/>
      <c r="H266" s="243"/>
      <c r="I266" s="243"/>
      <c r="J266" s="243"/>
      <c r="K266" s="255"/>
      <c r="L266" s="255"/>
      <c r="M266" s="255"/>
      <c r="N266" s="255"/>
      <c r="O266" s="255"/>
      <c r="P266" s="255"/>
      <c r="Q266" s="256"/>
      <c r="R266" s="257"/>
      <c r="S266" s="258"/>
      <c r="T266" s="255"/>
      <c r="U266" s="258"/>
      <c r="V266" s="259"/>
    </row>
    <row r="267">
      <c r="A267" s="68"/>
      <c r="B267" s="111"/>
      <c r="C267" s="68"/>
      <c r="D267" s="250"/>
      <c r="E267" s="251"/>
      <c r="F267" s="271"/>
      <c r="G267" s="253"/>
      <c r="H267" s="254"/>
      <c r="I267" s="254"/>
      <c r="J267" s="254"/>
      <c r="K267" s="255"/>
      <c r="L267" s="255"/>
      <c r="M267" s="255"/>
      <c r="N267" s="255"/>
      <c r="O267" s="255"/>
      <c r="P267" s="255"/>
      <c r="Q267" s="256"/>
      <c r="R267" s="257"/>
      <c r="S267" s="258"/>
      <c r="T267" s="255"/>
      <c r="U267" s="258"/>
      <c r="V267" s="259"/>
    </row>
    <row r="268">
      <c r="A268" s="68"/>
      <c r="B268" s="126"/>
      <c r="C268" s="68"/>
      <c r="D268" s="260"/>
      <c r="E268" s="261"/>
      <c r="F268" s="270"/>
      <c r="G268" s="239"/>
      <c r="H268" s="243"/>
      <c r="I268" s="243"/>
      <c r="J268" s="243"/>
      <c r="K268" s="255"/>
      <c r="L268" s="255"/>
      <c r="M268" s="255"/>
      <c r="N268" s="255"/>
      <c r="O268" s="255"/>
      <c r="P268" s="255"/>
      <c r="Q268" s="256"/>
      <c r="R268" s="257"/>
      <c r="S268" s="258"/>
      <c r="T268" s="255"/>
      <c r="U268" s="258"/>
      <c r="V268" s="259"/>
    </row>
    <row r="269">
      <c r="A269" s="68"/>
      <c r="B269" s="128"/>
      <c r="C269" s="68"/>
      <c r="D269" s="250"/>
      <c r="E269" s="251"/>
      <c r="F269" s="271"/>
      <c r="G269" s="253"/>
      <c r="H269" s="254"/>
      <c r="I269" s="254"/>
      <c r="J269" s="254"/>
      <c r="K269" s="255"/>
      <c r="L269" s="255"/>
      <c r="M269" s="255"/>
      <c r="N269" s="255"/>
      <c r="O269" s="255"/>
      <c r="P269" s="255"/>
      <c r="Q269" s="256"/>
      <c r="R269" s="257"/>
      <c r="S269" s="258"/>
      <c r="T269" s="255"/>
      <c r="U269" s="258"/>
      <c r="V269" s="259"/>
    </row>
    <row r="270">
      <c r="A270" s="68"/>
      <c r="B270" s="132"/>
      <c r="C270" s="68"/>
      <c r="D270" s="260"/>
      <c r="E270" s="261"/>
      <c r="F270" s="270"/>
      <c r="G270" s="239"/>
      <c r="H270" s="243"/>
      <c r="I270" s="243"/>
      <c r="J270" s="243"/>
      <c r="K270" s="255"/>
      <c r="L270" s="255"/>
      <c r="M270" s="255"/>
      <c r="N270" s="255"/>
      <c r="O270" s="255"/>
      <c r="P270" s="255"/>
      <c r="Q270" s="256"/>
      <c r="R270" s="257"/>
      <c r="S270" s="258"/>
      <c r="T270" s="255"/>
      <c r="U270" s="258"/>
      <c r="V270" s="259"/>
    </row>
    <row r="271">
      <c r="A271" s="68"/>
      <c r="B271" s="128"/>
      <c r="C271" s="68"/>
      <c r="D271" s="250"/>
      <c r="E271" s="251"/>
      <c r="F271" s="271"/>
      <c r="G271" s="253"/>
      <c r="H271" s="254"/>
      <c r="I271" s="254"/>
      <c r="J271" s="254"/>
      <c r="K271" s="255"/>
      <c r="L271" s="255"/>
      <c r="M271" s="255"/>
      <c r="N271" s="255"/>
      <c r="O271" s="255"/>
      <c r="P271" s="255"/>
      <c r="Q271" s="256"/>
      <c r="R271" s="257"/>
      <c r="S271" s="258"/>
      <c r="T271" s="255"/>
      <c r="U271" s="258"/>
      <c r="V271" s="259"/>
    </row>
    <row r="272">
      <c r="A272" s="68"/>
      <c r="B272" s="128"/>
      <c r="C272" s="68"/>
      <c r="D272" s="260"/>
      <c r="E272" s="261"/>
      <c r="F272" s="270"/>
      <c r="G272" s="239"/>
      <c r="H272" s="243"/>
      <c r="I272" s="243"/>
      <c r="J272" s="243"/>
      <c r="K272" s="255"/>
      <c r="L272" s="255"/>
      <c r="M272" s="255"/>
      <c r="N272" s="255"/>
      <c r="O272" s="255"/>
      <c r="P272" s="255"/>
      <c r="Q272" s="256"/>
      <c r="R272" s="257"/>
      <c r="S272" s="258"/>
      <c r="T272" s="255"/>
      <c r="U272" s="258"/>
      <c r="V272" s="259"/>
    </row>
    <row r="273">
      <c r="A273" s="68"/>
      <c r="B273" s="128"/>
      <c r="C273" s="68"/>
      <c r="D273" s="250"/>
      <c r="E273" s="251"/>
      <c r="F273" s="271"/>
      <c r="G273" s="253"/>
      <c r="H273" s="254"/>
      <c r="I273" s="254"/>
      <c r="J273" s="254"/>
      <c r="K273" s="255"/>
      <c r="L273" s="255"/>
      <c r="M273" s="255"/>
      <c r="N273" s="255"/>
      <c r="O273" s="255"/>
      <c r="P273" s="255"/>
      <c r="Q273" s="256"/>
      <c r="R273" s="257"/>
      <c r="S273" s="258"/>
      <c r="T273" s="255"/>
      <c r="U273" s="258"/>
      <c r="V273" s="259"/>
    </row>
    <row r="274">
      <c r="A274" s="68"/>
      <c r="B274" s="128"/>
      <c r="C274" s="68"/>
      <c r="D274" s="260"/>
      <c r="E274" s="261"/>
      <c r="F274" s="270"/>
      <c r="G274" s="239"/>
      <c r="H274" s="243"/>
      <c r="I274" s="243"/>
      <c r="J274" s="243"/>
      <c r="K274" s="255"/>
      <c r="L274" s="255"/>
      <c r="M274" s="255"/>
      <c r="N274" s="255"/>
      <c r="O274" s="255"/>
      <c r="P274" s="255"/>
      <c r="Q274" s="256"/>
      <c r="R274" s="257"/>
      <c r="S274" s="258"/>
      <c r="T274" s="255"/>
      <c r="U274" s="258"/>
      <c r="V274" s="259"/>
    </row>
    <row r="275">
      <c r="A275" s="68"/>
      <c r="B275" s="128"/>
      <c r="C275" s="68"/>
      <c r="D275" s="250"/>
      <c r="E275" s="251"/>
      <c r="F275" s="271"/>
      <c r="G275" s="253"/>
      <c r="H275" s="254"/>
      <c r="I275" s="254"/>
      <c r="J275" s="254"/>
      <c r="K275" s="255"/>
      <c r="L275" s="255"/>
      <c r="M275" s="255"/>
      <c r="N275" s="255"/>
      <c r="O275" s="255"/>
      <c r="P275" s="255"/>
      <c r="Q275" s="256"/>
      <c r="R275" s="257"/>
      <c r="S275" s="258"/>
      <c r="T275" s="255"/>
      <c r="U275" s="258"/>
      <c r="V275" s="259"/>
    </row>
    <row r="276">
      <c r="A276" s="68"/>
      <c r="B276" s="128"/>
      <c r="C276" s="68"/>
      <c r="D276" s="260"/>
      <c r="E276" s="261"/>
      <c r="F276" s="270"/>
      <c r="G276" s="239"/>
      <c r="H276" s="243"/>
      <c r="I276" s="243"/>
      <c r="J276" s="243"/>
      <c r="K276" s="255"/>
      <c r="L276" s="255"/>
      <c r="M276" s="255"/>
      <c r="N276" s="255"/>
      <c r="O276" s="255"/>
      <c r="P276" s="255"/>
      <c r="Q276" s="256"/>
      <c r="R276" s="257"/>
      <c r="S276" s="258"/>
      <c r="T276" s="255"/>
      <c r="U276" s="258"/>
      <c r="V276" s="259"/>
    </row>
    <row r="277">
      <c r="A277" s="68"/>
      <c r="B277" s="132"/>
      <c r="C277" s="68"/>
      <c r="D277" s="250"/>
      <c r="E277" s="251"/>
      <c r="F277" s="271"/>
      <c r="G277" s="253"/>
      <c r="H277" s="254"/>
      <c r="I277" s="254"/>
      <c r="J277" s="254"/>
      <c r="K277" s="255"/>
      <c r="L277" s="255"/>
      <c r="M277" s="255"/>
      <c r="N277" s="255"/>
      <c r="O277" s="255"/>
      <c r="P277" s="255"/>
      <c r="Q277" s="256"/>
      <c r="R277" s="257"/>
      <c r="S277" s="258"/>
      <c r="T277" s="255"/>
      <c r="U277" s="258"/>
      <c r="V277" s="259"/>
    </row>
    <row r="278">
      <c r="A278" s="68"/>
      <c r="B278" s="147"/>
      <c r="C278" s="68"/>
      <c r="D278" s="260"/>
      <c r="E278" s="261"/>
      <c r="F278" s="270"/>
      <c r="G278" s="239"/>
      <c r="H278" s="243"/>
      <c r="I278" s="243"/>
      <c r="J278" s="243"/>
      <c r="K278" s="255"/>
      <c r="L278" s="255"/>
      <c r="M278" s="255"/>
      <c r="N278" s="255"/>
      <c r="O278" s="255"/>
      <c r="P278" s="255"/>
      <c r="Q278" s="256"/>
      <c r="R278" s="257"/>
      <c r="S278" s="258"/>
      <c r="T278" s="255"/>
      <c r="U278" s="258"/>
      <c r="V278" s="259"/>
    </row>
    <row r="279">
      <c r="A279" s="68"/>
      <c r="B279" s="147"/>
      <c r="C279" s="68"/>
      <c r="D279" s="250"/>
      <c r="E279" s="251"/>
      <c r="F279" s="271"/>
      <c r="G279" s="253"/>
      <c r="H279" s="254"/>
      <c r="I279" s="254"/>
      <c r="J279" s="254"/>
      <c r="K279" s="255"/>
      <c r="L279" s="255"/>
      <c r="M279" s="255"/>
      <c r="N279" s="255"/>
      <c r="O279" s="255"/>
      <c r="P279" s="255"/>
      <c r="Q279" s="256"/>
      <c r="R279" s="257"/>
      <c r="S279" s="258"/>
      <c r="T279" s="255"/>
      <c r="U279" s="258"/>
      <c r="V279" s="259"/>
    </row>
    <row r="280">
      <c r="A280" s="68"/>
      <c r="B280" s="147"/>
      <c r="C280" s="68"/>
      <c r="D280" s="260"/>
      <c r="E280" s="261"/>
      <c r="F280" s="270"/>
      <c r="G280" s="239"/>
      <c r="H280" s="243"/>
      <c r="I280" s="243"/>
      <c r="J280" s="243"/>
      <c r="K280" s="255"/>
      <c r="L280" s="255"/>
      <c r="M280" s="255"/>
      <c r="N280" s="255"/>
      <c r="O280" s="255"/>
      <c r="P280" s="255"/>
      <c r="Q280" s="256"/>
      <c r="R280" s="257"/>
      <c r="S280" s="258"/>
      <c r="T280" s="255"/>
      <c r="U280" s="258"/>
      <c r="V280" s="259"/>
    </row>
    <row r="281">
      <c r="A281" s="68"/>
      <c r="B281" s="147"/>
      <c r="C281" s="68"/>
      <c r="D281" s="250"/>
      <c r="E281" s="251"/>
      <c r="F281" s="271"/>
      <c r="G281" s="253"/>
      <c r="H281" s="254"/>
      <c r="I281" s="254"/>
      <c r="J281" s="254"/>
      <c r="K281" s="255"/>
      <c r="L281" s="255"/>
      <c r="M281" s="255"/>
      <c r="N281" s="255"/>
      <c r="O281" s="255"/>
      <c r="P281" s="255"/>
      <c r="Q281" s="256"/>
      <c r="R281" s="257"/>
      <c r="S281" s="258"/>
      <c r="T281" s="255"/>
      <c r="U281" s="258"/>
      <c r="V281" s="259"/>
    </row>
    <row r="282">
      <c r="A282" s="68"/>
      <c r="B282" s="153" t="str">
        <f>'Infos - Start Here!'!B280</f>
        <v/>
      </c>
      <c r="C282" s="68"/>
      <c r="D282" s="260"/>
      <c r="E282" s="261"/>
      <c r="F282" s="270"/>
      <c r="G282" s="239"/>
      <c r="H282" s="243"/>
      <c r="I282" s="243"/>
      <c r="J282" s="243"/>
      <c r="K282" s="255"/>
      <c r="L282" s="255"/>
      <c r="M282" s="255"/>
      <c r="N282" s="255"/>
      <c r="O282" s="255"/>
      <c r="P282" s="255"/>
      <c r="Q282" s="256"/>
      <c r="R282" s="257"/>
      <c r="S282" s="258"/>
      <c r="T282" s="255"/>
      <c r="U282" s="258"/>
      <c r="V282" s="259"/>
    </row>
    <row r="283">
      <c r="A283" s="68"/>
      <c r="B283" s="155"/>
      <c r="C283" s="68"/>
      <c r="D283" s="250"/>
      <c r="E283" s="251"/>
      <c r="F283" s="271"/>
      <c r="G283" s="253"/>
      <c r="H283" s="254"/>
      <c r="I283" s="254"/>
      <c r="J283" s="254"/>
      <c r="K283" s="255"/>
      <c r="L283" s="255"/>
      <c r="M283" s="255"/>
      <c r="N283" s="255"/>
      <c r="O283" s="255"/>
      <c r="P283" s="255"/>
      <c r="Q283" s="256"/>
      <c r="R283" s="257"/>
      <c r="S283" s="258"/>
      <c r="T283" s="255"/>
      <c r="U283" s="258"/>
      <c r="V283" s="259"/>
    </row>
    <row r="284">
      <c r="A284" s="68"/>
      <c r="B284" s="164"/>
      <c r="C284" s="68"/>
      <c r="D284" s="260"/>
      <c r="E284" s="261"/>
      <c r="F284" s="270"/>
      <c r="G284" s="239"/>
      <c r="H284" s="243"/>
      <c r="I284" s="243"/>
      <c r="J284" s="243"/>
      <c r="K284" s="255"/>
      <c r="L284" s="255"/>
      <c r="M284" s="255"/>
      <c r="N284" s="255"/>
      <c r="O284" s="255"/>
      <c r="P284" s="255"/>
      <c r="Q284" s="256"/>
      <c r="R284" s="257"/>
      <c r="S284" s="258"/>
      <c r="T284" s="255"/>
      <c r="U284" s="258"/>
      <c r="V284" s="259"/>
    </row>
    <row r="285">
      <c r="A285" s="68"/>
      <c r="B285" s="164"/>
      <c r="C285" s="68"/>
      <c r="D285" s="250"/>
      <c r="E285" s="251"/>
      <c r="F285" s="271"/>
      <c r="G285" s="253"/>
      <c r="H285" s="254"/>
      <c r="I285" s="254"/>
      <c r="J285" s="254"/>
      <c r="K285" s="255"/>
      <c r="L285" s="255"/>
      <c r="M285" s="255"/>
      <c r="N285" s="255"/>
      <c r="O285" s="255"/>
      <c r="P285" s="255"/>
      <c r="Q285" s="256"/>
      <c r="R285" s="257"/>
      <c r="S285" s="258"/>
      <c r="T285" s="255"/>
      <c r="U285" s="258"/>
      <c r="V285" s="259"/>
    </row>
    <row r="286">
      <c r="A286" s="68"/>
      <c r="B286" s="164"/>
      <c r="C286" s="68"/>
      <c r="D286" s="260"/>
      <c r="E286" s="261"/>
      <c r="F286" s="270"/>
      <c r="G286" s="239"/>
      <c r="H286" s="243"/>
      <c r="I286" s="243"/>
      <c r="J286" s="243"/>
      <c r="K286" s="255"/>
      <c r="L286" s="255"/>
      <c r="M286" s="255"/>
      <c r="N286" s="255"/>
      <c r="O286" s="255"/>
      <c r="P286" s="255"/>
      <c r="Q286" s="256"/>
      <c r="R286" s="257"/>
      <c r="S286" s="258"/>
      <c r="T286" s="255"/>
      <c r="U286" s="258"/>
      <c r="V286" s="259"/>
    </row>
    <row r="287">
      <c r="A287" s="68"/>
      <c r="B287" s="164"/>
      <c r="C287" s="68"/>
      <c r="D287" s="250"/>
      <c r="E287" s="251"/>
      <c r="F287" s="271"/>
      <c r="G287" s="253"/>
      <c r="H287" s="254"/>
      <c r="I287" s="254"/>
      <c r="J287" s="254"/>
      <c r="K287" s="255"/>
      <c r="L287" s="255"/>
      <c r="M287" s="255"/>
      <c r="N287" s="255"/>
      <c r="O287" s="255"/>
      <c r="P287" s="255"/>
      <c r="Q287" s="256"/>
      <c r="R287" s="257"/>
      <c r="S287" s="258"/>
      <c r="T287" s="255"/>
      <c r="U287" s="258"/>
      <c r="V287" s="259"/>
    </row>
    <row r="288">
      <c r="A288" s="68"/>
      <c r="B288" s="164"/>
      <c r="C288" s="68"/>
      <c r="D288" s="260"/>
      <c r="E288" s="261"/>
      <c r="F288" s="270"/>
      <c r="G288" s="239"/>
      <c r="H288" s="243"/>
      <c r="I288" s="243"/>
      <c r="J288" s="243"/>
      <c r="K288" s="255"/>
      <c r="L288" s="255"/>
      <c r="M288" s="255"/>
      <c r="N288" s="255"/>
      <c r="O288" s="255"/>
      <c r="P288" s="255"/>
      <c r="Q288" s="256"/>
      <c r="R288" s="257"/>
      <c r="S288" s="258"/>
      <c r="T288" s="255"/>
      <c r="U288" s="258"/>
      <c r="V288" s="259"/>
    </row>
    <row r="289">
      <c r="A289" s="68"/>
      <c r="B289" s="164"/>
      <c r="C289" s="68"/>
      <c r="D289" s="250"/>
      <c r="E289" s="251"/>
      <c r="F289" s="271"/>
      <c r="G289" s="253"/>
      <c r="H289" s="254"/>
      <c r="I289" s="254"/>
      <c r="J289" s="254"/>
      <c r="K289" s="255"/>
      <c r="L289" s="255"/>
      <c r="M289" s="255"/>
      <c r="N289" s="255"/>
      <c r="O289" s="255"/>
      <c r="P289" s="255"/>
      <c r="Q289" s="256"/>
      <c r="R289" s="257"/>
      <c r="S289" s="258"/>
      <c r="T289" s="255"/>
      <c r="U289" s="258"/>
      <c r="V289" s="259"/>
    </row>
    <row r="290">
      <c r="A290" s="68"/>
      <c r="B290" s="182"/>
      <c r="C290" s="68"/>
      <c r="D290" s="260"/>
      <c r="E290" s="261"/>
      <c r="F290" s="270"/>
      <c r="G290" s="239"/>
      <c r="H290" s="243"/>
      <c r="I290" s="243"/>
      <c r="J290" s="243"/>
      <c r="K290" s="255"/>
      <c r="L290" s="255"/>
      <c r="M290" s="255"/>
      <c r="N290" s="255"/>
      <c r="O290" s="255"/>
      <c r="P290" s="255"/>
      <c r="Q290" s="256"/>
      <c r="R290" s="257"/>
      <c r="S290" s="258"/>
      <c r="T290" s="255"/>
      <c r="U290" s="258"/>
      <c r="V290" s="259"/>
    </row>
    <row r="291">
      <c r="A291" s="68"/>
      <c r="B291" s="184"/>
      <c r="C291" s="68"/>
      <c r="D291" s="250"/>
      <c r="E291" s="251"/>
      <c r="F291" s="271"/>
      <c r="G291" s="253"/>
      <c r="H291" s="254"/>
      <c r="I291" s="254"/>
      <c r="J291" s="254"/>
      <c r="K291" s="255"/>
      <c r="L291" s="255"/>
      <c r="M291" s="255"/>
      <c r="N291" s="255"/>
      <c r="O291" s="255"/>
      <c r="P291" s="255"/>
      <c r="Q291" s="256"/>
      <c r="R291" s="257"/>
      <c r="S291" s="258"/>
      <c r="T291" s="255"/>
      <c r="U291" s="258"/>
      <c r="V291" s="259"/>
    </row>
    <row r="292">
      <c r="A292" s="68"/>
      <c r="B292" s="184"/>
      <c r="C292" s="68"/>
      <c r="D292" s="260"/>
      <c r="E292" s="261"/>
      <c r="F292" s="270"/>
      <c r="G292" s="239"/>
      <c r="H292" s="243"/>
      <c r="I292" s="243"/>
      <c r="J292" s="243"/>
      <c r="K292" s="255"/>
      <c r="L292" s="255"/>
      <c r="M292" s="255"/>
      <c r="N292" s="255"/>
      <c r="O292" s="255"/>
      <c r="P292" s="255"/>
      <c r="Q292" s="256"/>
      <c r="R292" s="257"/>
      <c r="S292" s="258"/>
      <c r="T292" s="255"/>
      <c r="U292" s="258"/>
      <c r="V292" s="259"/>
    </row>
    <row r="293">
      <c r="A293" s="68"/>
      <c r="B293" s="184"/>
      <c r="C293" s="68"/>
      <c r="D293" s="250"/>
      <c r="E293" s="251"/>
      <c r="F293" s="271"/>
      <c r="G293" s="253"/>
      <c r="H293" s="254"/>
      <c r="I293" s="254"/>
      <c r="J293" s="254"/>
      <c r="K293" s="255"/>
      <c r="L293" s="255"/>
      <c r="M293" s="255"/>
      <c r="N293" s="255"/>
      <c r="O293" s="255"/>
      <c r="P293" s="255"/>
      <c r="Q293" s="256"/>
      <c r="R293" s="257"/>
      <c r="S293" s="258"/>
      <c r="T293" s="255"/>
      <c r="U293" s="258"/>
      <c r="V293" s="259"/>
    </row>
    <row r="294">
      <c r="A294" s="68"/>
      <c r="B294" s="184"/>
      <c r="C294" s="68"/>
      <c r="D294" s="260"/>
      <c r="E294" s="261"/>
      <c r="F294" s="270"/>
      <c r="G294" s="239"/>
      <c r="H294" s="243"/>
      <c r="I294" s="243"/>
      <c r="J294" s="243"/>
      <c r="K294" s="255"/>
      <c r="L294" s="255"/>
      <c r="M294" s="255"/>
      <c r="N294" s="255"/>
      <c r="O294" s="255"/>
      <c r="P294" s="255"/>
      <c r="Q294" s="256"/>
      <c r="R294" s="257"/>
      <c r="S294" s="258"/>
      <c r="T294" s="255"/>
      <c r="U294" s="258"/>
      <c r="V294" s="259"/>
    </row>
    <row r="295">
      <c r="A295" s="68"/>
      <c r="B295" s="147"/>
      <c r="C295" s="68"/>
      <c r="D295" s="250"/>
      <c r="E295" s="251"/>
      <c r="F295" s="271"/>
      <c r="G295" s="253"/>
      <c r="H295" s="254"/>
      <c r="I295" s="254"/>
      <c r="J295" s="254"/>
      <c r="K295" s="255"/>
      <c r="L295" s="255"/>
      <c r="M295" s="255"/>
      <c r="N295" s="255"/>
      <c r="O295" s="255"/>
      <c r="P295" s="255"/>
      <c r="Q295" s="256"/>
      <c r="R295" s="257"/>
      <c r="S295" s="258"/>
      <c r="T295" s="255"/>
      <c r="U295" s="258"/>
      <c r="V295" s="259"/>
    </row>
    <row r="296">
      <c r="A296" s="68"/>
      <c r="B296" s="147"/>
      <c r="C296" s="68"/>
      <c r="D296" s="260"/>
      <c r="E296" s="261"/>
      <c r="F296" s="270"/>
      <c r="G296" s="239"/>
      <c r="H296" s="243"/>
      <c r="I296" s="243"/>
      <c r="J296" s="243"/>
      <c r="K296" s="255"/>
      <c r="L296" s="255"/>
      <c r="M296" s="255"/>
      <c r="N296" s="255"/>
      <c r="O296" s="255"/>
      <c r="P296" s="255"/>
      <c r="Q296" s="256"/>
      <c r="R296" s="257"/>
      <c r="S296" s="258"/>
      <c r="T296" s="255"/>
      <c r="U296" s="258"/>
      <c r="V296" s="259"/>
    </row>
    <row r="297">
      <c r="A297" s="68"/>
      <c r="B297" s="147"/>
      <c r="C297" s="68"/>
      <c r="D297" s="260"/>
      <c r="E297" s="261"/>
      <c r="F297" s="270"/>
      <c r="G297" s="239"/>
      <c r="H297" s="243"/>
      <c r="I297" s="243"/>
      <c r="J297" s="243"/>
      <c r="K297" s="255"/>
      <c r="L297" s="255"/>
      <c r="M297" s="255"/>
      <c r="N297" s="255"/>
      <c r="O297" s="255"/>
      <c r="P297" s="255"/>
      <c r="Q297" s="256"/>
      <c r="R297" s="257"/>
      <c r="S297" s="258"/>
      <c r="T297" s="255"/>
      <c r="U297" s="258"/>
      <c r="V297" s="259"/>
    </row>
    <row r="298">
      <c r="A298" s="68"/>
      <c r="B298" s="147"/>
      <c r="C298" s="68"/>
      <c r="D298" s="21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E298" s="261"/>
      <c r="F298" s="270"/>
      <c r="G298" s="239"/>
      <c r="H298" s="243"/>
      <c r="I298" s="243"/>
      <c r="J298" s="243"/>
      <c r="K298" s="255"/>
      <c r="L298" s="255"/>
      <c r="M298" s="255"/>
      <c r="N298" s="255"/>
      <c r="O298" s="255"/>
      <c r="P298" s="255"/>
      <c r="Q298" s="256"/>
      <c r="R298" s="257"/>
      <c r="S298" s="258"/>
      <c r="T298" s="255"/>
      <c r="U298" s="258"/>
      <c r="V298" s="259"/>
    </row>
    <row r="299">
      <c r="A299" s="68"/>
      <c r="B299" s="266"/>
      <c r="C299" s="68"/>
      <c r="D299" s="215"/>
      <c r="E299" s="261"/>
      <c r="F299" s="270"/>
      <c r="G299" s="239"/>
      <c r="H299" s="243"/>
      <c r="I299" s="243"/>
      <c r="J299" s="243"/>
      <c r="K299" s="255"/>
      <c r="L299" s="255"/>
      <c r="M299" s="255"/>
      <c r="N299" s="255"/>
      <c r="O299" s="255"/>
      <c r="P299" s="255"/>
      <c r="Q299" s="256"/>
      <c r="R299" s="257"/>
      <c r="S299" s="258"/>
      <c r="T299" s="255"/>
      <c r="U299" s="258"/>
      <c r="V299" s="259"/>
    </row>
  </sheetData>
  <mergeCells count="6">
    <mergeCell ref="E4:G4"/>
    <mergeCell ref="E5:G5"/>
    <mergeCell ref="E6:G6"/>
    <mergeCell ref="E8:G8"/>
    <mergeCell ref="B147:B148"/>
    <mergeCell ref="B154:B155"/>
  </mergeCells>
  <conditionalFormatting sqref="B44:B49 B91:B96 B138:B143 B183:B188 B257:B262 D298:D299">
    <cfRule type="expression" dxfId="0" priority="1">
      <formula>$G44="OA"</formula>
    </cfRule>
  </conditionalFormatting>
  <conditionalFormatting sqref="B44:B49 B91:B96 B138:B143 B183:B188 B257:B262 D298:D299">
    <cfRule type="expression" dxfId="1" priority="2">
      <formula>$G44="CM"</formula>
    </cfRule>
  </conditionalFormatting>
  <conditionalFormatting sqref="B44:B49 B91:B96 B138:B143 B183:B188 B257:B262 D298:D299">
    <cfRule type="expression" dxfId="2" priority="3">
      <formula>$G44="BDA"</formula>
    </cfRule>
  </conditionalFormatting>
  <conditionalFormatting sqref="B9:B18 B39:B43 B86:B89 B133:B136 B178:B182 B252:B256">
    <cfRule type="expression" dxfId="3" priority="4">
      <formula>#REF!="Epic"</formula>
    </cfRule>
  </conditionalFormatting>
  <conditionalFormatting sqref="B9:B18 B39:B43 B86:B89 B133:B136 B178:B182 B252:B256">
    <cfRule type="expression" dxfId="4" priority="5">
      <formula>#REF!="Rare"</formula>
    </cfRule>
  </conditionalFormatting>
  <conditionalFormatting sqref="B9:B18 B39:B43 B86:B89 B133:B136 B178:B182 B252:B256">
    <cfRule type="expression" dxfId="5" priority="6">
      <formula>#REF!="Uncommon"</formula>
    </cfRule>
  </conditionalFormatting>
  <conditionalFormatting sqref="B9:B18 B39:B43 B86:B89 B133:B136 B178:B182 B252:B256">
    <cfRule type="expression" dxfId="6" priority="7">
      <formula>#REF!="Common"</formula>
    </cfRule>
  </conditionalFormatting>
  <conditionalFormatting sqref="B9:B18 B39:B43 B56:B65 B86:B90 B103:B112 B133:B137 B178:B182 B195:B204 B252:B256 B269:B278">
    <cfRule type="expression" dxfId="7" priority="8">
      <formula>$H9="CM"</formula>
    </cfRule>
  </conditionalFormatting>
  <conditionalFormatting sqref="B9:B18 B39:B43 B56:B65 B86:B90 B103:B112 B133:B137 B178:B182 B195:B204 B252:B256 B269:B278">
    <cfRule type="expression" dxfId="8" priority="9">
      <formula>$H9="OA"</formula>
    </cfRule>
  </conditionalFormatting>
  <conditionalFormatting sqref="B9:B18 B39:B43 B56:B65 B86:B90 B103:B112 B133:B137 B178:B182 B195:B204 B252:B256 B269:B278">
    <cfRule type="expression" dxfId="9" priority="10">
      <formula>$H9="BDA"</formula>
    </cfRule>
  </conditionalFormatting>
  <conditionalFormatting sqref="B39:B42 B178:B181 B252:B255">
    <cfRule type="expression" dxfId="3" priority="11">
      <formula>#REF!="Epic"</formula>
    </cfRule>
  </conditionalFormatting>
  <conditionalFormatting sqref="B39:B42 B178:B181 B252:B255">
    <cfRule type="expression" dxfId="4" priority="12">
      <formula>#REF!="Rare"</formula>
    </cfRule>
  </conditionalFormatting>
  <conditionalFormatting sqref="B39:B42 B178:B181 B252:B255">
    <cfRule type="expression" dxfId="5" priority="13">
      <formula>#REF!="Uncommon"</formula>
    </cfRule>
  </conditionalFormatting>
  <conditionalFormatting sqref="B39:B42 B178:B181 B252:B255">
    <cfRule type="expression" dxfId="6" priority="14">
      <formula>#REF!="Common"</formula>
    </cfRule>
  </conditionalFormatting>
  <conditionalFormatting sqref="D7:E299">
    <cfRule type="expression" dxfId="12" priority="15">
      <formula>$D7="e"</formula>
    </cfRule>
  </conditionalFormatting>
  <conditionalFormatting sqref="D7:E299">
    <cfRule type="expression" dxfId="13" priority="16">
      <formula>$D7="r"</formula>
    </cfRule>
  </conditionalFormatting>
  <conditionalFormatting sqref="D7:E299">
    <cfRule type="expression" dxfId="14" priority="17">
      <formula>$D7="u"</formula>
    </cfRule>
  </conditionalFormatting>
  <conditionalFormatting sqref="F7 F9:F299">
    <cfRule type="expression" dxfId="15" priority="18">
      <formula>$F7="CM"</formula>
    </cfRule>
  </conditionalFormatting>
  <conditionalFormatting sqref="D8:F299">
    <cfRule type="expression" dxfId="18" priority="19">
      <formula>$D2="c"</formula>
    </cfRule>
  </conditionalFormatting>
  <conditionalFormatting sqref="F7 F9:F299">
    <cfRule type="expression" dxfId="16" priority="20">
      <formula>$F7="OA"</formula>
    </cfRule>
  </conditionalFormatting>
  <conditionalFormatting sqref="F7 F9:F299">
    <cfRule type="expression" dxfId="17" priority="21">
      <formula>$F7="BDA"</formula>
    </cfRule>
  </conditionalFormatting>
  <dataValidations>
    <dataValidation type="list" allowBlank="1" showErrorMessage="1" sqref="E5">
      <formula1>"FT - Forbidden Tech,CT - Chaos Tech"</formula1>
    </dataValidation>
    <dataValidation type="list" allowBlank="1" showErrorMessage="1" sqref="E4">
      <formula1>settings[Target]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2.75"/>
    <col customWidth="1" min="2" max="2" width="2.38"/>
    <col customWidth="1" min="3" max="3" width="2.75"/>
    <col customWidth="1" min="4" max="4" width="4.25"/>
    <col customWidth="1" min="5" max="5" width="16.88"/>
    <col customWidth="1" min="6" max="6" width="7.0"/>
    <col customWidth="1" min="7" max="18" width="8.75"/>
    <col customWidth="1" min="19" max="19" width="22.88"/>
    <col customWidth="1" min="20" max="21" width="5.13"/>
    <col customWidth="1" min="22" max="25" width="5.63"/>
  </cols>
  <sheetData>
    <row r="1" ht="54.0" customHeight="1">
      <c r="A1" s="272"/>
      <c r="B1" s="272"/>
      <c r="C1" s="272"/>
      <c r="D1" s="272"/>
      <c r="E1" s="273"/>
      <c r="F1" s="273"/>
      <c r="G1" s="274"/>
      <c r="H1" s="274"/>
      <c r="I1" s="274"/>
      <c r="J1" s="275"/>
      <c r="K1" s="275"/>
      <c r="L1" s="275"/>
      <c r="M1" s="275"/>
      <c r="N1" s="275"/>
      <c r="O1" s="275"/>
      <c r="P1" s="275"/>
      <c r="Q1" s="275"/>
      <c r="R1" s="272"/>
      <c r="S1" s="272"/>
      <c r="T1" s="272"/>
      <c r="U1" s="272"/>
      <c r="V1" s="272"/>
      <c r="W1" s="272"/>
      <c r="X1" s="272"/>
      <c r="Y1" s="272"/>
    </row>
    <row r="2">
      <c r="A2" s="276"/>
      <c r="B2" s="277"/>
      <c r="C2" s="276"/>
      <c r="D2" s="276" t="str">
        <f>IFERROR(__xludf.DUMMYFUNCTION("FILTER(LCARS_Off[#ALL] , CONDITION_ONE_OF_RANGE( LCARS_Off[#HEADERS] , settings[Short]))"),"   Rarity")</f>
        <v>Rarity</v>
      </c>
      <c r="E2" s="278" t="str">
        <f>IFERROR(__xludf.DUMMYFUNCTION("""COMPUTED_VALUE"""),"OfficerName")</f>
        <v>OfficerName</v>
      </c>
      <c r="G2" s="279" t="str">
        <f>IFERROR(__xludf.DUMMYFUNCTION("""COMPUTED_VALUE"""),"PvP Space")</f>
        <v>PvP Space</v>
      </c>
      <c r="H2" s="279" t="str">
        <f>IFERROR(__xludf.DUMMYFUNCTION("""COMPUTED_VALUE"""),"PvP Station")</f>
        <v>PvP Station</v>
      </c>
      <c r="I2" s="279" t="str">
        <f>IFERROR(__xludf.DUMMYFUNCTION("""COMPUTED_VALUE"""),"Red Moving Space")</f>
        <v>Red Moving Space</v>
      </c>
      <c r="J2" s="279" t="str">
        <f>IFERROR(__xludf.DUMMYFUNCTION("""COMPUTED_VALUE"""),"Waves")</f>
        <v>Waves</v>
      </c>
      <c r="K2" s="279" t="str">
        <f>IFERROR(__xludf.DUMMYFUNCTION("""COMPUTED_VALUE"""),"QTrial")</f>
        <v>QTrial</v>
      </c>
      <c r="L2" s="279" t="str">
        <f>IFERROR(__xludf.DUMMYFUNCTION("""COMPUTED_VALUE"""),"Mission Bosses")</f>
        <v>Mission Bosses</v>
      </c>
      <c r="M2" s="279" t="str">
        <f>IFERROR(__xludf.DUMMYFUNCTION("""COMPUTED_VALUE"""),"Group Armadas")</f>
        <v>Group Armadas</v>
      </c>
      <c r="N2" s="279" t="str">
        <f>IFERROR(__xludf.DUMMYFUNCTION("""COMPUTED_VALUE"""),"Solo Armadas")</f>
        <v>Solo Armadas</v>
      </c>
      <c r="O2" s="279" t="str">
        <f>IFERROR(__xludf.DUMMYFUNCTION("""COMPUTED_VALUE"""),"Invading Entities")</f>
        <v>Invading Entities</v>
      </c>
      <c r="P2" s="279" t="str">
        <f>IFERROR(__xludf.DUMMYFUNCTION("""COMPUTED_VALUE"""),"Assaults")</f>
        <v>Assaults</v>
      </c>
      <c r="Q2" s="279" t="str">
        <f>IFERROR(__xludf.DUMMYFUNCTION("""COMPUTED_VALUE"""),"Outpost Armadas")</f>
        <v>Outpost Armadas</v>
      </c>
      <c r="R2" s="279" t="str">
        <f>IFERROR(__xludf.DUMMYFUNCTION("""COMPUTED_VALUE"""),"Outpost Retaliation Attackers")</f>
        <v>Outpost Retaliation Attackers</v>
      </c>
      <c r="S2" s="279" t="str">
        <f>IFERROR(__xludf.DUMMYFUNCTION("""COMPUTED_VALUE"""),"Reason")</f>
        <v>Reason</v>
      </c>
      <c r="T2" s="279" t="str">
        <f>IFERROR(__xludf.DUMMYFUNCTION("""COMPUTED_VALUE"""),"Loot")</f>
        <v>Loot</v>
      </c>
      <c r="U2" s="279" t="str">
        <f>IFERROR(__xludf.DUMMYFUNCTION("""COMPUTED_VALUE"""),"Utility")</f>
        <v>Utility</v>
      </c>
      <c r="V2" s="279"/>
      <c r="W2" s="279"/>
      <c r="X2" s="279"/>
      <c r="Y2" s="279"/>
    </row>
    <row r="3">
      <c r="A3" s="28"/>
      <c r="B3" s="128"/>
      <c r="C3" s="28"/>
      <c r="D3" s="250" t="str">
        <f>IFERROR(__xludf.DUMMYFUNCTION("""COMPUTED_VALUE"""),"   E")</f>
        <v>E</v>
      </c>
      <c r="E3" s="280" t="str">
        <f>IFERROR(__xludf.DUMMYFUNCTION("""COMPUTED_VALUE"""),"KIRK")</f>
        <v>KIRK</v>
      </c>
      <c r="F3" s="271" t="str">
        <f>IFERROR(__xludf.DUMMYFUNCTION("""COMPUTED_VALUE"""),"CM")</f>
        <v>CM</v>
      </c>
      <c r="G3" s="281" t="str">
        <f>IFERROR(__xludf.DUMMYFUNCTION("""COMPUTED_VALUE"""),"✴️")</f>
        <v>✴️</v>
      </c>
      <c r="H3" s="281" t="str">
        <f>IFERROR(__xludf.DUMMYFUNCTION("""COMPUTED_VALUE"""),"✴️")</f>
        <v>✴️</v>
      </c>
      <c r="I3" s="281" t="str">
        <f>IFERROR(__xludf.DUMMYFUNCTION("""COMPUTED_VALUE"""),"✴️")</f>
        <v>✴️</v>
      </c>
      <c r="J3" s="281" t="str">
        <f>IFERROR(__xludf.DUMMYFUNCTION("""COMPUTED_VALUE"""),"✴️")</f>
        <v>✴️</v>
      </c>
      <c r="K3" s="282" t="str">
        <f>IFERROR(__xludf.DUMMYFUNCTION("""COMPUTED_VALUE"""),"✴️")</f>
        <v>✴️</v>
      </c>
      <c r="L3" s="282" t="str">
        <f>IFERROR(__xludf.DUMMYFUNCTION("""COMPUTED_VALUE"""),"✴️")</f>
        <v>✴️</v>
      </c>
      <c r="M3" s="282" t="str">
        <f>IFERROR(__xludf.DUMMYFUNCTION("""COMPUTED_VALUE"""),"✴️")</f>
        <v>✴️</v>
      </c>
      <c r="N3" s="282" t="str">
        <f>IFERROR(__xludf.DUMMYFUNCTION("""COMPUTED_VALUE"""),"✴️")</f>
        <v>✴️</v>
      </c>
      <c r="O3" s="282" t="str">
        <f>IFERROR(__xludf.DUMMYFUNCTION("""COMPUTED_VALUE"""),"✴️")</f>
        <v>✴️</v>
      </c>
      <c r="P3" s="282" t="str">
        <f>IFERROR(__xludf.DUMMYFUNCTION("""COMPUTED_VALUE"""),"✴️")</f>
        <v>✴️</v>
      </c>
      <c r="Q3" s="282" t="str">
        <f>IFERROR(__xludf.DUMMYFUNCTION("""COMPUTED_VALUE"""),"✴️")</f>
        <v>✴️</v>
      </c>
      <c r="R3" s="283" t="str">
        <f>IFERROR(__xludf.DUMMYFUNCTION("""COMPUTED_VALUE"""),"   ✴️")</f>
        <v>✴️</v>
      </c>
      <c r="S3" s="284" t="str">
        <f>IFERROR(__xludf.DUMMYFUNCTION("""COMPUTED_VALUE"""),"SelfHasMorale")</f>
        <v>SelfHasMorale</v>
      </c>
      <c r="T3" s="285" t="str">
        <f>IFERROR(__xludf.DUMMYFUNCTION("""COMPUTED_VALUE"""),"➖")</f>
        <v>➖</v>
      </c>
      <c r="U3" s="285" t="str">
        <f>IFERROR(__xludf.DUMMYFUNCTION("""COMPUTED_VALUE"""),"➖")</f>
        <v>➖</v>
      </c>
      <c r="V3" s="259"/>
      <c r="W3" s="286"/>
      <c r="X3" s="286"/>
      <c r="Y3" s="286"/>
    </row>
    <row r="4">
      <c r="A4" s="28"/>
      <c r="B4" s="132"/>
      <c r="C4" s="28"/>
      <c r="D4" s="260" t="str">
        <f>IFERROR(__xludf.DUMMYFUNCTION("""COMPUTED_VALUE"""),"   E")</f>
        <v>E</v>
      </c>
      <c r="E4" s="287" t="str">
        <f>IFERROR(__xludf.DUMMYFUNCTION("""COMPUTED_VALUE"""),"KIRK")</f>
        <v>KIRK</v>
      </c>
      <c r="F4" s="270" t="str">
        <f>IFERROR(__xludf.DUMMYFUNCTION("""COMPUTED_VALUE"""),"OA")</f>
        <v>OA</v>
      </c>
      <c r="G4" s="231" t="str">
        <f>IFERROR(__xludf.DUMMYFUNCTION("""COMPUTED_VALUE"""),"✅")</f>
        <v>✅</v>
      </c>
      <c r="H4" s="231" t="str">
        <f>IFERROR(__xludf.DUMMYFUNCTION("""COMPUTED_VALUE"""),"✅")</f>
        <v>✅</v>
      </c>
      <c r="I4" s="231" t="str">
        <f>IFERROR(__xludf.DUMMYFUNCTION("""COMPUTED_VALUE"""),"✅")</f>
        <v>✅</v>
      </c>
      <c r="J4" s="231" t="str">
        <f>IFERROR(__xludf.DUMMYFUNCTION("""COMPUTED_VALUE"""),"✅")</f>
        <v>✅</v>
      </c>
      <c r="K4" s="288" t="str">
        <f>IFERROR(__xludf.DUMMYFUNCTION("""COMPUTED_VALUE"""),"✅")</f>
        <v>✅</v>
      </c>
      <c r="L4" s="288" t="str">
        <f>IFERROR(__xludf.DUMMYFUNCTION("""COMPUTED_VALUE"""),"✅")</f>
        <v>✅</v>
      </c>
      <c r="M4" s="288" t="str">
        <f>IFERROR(__xludf.DUMMYFUNCTION("""COMPUTED_VALUE"""),"✅")</f>
        <v>✅</v>
      </c>
      <c r="N4" s="288" t="str">
        <f>IFERROR(__xludf.DUMMYFUNCTION("""COMPUTED_VALUE"""),"✅")</f>
        <v>✅</v>
      </c>
      <c r="O4" s="288" t="str">
        <f>IFERROR(__xludf.DUMMYFUNCTION("""COMPUTED_VALUE"""),"✅")</f>
        <v>✅</v>
      </c>
      <c r="P4" s="288" t="str">
        <f>IFERROR(__xludf.DUMMYFUNCTION("""COMPUTED_VALUE"""),"✅")</f>
        <v>✅</v>
      </c>
      <c r="Q4" s="288" t="str">
        <f>IFERROR(__xludf.DUMMYFUNCTION("""COMPUTED_VALUE"""),"✅")</f>
        <v>✅</v>
      </c>
      <c r="R4" s="257" t="str">
        <f>IFERROR(__xludf.DUMMYFUNCTION("""COMPUTED_VALUE"""),"   ✅")</f>
        <v>✅</v>
      </c>
      <c r="S4" s="258"/>
      <c r="T4" s="255" t="str">
        <f>IFERROR(__xludf.DUMMYFUNCTION("""COMPUTED_VALUE"""),"➖")</f>
        <v>➖</v>
      </c>
      <c r="U4" s="255" t="str">
        <f>IFERROR(__xludf.DUMMYFUNCTION("""COMPUTED_VALUE"""),"➖")</f>
        <v>➖</v>
      </c>
      <c r="V4" s="259"/>
      <c r="W4" s="286"/>
      <c r="X4" s="286"/>
      <c r="Y4" s="286"/>
    </row>
    <row r="5">
      <c r="A5" s="28"/>
      <c r="B5" s="128"/>
      <c r="C5" s="28"/>
      <c r="D5" s="250" t="str">
        <f>IFERROR(__xludf.DUMMYFUNCTION("""COMPUTED_VALUE"""),"   R")</f>
        <v>R</v>
      </c>
      <c r="E5" s="280" t="str">
        <f>IFERROR(__xludf.DUMMYFUNCTION("""COMPUTED_VALUE"""),"SPOCK")</f>
        <v>SPOCK</v>
      </c>
      <c r="F5" s="271" t="str">
        <f>IFERROR(__xludf.DUMMYFUNCTION("""COMPUTED_VALUE"""),"CM")</f>
        <v>CM</v>
      </c>
      <c r="G5" s="281" t="str">
        <f>IFERROR(__xludf.DUMMYFUNCTION("""COMPUTED_VALUE"""),"✅")</f>
        <v>✅</v>
      </c>
      <c r="H5" s="281" t="str">
        <f>IFERROR(__xludf.DUMMYFUNCTION("""COMPUTED_VALUE"""),"✅")</f>
        <v>✅</v>
      </c>
      <c r="I5" s="281" t="str">
        <f>IFERROR(__xludf.DUMMYFUNCTION("""COMPUTED_VALUE"""),"✅")</f>
        <v>✅</v>
      </c>
      <c r="J5" s="281" t="str">
        <f>IFERROR(__xludf.DUMMYFUNCTION("""COMPUTED_VALUE"""),"✅")</f>
        <v>✅</v>
      </c>
      <c r="K5" s="282" t="str">
        <f>IFERROR(__xludf.DUMMYFUNCTION("""COMPUTED_VALUE"""),"✅")</f>
        <v>✅</v>
      </c>
      <c r="L5" s="282" t="str">
        <f>IFERROR(__xludf.DUMMYFUNCTION("""COMPUTED_VALUE"""),"✅")</f>
        <v>✅</v>
      </c>
      <c r="M5" s="282" t="str">
        <f>IFERROR(__xludf.DUMMYFUNCTION("""COMPUTED_VALUE"""),"✅")</f>
        <v>✅</v>
      </c>
      <c r="N5" s="282" t="str">
        <f>IFERROR(__xludf.DUMMYFUNCTION("""COMPUTED_VALUE"""),"✅")</f>
        <v>✅</v>
      </c>
      <c r="O5" s="282" t="str">
        <f>IFERROR(__xludf.DUMMYFUNCTION("""COMPUTED_VALUE"""),"✅")</f>
        <v>✅</v>
      </c>
      <c r="P5" s="282" t="str">
        <f>IFERROR(__xludf.DUMMYFUNCTION("""COMPUTED_VALUE"""),"✅")</f>
        <v>✅</v>
      </c>
      <c r="Q5" s="282" t="str">
        <f>IFERROR(__xludf.DUMMYFUNCTION("""COMPUTED_VALUE"""),"✅")</f>
        <v>✅</v>
      </c>
      <c r="R5" s="283" t="str">
        <f>IFERROR(__xludf.DUMMYFUNCTION("""COMPUTED_VALUE"""),"   ✅")</f>
        <v>✅</v>
      </c>
      <c r="S5" s="284"/>
      <c r="T5" s="285" t="str">
        <f>IFERROR(__xludf.DUMMYFUNCTION("""COMPUTED_VALUE"""),"➖")</f>
        <v>➖</v>
      </c>
      <c r="U5" s="285" t="str">
        <f>IFERROR(__xludf.DUMMYFUNCTION("""COMPUTED_VALUE"""),"➖")</f>
        <v>➖</v>
      </c>
      <c r="V5" s="259"/>
      <c r="W5" s="286"/>
      <c r="X5" s="286"/>
      <c r="Y5" s="286"/>
    </row>
    <row r="6">
      <c r="A6" s="28"/>
      <c r="B6" s="132"/>
      <c r="C6" s="28"/>
      <c r="D6" s="260" t="str">
        <f>IFERROR(__xludf.DUMMYFUNCTION("""COMPUTED_VALUE"""),"   R")</f>
        <v>R</v>
      </c>
      <c r="E6" s="287" t="str">
        <f>IFERROR(__xludf.DUMMYFUNCTION("""COMPUTED_VALUE"""),"SPOCK")</f>
        <v>SPOCK</v>
      </c>
      <c r="F6" s="270" t="str">
        <f>IFERROR(__xludf.DUMMYFUNCTION("""COMPUTED_VALUE"""),"OA")</f>
        <v>OA</v>
      </c>
      <c r="G6" s="231" t="str">
        <f>IFERROR(__xludf.DUMMYFUNCTION("""COMPUTED_VALUE"""),"✴️")</f>
        <v>✴️</v>
      </c>
      <c r="H6" s="231" t="str">
        <f>IFERROR(__xludf.DUMMYFUNCTION("""COMPUTED_VALUE"""),"✴️")</f>
        <v>✴️</v>
      </c>
      <c r="I6" s="231" t="str">
        <f>IFERROR(__xludf.DUMMYFUNCTION("""COMPUTED_VALUE"""),"✴️")</f>
        <v>✴️</v>
      </c>
      <c r="J6" s="231" t="str">
        <f>IFERROR(__xludf.DUMMYFUNCTION("""COMPUTED_VALUE"""),"✴️")</f>
        <v>✴️</v>
      </c>
      <c r="K6" s="288" t="str">
        <f>IFERROR(__xludf.DUMMYFUNCTION("""COMPUTED_VALUE"""),"✴️")</f>
        <v>✴️</v>
      </c>
      <c r="L6" s="288" t="str">
        <f>IFERROR(__xludf.DUMMYFUNCTION("""COMPUTED_VALUE"""),"✴️")</f>
        <v>✴️</v>
      </c>
      <c r="M6" s="288" t="str">
        <f>IFERROR(__xludf.DUMMYFUNCTION("""COMPUTED_VALUE"""),"✴️")</f>
        <v>✴️</v>
      </c>
      <c r="N6" s="288" t="str">
        <f>IFERROR(__xludf.DUMMYFUNCTION("""COMPUTED_VALUE"""),"✴️")</f>
        <v>✴️</v>
      </c>
      <c r="O6" s="288" t="str">
        <f>IFERROR(__xludf.DUMMYFUNCTION("""COMPUTED_VALUE"""),"✴️")</f>
        <v>✴️</v>
      </c>
      <c r="P6" s="288" t="str">
        <f>IFERROR(__xludf.DUMMYFUNCTION("""COMPUTED_VALUE"""),"✴️")</f>
        <v>✴️</v>
      </c>
      <c r="Q6" s="288" t="str">
        <f>IFERROR(__xludf.DUMMYFUNCTION("""COMPUTED_VALUE"""),"✴️")</f>
        <v>✴️</v>
      </c>
      <c r="R6" s="257" t="str">
        <f>IFERROR(__xludf.DUMMYFUNCTION("""COMPUTED_VALUE"""),"   ✴️")</f>
        <v>✴️</v>
      </c>
      <c r="S6" s="258" t="str">
        <f>IFERROR(__xludf.DUMMYFUNCTION("""COMPUTED_VALUE"""),"SelfHasMorale")</f>
        <v>SelfHasMorale</v>
      </c>
      <c r="T6" s="255" t="str">
        <f>IFERROR(__xludf.DUMMYFUNCTION("""COMPUTED_VALUE"""),"➖")</f>
        <v>➖</v>
      </c>
      <c r="U6" s="255" t="str">
        <f>IFERROR(__xludf.DUMMYFUNCTION("""COMPUTED_VALUE"""),"➖")</f>
        <v>➖</v>
      </c>
      <c r="V6" s="259"/>
      <c r="W6" s="286"/>
      <c r="X6" s="286"/>
      <c r="Y6" s="286"/>
    </row>
    <row r="7">
      <c r="A7" s="28"/>
      <c r="B7" s="128"/>
      <c r="C7" s="28"/>
      <c r="D7" s="250" t="str">
        <f>IFERROR(__xludf.DUMMYFUNCTION("""COMPUTED_VALUE"""),"   R")</f>
        <v>R</v>
      </c>
      <c r="E7" s="280" t="str">
        <f>IFERROR(__xludf.DUMMYFUNCTION("""COMPUTED_VALUE"""),"BONES")</f>
        <v>BONES</v>
      </c>
      <c r="F7" s="271" t="str">
        <f>IFERROR(__xludf.DUMMYFUNCTION("""COMPUTED_VALUE"""),"CM")</f>
        <v>CM</v>
      </c>
      <c r="G7" s="281" t="str">
        <f>IFERROR(__xludf.DUMMYFUNCTION("""COMPUTED_VALUE"""),"✴️")</f>
        <v>✴️</v>
      </c>
      <c r="H7" s="281" t="str">
        <f>IFERROR(__xludf.DUMMYFUNCTION("""COMPUTED_VALUE"""),"✴️")</f>
        <v>✴️</v>
      </c>
      <c r="I7" s="281" t="str">
        <f>IFERROR(__xludf.DUMMYFUNCTION("""COMPUTED_VALUE"""),"✴️")</f>
        <v>✴️</v>
      </c>
      <c r="J7" s="281" t="str">
        <f>IFERROR(__xludf.DUMMYFUNCTION("""COMPUTED_VALUE"""),"✴️")</f>
        <v>✴️</v>
      </c>
      <c r="K7" s="282" t="str">
        <f>IFERROR(__xludf.DUMMYFUNCTION("""COMPUTED_VALUE"""),"✴️")</f>
        <v>✴️</v>
      </c>
      <c r="L7" s="282" t="str">
        <f>IFERROR(__xludf.DUMMYFUNCTION("""COMPUTED_VALUE"""),"✴️")</f>
        <v>✴️</v>
      </c>
      <c r="M7" s="282" t="str">
        <f>IFERROR(__xludf.DUMMYFUNCTION("""COMPUTED_VALUE"""),"✴️")</f>
        <v>✴️</v>
      </c>
      <c r="N7" s="282" t="str">
        <f>IFERROR(__xludf.DUMMYFUNCTION("""COMPUTED_VALUE"""),"✴️")</f>
        <v>✴️</v>
      </c>
      <c r="O7" s="282" t="str">
        <f>IFERROR(__xludf.DUMMYFUNCTION("""COMPUTED_VALUE"""),"✴️")</f>
        <v>✴️</v>
      </c>
      <c r="P7" s="282" t="str">
        <f>IFERROR(__xludf.DUMMYFUNCTION("""COMPUTED_VALUE"""),"✴️")</f>
        <v>✴️</v>
      </c>
      <c r="Q7" s="282" t="str">
        <f>IFERROR(__xludf.DUMMYFUNCTION("""COMPUTED_VALUE"""),"✴️")</f>
        <v>✴️</v>
      </c>
      <c r="R7" s="283" t="str">
        <f>IFERROR(__xludf.DUMMYFUNCTION("""COMPUTED_VALUE"""),"   ✴️")</f>
        <v>✴️</v>
      </c>
      <c r="S7" s="284" t="str">
        <f>IFERROR(__xludf.DUMMYFUNCTION("""COMPUTED_VALUE"""),"target level 70 or under")</f>
        <v>target level 70 or under</v>
      </c>
      <c r="T7" s="285" t="str">
        <f>IFERROR(__xludf.DUMMYFUNCTION("""COMPUTED_VALUE"""),"➖")</f>
        <v>➖</v>
      </c>
      <c r="U7" s="285" t="str">
        <f>IFERROR(__xludf.DUMMYFUNCTION("""COMPUTED_VALUE"""),"➖")</f>
        <v>➖</v>
      </c>
      <c r="V7" s="259"/>
      <c r="W7" s="286"/>
      <c r="X7" s="286"/>
      <c r="Y7" s="286"/>
    </row>
    <row r="8">
      <c r="A8" s="28"/>
      <c r="B8" s="132"/>
      <c r="C8" s="28"/>
      <c r="D8" s="260" t="str">
        <f>IFERROR(__xludf.DUMMYFUNCTION("""COMPUTED_VALUE"""),"   R")</f>
        <v>R</v>
      </c>
      <c r="E8" s="287" t="str">
        <f>IFERROR(__xludf.DUMMYFUNCTION("""COMPUTED_VALUE"""),"BONES")</f>
        <v>BONES</v>
      </c>
      <c r="F8" s="270" t="str">
        <f>IFERROR(__xludf.DUMMYFUNCTION("""COMPUTED_VALUE"""),"OA")</f>
        <v>OA</v>
      </c>
      <c r="G8" s="231" t="str">
        <f>IFERROR(__xludf.DUMMYFUNCTION("""COMPUTED_VALUE"""),"✴️")</f>
        <v>✴️</v>
      </c>
      <c r="H8" s="231" t="str">
        <f>IFERROR(__xludf.DUMMYFUNCTION("""COMPUTED_VALUE"""),"✴️")</f>
        <v>✴️</v>
      </c>
      <c r="I8" s="231" t="str">
        <f>IFERROR(__xludf.DUMMYFUNCTION("""COMPUTED_VALUE"""),"✴️")</f>
        <v>✴️</v>
      </c>
      <c r="J8" s="231" t="str">
        <f>IFERROR(__xludf.DUMMYFUNCTION("""COMPUTED_VALUE"""),"✴️")</f>
        <v>✴️</v>
      </c>
      <c r="K8" s="288" t="str">
        <f>IFERROR(__xludf.DUMMYFUNCTION("""COMPUTED_VALUE"""),"✴️")</f>
        <v>✴️</v>
      </c>
      <c r="L8" s="288" t="str">
        <f>IFERROR(__xludf.DUMMYFUNCTION("""COMPUTED_VALUE"""),"✴️")</f>
        <v>✴️</v>
      </c>
      <c r="M8" s="288" t="str">
        <f>IFERROR(__xludf.DUMMYFUNCTION("""COMPUTED_VALUE"""),"✴️")</f>
        <v>✴️</v>
      </c>
      <c r="N8" s="288" t="str">
        <f>IFERROR(__xludf.DUMMYFUNCTION("""COMPUTED_VALUE"""),"✴️")</f>
        <v>✴️</v>
      </c>
      <c r="O8" s="288" t="str">
        <f>IFERROR(__xludf.DUMMYFUNCTION("""COMPUTED_VALUE"""),"✴️")</f>
        <v>✴️</v>
      </c>
      <c r="P8" s="288" t="str">
        <f>IFERROR(__xludf.DUMMYFUNCTION("""COMPUTED_VALUE"""),"✴️")</f>
        <v>✴️</v>
      </c>
      <c r="Q8" s="288" t="str">
        <f>IFERROR(__xludf.DUMMYFUNCTION("""COMPUTED_VALUE"""),"✴️")</f>
        <v>✴️</v>
      </c>
      <c r="R8" s="257" t="str">
        <f>IFERROR(__xludf.DUMMYFUNCTION("""COMPUTED_VALUE"""),"   ✴️")</f>
        <v>✴️</v>
      </c>
      <c r="S8" s="258" t="str">
        <f>IFERROR(__xludf.DUMMYFUNCTION("""COMPUTED_VALUE"""),"target level 70 or under")</f>
        <v>target level 70 or under</v>
      </c>
      <c r="T8" s="255" t="str">
        <f>IFERROR(__xludf.DUMMYFUNCTION("""COMPUTED_VALUE"""),"➖")</f>
        <v>➖</v>
      </c>
      <c r="U8" s="255" t="str">
        <f>IFERROR(__xludf.DUMMYFUNCTION("""COMPUTED_VALUE"""),"➖")</f>
        <v>➖</v>
      </c>
      <c r="V8" s="259"/>
      <c r="W8" s="286"/>
      <c r="X8" s="286"/>
      <c r="Y8" s="286"/>
    </row>
    <row r="9">
      <c r="A9" s="28"/>
      <c r="B9" s="128"/>
      <c r="C9" s="28"/>
      <c r="D9" s="250" t="str">
        <f>IFERROR(__xludf.DUMMYFUNCTION("""COMPUTED_VALUE"""),"   U")</f>
        <v>U</v>
      </c>
      <c r="E9" s="280" t="str">
        <f>IFERROR(__xludf.DUMMYFUNCTION("""COMPUTED_VALUE"""),"SCOTTY")</f>
        <v>SCOTTY</v>
      </c>
      <c r="F9" s="271" t="str">
        <f>IFERROR(__xludf.DUMMYFUNCTION("""COMPUTED_VALUE"""),"CM")</f>
        <v>CM</v>
      </c>
      <c r="G9" s="281" t="str">
        <f>IFERROR(__xludf.DUMMYFUNCTION("""COMPUTED_VALUE"""),"➖")</f>
        <v>➖</v>
      </c>
      <c r="H9" s="281" t="str">
        <f>IFERROR(__xludf.DUMMYFUNCTION("""COMPUTED_VALUE"""),"➖")</f>
        <v>➖</v>
      </c>
      <c r="I9" s="281" t="str">
        <f>IFERROR(__xludf.DUMMYFUNCTION("""COMPUTED_VALUE"""),"➖")</f>
        <v>➖</v>
      </c>
      <c r="J9" s="281" t="str">
        <f>IFERROR(__xludf.DUMMYFUNCTION("""COMPUTED_VALUE"""),"➖")</f>
        <v>➖</v>
      </c>
      <c r="K9" s="282" t="str">
        <f>IFERROR(__xludf.DUMMYFUNCTION("""COMPUTED_VALUE"""),"➖")</f>
        <v>➖</v>
      </c>
      <c r="L9" s="282" t="str">
        <f>IFERROR(__xludf.DUMMYFUNCTION("""COMPUTED_VALUE"""),"➖")</f>
        <v>➖</v>
      </c>
      <c r="M9" s="282" t="str">
        <f>IFERROR(__xludf.DUMMYFUNCTION("""COMPUTED_VALUE"""),"➖")</f>
        <v>➖</v>
      </c>
      <c r="N9" s="282" t="str">
        <f>IFERROR(__xludf.DUMMYFUNCTION("""COMPUTED_VALUE"""),"➖")</f>
        <v>➖</v>
      </c>
      <c r="O9" s="282" t="str">
        <f>IFERROR(__xludf.DUMMYFUNCTION("""COMPUTED_VALUE"""),"➖")</f>
        <v>➖</v>
      </c>
      <c r="P9" s="282" t="str">
        <f>IFERROR(__xludf.DUMMYFUNCTION("""COMPUTED_VALUE"""),"➖")</f>
        <v>➖</v>
      </c>
      <c r="Q9" s="282" t="str">
        <f>IFERROR(__xludf.DUMMYFUNCTION("""COMPUTED_VALUE"""),"➖")</f>
        <v>➖</v>
      </c>
      <c r="R9" s="283" t="str">
        <f>IFERROR(__xludf.DUMMYFUNCTION("""COMPUTED_VALUE"""),"   ➖")</f>
        <v>➖</v>
      </c>
      <c r="S9" s="284"/>
      <c r="T9" s="285" t="str">
        <f>IFERROR(__xludf.DUMMYFUNCTION("""COMPUTED_VALUE"""),"➖")</f>
        <v>➖</v>
      </c>
      <c r="U9" s="285" t="str">
        <f>IFERROR(__xludf.DUMMYFUNCTION("""COMPUTED_VALUE"""),"✅")</f>
        <v>✅</v>
      </c>
      <c r="V9" s="259"/>
      <c r="W9" s="286"/>
      <c r="X9" s="286"/>
      <c r="Y9" s="286"/>
    </row>
    <row r="10">
      <c r="A10" s="28"/>
      <c r="B10" s="132"/>
      <c r="C10" s="28"/>
      <c r="D10" s="260" t="str">
        <f>IFERROR(__xludf.DUMMYFUNCTION("""COMPUTED_VALUE"""),"   U")</f>
        <v>U</v>
      </c>
      <c r="E10" s="287" t="str">
        <f>IFERROR(__xludf.DUMMYFUNCTION("""COMPUTED_VALUE"""),"SCOTTY")</f>
        <v>SCOTTY</v>
      </c>
      <c r="F10" s="270" t="str">
        <f>IFERROR(__xludf.DUMMYFUNCTION("""COMPUTED_VALUE"""),"OA")</f>
        <v>OA</v>
      </c>
      <c r="G10" s="231" t="str">
        <f>IFERROR(__xludf.DUMMYFUNCTION("""COMPUTED_VALUE"""),"✅")</f>
        <v>✅</v>
      </c>
      <c r="H10" s="231" t="str">
        <f>IFERROR(__xludf.DUMMYFUNCTION("""COMPUTED_VALUE"""),"✅")</f>
        <v>✅</v>
      </c>
      <c r="I10" s="231" t="str">
        <f>IFERROR(__xludf.DUMMYFUNCTION("""COMPUTED_VALUE"""),"✅")</f>
        <v>✅</v>
      </c>
      <c r="J10" s="231" t="str">
        <f>IFERROR(__xludf.DUMMYFUNCTION("""COMPUTED_VALUE"""),"✅")</f>
        <v>✅</v>
      </c>
      <c r="K10" s="288" t="str">
        <f>IFERROR(__xludf.DUMMYFUNCTION("""COMPUTED_VALUE"""),"✅")</f>
        <v>✅</v>
      </c>
      <c r="L10" s="288" t="str">
        <f>IFERROR(__xludf.DUMMYFUNCTION("""COMPUTED_VALUE"""),"✅")</f>
        <v>✅</v>
      </c>
      <c r="M10" s="288" t="str">
        <f>IFERROR(__xludf.DUMMYFUNCTION("""COMPUTED_VALUE"""),"✅")</f>
        <v>✅</v>
      </c>
      <c r="N10" s="288" t="str">
        <f>IFERROR(__xludf.DUMMYFUNCTION("""COMPUTED_VALUE"""),"✅")</f>
        <v>✅</v>
      </c>
      <c r="O10" s="288" t="str">
        <f>IFERROR(__xludf.DUMMYFUNCTION("""COMPUTED_VALUE"""),"✅")</f>
        <v>✅</v>
      </c>
      <c r="P10" s="288" t="str">
        <f>IFERROR(__xludf.DUMMYFUNCTION("""COMPUTED_VALUE"""),"✅")</f>
        <v>✅</v>
      </c>
      <c r="Q10" s="288" t="str">
        <f>IFERROR(__xludf.DUMMYFUNCTION("""COMPUTED_VALUE"""),"✅")</f>
        <v>✅</v>
      </c>
      <c r="R10" s="257" t="str">
        <f>IFERROR(__xludf.DUMMYFUNCTION("""COMPUTED_VALUE"""),"   ✅")</f>
        <v>✅</v>
      </c>
      <c r="S10" s="258"/>
      <c r="T10" s="255" t="str">
        <f>IFERROR(__xludf.DUMMYFUNCTION("""COMPUTED_VALUE"""),"➖")</f>
        <v>➖</v>
      </c>
      <c r="U10" s="255" t="str">
        <f>IFERROR(__xludf.DUMMYFUNCTION("""COMPUTED_VALUE"""),"➖")</f>
        <v>➖</v>
      </c>
      <c r="V10" s="259"/>
      <c r="W10" s="286"/>
      <c r="X10" s="286"/>
      <c r="Y10" s="286"/>
    </row>
    <row r="11">
      <c r="A11" s="28"/>
      <c r="B11" s="128"/>
      <c r="C11" s="28"/>
      <c r="D11" s="250" t="str">
        <f>IFERROR(__xludf.DUMMYFUNCTION("""COMPUTED_VALUE"""),"   U")</f>
        <v>U</v>
      </c>
      <c r="E11" s="280" t="str">
        <f>IFERROR(__xludf.DUMMYFUNCTION("""COMPUTED_VALUE"""),"SULU")</f>
        <v>SULU</v>
      </c>
      <c r="F11" s="271" t="str">
        <f>IFERROR(__xludf.DUMMYFUNCTION("""COMPUTED_VALUE"""),"CM")</f>
        <v>CM</v>
      </c>
      <c r="G11" s="281" t="str">
        <f>IFERROR(__xludf.DUMMYFUNCTION("""COMPUTED_VALUE"""),"✅")</f>
        <v>✅</v>
      </c>
      <c r="H11" s="281" t="str">
        <f>IFERROR(__xludf.DUMMYFUNCTION("""COMPUTED_VALUE"""),"✅")</f>
        <v>✅</v>
      </c>
      <c r="I11" s="281" t="str">
        <f>IFERROR(__xludf.DUMMYFUNCTION("""COMPUTED_VALUE"""),"✅")</f>
        <v>✅</v>
      </c>
      <c r="J11" s="281" t="str">
        <f>IFERROR(__xludf.DUMMYFUNCTION("""COMPUTED_VALUE"""),"✅")</f>
        <v>✅</v>
      </c>
      <c r="K11" s="282" t="str">
        <f>IFERROR(__xludf.DUMMYFUNCTION("""COMPUTED_VALUE"""),"✅")</f>
        <v>✅</v>
      </c>
      <c r="L11" s="282" t="str">
        <f>IFERROR(__xludf.DUMMYFUNCTION("""COMPUTED_VALUE"""),"✅")</f>
        <v>✅</v>
      </c>
      <c r="M11" s="282" t="str">
        <f>IFERROR(__xludf.DUMMYFUNCTION("""COMPUTED_VALUE"""),"✅")</f>
        <v>✅</v>
      </c>
      <c r="N11" s="282" t="str">
        <f>IFERROR(__xludf.DUMMYFUNCTION("""COMPUTED_VALUE"""),"✅")</f>
        <v>✅</v>
      </c>
      <c r="O11" s="282" t="str">
        <f>IFERROR(__xludf.DUMMYFUNCTION("""COMPUTED_VALUE"""),"✅")</f>
        <v>✅</v>
      </c>
      <c r="P11" s="282" t="str">
        <f>IFERROR(__xludf.DUMMYFUNCTION("""COMPUTED_VALUE"""),"✅")</f>
        <v>✅</v>
      </c>
      <c r="Q11" s="282" t="str">
        <f>IFERROR(__xludf.DUMMYFUNCTION("""COMPUTED_VALUE"""),"✅")</f>
        <v>✅</v>
      </c>
      <c r="R11" s="283" t="str">
        <f>IFERROR(__xludf.DUMMYFUNCTION("""COMPUTED_VALUE"""),"   ✅")</f>
        <v>✅</v>
      </c>
      <c r="S11" s="284"/>
      <c r="T11" s="285" t="str">
        <f>IFERROR(__xludf.DUMMYFUNCTION("""COMPUTED_VALUE"""),"➖")</f>
        <v>➖</v>
      </c>
      <c r="U11" s="285" t="str">
        <f>IFERROR(__xludf.DUMMYFUNCTION("""COMPUTED_VALUE"""),"➖")</f>
        <v>➖</v>
      </c>
      <c r="V11" s="259"/>
      <c r="W11" s="286"/>
      <c r="X11" s="286"/>
      <c r="Y11" s="286"/>
    </row>
    <row r="12">
      <c r="A12" s="28"/>
      <c r="B12" s="132"/>
      <c r="C12" s="28"/>
      <c r="D12" s="260" t="str">
        <f>IFERROR(__xludf.DUMMYFUNCTION("""COMPUTED_VALUE"""),"   U")</f>
        <v>U</v>
      </c>
      <c r="E12" s="287" t="str">
        <f>IFERROR(__xludf.DUMMYFUNCTION("""COMPUTED_VALUE"""),"SULU")</f>
        <v>SULU</v>
      </c>
      <c r="F12" s="270" t="str">
        <f>IFERROR(__xludf.DUMMYFUNCTION("""COMPUTED_VALUE"""),"OA")</f>
        <v>OA</v>
      </c>
      <c r="G12" s="231" t="str">
        <f>IFERROR(__xludf.DUMMYFUNCTION("""COMPUTED_VALUE"""),"✴️")</f>
        <v>✴️</v>
      </c>
      <c r="H12" s="231" t="str">
        <f>IFERROR(__xludf.DUMMYFUNCTION("""COMPUTED_VALUE"""),"✴️")</f>
        <v>✴️</v>
      </c>
      <c r="I12" s="231" t="str">
        <f>IFERROR(__xludf.DUMMYFUNCTION("""COMPUTED_VALUE"""),"✴️")</f>
        <v>✴️</v>
      </c>
      <c r="J12" s="231" t="str">
        <f>IFERROR(__xludf.DUMMYFUNCTION("""COMPUTED_VALUE"""),"✴️")</f>
        <v>✴️</v>
      </c>
      <c r="K12" s="288" t="str">
        <f>IFERROR(__xludf.DUMMYFUNCTION("""COMPUTED_VALUE"""),"✴️")</f>
        <v>✴️</v>
      </c>
      <c r="L12" s="288" t="str">
        <f>IFERROR(__xludf.DUMMYFUNCTION("""COMPUTED_VALUE"""),"✴️")</f>
        <v>✴️</v>
      </c>
      <c r="M12" s="288" t="str">
        <f>IFERROR(__xludf.DUMMYFUNCTION("""COMPUTED_VALUE"""),"✴️")</f>
        <v>✴️</v>
      </c>
      <c r="N12" s="288" t="str">
        <f>IFERROR(__xludf.DUMMYFUNCTION("""COMPUTED_VALUE"""),"✴️")</f>
        <v>✴️</v>
      </c>
      <c r="O12" s="288" t="str">
        <f>IFERROR(__xludf.DUMMYFUNCTION("""COMPUTED_VALUE"""),"✴️")</f>
        <v>✴️</v>
      </c>
      <c r="P12" s="288" t="str">
        <f>IFERROR(__xludf.DUMMYFUNCTION("""COMPUTED_VALUE"""),"✴️")</f>
        <v>✴️</v>
      </c>
      <c r="Q12" s="288" t="str">
        <f>IFERROR(__xludf.DUMMYFUNCTION("""COMPUTED_VALUE"""),"✴️")</f>
        <v>✴️</v>
      </c>
      <c r="R12" s="257" t="str">
        <f>IFERROR(__xludf.DUMMYFUNCTION("""COMPUTED_VALUE"""),"   ✴️")</f>
        <v>✴️</v>
      </c>
      <c r="S12" s="258" t="str">
        <f>IFERROR(__xludf.DUMMYFUNCTION("""COMPUTED_VALUE"""),"SelfHasMorale, ModuleEnergy")</f>
        <v>SelfHasMorale, ModuleEnergy</v>
      </c>
      <c r="T12" s="255" t="str">
        <f>IFERROR(__xludf.DUMMYFUNCTION("""COMPUTED_VALUE"""),"➖")</f>
        <v>➖</v>
      </c>
      <c r="U12" s="255" t="str">
        <f>IFERROR(__xludf.DUMMYFUNCTION("""COMPUTED_VALUE"""),"➖")</f>
        <v>➖</v>
      </c>
      <c r="V12" s="259"/>
      <c r="W12" s="286"/>
      <c r="X12" s="286"/>
      <c r="Y12" s="286"/>
    </row>
    <row r="13">
      <c r="A13" s="28"/>
      <c r="B13" s="128"/>
      <c r="C13" s="28"/>
      <c r="D13" s="250" t="str">
        <f>IFERROR(__xludf.DUMMYFUNCTION("""COMPUTED_VALUE"""),"   U")</f>
        <v>U</v>
      </c>
      <c r="E13" s="280" t="str">
        <f>IFERROR(__xludf.DUMMYFUNCTION("""COMPUTED_VALUE"""),"ARKADY")</f>
        <v>ARKADY</v>
      </c>
      <c r="F13" s="271" t="str">
        <f>IFERROR(__xludf.DUMMYFUNCTION("""COMPUTED_VALUE"""),"CM")</f>
        <v>CM</v>
      </c>
      <c r="G13" s="281" t="str">
        <f>IFERROR(__xludf.DUMMYFUNCTION("""COMPUTED_VALUE"""),"✅")</f>
        <v>✅</v>
      </c>
      <c r="H13" s="281" t="str">
        <f>IFERROR(__xludf.DUMMYFUNCTION("""COMPUTED_VALUE"""),"✅")</f>
        <v>✅</v>
      </c>
      <c r="I13" s="281" t="str">
        <f>IFERROR(__xludf.DUMMYFUNCTION("""COMPUTED_VALUE"""),"✅")</f>
        <v>✅</v>
      </c>
      <c r="J13" s="281" t="str">
        <f>IFERROR(__xludf.DUMMYFUNCTION("""COMPUTED_VALUE"""),"✅")</f>
        <v>✅</v>
      </c>
      <c r="K13" s="282" t="str">
        <f>IFERROR(__xludf.DUMMYFUNCTION("""COMPUTED_VALUE"""),"✅")</f>
        <v>✅</v>
      </c>
      <c r="L13" s="282" t="str">
        <f>IFERROR(__xludf.DUMMYFUNCTION("""COMPUTED_VALUE"""),"✅")</f>
        <v>✅</v>
      </c>
      <c r="M13" s="282" t="str">
        <f>IFERROR(__xludf.DUMMYFUNCTION("""COMPUTED_VALUE"""),"✅")</f>
        <v>✅</v>
      </c>
      <c r="N13" s="282" t="str">
        <f>IFERROR(__xludf.DUMMYFUNCTION("""COMPUTED_VALUE"""),"✅")</f>
        <v>✅</v>
      </c>
      <c r="O13" s="282" t="str">
        <f>IFERROR(__xludf.DUMMYFUNCTION("""COMPUTED_VALUE"""),"✅")</f>
        <v>✅</v>
      </c>
      <c r="P13" s="282" t="str">
        <f>IFERROR(__xludf.DUMMYFUNCTION("""COMPUTED_VALUE"""),"✅")</f>
        <v>✅</v>
      </c>
      <c r="Q13" s="282" t="str">
        <f>IFERROR(__xludf.DUMMYFUNCTION("""COMPUTED_VALUE"""),"✅")</f>
        <v>✅</v>
      </c>
      <c r="R13" s="283" t="str">
        <f>IFERROR(__xludf.DUMMYFUNCTION("""COMPUTED_VALUE"""),"   ✅")</f>
        <v>✅</v>
      </c>
      <c r="S13" s="284"/>
      <c r="T13" s="285" t="str">
        <f>IFERROR(__xludf.DUMMYFUNCTION("""COMPUTED_VALUE"""),"➖")</f>
        <v>➖</v>
      </c>
      <c r="U13" s="285" t="str">
        <f>IFERROR(__xludf.DUMMYFUNCTION("""COMPUTED_VALUE"""),"➖")</f>
        <v>➖</v>
      </c>
      <c r="V13" s="259"/>
      <c r="W13" s="286"/>
      <c r="X13" s="286"/>
      <c r="Y13" s="286"/>
    </row>
    <row r="14">
      <c r="A14" s="28"/>
      <c r="B14" s="132"/>
      <c r="C14" s="28"/>
      <c r="D14" s="260" t="str">
        <f>IFERROR(__xludf.DUMMYFUNCTION("""COMPUTED_VALUE"""),"   U")</f>
        <v>U</v>
      </c>
      <c r="E14" s="287" t="str">
        <f>IFERROR(__xludf.DUMMYFUNCTION("""COMPUTED_VALUE"""),"ARKADY")</f>
        <v>ARKADY</v>
      </c>
      <c r="F14" s="270" t="str">
        <f>IFERROR(__xludf.DUMMYFUNCTION("""COMPUTED_VALUE"""),"OA")</f>
        <v>OA</v>
      </c>
      <c r="G14" s="231" t="str">
        <f>IFERROR(__xludf.DUMMYFUNCTION("""COMPUTED_VALUE"""),"✅")</f>
        <v>✅</v>
      </c>
      <c r="H14" s="231" t="str">
        <f>IFERROR(__xludf.DUMMYFUNCTION("""COMPUTED_VALUE"""),"✅")</f>
        <v>✅</v>
      </c>
      <c r="I14" s="231" t="str">
        <f>IFERROR(__xludf.DUMMYFUNCTION("""COMPUTED_VALUE"""),"✅")</f>
        <v>✅</v>
      </c>
      <c r="J14" s="231" t="str">
        <f>IFERROR(__xludf.DUMMYFUNCTION("""COMPUTED_VALUE"""),"✅")</f>
        <v>✅</v>
      </c>
      <c r="K14" s="288" t="str">
        <f>IFERROR(__xludf.DUMMYFUNCTION("""COMPUTED_VALUE"""),"✅")</f>
        <v>✅</v>
      </c>
      <c r="L14" s="288" t="str">
        <f>IFERROR(__xludf.DUMMYFUNCTION("""COMPUTED_VALUE"""),"✅")</f>
        <v>✅</v>
      </c>
      <c r="M14" s="288" t="str">
        <f>IFERROR(__xludf.DUMMYFUNCTION("""COMPUTED_VALUE"""),"✅")</f>
        <v>✅</v>
      </c>
      <c r="N14" s="288" t="str">
        <f>IFERROR(__xludf.DUMMYFUNCTION("""COMPUTED_VALUE"""),"✅")</f>
        <v>✅</v>
      </c>
      <c r="O14" s="288" t="str">
        <f>IFERROR(__xludf.DUMMYFUNCTION("""COMPUTED_VALUE"""),"✅")</f>
        <v>✅</v>
      </c>
      <c r="P14" s="288" t="str">
        <f>IFERROR(__xludf.DUMMYFUNCTION("""COMPUTED_VALUE"""),"✅")</f>
        <v>✅</v>
      </c>
      <c r="Q14" s="288" t="str">
        <f>IFERROR(__xludf.DUMMYFUNCTION("""COMPUTED_VALUE"""),"✅")</f>
        <v>✅</v>
      </c>
      <c r="R14" s="257" t="str">
        <f>IFERROR(__xludf.DUMMYFUNCTION("""COMPUTED_VALUE"""),"   ✅")</f>
        <v>✅</v>
      </c>
      <c r="S14" s="258"/>
      <c r="T14" s="255" t="str">
        <f>IFERROR(__xludf.DUMMYFUNCTION("""COMPUTED_VALUE"""),"➖")</f>
        <v>➖</v>
      </c>
      <c r="U14" s="255" t="str">
        <f>IFERROR(__xludf.DUMMYFUNCTION("""COMPUTED_VALUE"""),"➖")</f>
        <v>➖</v>
      </c>
      <c r="V14" s="259"/>
      <c r="W14" s="286"/>
      <c r="X14" s="286"/>
      <c r="Y14" s="286"/>
    </row>
    <row r="15">
      <c r="A15" s="28"/>
      <c r="B15" s="128"/>
      <c r="C15" s="28"/>
      <c r="D15" s="250" t="str">
        <f>IFERROR(__xludf.DUMMYFUNCTION("""COMPUTED_VALUE"""),"   R")</f>
        <v>R</v>
      </c>
      <c r="E15" s="280" t="str">
        <f>IFERROR(__xludf.DUMMYFUNCTION("""COMPUTED_VALUE"""),"UHURA")</f>
        <v>UHURA</v>
      </c>
      <c r="F15" s="271" t="str">
        <f>IFERROR(__xludf.DUMMYFUNCTION("""COMPUTED_VALUE"""),"CM")</f>
        <v>CM</v>
      </c>
      <c r="G15" s="281" t="str">
        <f>IFERROR(__xludf.DUMMYFUNCTION("""COMPUTED_VALUE"""),"✅")</f>
        <v>✅</v>
      </c>
      <c r="H15" s="281" t="str">
        <f>IFERROR(__xludf.DUMMYFUNCTION("""COMPUTED_VALUE"""),"✅")</f>
        <v>✅</v>
      </c>
      <c r="I15" s="281" t="str">
        <f>IFERROR(__xludf.DUMMYFUNCTION("""COMPUTED_VALUE"""),"✅")</f>
        <v>✅</v>
      </c>
      <c r="J15" s="281" t="str">
        <f>IFERROR(__xludf.DUMMYFUNCTION("""COMPUTED_VALUE"""),"✅")</f>
        <v>✅</v>
      </c>
      <c r="K15" s="282" t="str">
        <f>IFERROR(__xludf.DUMMYFUNCTION("""COMPUTED_VALUE"""),"✅")</f>
        <v>✅</v>
      </c>
      <c r="L15" s="282" t="str">
        <f>IFERROR(__xludf.DUMMYFUNCTION("""COMPUTED_VALUE"""),"✅")</f>
        <v>✅</v>
      </c>
      <c r="M15" s="282" t="str">
        <f>IFERROR(__xludf.DUMMYFUNCTION("""COMPUTED_VALUE"""),"✅")</f>
        <v>✅</v>
      </c>
      <c r="N15" s="282" t="str">
        <f>IFERROR(__xludf.DUMMYFUNCTION("""COMPUTED_VALUE"""),"✅")</f>
        <v>✅</v>
      </c>
      <c r="O15" s="282" t="str">
        <f>IFERROR(__xludf.DUMMYFUNCTION("""COMPUTED_VALUE"""),"✅")</f>
        <v>✅</v>
      </c>
      <c r="P15" s="282" t="str">
        <f>IFERROR(__xludf.DUMMYFUNCTION("""COMPUTED_VALUE"""),"✅")</f>
        <v>✅</v>
      </c>
      <c r="Q15" s="282" t="str">
        <f>IFERROR(__xludf.DUMMYFUNCTION("""COMPUTED_VALUE"""),"✅")</f>
        <v>✅</v>
      </c>
      <c r="R15" s="283" t="str">
        <f>IFERROR(__xludf.DUMMYFUNCTION("""COMPUTED_VALUE"""),"   ✅")</f>
        <v>✅</v>
      </c>
      <c r="S15" s="284"/>
      <c r="T15" s="285" t="str">
        <f>IFERROR(__xludf.DUMMYFUNCTION("""COMPUTED_VALUE"""),"➖")</f>
        <v>➖</v>
      </c>
      <c r="U15" s="285" t="str">
        <f>IFERROR(__xludf.DUMMYFUNCTION("""COMPUTED_VALUE"""),"➖")</f>
        <v>➖</v>
      </c>
      <c r="V15" s="259"/>
      <c r="W15" s="286"/>
      <c r="X15" s="286"/>
      <c r="Y15" s="286"/>
    </row>
    <row r="16">
      <c r="A16" s="28"/>
      <c r="B16" s="132"/>
      <c r="C16" s="28"/>
      <c r="D16" s="260" t="str">
        <f>IFERROR(__xludf.DUMMYFUNCTION("""COMPUTED_VALUE"""),"   R")</f>
        <v>R</v>
      </c>
      <c r="E16" s="287" t="str">
        <f>IFERROR(__xludf.DUMMYFUNCTION("""COMPUTED_VALUE"""),"UHURA")</f>
        <v>UHURA</v>
      </c>
      <c r="F16" s="270" t="str">
        <f>IFERROR(__xludf.DUMMYFUNCTION("""COMPUTED_VALUE"""),"OA")</f>
        <v>OA</v>
      </c>
      <c r="G16" s="231" t="str">
        <f>IFERROR(__xludf.DUMMYFUNCTION("""COMPUTED_VALUE"""),"✅")</f>
        <v>✅</v>
      </c>
      <c r="H16" s="231" t="str">
        <f>IFERROR(__xludf.DUMMYFUNCTION("""COMPUTED_VALUE"""),"✅")</f>
        <v>✅</v>
      </c>
      <c r="I16" s="231" t="str">
        <f>IFERROR(__xludf.DUMMYFUNCTION("""COMPUTED_VALUE"""),"✅")</f>
        <v>✅</v>
      </c>
      <c r="J16" s="231" t="str">
        <f>IFERROR(__xludf.DUMMYFUNCTION("""COMPUTED_VALUE"""),"✅")</f>
        <v>✅</v>
      </c>
      <c r="K16" s="288" t="str">
        <f>IFERROR(__xludf.DUMMYFUNCTION("""COMPUTED_VALUE"""),"✅")</f>
        <v>✅</v>
      </c>
      <c r="L16" s="288" t="str">
        <f>IFERROR(__xludf.DUMMYFUNCTION("""COMPUTED_VALUE"""),"✅")</f>
        <v>✅</v>
      </c>
      <c r="M16" s="288" t="str">
        <f>IFERROR(__xludf.DUMMYFUNCTION("""COMPUTED_VALUE"""),"✅")</f>
        <v>✅</v>
      </c>
      <c r="N16" s="288" t="str">
        <f>IFERROR(__xludf.DUMMYFUNCTION("""COMPUTED_VALUE"""),"✅")</f>
        <v>✅</v>
      </c>
      <c r="O16" s="288" t="str">
        <f>IFERROR(__xludf.DUMMYFUNCTION("""COMPUTED_VALUE"""),"✅")</f>
        <v>✅</v>
      </c>
      <c r="P16" s="288" t="str">
        <f>IFERROR(__xludf.DUMMYFUNCTION("""COMPUTED_VALUE"""),"✅")</f>
        <v>✅</v>
      </c>
      <c r="Q16" s="288" t="str">
        <f>IFERROR(__xludf.DUMMYFUNCTION("""COMPUTED_VALUE"""),"✅")</f>
        <v>✅</v>
      </c>
      <c r="R16" s="257" t="str">
        <f>IFERROR(__xludf.DUMMYFUNCTION("""COMPUTED_VALUE"""),"   ✅")</f>
        <v>✅</v>
      </c>
      <c r="S16" s="258"/>
      <c r="T16" s="255" t="str">
        <f>IFERROR(__xludf.DUMMYFUNCTION("""COMPUTED_VALUE"""),"➖")</f>
        <v>➖</v>
      </c>
      <c r="U16" s="255" t="str">
        <f>IFERROR(__xludf.DUMMYFUNCTION("""COMPUTED_VALUE"""),"➖")</f>
        <v>➖</v>
      </c>
      <c r="V16" s="259"/>
      <c r="W16" s="286"/>
      <c r="X16" s="286"/>
      <c r="Y16" s="286"/>
    </row>
    <row r="17">
      <c r="A17" s="28"/>
      <c r="B17" s="128"/>
      <c r="C17" s="28"/>
      <c r="D17" s="250" t="str">
        <f>IFERROR(__xludf.DUMMYFUNCTION("""COMPUTED_VALUE"""),"   E")</f>
        <v>E</v>
      </c>
      <c r="E17" s="280" t="str">
        <f>IFERROR(__xludf.DUMMYFUNCTION("""COMPUTED_VALUE"""),"GORKON")</f>
        <v>GORKON</v>
      </c>
      <c r="F17" s="271" t="str">
        <f>IFERROR(__xludf.DUMMYFUNCTION("""COMPUTED_VALUE"""),"CM")</f>
        <v>CM</v>
      </c>
      <c r="G17" s="281" t="str">
        <f>IFERROR(__xludf.DUMMYFUNCTION("""COMPUTED_VALUE"""),"✅")</f>
        <v>✅</v>
      </c>
      <c r="H17" s="281" t="str">
        <f>IFERROR(__xludf.DUMMYFUNCTION("""COMPUTED_VALUE"""),"✅")</f>
        <v>✅</v>
      </c>
      <c r="I17" s="281" t="str">
        <f>IFERROR(__xludf.DUMMYFUNCTION("""COMPUTED_VALUE"""),"✅")</f>
        <v>✅</v>
      </c>
      <c r="J17" s="281" t="str">
        <f>IFERROR(__xludf.DUMMYFUNCTION("""COMPUTED_VALUE"""),"✅")</f>
        <v>✅</v>
      </c>
      <c r="K17" s="282" t="str">
        <f>IFERROR(__xludf.DUMMYFUNCTION("""COMPUTED_VALUE"""),"✅")</f>
        <v>✅</v>
      </c>
      <c r="L17" s="282" t="str">
        <f>IFERROR(__xludf.DUMMYFUNCTION("""COMPUTED_VALUE"""),"✅")</f>
        <v>✅</v>
      </c>
      <c r="M17" s="282" t="str">
        <f>IFERROR(__xludf.DUMMYFUNCTION("""COMPUTED_VALUE"""),"✅")</f>
        <v>✅</v>
      </c>
      <c r="N17" s="282" t="str">
        <f>IFERROR(__xludf.DUMMYFUNCTION("""COMPUTED_VALUE"""),"✅")</f>
        <v>✅</v>
      </c>
      <c r="O17" s="282" t="str">
        <f>IFERROR(__xludf.DUMMYFUNCTION("""COMPUTED_VALUE"""),"✅")</f>
        <v>✅</v>
      </c>
      <c r="P17" s="282" t="str">
        <f>IFERROR(__xludf.DUMMYFUNCTION("""COMPUTED_VALUE"""),"✅")</f>
        <v>✅</v>
      </c>
      <c r="Q17" s="282" t="str">
        <f>IFERROR(__xludf.DUMMYFUNCTION("""COMPUTED_VALUE"""),"✅")</f>
        <v>✅</v>
      </c>
      <c r="R17" s="283" t="str">
        <f>IFERROR(__xludf.DUMMYFUNCTION("""COMPUTED_VALUE"""),"   ✅")</f>
        <v>✅</v>
      </c>
      <c r="S17" s="284"/>
      <c r="T17" s="285" t="str">
        <f>IFERROR(__xludf.DUMMYFUNCTION("""COMPUTED_VALUE"""),"➖")</f>
        <v>➖</v>
      </c>
      <c r="U17" s="285" t="str">
        <f>IFERROR(__xludf.DUMMYFUNCTION("""COMPUTED_VALUE"""),"➖")</f>
        <v>➖</v>
      </c>
      <c r="V17" s="259"/>
      <c r="W17" s="286"/>
      <c r="X17" s="286"/>
      <c r="Y17" s="286"/>
    </row>
    <row r="18">
      <c r="A18" s="28"/>
      <c r="B18" s="132"/>
      <c r="C18" s="28"/>
      <c r="D18" s="260" t="str">
        <f>IFERROR(__xludf.DUMMYFUNCTION("""COMPUTED_VALUE"""),"   E")</f>
        <v>E</v>
      </c>
      <c r="E18" s="287" t="str">
        <f>IFERROR(__xludf.DUMMYFUNCTION("""COMPUTED_VALUE"""),"GORKON")</f>
        <v>GORKON</v>
      </c>
      <c r="F18" s="270" t="str">
        <f>IFERROR(__xludf.DUMMYFUNCTION("""COMPUTED_VALUE"""),"OA")</f>
        <v>OA</v>
      </c>
      <c r="G18" s="231" t="str">
        <f>IFERROR(__xludf.DUMMYFUNCTION("""COMPUTED_VALUE"""),"✅")</f>
        <v>✅</v>
      </c>
      <c r="H18" s="231" t="str">
        <f>IFERROR(__xludf.DUMMYFUNCTION("""COMPUTED_VALUE"""),"✅")</f>
        <v>✅</v>
      </c>
      <c r="I18" s="231" t="str">
        <f>IFERROR(__xludf.DUMMYFUNCTION("""COMPUTED_VALUE"""),"✅")</f>
        <v>✅</v>
      </c>
      <c r="J18" s="231" t="str">
        <f>IFERROR(__xludf.DUMMYFUNCTION("""COMPUTED_VALUE"""),"✅")</f>
        <v>✅</v>
      </c>
      <c r="K18" s="288" t="str">
        <f>IFERROR(__xludf.DUMMYFUNCTION("""COMPUTED_VALUE"""),"✅")</f>
        <v>✅</v>
      </c>
      <c r="L18" s="288" t="str">
        <f>IFERROR(__xludf.DUMMYFUNCTION("""COMPUTED_VALUE"""),"✅")</f>
        <v>✅</v>
      </c>
      <c r="M18" s="288" t="str">
        <f>IFERROR(__xludf.DUMMYFUNCTION("""COMPUTED_VALUE"""),"✅")</f>
        <v>✅</v>
      </c>
      <c r="N18" s="288" t="str">
        <f>IFERROR(__xludf.DUMMYFUNCTION("""COMPUTED_VALUE"""),"✅")</f>
        <v>✅</v>
      </c>
      <c r="O18" s="288" t="str">
        <f>IFERROR(__xludf.DUMMYFUNCTION("""COMPUTED_VALUE"""),"✅")</f>
        <v>✅</v>
      </c>
      <c r="P18" s="288" t="str">
        <f>IFERROR(__xludf.DUMMYFUNCTION("""COMPUTED_VALUE"""),"✅")</f>
        <v>✅</v>
      </c>
      <c r="Q18" s="288" t="str">
        <f>IFERROR(__xludf.DUMMYFUNCTION("""COMPUTED_VALUE"""),"✅")</f>
        <v>✅</v>
      </c>
      <c r="R18" s="257" t="str">
        <f>IFERROR(__xludf.DUMMYFUNCTION("""COMPUTED_VALUE"""),"   ✅")</f>
        <v>✅</v>
      </c>
      <c r="S18" s="258"/>
      <c r="T18" s="255" t="str">
        <f>IFERROR(__xludf.DUMMYFUNCTION("""COMPUTED_VALUE"""),"➖")</f>
        <v>➖</v>
      </c>
      <c r="U18" s="255" t="str">
        <f>IFERROR(__xludf.DUMMYFUNCTION("""COMPUTED_VALUE"""),"➖")</f>
        <v>➖</v>
      </c>
      <c r="V18" s="259"/>
      <c r="W18" s="286"/>
      <c r="X18" s="286"/>
      <c r="Y18" s="286"/>
    </row>
    <row r="19">
      <c r="A19" s="28"/>
      <c r="B19" s="128"/>
      <c r="C19" s="28"/>
      <c r="D19" s="250" t="str">
        <f>IFERROR(__xludf.DUMMYFUNCTION("""COMPUTED_VALUE"""),"   R")</f>
        <v>R</v>
      </c>
      <c r="E19" s="280" t="str">
        <f>IFERROR(__xludf.DUMMYFUNCTION("""COMPUTED_VALUE"""),"CHANG")</f>
        <v>CHANG</v>
      </c>
      <c r="F19" s="271" t="str">
        <f>IFERROR(__xludf.DUMMYFUNCTION("""COMPUTED_VALUE"""),"CM")</f>
        <v>CM</v>
      </c>
      <c r="G19" s="281" t="str">
        <f>IFERROR(__xludf.DUMMYFUNCTION("""COMPUTED_VALUE"""),"✴️")</f>
        <v>✴️</v>
      </c>
      <c r="H19" s="281" t="str">
        <f>IFERROR(__xludf.DUMMYFUNCTION("""COMPUTED_VALUE"""),"✴️")</f>
        <v>✴️</v>
      </c>
      <c r="I19" s="281" t="str">
        <f>IFERROR(__xludf.DUMMYFUNCTION("""COMPUTED_VALUE"""),"✴️")</f>
        <v>✴️</v>
      </c>
      <c r="J19" s="281" t="str">
        <f>IFERROR(__xludf.DUMMYFUNCTION("""COMPUTED_VALUE"""),"✴️")</f>
        <v>✴️</v>
      </c>
      <c r="K19" s="282" t="str">
        <f>IFERROR(__xludf.DUMMYFUNCTION("""COMPUTED_VALUE"""),"✴️")</f>
        <v>✴️</v>
      </c>
      <c r="L19" s="282" t="str">
        <f>IFERROR(__xludf.DUMMYFUNCTION("""COMPUTED_VALUE"""),"✴️")</f>
        <v>✴️</v>
      </c>
      <c r="M19" s="282" t="str">
        <f>IFERROR(__xludf.DUMMYFUNCTION("""COMPUTED_VALUE"""),"✴️")</f>
        <v>✴️</v>
      </c>
      <c r="N19" s="282" t="str">
        <f>IFERROR(__xludf.DUMMYFUNCTION("""COMPUTED_VALUE"""),"✴️")</f>
        <v>✴️</v>
      </c>
      <c r="O19" s="282" t="str">
        <f>IFERROR(__xludf.DUMMYFUNCTION("""COMPUTED_VALUE"""),"✴️")</f>
        <v>✴️</v>
      </c>
      <c r="P19" s="282" t="str">
        <f>IFERROR(__xludf.DUMMYFUNCTION("""COMPUTED_VALUE"""),"✴️")</f>
        <v>✴️</v>
      </c>
      <c r="Q19" s="282" t="str">
        <f>IFERROR(__xludf.DUMMYFUNCTION("""COMPUTED_VALUE"""),"✴️")</f>
        <v>✴️</v>
      </c>
      <c r="R19" s="283" t="str">
        <f>IFERROR(__xludf.DUMMYFUNCTION("""COMPUTED_VALUE"""),"   ✴️")</f>
        <v>✴️</v>
      </c>
      <c r="S19" s="284" t="str">
        <f>IFERROR(__xludf.DUMMYFUNCTION("""COMPUTED_VALUE"""),"HullHealthBelow")</f>
        <v>HullHealthBelow</v>
      </c>
      <c r="T19" s="285" t="str">
        <f>IFERROR(__xludf.DUMMYFUNCTION("""COMPUTED_VALUE"""),"➖")</f>
        <v>➖</v>
      </c>
      <c r="U19" s="285" t="str">
        <f>IFERROR(__xludf.DUMMYFUNCTION("""COMPUTED_VALUE"""),"➖")</f>
        <v>➖</v>
      </c>
      <c r="V19" s="259"/>
      <c r="W19" s="286"/>
      <c r="X19" s="286"/>
      <c r="Y19" s="286"/>
    </row>
    <row r="20">
      <c r="A20" s="28"/>
      <c r="B20" s="132"/>
      <c r="C20" s="28"/>
      <c r="D20" s="260" t="str">
        <f>IFERROR(__xludf.DUMMYFUNCTION("""COMPUTED_VALUE"""),"   R")</f>
        <v>R</v>
      </c>
      <c r="E20" s="287" t="str">
        <f>IFERROR(__xludf.DUMMYFUNCTION("""COMPUTED_VALUE"""),"CHANG")</f>
        <v>CHANG</v>
      </c>
      <c r="F20" s="270" t="str">
        <f>IFERROR(__xludf.DUMMYFUNCTION("""COMPUTED_VALUE"""),"OA")</f>
        <v>OA</v>
      </c>
      <c r="G20" s="231" t="str">
        <f>IFERROR(__xludf.DUMMYFUNCTION("""COMPUTED_VALUE"""),"✴️")</f>
        <v>✴️</v>
      </c>
      <c r="H20" s="231" t="str">
        <f>IFERROR(__xludf.DUMMYFUNCTION("""COMPUTED_VALUE"""),"✴️")</f>
        <v>✴️</v>
      </c>
      <c r="I20" s="231" t="str">
        <f>IFERROR(__xludf.DUMMYFUNCTION("""COMPUTED_VALUE"""),"✴️")</f>
        <v>✴️</v>
      </c>
      <c r="J20" s="231" t="str">
        <f>IFERROR(__xludf.DUMMYFUNCTION("""COMPUTED_VALUE"""),"✴️")</f>
        <v>✴️</v>
      </c>
      <c r="K20" s="288" t="str">
        <f>IFERROR(__xludf.DUMMYFUNCTION("""COMPUTED_VALUE"""),"✴️")</f>
        <v>✴️</v>
      </c>
      <c r="L20" s="288" t="str">
        <f>IFERROR(__xludf.DUMMYFUNCTION("""COMPUTED_VALUE"""),"✴️")</f>
        <v>✴️</v>
      </c>
      <c r="M20" s="288" t="str">
        <f>IFERROR(__xludf.DUMMYFUNCTION("""COMPUTED_VALUE"""),"➖")</f>
        <v>➖</v>
      </c>
      <c r="N20" s="288" t="str">
        <f>IFERROR(__xludf.DUMMYFUNCTION("""COMPUTED_VALUE"""),"➖")</f>
        <v>➖</v>
      </c>
      <c r="O20" s="288" t="str">
        <f>IFERROR(__xludf.DUMMYFUNCTION("""COMPUTED_VALUE"""),"➖")</f>
        <v>➖</v>
      </c>
      <c r="P20" s="288" t="str">
        <f>IFERROR(__xludf.DUMMYFUNCTION("""COMPUTED_VALUE"""),"➖")</f>
        <v>➖</v>
      </c>
      <c r="Q20" s="288" t="str">
        <f>IFERROR(__xludf.DUMMYFUNCTION("""COMPUTED_VALUE"""),"✴️")</f>
        <v>✴️</v>
      </c>
      <c r="R20" s="257" t="str">
        <f>IFERROR(__xludf.DUMMYFUNCTION("""COMPUTED_VALUE"""),"   ✴️")</f>
        <v>✴️</v>
      </c>
      <c r="S20" s="258" t="str">
        <f>IFERROR(__xludf.DUMMYFUNCTION("""COMPUTED_VALUE"""),"TargetHasHullBreach")</f>
        <v>TargetHasHullBreach</v>
      </c>
      <c r="T20" s="255" t="str">
        <f>IFERROR(__xludf.DUMMYFUNCTION("""COMPUTED_VALUE"""),"➖")</f>
        <v>➖</v>
      </c>
      <c r="U20" s="255" t="str">
        <f>IFERROR(__xludf.DUMMYFUNCTION("""COMPUTED_VALUE"""),"➖")</f>
        <v>➖</v>
      </c>
      <c r="V20" s="259"/>
      <c r="W20" s="286"/>
      <c r="X20" s="286"/>
      <c r="Y20" s="286"/>
    </row>
    <row r="21">
      <c r="A21" s="28"/>
      <c r="B21" s="128"/>
      <c r="C21" s="28"/>
      <c r="D21" s="250" t="str">
        <f>IFERROR(__xludf.DUMMYFUNCTION("""COMPUTED_VALUE"""),"   R")</f>
        <v>R</v>
      </c>
      <c r="E21" s="280" t="str">
        <f>IFERROR(__xludf.DUMMYFUNCTION("""COMPUTED_VALUE"""),"KERLA")</f>
        <v>KERLA</v>
      </c>
      <c r="F21" s="271" t="str">
        <f>IFERROR(__xludf.DUMMYFUNCTION("""COMPUTED_VALUE"""),"CM")</f>
        <v>CM</v>
      </c>
      <c r="G21" s="281" t="str">
        <f>IFERROR(__xludf.DUMMYFUNCTION("""COMPUTED_VALUE"""),"✅")</f>
        <v>✅</v>
      </c>
      <c r="H21" s="281" t="str">
        <f>IFERROR(__xludf.DUMMYFUNCTION("""COMPUTED_VALUE"""),"✅")</f>
        <v>✅</v>
      </c>
      <c r="I21" s="281" t="str">
        <f>IFERROR(__xludf.DUMMYFUNCTION("""COMPUTED_VALUE"""),"✅")</f>
        <v>✅</v>
      </c>
      <c r="J21" s="281" t="str">
        <f>IFERROR(__xludf.DUMMYFUNCTION("""COMPUTED_VALUE"""),"✅")</f>
        <v>✅</v>
      </c>
      <c r="K21" s="282" t="str">
        <f>IFERROR(__xludf.DUMMYFUNCTION("""COMPUTED_VALUE"""),"✅")</f>
        <v>✅</v>
      </c>
      <c r="L21" s="282" t="str">
        <f>IFERROR(__xludf.DUMMYFUNCTION("""COMPUTED_VALUE"""),"✅")</f>
        <v>✅</v>
      </c>
      <c r="M21" s="282" t="str">
        <f>IFERROR(__xludf.DUMMYFUNCTION("""COMPUTED_VALUE"""),"✅")</f>
        <v>✅</v>
      </c>
      <c r="N21" s="282" t="str">
        <f>IFERROR(__xludf.DUMMYFUNCTION("""COMPUTED_VALUE"""),"✅")</f>
        <v>✅</v>
      </c>
      <c r="O21" s="282" t="str">
        <f>IFERROR(__xludf.DUMMYFUNCTION("""COMPUTED_VALUE"""),"✅")</f>
        <v>✅</v>
      </c>
      <c r="P21" s="282" t="str">
        <f>IFERROR(__xludf.DUMMYFUNCTION("""COMPUTED_VALUE"""),"✅")</f>
        <v>✅</v>
      </c>
      <c r="Q21" s="282" t="str">
        <f>IFERROR(__xludf.DUMMYFUNCTION("""COMPUTED_VALUE"""),"✅")</f>
        <v>✅</v>
      </c>
      <c r="R21" s="283" t="str">
        <f>IFERROR(__xludf.DUMMYFUNCTION("""COMPUTED_VALUE"""),"   ✅")</f>
        <v>✅</v>
      </c>
      <c r="S21" s="284"/>
      <c r="T21" s="285" t="str">
        <f>IFERROR(__xludf.DUMMYFUNCTION("""COMPUTED_VALUE"""),"➖")</f>
        <v>➖</v>
      </c>
      <c r="U21" s="285" t="str">
        <f>IFERROR(__xludf.DUMMYFUNCTION("""COMPUTED_VALUE"""),"➖")</f>
        <v>➖</v>
      </c>
      <c r="V21" s="259"/>
      <c r="W21" s="286"/>
      <c r="X21" s="286"/>
      <c r="Y21" s="286"/>
    </row>
    <row r="22">
      <c r="A22" s="28"/>
      <c r="B22" s="132"/>
      <c r="C22" s="28"/>
      <c r="D22" s="260" t="str">
        <f>IFERROR(__xludf.DUMMYFUNCTION("""COMPUTED_VALUE"""),"   R")</f>
        <v>R</v>
      </c>
      <c r="E22" s="287" t="str">
        <f>IFERROR(__xludf.DUMMYFUNCTION("""COMPUTED_VALUE"""),"KERLA")</f>
        <v>KERLA</v>
      </c>
      <c r="F22" s="270" t="str">
        <f>IFERROR(__xludf.DUMMYFUNCTION("""COMPUTED_VALUE"""),"OA")</f>
        <v>OA</v>
      </c>
      <c r="G22" s="231" t="str">
        <f>IFERROR(__xludf.DUMMYFUNCTION("""COMPUTED_VALUE"""),"✴️")</f>
        <v>✴️</v>
      </c>
      <c r="H22" s="231" t="str">
        <f>IFERROR(__xludf.DUMMYFUNCTION("""COMPUTED_VALUE"""),"✴️")</f>
        <v>✴️</v>
      </c>
      <c r="I22" s="231" t="str">
        <f>IFERROR(__xludf.DUMMYFUNCTION("""COMPUTED_VALUE"""),"✴️")</f>
        <v>✴️</v>
      </c>
      <c r="J22" s="231" t="str">
        <f>IFERROR(__xludf.DUMMYFUNCTION("""COMPUTED_VALUE"""),"✴️")</f>
        <v>✴️</v>
      </c>
      <c r="K22" s="288" t="str">
        <f>IFERROR(__xludf.DUMMYFUNCTION("""COMPUTED_VALUE"""),"✴️")</f>
        <v>✴️</v>
      </c>
      <c r="L22" s="288" t="str">
        <f>IFERROR(__xludf.DUMMYFUNCTION("""COMPUTED_VALUE"""),"✴️")</f>
        <v>✴️</v>
      </c>
      <c r="M22" s="288" t="str">
        <f>IFERROR(__xludf.DUMMYFUNCTION("""COMPUTED_VALUE"""),"✴️")</f>
        <v>✴️</v>
      </c>
      <c r="N22" s="288" t="str">
        <f>IFERROR(__xludf.DUMMYFUNCTION("""COMPUTED_VALUE"""),"✴️")</f>
        <v>✴️</v>
      </c>
      <c r="O22" s="288" t="str">
        <f>IFERROR(__xludf.DUMMYFUNCTION("""COMPUTED_VALUE"""),"✴️")</f>
        <v>✴️</v>
      </c>
      <c r="P22" s="288" t="str">
        <f>IFERROR(__xludf.DUMMYFUNCTION("""COMPUTED_VALUE"""),"✴️")</f>
        <v>✴️</v>
      </c>
      <c r="Q22" s="288" t="str">
        <f>IFERROR(__xludf.DUMMYFUNCTION("""COMPUTED_VALUE"""),"✴️")</f>
        <v>✴️</v>
      </c>
      <c r="R22" s="257" t="str">
        <f>IFERROR(__xludf.DUMMYFUNCTION("""COMPUTED_VALUE"""),"   ✴️")</f>
        <v>✴️</v>
      </c>
      <c r="S22" s="258" t="str">
        <f>IFERROR(__xludf.DUMMYFUNCTION("""COMPUTED_VALUE"""),"ModuleKinetic")</f>
        <v>ModuleKinetic</v>
      </c>
      <c r="T22" s="255" t="str">
        <f>IFERROR(__xludf.DUMMYFUNCTION("""COMPUTED_VALUE"""),"➖")</f>
        <v>➖</v>
      </c>
      <c r="U22" s="255" t="str">
        <f>IFERROR(__xludf.DUMMYFUNCTION("""COMPUTED_VALUE"""),"➖")</f>
        <v>➖</v>
      </c>
      <c r="V22" s="259"/>
      <c r="W22" s="286"/>
      <c r="X22" s="286"/>
      <c r="Y22" s="286"/>
    </row>
    <row r="23">
      <c r="A23" s="28"/>
      <c r="B23" s="128"/>
      <c r="C23" s="28"/>
      <c r="D23" s="250" t="str">
        <f>IFERROR(__xludf.DUMMYFUNCTION("""COMPUTED_VALUE"""),"   R")</f>
        <v>R</v>
      </c>
      <c r="E23" s="280" t="str">
        <f>IFERROR(__xludf.DUMMYFUNCTION("""COMPUTED_VALUE"""),"AZETBUR")</f>
        <v>AZETBUR</v>
      </c>
      <c r="F23" s="271" t="str">
        <f>IFERROR(__xludf.DUMMYFUNCTION("""COMPUTED_VALUE"""),"CM")</f>
        <v>CM</v>
      </c>
      <c r="G23" s="281" t="str">
        <f>IFERROR(__xludf.DUMMYFUNCTION("""COMPUTED_VALUE"""),"✴️")</f>
        <v>✴️</v>
      </c>
      <c r="H23" s="281" t="str">
        <f>IFERROR(__xludf.DUMMYFUNCTION("""COMPUTED_VALUE"""),"✴️")</f>
        <v>✴️</v>
      </c>
      <c r="I23" s="281" t="str">
        <f>IFERROR(__xludf.DUMMYFUNCTION("""COMPUTED_VALUE"""),"✴️")</f>
        <v>✴️</v>
      </c>
      <c r="J23" s="281" t="str">
        <f>IFERROR(__xludf.DUMMYFUNCTION("""COMPUTED_VALUE"""),"✴️")</f>
        <v>✴️</v>
      </c>
      <c r="K23" s="282" t="str">
        <f>IFERROR(__xludf.DUMMYFUNCTION("""COMPUTED_VALUE"""),"✴️")</f>
        <v>✴️</v>
      </c>
      <c r="L23" s="282" t="str">
        <f>IFERROR(__xludf.DUMMYFUNCTION("""COMPUTED_VALUE"""),"✴️")</f>
        <v>✴️</v>
      </c>
      <c r="M23" s="282" t="str">
        <f>IFERROR(__xludf.DUMMYFUNCTION("""COMPUTED_VALUE"""),"✴️")</f>
        <v>✴️</v>
      </c>
      <c r="N23" s="282" t="str">
        <f>IFERROR(__xludf.DUMMYFUNCTION("""COMPUTED_VALUE"""),"✴️")</f>
        <v>✴️</v>
      </c>
      <c r="O23" s="282" t="str">
        <f>IFERROR(__xludf.DUMMYFUNCTION("""COMPUTED_VALUE"""),"✴️")</f>
        <v>✴️</v>
      </c>
      <c r="P23" s="282" t="str">
        <f>IFERROR(__xludf.DUMMYFUNCTION("""COMPUTED_VALUE"""),"✴️")</f>
        <v>✴️</v>
      </c>
      <c r="Q23" s="282" t="str">
        <f>IFERROR(__xludf.DUMMYFUNCTION("""COMPUTED_VALUE"""),"✴️")</f>
        <v>✴️</v>
      </c>
      <c r="R23" s="283" t="str">
        <f>IFERROR(__xludf.DUMMYFUNCTION("""COMPUTED_VALUE"""),"   ✴️")</f>
        <v>✴️</v>
      </c>
      <c r="S23" s="284" t="str">
        <f>IFERROR(__xludf.DUMMYFUNCTION("""COMPUTED_VALUE"""),"HitEnemyWithKinetic")</f>
        <v>HitEnemyWithKinetic</v>
      </c>
      <c r="T23" s="285" t="str">
        <f>IFERROR(__xludf.DUMMYFUNCTION("""COMPUTED_VALUE"""),"➖")</f>
        <v>➖</v>
      </c>
      <c r="U23" s="285" t="str">
        <f>IFERROR(__xludf.DUMMYFUNCTION("""COMPUTED_VALUE"""),"➖")</f>
        <v>➖</v>
      </c>
      <c r="V23" s="259"/>
      <c r="W23" s="286"/>
      <c r="X23" s="286"/>
      <c r="Y23" s="286"/>
    </row>
    <row r="24">
      <c r="A24" s="28"/>
      <c r="B24" s="132"/>
      <c r="C24" s="28"/>
      <c r="D24" s="260" t="str">
        <f>IFERROR(__xludf.DUMMYFUNCTION("""COMPUTED_VALUE"""),"   R")</f>
        <v>R</v>
      </c>
      <c r="E24" s="287" t="str">
        <f>IFERROR(__xludf.DUMMYFUNCTION("""COMPUTED_VALUE"""),"AZETBUR")</f>
        <v>AZETBUR</v>
      </c>
      <c r="F24" s="270" t="str">
        <f>IFERROR(__xludf.DUMMYFUNCTION("""COMPUTED_VALUE"""),"OA")</f>
        <v>OA</v>
      </c>
      <c r="G24" s="231" t="str">
        <f>IFERROR(__xludf.DUMMYFUNCTION("""COMPUTED_VALUE"""),"✅")</f>
        <v>✅</v>
      </c>
      <c r="H24" s="231" t="str">
        <f>IFERROR(__xludf.DUMMYFUNCTION("""COMPUTED_VALUE"""),"✅")</f>
        <v>✅</v>
      </c>
      <c r="I24" s="231" t="str">
        <f>IFERROR(__xludf.DUMMYFUNCTION("""COMPUTED_VALUE"""),"✅")</f>
        <v>✅</v>
      </c>
      <c r="J24" s="231" t="str">
        <f>IFERROR(__xludf.DUMMYFUNCTION("""COMPUTED_VALUE"""),"✅")</f>
        <v>✅</v>
      </c>
      <c r="K24" s="288" t="str">
        <f>IFERROR(__xludf.DUMMYFUNCTION("""COMPUTED_VALUE"""),"✅")</f>
        <v>✅</v>
      </c>
      <c r="L24" s="288" t="str">
        <f>IFERROR(__xludf.DUMMYFUNCTION("""COMPUTED_VALUE"""),"✅")</f>
        <v>✅</v>
      </c>
      <c r="M24" s="288" t="str">
        <f>IFERROR(__xludf.DUMMYFUNCTION("""COMPUTED_VALUE"""),"✅")</f>
        <v>✅</v>
      </c>
      <c r="N24" s="288" t="str">
        <f>IFERROR(__xludf.DUMMYFUNCTION("""COMPUTED_VALUE"""),"✅")</f>
        <v>✅</v>
      </c>
      <c r="O24" s="288" t="str">
        <f>IFERROR(__xludf.DUMMYFUNCTION("""COMPUTED_VALUE"""),"✅")</f>
        <v>✅</v>
      </c>
      <c r="P24" s="288" t="str">
        <f>IFERROR(__xludf.DUMMYFUNCTION("""COMPUTED_VALUE"""),"✅")</f>
        <v>✅</v>
      </c>
      <c r="Q24" s="288" t="str">
        <f>IFERROR(__xludf.DUMMYFUNCTION("""COMPUTED_VALUE"""),"✅")</f>
        <v>✅</v>
      </c>
      <c r="R24" s="257" t="str">
        <f>IFERROR(__xludf.DUMMYFUNCTION("""COMPUTED_VALUE"""),"   ✅")</f>
        <v>✅</v>
      </c>
      <c r="S24" s="258"/>
      <c r="T24" s="255" t="str">
        <f>IFERROR(__xludf.DUMMYFUNCTION("""COMPUTED_VALUE"""),"➖")</f>
        <v>➖</v>
      </c>
      <c r="U24" s="255" t="str">
        <f>IFERROR(__xludf.DUMMYFUNCTION("""COMPUTED_VALUE"""),"➖")</f>
        <v>➖</v>
      </c>
      <c r="V24" s="259"/>
      <c r="W24" s="286"/>
      <c r="X24" s="286"/>
      <c r="Y24" s="286"/>
    </row>
    <row r="25">
      <c r="A25" s="28"/>
      <c r="B25" s="128"/>
      <c r="C25" s="28"/>
      <c r="D25" s="250" t="str">
        <f>IFERROR(__xludf.DUMMYFUNCTION("""COMPUTED_VALUE"""),"   U")</f>
        <v>U</v>
      </c>
      <c r="E25" s="280" t="str">
        <f>IFERROR(__xludf.DUMMYFUNCTION("""COMPUTED_VALUE"""),"KOTH")</f>
        <v>KOTH</v>
      </c>
      <c r="F25" s="271" t="str">
        <f>IFERROR(__xludf.DUMMYFUNCTION("""COMPUTED_VALUE"""),"CM")</f>
        <v>CM</v>
      </c>
      <c r="G25" s="281" t="str">
        <f>IFERROR(__xludf.DUMMYFUNCTION("""COMPUTED_VALUE"""),"➖")</f>
        <v>➖</v>
      </c>
      <c r="H25" s="281" t="str">
        <f>IFERROR(__xludf.DUMMYFUNCTION("""COMPUTED_VALUE"""),"➖")</f>
        <v>➖</v>
      </c>
      <c r="I25" s="281" t="str">
        <f>IFERROR(__xludf.DUMMYFUNCTION("""COMPUTED_VALUE"""),"➖")</f>
        <v>➖</v>
      </c>
      <c r="J25" s="281" t="str">
        <f>IFERROR(__xludf.DUMMYFUNCTION("""COMPUTED_VALUE"""),"➖")</f>
        <v>➖</v>
      </c>
      <c r="K25" s="282" t="str">
        <f>IFERROR(__xludf.DUMMYFUNCTION("""COMPUTED_VALUE"""),"➖")</f>
        <v>➖</v>
      </c>
      <c r="L25" s="282" t="str">
        <f>IFERROR(__xludf.DUMMYFUNCTION("""COMPUTED_VALUE"""),"➖")</f>
        <v>➖</v>
      </c>
      <c r="M25" s="282" t="str">
        <f>IFERROR(__xludf.DUMMYFUNCTION("""COMPUTED_VALUE"""),"➖")</f>
        <v>➖</v>
      </c>
      <c r="N25" s="282" t="str">
        <f>IFERROR(__xludf.DUMMYFUNCTION("""COMPUTED_VALUE"""),"➖")</f>
        <v>➖</v>
      </c>
      <c r="O25" s="282" t="str">
        <f>IFERROR(__xludf.DUMMYFUNCTION("""COMPUTED_VALUE"""),"➖")</f>
        <v>➖</v>
      </c>
      <c r="P25" s="282" t="str">
        <f>IFERROR(__xludf.DUMMYFUNCTION("""COMPUTED_VALUE"""),"➖")</f>
        <v>➖</v>
      </c>
      <c r="Q25" s="282" t="str">
        <f>IFERROR(__xludf.DUMMYFUNCTION("""COMPUTED_VALUE"""),"➖")</f>
        <v>➖</v>
      </c>
      <c r="R25" s="283" t="str">
        <f>IFERROR(__xludf.DUMMYFUNCTION("""COMPUTED_VALUE"""),"   ➖")</f>
        <v>➖</v>
      </c>
      <c r="S25" s="284"/>
      <c r="T25" s="285" t="str">
        <f>IFERROR(__xludf.DUMMYFUNCTION("""COMPUTED_VALUE"""),"➖")</f>
        <v>➖</v>
      </c>
      <c r="U25" s="285" t="str">
        <f>IFERROR(__xludf.DUMMYFUNCTION("""COMPUTED_VALUE"""),"✅")</f>
        <v>✅</v>
      </c>
      <c r="V25" s="259"/>
      <c r="W25" s="286"/>
      <c r="X25" s="286"/>
      <c r="Y25" s="286"/>
    </row>
    <row r="26">
      <c r="A26" s="28"/>
      <c r="B26" s="132"/>
      <c r="C26" s="28"/>
      <c r="D26" s="260" t="str">
        <f>IFERROR(__xludf.DUMMYFUNCTION("""COMPUTED_VALUE"""),"   U")</f>
        <v>U</v>
      </c>
      <c r="E26" s="287" t="str">
        <f>IFERROR(__xludf.DUMMYFUNCTION("""COMPUTED_VALUE"""),"KOTH")</f>
        <v>KOTH</v>
      </c>
      <c r="F26" s="270" t="str">
        <f>IFERROR(__xludf.DUMMYFUNCTION("""COMPUTED_VALUE"""),"OA")</f>
        <v>OA</v>
      </c>
      <c r="G26" s="231" t="str">
        <f>IFERROR(__xludf.DUMMYFUNCTION("""COMPUTED_VALUE"""),"✴️")</f>
        <v>✴️</v>
      </c>
      <c r="H26" s="231" t="str">
        <f>IFERROR(__xludf.DUMMYFUNCTION("""COMPUTED_VALUE"""),"✴️")</f>
        <v>✴️</v>
      </c>
      <c r="I26" s="231" t="str">
        <f>IFERROR(__xludf.DUMMYFUNCTION("""COMPUTED_VALUE"""),"✴️")</f>
        <v>✴️</v>
      </c>
      <c r="J26" s="231" t="str">
        <f>IFERROR(__xludf.DUMMYFUNCTION("""COMPUTED_VALUE"""),"✴️")</f>
        <v>✴️</v>
      </c>
      <c r="K26" s="288" t="str">
        <f>IFERROR(__xludf.DUMMYFUNCTION("""COMPUTED_VALUE"""),"✴️")</f>
        <v>✴️</v>
      </c>
      <c r="L26" s="288" t="str">
        <f>IFERROR(__xludf.DUMMYFUNCTION("""COMPUTED_VALUE"""),"✴️")</f>
        <v>✴️</v>
      </c>
      <c r="M26" s="288" t="str">
        <f>IFERROR(__xludf.DUMMYFUNCTION("""COMPUTED_VALUE"""),"✴️")</f>
        <v>✴️</v>
      </c>
      <c r="N26" s="288" t="str">
        <f>IFERROR(__xludf.DUMMYFUNCTION("""COMPUTED_VALUE"""),"✴️")</f>
        <v>✴️</v>
      </c>
      <c r="O26" s="288" t="str">
        <f>IFERROR(__xludf.DUMMYFUNCTION("""COMPUTED_VALUE"""),"✴️")</f>
        <v>✴️</v>
      </c>
      <c r="P26" s="288" t="str">
        <f>IFERROR(__xludf.DUMMYFUNCTION("""COMPUTED_VALUE"""),"✴️")</f>
        <v>✴️</v>
      </c>
      <c r="Q26" s="288" t="str">
        <f>IFERROR(__xludf.DUMMYFUNCTION("""COMPUTED_VALUE"""),"✴️")</f>
        <v>✴️</v>
      </c>
      <c r="R26" s="257" t="str">
        <f>IFERROR(__xludf.DUMMYFUNCTION("""COMPUTED_VALUE"""),"   ✴️")</f>
        <v>✴️</v>
      </c>
      <c r="S26" s="258" t="str">
        <f>IFERROR(__xludf.DUMMYFUNCTION("""COMPUTED_VALUE"""),"ModuleKinetic, TargetHasHullBreach")</f>
        <v>ModuleKinetic, TargetHasHullBreach</v>
      </c>
      <c r="T26" s="255" t="str">
        <f>IFERROR(__xludf.DUMMYFUNCTION("""COMPUTED_VALUE"""),"➖")</f>
        <v>➖</v>
      </c>
      <c r="U26" s="255" t="str">
        <f>IFERROR(__xludf.DUMMYFUNCTION("""COMPUTED_VALUE"""),"➖")</f>
        <v>➖</v>
      </c>
      <c r="V26" s="259"/>
      <c r="W26" s="286"/>
      <c r="X26" s="286"/>
      <c r="Y26" s="286"/>
    </row>
    <row r="27">
      <c r="A27" s="28"/>
      <c r="B27" s="128"/>
      <c r="C27" s="28"/>
      <c r="D27" s="250" t="str">
        <f>IFERROR(__xludf.DUMMYFUNCTION("""COMPUTED_VALUE"""),"   U")</f>
        <v>U</v>
      </c>
      <c r="E27" s="280" t="str">
        <f>IFERROR(__xludf.DUMMYFUNCTION("""COMPUTED_VALUE"""),"WOTELN")</f>
        <v>WOTELN</v>
      </c>
      <c r="F27" s="271" t="str">
        <f>IFERROR(__xludf.DUMMYFUNCTION("""COMPUTED_VALUE"""),"CM")</f>
        <v>CM</v>
      </c>
      <c r="G27" s="281" t="str">
        <f>IFERROR(__xludf.DUMMYFUNCTION("""COMPUTED_VALUE"""),"✴️")</f>
        <v>✴️</v>
      </c>
      <c r="H27" s="281" t="str">
        <f>IFERROR(__xludf.DUMMYFUNCTION("""COMPUTED_VALUE"""),"✴️")</f>
        <v>✴️</v>
      </c>
      <c r="I27" s="281" t="str">
        <f>IFERROR(__xludf.DUMMYFUNCTION("""COMPUTED_VALUE"""),"✴️")</f>
        <v>✴️</v>
      </c>
      <c r="J27" s="281" t="str">
        <f>IFERROR(__xludf.DUMMYFUNCTION("""COMPUTED_VALUE"""),"✴️")</f>
        <v>✴️</v>
      </c>
      <c r="K27" s="282" t="str">
        <f>IFERROR(__xludf.DUMMYFUNCTION("""COMPUTED_VALUE"""),"✴️")</f>
        <v>✴️</v>
      </c>
      <c r="L27" s="282" t="str">
        <f>IFERROR(__xludf.DUMMYFUNCTION("""COMPUTED_VALUE"""),"✴️")</f>
        <v>✴️</v>
      </c>
      <c r="M27" s="282" t="str">
        <f>IFERROR(__xludf.DUMMYFUNCTION("""COMPUTED_VALUE"""),"✴️")</f>
        <v>✴️</v>
      </c>
      <c r="N27" s="282" t="str">
        <f>IFERROR(__xludf.DUMMYFUNCTION("""COMPUTED_VALUE"""),"✴️")</f>
        <v>✴️</v>
      </c>
      <c r="O27" s="282" t="str">
        <f>IFERROR(__xludf.DUMMYFUNCTION("""COMPUTED_VALUE"""),"✴️")</f>
        <v>✴️</v>
      </c>
      <c r="P27" s="282" t="str">
        <f>IFERROR(__xludf.DUMMYFUNCTION("""COMPUTED_VALUE"""),"✴️")</f>
        <v>✴️</v>
      </c>
      <c r="Q27" s="282" t="str">
        <f>IFERROR(__xludf.DUMMYFUNCTION("""COMPUTED_VALUE"""),"✴️")</f>
        <v>✴️</v>
      </c>
      <c r="R27" s="283" t="str">
        <f>IFERROR(__xludf.DUMMYFUNCTION("""COMPUTED_VALUE"""),"   ✴️")</f>
        <v>✴️</v>
      </c>
      <c r="S27" s="284" t="str">
        <f>IFERROR(__xludf.DUMMYFUNCTION("""COMPUTED_VALUE"""),"EnemyBattleship")</f>
        <v>EnemyBattleship</v>
      </c>
      <c r="T27" s="285" t="str">
        <f>IFERROR(__xludf.DUMMYFUNCTION("""COMPUTED_VALUE"""),"➖")</f>
        <v>➖</v>
      </c>
      <c r="U27" s="285" t="str">
        <f>IFERROR(__xludf.DUMMYFUNCTION("""COMPUTED_VALUE"""),"➖")</f>
        <v>➖</v>
      </c>
      <c r="V27" s="259"/>
      <c r="W27" s="286"/>
      <c r="X27" s="286"/>
      <c r="Y27" s="286"/>
    </row>
    <row r="28">
      <c r="A28" s="28"/>
      <c r="B28" s="132"/>
      <c r="C28" s="28"/>
      <c r="D28" s="260" t="str">
        <f>IFERROR(__xludf.DUMMYFUNCTION("""COMPUTED_VALUE"""),"   U")</f>
        <v>U</v>
      </c>
      <c r="E28" s="287" t="str">
        <f>IFERROR(__xludf.DUMMYFUNCTION("""COMPUTED_VALUE"""),"WOTELN")</f>
        <v>WOTELN</v>
      </c>
      <c r="F28" s="270" t="str">
        <f>IFERROR(__xludf.DUMMYFUNCTION("""COMPUTED_VALUE"""),"OA")</f>
        <v>OA</v>
      </c>
      <c r="G28" s="231" t="str">
        <f>IFERROR(__xludf.DUMMYFUNCTION("""COMPUTED_VALUE"""),"✴️")</f>
        <v>✴️</v>
      </c>
      <c r="H28" s="231" t="str">
        <f>IFERROR(__xludf.DUMMYFUNCTION("""COMPUTED_VALUE"""),"✴️")</f>
        <v>✴️</v>
      </c>
      <c r="I28" s="231" t="str">
        <f>IFERROR(__xludf.DUMMYFUNCTION("""COMPUTED_VALUE"""),"✴️")</f>
        <v>✴️</v>
      </c>
      <c r="J28" s="231" t="str">
        <f>IFERROR(__xludf.DUMMYFUNCTION("""COMPUTED_VALUE"""),"✴️")</f>
        <v>✴️</v>
      </c>
      <c r="K28" s="288" t="str">
        <f>IFERROR(__xludf.DUMMYFUNCTION("""COMPUTED_VALUE"""),"✴️")</f>
        <v>✴️</v>
      </c>
      <c r="L28" s="288" t="str">
        <f>IFERROR(__xludf.DUMMYFUNCTION("""COMPUTED_VALUE"""),"✴️")</f>
        <v>✴️</v>
      </c>
      <c r="M28" s="288" t="str">
        <f>IFERROR(__xludf.DUMMYFUNCTION("""COMPUTED_VALUE"""),"✴️")</f>
        <v>✴️</v>
      </c>
      <c r="N28" s="288" t="str">
        <f>IFERROR(__xludf.DUMMYFUNCTION("""COMPUTED_VALUE"""),"✴️")</f>
        <v>✴️</v>
      </c>
      <c r="O28" s="288" t="str">
        <f>IFERROR(__xludf.DUMMYFUNCTION("""COMPUTED_VALUE"""),"✴️")</f>
        <v>✴️</v>
      </c>
      <c r="P28" s="288" t="str">
        <f>IFERROR(__xludf.DUMMYFUNCTION("""COMPUTED_VALUE"""),"✴️")</f>
        <v>✴️</v>
      </c>
      <c r="Q28" s="288" t="str">
        <f>IFERROR(__xludf.DUMMYFUNCTION("""COMPUTED_VALUE"""),"✴️")</f>
        <v>✴️</v>
      </c>
      <c r="R28" s="257" t="str">
        <f>IFERROR(__xludf.DUMMYFUNCTION("""COMPUTED_VALUE"""),"   ✴️")</f>
        <v>✴️</v>
      </c>
      <c r="S28" s="258" t="str">
        <f>IFERROR(__xludf.DUMMYFUNCTION("""COMPUTED_VALUE"""),"SelfInterceptor")</f>
        <v>SelfInterceptor</v>
      </c>
      <c r="T28" s="255" t="str">
        <f>IFERROR(__xludf.DUMMYFUNCTION("""COMPUTED_VALUE"""),"➖")</f>
        <v>➖</v>
      </c>
      <c r="U28" s="255" t="str">
        <f>IFERROR(__xludf.DUMMYFUNCTION("""COMPUTED_VALUE"""),"➖")</f>
        <v>➖</v>
      </c>
      <c r="V28" s="259"/>
      <c r="W28" s="286"/>
      <c r="X28" s="286"/>
      <c r="Y28" s="286"/>
    </row>
    <row r="29">
      <c r="A29" s="28"/>
      <c r="B29" s="128"/>
      <c r="C29" s="28"/>
      <c r="D29" s="250" t="str">
        <f>IFERROR(__xludf.DUMMYFUNCTION("""COMPUTED_VALUE"""),"   U")</f>
        <v>U</v>
      </c>
      <c r="E29" s="280" t="str">
        <f>IFERROR(__xludf.DUMMYFUNCTION("""COMPUTED_VALUE"""),"M'RAL")</f>
        <v>M'RAL</v>
      </c>
      <c r="F29" s="271" t="str">
        <f>IFERROR(__xludf.DUMMYFUNCTION("""COMPUTED_VALUE"""),"CM")</f>
        <v>CM</v>
      </c>
      <c r="G29" s="281" t="str">
        <f>IFERROR(__xludf.DUMMYFUNCTION("""COMPUTED_VALUE"""),"✅")</f>
        <v>✅</v>
      </c>
      <c r="H29" s="281" t="str">
        <f>IFERROR(__xludf.DUMMYFUNCTION("""COMPUTED_VALUE"""),"✅")</f>
        <v>✅</v>
      </c>
      <c r="I29" s="281" t="str">
        <f>IFERROR(__xludf.DUMMYFUNCTION("""COMPUTED_VALUE"""),"✅")</f>
        <v>✅</v>
      </c>
      <c r="J29" s="281" t="str">
        <f>IFERROR(__xludf.DUMMYFUNCTION("""COMPUTED_VALUE"""),"✅")</f>
        <v>✅</v>
      </c>
      <c r="K29" s="282" t="str">
        <f>IFERROR(__xludf.DUMMYFUNCTION("""COMPUTED_VALUE"""),"✅")</f>
        <v>✅</v>
      </c>
      <c r="L29" s="282" t="str">
        <f>IFERROR(__xludf.DUMMYFUNCTION("""COMPUTED_VALUE"""),"✅")</f>
        <v>✅</v>
      </c>
      <c r="M29" s="282" t="str">
        <f>IFERROR(__xludf.DUMMYFUNCTION("""COMPUTED_VALUE"""),"✅")</f>
        <v>✅</v>
      </c>
      <c r="N29" s="282" t="str">
        <f>IFERROR(__xludf.DUMMYFUNCTION("""COMPUTED_VALUE"""),"✅")</f>
        <v>✅</v>
      </c>
      <c r="O29" s="282" t="str">
        <f>IFERROR(__xludf.DUMMYFUNCTION("""COMPUTED_VALUE"""),"✅")</f>
        <v>✅</v>
      </c>
      <c r="P29" s="282" t="str">
        <f>IFERROR(__xludf.DUMMYFUNCTION("""COMPUTED_VALUE"""),"✅")</f>
        <v>✅</v>
      </c>
      <c r="Q29" s="282" t="str">
        <f>IFERROR(__xludf.DUMMYFUNCTION("""COMPUTED_VALUE"""),"✅")</f>
        <v>✅</v>
      </c>
      <c r="R29" s="283" t="str">
        <f>IFERROR(__xludf.DUMMYFUNCTION("""COMPUTED_VALUE"""),"   ✅")</f>
        <v>✅</v>
      </c>
      <c r="S29" s="284"/>
      <c r="T29" s="285" t="str">
        <f>IFERROR(__xludf.DUMMYFUNCTION("""COMPUTED_VALUE"""),"➖")</f>
        <v>➖</v>
      </c>
      <c r="U29" s="285" t="str">
        <f>IFERROR(__xludf.DUMMYFUNCTION("""COMPUTED_VALUE"""),"➖")</f>
        <v>➖</v>
      </c>
      <c r="V29" s="259"/>
      <c r="W29" s="286"/>
      <c r="X29" s="286"/>
      <c r="Y29" s="286"/>
    </row>
    <row r="30">
      <c r="A30" s="28"/>
      <c r="B30" s="132"/>
      <c r="C30" s="28"/>
      <c r="D30" s="260" t="str">
        <f>IFERROR(__xludf.DUMMYFUNCTION("""COMPUTED_VALUE"""),"   U")</f>
        <v>U</v>
      </c>
      <c r="E30" s="287" t="str">
        <f>IFERROR(__xludf.DUMMYFUNCTION("""COMPUTED_VALUE"""),"M'RAL")</f>
        <v>M'RAL</v>
      </c>
      <c r="F30" s="270" t="str">
        <f>IFERROR(__xludf.DUMMYFUNCTION("""COMPUTED_VALUE"""),"OA")</f>
        <v>OA</v>
      </c>
      <c r="G30" s="231" t="str">
        <f>IFERROR(__xludf.DUMMYFUNCTION("""COMPUTED_VALUE"""),"✅")</f>
        <v>✅</v>
      </c>
      <c r="H30" s="231" t="str">
        <f>IFERROR(__xludf.DUMMYFUNCTION("""COMPUTED_VALUE"""),"✅")</f>
        <v>✅</v>
      </c>
      <c r="I30" s="231" t="str">
        <f>IFERROR(__xludf.DUMMYFUNCTION("""COMPUTED_VALUE"""),"✅")</f>
        <v>✅</v>
      </c>
      <c r="J30" s="231" t="str">
        <f>IFERROR(__xludf.DUMMYFUNCTION("""COMPUTED_VALUE"""),"✅")</f>
        <v>✅</v>
      </c>
      <c r="K30" s="288" t="str">
        <f>IFERROR(__xludf.DUMMYFUNCTION("""COMPUTED_VALUE"""),"✅")</f>
        <v>✅</v>
      </c>
      <c r="L30" s="288" t="str">
        <f>IFERROR(__xludf.DUMMYFUNCTION("""COMPUTED_VALUE"""),"✅")</f>
        <v>✅</v>
      </c>
      <c r="M30" s="288" t="str">
        <f>IFERROR(__xludf.DUMMYFUNCTION("""COMPUTED_VALUE"""),"✅")</f>
        <v>✅</v>
      </c>
      <c r="N30" s="288" t="str">
        <f>IFERROR(__xludf.DUMMYFUNCTION("""COMPUTED_VALUE"""),"✅")</f>
        <v>✅</v>
      </c>
      <c r="O30" s="288" t="str">
        <f>IFERROR(__xludf.DUMMYFUNCTION("""COMPUTED_VALUE"""),"✅")</f>
        <v>✅</v>
      </c>
      <c r="P30" s="288" t="str">
        <f>IFERROR(__xludf.DUMMYFUNCTION("""COMPUTED_VALUE"""),"✅")</f>
        <v>✅</v>
      </c>
      <c r="Q30" s="288" t="str">
        <f>IFERROR(__xludf.DUMMYFUNCTION("""COMPUTED_VALUE"""),"✅")</f>
        <v>✅</v>
      </c>
      <c r="R30" s="257" t="str">
        <f>IFERROR(__xludf.DUMMYFUNCTION("""COMPUTED_VALUE"""),"   ✅")</f>
        <v>✅</v>
      </c>
      <c r="S30" s="258"/>
      <c r="T30" s="255" t="str">
        <f>IFERROR(__xludf.DUMMYFUNCTION("""COMPUTED_VALUE"""),"➖")</f>
        <v>➖</v>
      </c>
      <c r="U30" s="255" t="str">
        <f>IFERROR(__xludf.DUMMYFUNCTION("""COMPUTED_VALUE"""),"➖")</f>
        <v>➖</v>
      </c>
      <c r="V30" s="259"/>
      <c r="W30" s="286"/>
      <c r="X30" s="286"/>
      <c r="Y30" s="286"/>
    </row>
    <row r="31">
      <c r="A31" s="28"/>
      <c r="B31" s="128"/>
      <c r="C31" s="28"/>
      <c r="D31" s="250" t="str">
        <f>IFERROR(__xludf.DUMMYFUNCTION("""COMPUTED_VALUE"""),"   E")</f>
        <v>E</v>
      </c>
      <c r="E31" s="280" t="str">
        <f>IFERROR(__xludf.DUMMYFUNCTION("""COMPUTED_VALUE"""),"NERO")</f>
        <v>NERO</v>
      </c>
      <c r="F31" s="271" t="str">
        <f>IFERROR(__xludf.DUMMYFUNCTION("""COMPUTED_VALUE"""),"CM")</f>
        <v>CM</v>
      </c>
      <c r="G31" s="281" t="str">
        <f>IFERROR(__xludf.DUMMYFUNCTION("""COMPUTED_VALUE"""),"✴️")</f>
        <v>✴️</v>
      </c>
      <c r="H31" s="281" t="str">
        <f>IFERROR(__xludf.DUMMYFUNCTION("""COMPUTED_VALUE"""),"✴️")</f>
        <v>✴️</v>
      </c>
      <c r="I31" s="281" t="str">
        <f>IFERROR(__xludf.DUMMYFUNCTION("""COMPUTED_VALUE"""),"✴️")</f>
        <v>✴️</v>
      </c>
      <c r="J31" s="281" t="str">
        <f>IFERROR(__xludf.DUMMYFUNCTION("""COMPUTED_VALUE"""),"✴️")</f>
        <v>✴️</v>
      </c>
      <c r="K31" s="282" t="str">
        <f>IFERROR(__xludf.DUMMYFUNCTION("""COMPUTED_VALUE"""),"✴️")</f>
        <v>✴️</v>
      </c>
      <c r="L31" s="282" t="str">
        <f>IFERROR(__xludf.DUMMYFUNCTION("""COMPUTED_VALUE"""),"✴️")</f>
        <v>✴️</v>
      </c>
      <c r="M31" s="282" t="str">
        <f>IFERROR(__xludf.DUMMYFUNCTION("""COMPUTED_VALUE"""),"✴️")</f>
        <v>✴️</v>
      </c>
      <c r="N31" s="282" t="str">
        <f>IFERROR(__xludf.DUMMYFUNCTION("""COMPUTED_VALUE"""),"✴️")</f>
        <v>✴️</v>
      </c>
      <c r="O31" s="282" t="str">
        <f>IFERROR(__xludf.DUMMYFUNCTION("""COMPUTED_VALUE"""),"✴️")</f>
        <v>✴️</v>
      </c>
      <c r="P31" s="282" t="str">
        <f>IFERROR(__xludf.DUMMYFUNCTION("""COMPUTED_VALUE"""),"✴️")</f>
        <v>✴️</v>
      </c>
      <c r="Q31" s="282" t="str">
        <f>IFERROR(__xludf.DUMMYFUNCTION("""COMPUTED_VALUE"""),"✴️")</f>
        <v>✴️</v>
      </c>
      <c r="R31" s="283" t="str">
        <f>IFERROR(__xludf.DUMMYFUNCTION("""COMPUTED_VALUE"""),"   ✴️")</f>
        <v>✴️</v>
      </c>
      <c r="S31" s="284" t="str">
        <f>IFERROR(__xludf.DUMMYFUNCTION("""COMPUTED_VALUE"""),"TargetHasBurning")</f>
        <v>TargetHasBurning</v>
      </c>
      <c r="T31" s="285" t="str">
        <f>IFERROR(__xludf.DUMMYFUNCTION("""COMPUTED_VALUE"""),"➖")</f>
        <v>➖</v>
      </c>
      <c r="U31" s="285" t="str">
        <f>IFERROR(__xludf.DUMMYFUNCTION("""COMPUTED_VALUE"""),"➖")</f>
        <v>➖</v>
      </c>
      <c r="V31" s="259"/>
      <c r="W31" s="286"/>
      <c r="X31" s="286"/>
      <c r="Y31" s="286"/>
    </row>
    <row r="32">
      <c r="A32" s="28"/>
      <c r="B32" s="132"/>
      <c r="C32" s="28"/>
      <c r="D32" s="260" t="str">
        <f>IFERROR(__xludf.DUMMYFUNCTION("""COMPUTED_VALUE"""),"   E")</f>
        <v>E</v>
      </c>
      <c r="E32" s="287" t="str">
        <f>IFERROR(__xludf.DUMMYFUNCTION("""COMPUTED_VALUE"""),"NERO")</f>
        <v>NERO</v>
      </c>
      <c r="F32" s="270" t="str">
        <f>IFERROR(__xludf.DUMMYFUNCTION("""COMPUTED_VALUE"""),"OA")</f>
        <v>OA</v>
      </c>
      <c r="G32" s="231" t="str">
        <f>IFERROR(__xludf.DUMMYFUNCTION("""COMPUTED_VALUE"""),"✅")</f>
        <v>✅</v>
      </c>
      <c r="H32" s="231" t="str">
        <f>IFERROR(__xludf.DUMMYFUNCTION("""COMPUTED_VALUE"""),"✅")</f>
        <v>✅</v>
      </c>
      <c r="I32" s="231" t="str">
        <f>IFERROR(__xludf.DUMMYFUNCTION("""COMPUTED_VALUE"""),"✅")</f>
        <v>✅</v>
      </c>
      <c r="J32" s="231" t="str">
        <f>IFERROR(__xludf.DUMMYFUNCTION("""COMPUTED_VALUE"""),"✅")</f>
        <v>✅</v>
      </c>
      <c r="K32" s="288" t="str">
        <f>IFERROR(__xludf.DUMMYFUNCTION("""COMPUTED_VALUE"""),"✅")</f>
        <v>✅</v>
      </c>
      <c r="L32" s="288" t="str">
        <f>IFERROR(__xludf.DUMMYFUNCTION("""COMPUTED_VALUE"""),"✅")</f>
        <v>✅</v>
      </c>
      <c r="M32" s="288" t="str">
        <f>IFERROR(__xludf.DUMMYFUNCTION("""COMPUTED_VALUE"""),"✅")</f>
        <v>✅</v>
      </c>
      <c r="N32" s="288" t="str">
        <f>IFERROR(__xludf.DUMMYFUNCTION("""COMPUTED_VALUE"""),"✅")</f>
        <v>✅</v>
      </c>
      <c r="O32" s="288" t="str">
        <f>IFERROR(__xludf.DUMMYFUNCTION("""COMPUTED_VALUE"""),"✅")</f>
        <v>✅</v>
      </c>
      <c r="P32" s="288" t="str">
        <f>IFERROR(__xludf.DUMMYFUNCTION("""COMPUTED_VALUE"""),"✅")</f>
        <v>✅</v>
      </c>
      <c r="Q32" s="288" t="str">
        <f>IFERROR(__xludf.DUMMYFUNCTION("""COMPUTED_VALUE"""),"✅")</f>
        <v>✅</v>
      </c>
      <c r="R32" s="257" t="str">
        <f>IFERROR(__xludf.DUMMYFUNCTION("""COMPUTED_VALUE"""),"   ✅")</f>
        <v>✅</v>
      </c>
      <c r="S32" s="258"/>
      <c r="T32" s="255" t="str">
        <f>IFERROR(__xludf.DUMMYFUNCTION("""COMPUTED_VALUE"""),"➖")</f>
        <v>➖</v>
      </c>
      <c r="U32" s="255" t="str">
        <f>IFERROR(__xludf.DUMMYFUNCTION("""COMPUTED_VALUE"""),"➖")</f>
        <v>➖</v>
      </c>
      <c r="V32" s="259"/>
      <c r="W32" s="286"/>
      <c r="X32" s="286"/>
      <c r="Y32" s="286"/>
    </row>
    <row r="33">
      <c r="A33" s="28"/>
      <c r="B33" s="128"/>
      <c r="C33" s="28"/>
      <c r="D33" s="250" t="str">
        <f>IFERROR(__xludf.DUMMYFUNCTION("""COMPUTED_VALUE"""),"   R")</f>
        <v>R</v>
      </c>
      <c r="E33" s="280" t="str">
        <f>IFERROR(__xludf.DUMMYFUNCTION("""COMPUTED_VALUE"""),"VEMET")</f>
        <v>VEMET</v>
      </c>
      <c r="F33" s="271" t="str">
        <f>IFERROR(__xludf.DUMMYFUNCTION("""COMPUTED_VALUE"""),"CM")</f>
        <v>CM</v>
      </c>
      <c r="G33" s="281" t="str">
        <f>IFERROR(__xludf.DUMMYFUNCTION("""COMPUTED_VALUE"""),"✅")</f>
        <v>✅</v>
      </c>
      <c r="H33" s="281" t="str">
        <f>IFERROR(__xludf.DUMMYFUNCTION("""COMPUTED_VALUE"""),"✅")</f>
        <v>✅</v>
      </c>
      <c r="I33" s="281" t="str">
        <f>IFERROR(__xludf.DUMMYFUNCTION("""COMPUTED_VALUE"""),"✅")</f>
        <v>✅</v>
      </c>
      <c r="J33" s="281" t="str">
        <f>IFERROR(__xludf.DUMMYFUNCTION("""COMPUTED_VALUE"""),"✅")</f>
        <v>✅</v>
      </c>
      <c r="K33" s="282" t="str">
        <f>IFERROR(__xludf.DUMMYFUNCTION("""COMPUTED_VALUE"""),"✅")</f>
        <v>✅</v>
      </c>
      <c r="L33" s="282" t="str">
        <f>IFERROR(__xludf.DUMMYFUNCTION("""COMPUTED_VALUE"""),"✅")</f>
        <v>✅</v>
      </c>
      <c r="M33" s="282" t="str">
        <f>IFERROR(__xludf.DUMMYFUNCTION("""COMPUTED_VALUE"""),"✅")</f>
        <v>✅</v>
      </c>
      <c r="N33" s="282" t="str">
        <f>IFERROR(__xludf.DUMMYFUNCTION("""COMPUTED_VALUE"""),"✅")</f>
        <v>✅</v>
      </c>
      <c r="O33" s="282" t="str">
        <f>IFERROR(__xludf.DUMMYFUNCTION("""COMPUTED_VALUE"""),"✅")</f>
        <v>✅</v>
      </c>
      <c r="P33" s="282" t="str">
        <f>IFERROR(__xludf.DUMMYFUNCTION("""COMPUTED_VALUE"""),"✅")</f>
        <v>✅</v>
      </c>
      <c r="Q33" s="282" t="str">
        <f>IFERROR(__xludf.DUMMYFUNCTION("""COMPUTED_VALUE"""),"✅")</f>
        <v>✅</v>
      </c>
      <c r="R33" s="283" t="str">
        <f>IFERROR(__xludf.DUMMYFUNCTION("""COMPUTED_VALUE"""),"   ✅")</f>
        <v>✅</v>
      </c>
      <c r="S33" s="284"/>
      <c r="T33" s="285" t="str">
        <f>IFERROR(__xludf.DUMMYFUNCTION("""COMPUTED_VALUE"""),"➖")</f>
        <v>➖</v>
      </c>
      <c r="U33" s="285" t="str">
        <f>IFERROR(__xludf.DUMMYFUNCTION("""COMPUTED_VALUE"""),"➖")</f>
        <v>➖</v>
      </c>
      <c r="V33" s="259"/>
      <c r="W33" s="286"/>
      <c r="X33" s="286"/>
      <c r="Y33" s="286"/>
    </row>
    <row r="34">
      <c r="A34" s="28"/>
      <c r="B34" s="132"/>
      <c r="C34" s="28"/>
      <c r="D34" s="260" t="str">
        <f>IFERROR(__xludf.DUMMYFUNCTION("""COMPUTED_VALUE"""),"   R")</f>
        <v>R</v>
      </c>
      <c r="E34" s="287" t="str">
        <f>IFERROR(__xludf.DUMMYFUNCTION("""COMPUTED_VALUE"""),"VEMET")</f>
        <v>VEMET</v>
      </c>
      <c r="F34" s="270" t="str">
        <f>IFERROR(__xludf.DUMMYFUNCTION("""COMPUTED_VALUE"""),"OA")</f>
        <v>OA</v>
      </c>
      <c r="G34" s="231" t="str">
        <f>IFERROR(__xludf.DUMMYFUNCTION("""COMPUTED_VALUE"""),"✴️")</f>
        <v>✴️</v>
      </c>
      <c r="H34" s="231" t="str">
        <f>IFERROR(__xludf.DUMMYFUNCTION("""COMPUTED_VALUE"""),"✴️")</f>
        <v>✴️</v>
      </c>
      <c r="I34" s="231" t="str">
        <f>IFERROR(__xludf.DUMMYFUNCTION("""COMPUTED_VALUE"""),"✴️")</f>
        <v>✴️</v>
      </c>
      <c r="J34" s="231" t="str">
        <f>IFERROR(__xludf.DUMMYFUNCTION("""COMPUTED_VALUE"""),"✴️")</f>
        <v>✴️</v>
      </c>
      <c r="K34" s="288" t="str">
        <f>IFERROR(__xludf.DUMMYFUNCTION("""COMPUTED_VALUE"""),"✴️")</f>
        <v>✴️</v>
      </c>
      <c r="L34" s="288" t="str">
        <f>IFERROR(__xludf.DUMMYFUNCTION("""COMPUTED_VALUE"""),"✴️")</f>
        <v>✴️</v>
      </c>
      <c r="M34" s="288" t="str">
        <f>IFERROR(__xludf.DUMMYFUNCTION("""COMPUTED_VALUE"""),"✴️")</f>
        <v>✴️</v>
      </c>
      <c r="N34" s="288" t="str">
        <f>IFERROR(__xludf.DUMMYFUNCTION("""COMPUTED_VALUE"""),"✴️")</f>
        <v>✴️</v>
      </c>
      <c r="O34" s="288" t="str">
        <f>IFERROR(__xludf.DUMMYFUNCTION("""COMPUTED_VALUE"""),"✴️")</f>
        <v>✴️</v>
      </c>
      <c r="P34" s="288" t="str">
        <f>IFERROR(__xludf.DUMMYFUNCTION("""COMPUTED_VALUE"""),"✴️")</f>
        <v>✴️</v>
      </c>
      <c r="Q34" s="288" t="str">
        <f>IFERROR(__xludf.DUMMYFUNCTION("""COMPUTED_VALUE"""),"✴️")</f>
        <v>✴️</v>
      </c>
      <c r="R34" s="257" t="str">
        <f>IFERROR(__xludf.DUMMYFUNCTION("""COMPUTED_VALUE"""),"   ✴️")</f>
        <v>✴️</v>
      </c>
      <c r="S34" s="258" t="str">
        <f>IFERROR(__xludf.DUMMYFUNCTION("""COMPUTED_VALUE"""),"TargetHasBurning")</f>
        <v>TargetHasBurning</v>
      </c>
      <c r="T34" s="255" t="str">
        <f>IFERROR(__xludf.DUMMYFUNCTION("""COMPUTED_VALUE"""),"➖")</f>
        <v>➖</v>
      </c>
      <c r="U34" s="255" t="str">
        <f>IFERROR(__xludf.DUMMYFUNCTION("""COMPUTED_VALUE"""),"➖")</f>
        <v>➖</v>
      </c>
      <c r="V34" s="259"/>
      <c r="W34" s="286"/>
      <c r="X34" s="286"/>
      <c r="Y34" s="286"/>
    </row>
    <row r="35">
      <c r="A35" s="28"/>
      <c r="B35" s="128"/>
      <c r="C35" s="28"/>
      <c r="D35" s="250" t="str">
        <f>IFERROR(__xludf.DUMMYFUNCTION("""COMPUTED_VALUE"""),"   R")</f>
        <v>R</v>
      </c>
      <c r="E35" s="280" t="str">
        <f>IFERROR(__xludf.DUMMYFUNCTION("""COMPUTED_VALUE"""),"KUMAK")</f>
        <v>KUMAK</v>
      </c>
      <c r="F35" s="271" t="str">
        <f>IFERROR(__xludf.DUMMYFUNCTION("""COMPUTED_VALUE"""),"CM")</f>
        <v>CM</v>
      </c>
      <c r="G35" s="281" t="str">
        <f>IFERROR(__xludf.DUMMYFUNCTION("""COMPUTED_VALUE"""),"✅")</f>
        <v>✅</v>
      </c>
      <c r="H35" s="281" t="str">
        <f>IFERROR(__xludf.DUMMYFUNCTION("""COMPUTED_VALUE"""),"✅")</f>
        <v>✅</v>
      </c>
      <c r="I35" s="281" t="str">
        <f>IFERROR(__xludf.DUMMYFUNCTION("""COMPUTED_VALUE"""),"✅")</f>
        <v>✅</v>
      </c>
      <c r="J35" s="281" t="str">
        <f>IFERROR(__xludf.DUMMYFUNCTION("""COMPUTED_VALUE"""),"✅")</f>
        <v>✅</v>
      </c>
      <c r="K35" s="282" t="str">
        <f>IFERROR(__xludf.DUMMYFUNCTION("""COMPUTED_VALUE"""),"✅")</f>
        <v>✅</v>
      </c>
      <c r="L35" s="282" t="str">
        <f>IFERROR(__xludf.DUMMYFUNCTION("""COMPUTED_VALUE"""),"✅")</f>
        <v>✅</v>
      </c>
      <c r="M35" s="282" t="str">
        <f>IFERROR(__xludf.DUMMYFUNCTION("""COMPUTED_VALUE"""),"✅")</f>
        <v>✅</v>
      </c>
      <c r="N35" s="282" t="str">
        <f>IFERROR(__xludf.DUMMYFUNCTION("""COMPUTED_VALUE"""),"✅")</f>
        <v>✅</v>
      </c>
      <c r="O35" s="282" t="str">
        <f>IFERROR(__xludf.DUMMYFUNCTION("""COMPUTED_VALUE"""),"✅")</f>
        <v>✅</v>
      </c>
      <c r="P35" s="282" t="str">
        <f>IFERROR(__xludf.DUMMYFUNCTION("""COMPUTED_VALUE"""),"✅")</f>
        <v>✅</v>
      </c>
      <c r="Q35" s="282" t="str">
        <f>IFERROR(__xludf.DUMMYFUNCTION("""COMPUTED_VALUE"""),"✅")</f>
        <v>✅</v>
      </c>
      <c r="R35" s="283" t="str">
        <f>IFERROR(__xludf.DUMMYFUNCTION("""COMPUTED_VALUE"""),"   ✅")</f>
        <v>✅</v>
      </c>
      <c r="S35" s="284"/>
      <c r="T35" s="285" t="str">
        <f>IFERROR(__xludf.DUMMYFUNCTION("""COMPUTED_VALUE"""),"➖")</f>
        <v>➖</v>
      </c>
      <c r="U35" s="285" t="str">
        <f>IFERROR(__xludf.DUMMYFUNCTION("""COMPUTED_VALUE"""),"➖")</f>
        <v>➖</v>
      </c>
      <c r="V35" s="259"/>
      <c r="W35" s="286"/>
      <c r="X35" s="286"/>
      <c r="Y35" s="286"/>
    </row>
    <row r="36">
      <c r="A36" s="28"/>
      <c r="B36" s="132"/>
      <c r="C36" s="28"/>
      <c r="D36" s="260" t="str">
        <f>IFERROR(__xludf.DUMMYFUNCTION("""COMPUTED_VALUE"""),"   R")</f>
        <v>R</v>
      </c>
      <c r="E36" s="287" t="str">
        <f>IFERROR(__xludf.DUMMYFUNCTION("""COMPUTED_VALUE"""),"KUMAK")</f>
        <v>KUMAK</v>
      </c>
      <c r="F36" s="270" t="str">
        <f>IFERROR(__xludf.DUMMYFUNCTION("""COMPUTED_VALUE"""),"OA")</f>
        <v>OA</v>
      </c>
      <c r="G36" s="231" t="str">
        <f>IFERROR(__xludf.DUMMYFUNCTION("""COMPUTED_VALUE"""),"✴️")</f>
        <v>✴️</v>
      </c>
      <c r="H36" s="231" t="str">
        <f>IFERROR(__xludf.DUMMYFUNCTION("""COMPUTED_VALUE"""),"✴️")</f>
        <v>✴️</v>
      </c>
      <c r="I36" s="231" t="str">
        <f>IFERROR(__xludf.DUMMYFUNCTION("""COMPUTED_VALUE"""),"✴️")</f>
        <v>✴️</v>
      </c>
      <c r="J36" s="231" t="str">
        <f>IFERROR(__xludf.DUMMYFUNCTION("""COMPUTED_VALUE"""),"✴️")</f>
        <v>✴️</v>
      </c>
      <c r="K36" s="288" t="str">
        <f>IFERROR(__xludf.DUMMYFUNCTION("""COMPUTED_VALUE"""),"✴️")</f>
        <v>✴️</v>
      </c>
      <c r="L36" s="288" t="str">
        <f>IFERROR(__xludf.DUMMYFUNCTION("""COMPUTED_VALUE"""),"✴️")</f>
        <v>✴️</v>
      </c>
      <c r="M36" s="288" t="str">
        <f>IFERROR(__xludf.DUMMYFUNCTION("""COMPUTED_VALUE"""),"✴️")</f>
        <v>✴️</v>
      </c>
      <c r="N36" s="288" t="str">
        <f>IFERROR(__xludf.DUMMYFUNCTION("""COMPUTED_VALUE"""),"✴️")</f>
        <v>✴️</v>
      </c>
      <c r="O36" s="288" t="str">
        <f>IFERROR(__xludf.DUMMYFUNCTION("""COMPUTED_VALUE"""),"✴️")</f>
        <v>✴️</v>
      </c>
      <c r="P36" s="288" t="str">
        <f>IFERROR(__xludf.DUMMYFUNCTION("""COMPUTED_VALUE"""),"✴️")</f>
        <v>✴️</v>
      </c>
      <c r="Q36" s="288" t="str">
        <f>IFERROR(__xludf.DUMMYFUNCTION("""COMPUTED_VALUE"""),"✴️")</f>
        <v>✴️</v>
      </c>
      <c r="R36" s="257" t="str">
        <f>IFERROR(__xludf.DUMMYFUNCTION("""COMPUTED_VALUE"""),"   ✴️")</f>
        <v>✴️</v>
      </c>
      <c r="S36" s="258" t="str">
        <f>IFERROR(__xludf.DUMMYFUNCTION("""COMPUTED_VALUE"""),"TargetHasBurning")</f>
        <v>TargetHasBurning</v>
      </c>
      <c r="T36" s="255" t="str">
        <f>IFERROR(__xludf.DUMMYFUNCTION("""COMPUTED_VALUE"""),"➖")</f>
        <v>➖</v>
      </c>
      <c r="U36" s="255" t="str">
        <f>IFERROR(__xludf.DUMMYFUNCTION("""COMPUTED_VALUE"""),"➖")</f>
        <v>➖</v>
      </c>
      <c r="V36" s="259"/>
      <c r="W36" s="286"/>
      <c r="X36" s="286"/>
      <c r="Y36" s="286"/>
    </row>
    <row r="37">
      <c r="A37" s="28"/>
      <c r="B37" s="128"/>
      <c r="C37" s="28"/>
      <c r="D37" s="250" t="str">
        <f>IFERROR(__xludf.DUMMYFUNCTION("""COMPUTED_VALUE"""),"   R")</f>
        <v>R</v>
      </c>
      <c r="E37" s="280" t="str">
        <f>IFERROR(__xludf.DUMMYFUNCTION("""COMPUTED_VALUE"""),"LIVIS")</f>
        <v>LIVIS</v>
      </c>
      <c r="F37" s="271" t="str">
        <f>IFERROR(__xludf.DUMMYFUNCTION("""COMPUTED_VALUE"""),"CM")</f>
        <v>CM</v>
      </c>
      <c r="G37" s="281" t="str">
        <f>IFERROR(__xludf.DUMMYFUNCTION("""COMPUTED_VALUE"""),"➖")</f>
        <v>➖</v>
      </c>
      <c r="H37" s="281" t="str">
        <f>IFERROR(__xludf.DUMMYFUNCTION("""COMPUTED_VALUE"""),"➖")</f>
        <v>➖</v>
      </c>
      <c r="I37" s="281" t="str">
        <f>IFERROR(__xludf.DUMMYFUNCTION("""COMPUTED_VALUE"""),"➖")</f>
        <v>➖</v>
      </c>
      <c r="J37" s="281" t="str">
        <f>IFERROR(__xludf.DUMMYFUNCTION("""COMPUTED_VALUE"""),"➖")</f>
        <v>➖</v>
      </c>
      <c r="K37" s="282" t="str">
        <f>IFERROR(__xludf.DUMMYFUNCTION("""COMPUTED_VALUE"""),"➖")</f>
        <v>➖</v>
      </c>
      <c r="L37" s="282" t="str">
        <f>IFERROR(__xludf.DUMMYFUNCTION("""COMPUTED_VALUE"""),"➖")</f>
        <v>➖</v>
      </c>
      <c r="M37" s="282" t="str">
        <f>IFERROR(__xludf.DUMMYFUNCTION("""COMPUTED_VALUE"""),"➖")</f>
        <v>➖</v>
      </c>
      <c r="N37" s="282" t="str">
        <f>IFERROR(__xludf.DUMMYFUNCTION("""COMPUTED_VALUE"""),"➖")</f>
        <v>➖</v>
      </c>
      <c r="O37" s="282" t="str">
        <f>IFERROR(__xludf.DUMMYFUNCTION("""COMPUTED_VALUE"""),"➖")</f>
        <v>➖</v>
      </c>
      <c r="P37" s="282" t="str">
        <f>IFERROR(__xludf.DUMMYFUNCTION("""COMPUTED_VALUE"""),"➖")</f>
        <v>➖</v>
      </c>
      <c r="Q37" s="282" t="str">
        <f>IFERROR(__xludf.DUMMYFUNCTION("""COMPUTED_VALUE"""),"➖")</f>
        <v>➖</v>
      </c>
      <c r="R37" s="283" t="str">
        <f>IFERROR(__xludf.DUMMYFUNCTION("""COMPUTED_VALUE"""),"   ➖")</f>
        <v>➖</v>
      </c>
      <c r="S37" s="284"/>
      <c r="T37" s="285" t="str">
        <f>IFERROR(__xludf.DUMMYFUNCTION("""COMPUTED_VALUE"""),"➖")</f>
        <v>➖</v>
      </c>
      <c r="U37" s="285" t="str">
        <f>IFERROR(__xludf.DUMMYFUNCTION("""COMPUTED_VALUE"""),"✅")</f>
        <v>✅</v>
      </c>
      <c r="V37" s="259"/>
      <c r="W37" s="286"/>
      <c r="X37" s="286"/>
      <c r="Y37" s="286"/>
    </row>
    <row r="38">
      <c r="A38" s="28"/>
      <c r="B38" s="132"/>
      <c r="C38" s="28"/>
      <c r="D38" s="260" t="str">
        <f>IFERROR(__xludf.DUMMYFUNCTION("""COMPUTED_VALUE"""),"   R")</f>
        <v>R</v>
      </c>
      <c r="E38" s="287" t="str">
        <f>IFERROR(__xludf.DUMMYFUNCTION("""COMPUTED_VALUE"""),"LIVIS")</f>
        <v>LIVIS</v>
      </c>
      <c r="F38" s="270" t="str">
        <f>IFERROR(__xludf.DUMMYFUNCTION("""COMPUTED_VALUE"""),"OA")</f>
        <v>OA</v>
      </c>
      <c r="G38" s="231" t="str">
        <f>IFERROR(__xludf.DUMMYFUNCTION("""COMPUTED_VALUE"""),"✴️")</f>
        <v>✴️</v>
      </c>
      <c r="H38" s="231" t="str">
        <f>IFERROR(__xludf.DUMMYFUNCTION("""COMPUTED_VALUE"""),"✴️")</f>
        <v>✴️</v>
      </c>
      <c r="I38" s="231" t="str">
        <f>IFERROR(__xludf.DUMMYFUNCTION("""COMPUTED_VALUE"""),"✴️")</f>
        <v>✴️</v>
      </c>
      <c r="J38" s="231" t="str">
        <f>IFERROR(__xludf.DUMMYFUNCTION("""COMPUTED_VALUE"""),"✴️")</f>
        <v>✴️</v>
      </c>
      <c r="K38" s="288" t="str">
        <f>IFERROR(__xludf.DUMMYFUNCTION("""COMPUTED_VALUE"""),"✴️")</f>
        <v>✴️</v>
      </c>
      <c r="L38" s="288" t="str">
        <f>IFERROR(__xludf.DUMMYFUNCTION("""COMPUTED_VALUE"""),"✴️")</f>
        <v>✴️</v>
      </c>
      <c r="M38" s="288" t="str">
        <f>IFERROR(__xludf.DUMMYFUNCTION("""COMPUTED_VALUE"""),"✴️")</f>
        <v>✴️</v>
      </c>
      <c r="N38" s="288" t="str">
        <f>IFERROR(__xludf.DUMMYFUNCTION("""COMPUTED_VALUE"""),"✴️")</f>
        <v>✴️</v>
      </c>
      <c r="O38" s="288" t="str">
        <f>IFERROR(__xludf.DUMMYFUNCTION("""COMPUTED_VALUE"""),"✴️")</f>
        <v>✴️</v>
      </c>
      <c r="P38" s="288" t="str">
        <f>IFERROR(__xludf.DUMMYFUNCTION("""COMPUTED_VALUE"""),"✴️")</f>
        <v>✴️</v>
      </c>
      <c r="Q38" s="288" t="str">
        <f>IFERROR(__xludf.DUMMYFUNCTION("""COMPUTED_VALUE"""),"✴️")</f>
        <v>✴️</v>
      </c>
      <c r="R38" s="257" t="str">
        <f>IFERROR(__xludf.DUMMYFUNCTION("""COMPUTED_VALUE"""),"   ✴️")</f>
        <v>✴️</v>
      </c>
      <c r="S38" s="258" t="str">
        <f>IFERROR(__xludf.DUMMYFUNCTION("""COMPUTED_VALUE"""),"SelfBattleship")</f>
        <v>SelfBattleship</v>
      </c>
      <c r="T38" s="255" t="str">
        <f>IFERROR(__xludf.DUMMYFUNCTION("""COMPUTED_VALUE"""),"➖")</f>
        <v>➖</v>
      </c>
      <c r="U38" s="255" t="str">
        <f>IFERROR(__xludf.DUMMYFUNCTION("""COMPUTED_VALUE"""),"➖")</f>
        <v>➖</v>
      </c>
      <c r="V38" s="259"/>
      <c r="W38" s="286"/>
      <c r="X38" s="286"/>
      <c r="Y38" s="286"/>
    </row>
    <row r="39">
      <c r="A39" s="28"/>
      <c r="B39" s="128"/>
      <c r="C39" s="28"/>
      <c r="D39" s="250" t="str">
        <f>IFERROR(__xludf.DUMMYFUNCTION("""COMPUTED_VALUE"""),"   U")</f>
        <v>U</v>
      </c>
      <c r="E39" s="280" t="str">
        <f>IFERROR(__xludf.DUMMYFUNCTION("""COMPUTED_VALUE"""),"ARIX")</f>
        <v>ARIX</v>
      </c>
      <c r="F39" s="271" t="str">
        <f>IFERROR(__xludf.DUMMYFUNCTION("""COMPUTED_VALUE"""),"CM")</f>
        <v>CM</v>
      </c>
      <c r="G39" s="281" t="str">
        <f>IFERROR(__xludf.DUMMYFUNCTION("""COMPUTED_VALUE"""),"✴️")</f>
        <v>✴️</v>
      </c>
      <c r="H39" s="281" t="str">
        <f>IFERROR(__xludf.DUMMYFUNCTION("""COMPUTED_VALUE"""),"✴️")</f>
        <v>✴️</v>
      </c>
      <c r="I39" s="281" t="str">
        <f>IFERROR(__xludf.DUMMYFUNCTION("""COMPUTED_VALUE"""),"✴️")</f>
        <v>✴️</v>
      </c>
      <c r="J39" s="281" t="str">
        <f>IFERROR(__xludf.DUMMYFUNCTION("""COMPUTED_VALUE"""),"✴️")</f>
        <v>✴️</v>
      </c>
      <c r="K39" s="282" t="str">
        <f>IFERROR(__xludf.DUMMYFUNCTION("""COMPUTED_VALUE"""),"✴️")</f>
        <v>✴️</v>
      </c>
      <c r="L39" s="282" t="str">
        <f>IFERROR(__xludf.DUMMYFUNCTION("""COMPUTED_VALUE"""),"✴️")</f>
        <v>✴️</v>
      </c>
      <c r="M39" s="282" t="str">
        <f>IFERROR(__xludf.DUMMYFUNCTION("""COMPUTED_VALUE"""),"✴️")</f>
        <v>✴️</v>
      </c>
      <c r="N39" s="282" t="str">
        <f>IFERROR(__xludf.DUMMYFUNCTION("""COMPUTED_VALUE"""),"✴️")</f>
        <v>✴️</v>
      </c>
      <c r="O39" s="282" t="str">
        <f>IFERROR(__xludf.DUMMYFUNCTION("""COMPUTED_VALUE"""),"✴️")</f>
        <v>✴️</v>
      </c>
      <c r="P39" s="282" t="str">
        <f>IFERROR(__xludf.DUMMYFUNCTION("""COMPUTED_VALUE"""),"✴️")</f>
        <v>✴️</v>
      </c>
      <c r="Q39" s="282" t="str">
        <f>IFERROR(__xludf.DUMMYFUNCTION("""COMPUTED_VALUE"""),"✴️")</f>
        <v>✴️</v>
      </c>
      <c r="R39" s="283" t="str">
        <f>IFERROR(__xludf.DUMMYFUNCTION("""COMPUTED_VALUE"""),"   ✴️")</f>
        <v>✴️</v>
      </c>
      <c r="S39" s="284" t="str">
        <f>IFERROR(__xludf.DUMMYFUNCTION("""COMPUTED_VALUE"""),"HitEnemyWithEnergy")</f>
        <v>HitEnemyWithEnergy</v>
      </c>
      <c r="T39" s="285" t="str">
        <f>IFERROR(__xludf.DUMMYFUNCTION("""COMPUTED_VALUE"""),"➖")</f>
        <v>➖</v>
      </c>
      <c r="U39" s="285" t="str">
        <f>IFERROR(__xludf.DUMMYFUNCTION("""COMPUTED_VALUE"""),"➖")</f>
        <v>➖</v>
      </c>
      <c r="V39" s="259"/>
      <c r="W39" s="286"/>
      <c r="X39" s="286"/>
      <c r="Y39" s="286"/>
    </row>
    <row r="40">
      <c r="A40" s="28"/>
      <c r="B40" s="132"/>
      <c r="C40" s="28"/>
      <c r="D40" s="260" t="str">
        <f>IFERROR(__xludf.DUMMYFUNCTION("""COMPUTED_VALUE"""),"   U")</f>
        <v>U</v>
      </c>
      <c r="E40" s="287" t="str">
        <f>IFERROR(__xludf.DUMMYFUNCTION("""COMPUTED_VALUE"""),"ARIX")</f>
        <v>ARIX</v>
      </c>
      <c r="F40" s="270" t="str">
        <f>IFERROR(__xludf.DUMMYFUNCTION("""COMPUTED_VALUE"""),"OA")</f>
        <v>OA</v>
      </c>
      <c r="G40" s="231" t="str">
        <f>IFERROR(__xludf.DUMMYFUNCTION("""COMPUTED_VALUE"""),"✴️")</f>
        <v>✴️</v>
      </c>
      <c r="H40" s="231" t="str">
        <f>IFERROR(__xludf.DUMMYFUNCTION("""COMPUTED_VALUE"""),"✴️")</f>
        <v>✴️</v>
      </c>
      <c r="I40" s="231" t="str">
        <f>IFERROR(__xludf.DUMMYFUNCTION("""COMPUTED_VALUE"""),"✴️")</f>
        <v>✴️</v>
      </c>
      <c r="J40" s="231" t="str">
        <f>IFERROR(__xludf.DUMMYFUNCTION("""COMPUTED_VALUE"""),"✴️")</f>
        <v>✴️</v>
      </c>
      <c r="K40" s="288" t="str">
        <f>IFERROR(__xludf.DUMMYFUNCTION("""COMPUTED_VALUE"""),"✴️")</f>
        <v>✴️</v>
      </c>
      <c r="L40" s="288" t="str">
        <f>IFERROR(__xludf.DUMMYFUNCTION("""COMPUTED_VALUE"""),"✴️")</f>
        <v>✴️</v>
      </c>
      <c r="M40" s="288" t="str">
        <f>IFERROR(__xludf.DUMMYFUNCTION("""COMPUTED_VALUE"""),"✴️")</f>
        <v>✴️</v>
      </c>
      <c r="N40" s="288" t="str">
        <f>IFERROR(__xludf.DUMMYFUNCTION("""COMPUTED_VALUE"""),"✴️")</f>
        <v>✴️</v>
      </c>
      <c r="O40" s="288" t="str">
        <f>IFERROR(__xludf.DUMMYFUNCTION("""COMPUTED_VALUE"""),"✴️")</f>
        <v>✴️</v>
      </c>
      <c r="P40" s="288" t="str">
        <f>IFERROR(__xludf.DUMMYFUNCTION("""COMPUTED_VALUE"""),"✴️")</f>
        <v>✴️</v>
      </c>
      <c r="Q40" s="288" t="str">
        <f>IFERROR(__xludf.DUMMYFUNCTION("""COMPUTED_VALUE"""),"✴️")</f>
        <v>✴️</v>
      </c>
      <c r="R40" s="257" t="str">
        <f>IFERROR(__xludf.DUMMYFUNCTION("""COMPUTED_VALUE"""),"   ✴️")</f>
        <v>✴️</v>
      </c>
      <c r="S40" s="258" t="str">
        <f>IFERROR(__xludf.DUMMYFUNCTION("""COMPUTED_VALUE"""),"HullHealthBelowStartOfCombat")</f>
        <v>HullHealthBelowStartOfCombat</v>
      </c>
      <c r="T40" s="255" t="str">
        <f>IFERROR(__xludf.DUMMYFUNCTION("""COMPUTED_VALUE"""),"➖")</f>
        <v>➖</v>
      </c>
      <c r="U40" s="255" t="str">
        <f>IFERROR(__xludf.DUMMYFUNCTION("""COMPUTED_VALUE"""),"➖")</f>
        <v>➖</v>
      </c>
      <c r="V40" s="259"/>
      <c r="W40" s="286"/>
      <c r="X40" s="286"/>
      <c r="Y40" s="286"/>
    </row>
    <row r="41">
      <c r="A41" s="28"/>
      <c r="B41" s="128"/>
      <c r="C41" s="28"/>
      <c r="D41" s="250" t="str">
        <f>IFERROR(__xludf.DUMMYFUNCTION("""COMPUTED_VALUE"""),"   U")</f>
        <v>U</v>
      </c>
      <c r="E41" s="280" t="str">
        <f>IFERROR(__xludf.DUMMYFUNCTION("""COMPUTED_VALUE"""),"VELLA")</f>
        <v>VELLA</v>
      </c>
      <c r="F41" s="271" t="str">
        <f>IFERROR(__xludf.DUMMYFUNCTION("""COMPUTED_VALUE"""),"CM")</f>
        <v>CM</v>
      </c>
      <c r="G41" s="281" t="str">
        <f>IFERROR(__xludf.DUMMYFUNCTION("""COMPUTED_VALUE"""),"✴️")</f>
        <v>✴️</v>
      </c>
      <c r="H41" s="281" t="str">
        <f>IFERROR(__xludf.DUMMYFUNCTION("""COMPUTED_VALUE"""),"✴️")</f>
        <v>✴️</v>
      </c>
      <c r="I41" s="281" t="str">
        <f>IFERROR(__xludf.DUMMYFUNCTION("""COMPUTED_VALUE"""),"✴️")</f>
        <v>✴️</v>
      </c>
      <c r="J41" s="281" t="str">
        <f>IFERROR(__xludf.DUMMYFUNCTION("""COMPUTED_VALUE"""),"✴️")</f>
        <v>✴️</v>
      </c>
      <c r="K41" s="282" t="str">
        <f>IFERROR(__xludf.DUMMYFUNCTION("""COMPUTED_VALUE"""),"✴️")</f>
        <v>✴️</v>
      </c>
      <c r="L41" s="282" t="str">
        <f>IFERROR(__xludf.DUMMYFUNCTION("""COMPUTED_VALUE"""),"✴️")</f>
        <v>✴️</v>
      </c>
      <c r="M41" s="282" t="str">
        <f>IFERROR(__xludf.DUMMYFUNCTION("""COMPUTED_VALUE"""),"✴️")</f>
        <v>✴️</v>
      </c>
      <c r="N41" s="282" t="str">
        <f>IFERROR(__xludf.DUMMYFUNCTION("""COMPUTED_VALUE"""),"✴️")</f>
        <v>✴️</v>
      </c>
      <c r="O41" s="282" t="str">
        <f>IFERROR(__xludf.DUMMYFUNCTION("""COMPUTED_VALUE"""),"✴️")</f>
        <v>✴️</v>
      </c>
      <c r="P41" s="282" t="str">
        <f>IFERROR(__xludf.DUMMYFUNCTION("""COMPUTED_VALUE"""),"✴️")</f>
        <v>✴️</v>
      </c>
      <c r="Q41" s="282" t="str">
        <f>IFERROR(__xludf.DUMMYFUNCTION("""COMPUTED_VALUE"""),"✴️")</f>
        <v>✴️</v>
      </c>
      <c r="R41" s="283" t="str">
        <f>IFERROR(__xludf.DUMMYFUNCTION("""COMPUTED_VALUE"""),"   ✴️")</f>
        <v>✴️</v>
      </c>
      <c r="S41" s="284" t="str">
        <f>IFERROR(__xludf.DUMMYFUNCTION("""COMPUTED_VALUE"""),"EnemyExplorer")</f>
        <v>EnemyExplorer</v>
      </c>
      <c r="T41" s="285" t="str">
        <f>IFERROR(__xludf.DUMMYFUNCTION("""COMPUTED_VALUE"""),"➖")</f>
        <v>➖</v>
      </c>
      <c r="U41" s="285" t="str">
        <f>IFERROR(__xludf.DUMMYFUNCTION("""COMPUTED_VALUE"""),"➖")</f>
        <v>➖</v>
      </c>
      <c r="V41" s="259"/>
      <c r="W41" s="286"/>
      <c r="X41" s="286"/>
      <c r="Y41" s="286"/>
    </row>
    <row r="42">
      <c r="A42" s="28"/>
      <c r="B42" s="132"/>
      <c r="C42" s="28"/>
      <c r="D42" s="260" t="str">
        <f>IFERROR(__xludf.DUMMYFUNCTION("""COMPUTED_VALUE"""),"   U")</f>
        <v>U</v>
      </c>
      <c r="E42" s="287" t="str">
        <f>IFERROR(__xludf.DUMMYFUNCTION("""COMPUTED_VALUE"""),"VELLA")</f>
        <v>VELLA</v>
      </c>
      <c r="F42" s="270" t="str">
        <f>IFERROR(__xludf.DUMMYFUNCTION("""COMPUTED_VALUE"""),"OA")</f>
        <v>OA</v>
      </c>
      <c r="G42" s="231" t="str">
        <f>IFERROR(__xludf.DUMMYFUNCTION("""COMPUTED_VALUE"""),"✅")</f>
        <v>✅</v>
      </c>
      <c r="H42" s="231" t="str">
        <f>IFERROR(__xludf.DUMMYFUNCTION("""COMPUTED_VALUE"""),"✅")</f>
        <v>✅</v>
      </c>
      <c r="I42" s="231" t="str">
        <f>IFERROR(__xludf.DUMMYFUNCTION("""COMPUTED_VALUE"""),"✅")</f>
        <v>✅</v>
      </c>
      <c r="J42" s="231" t="str">
        <f>IFERROR(__xludf.DUMMYFUNCTION("""COMPUTED_VALUE"""),"✅")</f>
        <v>✅</v>
      </c>
      <c r="K42" s="288" t="str">
        <f>IFERROR(__xludf.DUMMYFUNCTION("""COMPUTED_VALUE"""),"✅")</f>
        <v>✅</v>
      </c>
      <c r="L42" s="288" t="str">
        <f>IFERROR(__xludf.DUMMYFUNCTION("""COMPUTED_VALUE"""),"✅")</f>
        <v>✅</v>
      </c>
      <c r="M42" s="288" t="str">
        <f>IFERROR(__xludf.DUMMYFUNCTION("""COMPUTED_VALUE"""),"✅")</f>
        <v>✅</v>
      </c>
      <c r="N42" s="288" t="str">
        <f>IFERROR(__xludf.DUMMYFUNCTION("""COMPUTED_VALUE"""),"✅")</f>
        <v>✅</v>
      </c>
      <c r="O42" s="288" t="str">
        <f>IFERROR(__xludf.DUMMYFUNCTION("""COMPUTED_VALUE"""),"✅")</f>
        <v>✅</v>
      </c>
      <c r="P42" s="288" t="str">
        <f>IFERROR(__xludf.DUMMYFUNCTION("""COMPUTED_VALUE"""),"✅")</f>
        <v>✅</v>
      </c>
      <c r="Q42" s="288" t="str">
        <f>IFERROR(__xludf.DUMMYFUNCTION("""COMPUTED_VALUE"""),"✅")</f>
        <v>✅</v>
      </c>
      <c r="R42" s="257" t="str">
        <f>IFERROR(__xludf.DUMMYFUNCTION("""COMPUTED_VALUE"""),"   ✅")</f>
        <v>✅</v>
      </c>
      <c r="S42" s="258"/>
      <c r="T42" s="255" t="str">
        <f>IFERROR(__xludf.DUMMYFUNCTION("""COMPUTED_VALUE"""),"➖")</f>
        <v>➖</v>
      </c>
      <c r="U42" s="255" t="str">
        <f>IFERROR(__xludf.DUMMYFUNCTION("""COMPUTED_VALUE"""),"➖")</f>
        <v>➖</v>
      </c>
      <c r="V42" s="259"/>
      <c r="W42" s="286"/>
      <c r="X42" s="286"/>
      <c r="Y42" s="286"/>
    </row>
    <row r="43">
      <c r="A43" s="28"/>
      <c r="B43" s="128"/>
      <c r="C43" s="28"/>
      <c r="D43" s="250" t="str">
        <f>IFERROR(__xludf.DUMMYFUNCTION("""COMPUTED_VALUE"""),"   U")</f>
        <v>U</v>
      </c>
      <c r="E43" s="280" t="str">
        <f>IFERROR(__xludf.DUMMYFUNCTION("""COMPUTED_VALUE"""),"JAVAID")</f>
        <v>JAVAID</v>
      </c>
      <c r="F43" s="271" t="str">
        <f>IFERROR(__xludf.DUMMYFUNCTION("""COMPUTED_VALUE"""),"CM")</f>
        <v>CM</v>
      </c>
      <c r="G43" s="281" t="str">
        <f>IFERROR(__xludf.DUMMYFUNCTION("""COMPUTED_VALUE"""),"✅")</f>
        <v>✅</v>
      </c>
      <c r="H43" s="281" t="str">
        <f>IFERROR(__xludf.DUMMYFUNCTION("""COMPUTED_VALUE"""),"✅")</f>
        <v>✅</v>
      </c>
      <c r="I43" s="281" t="str">
        <f>IFERROR(__xludf.DUMMYFUNCTION("""COMPUTED_VALUE"""),"✅")</f>
        <v>✅</v>
      </c>
      <c r="J43" s="281" t="str">
        <f>IFERROR(__xludf.DUMMYFUNCTION("""COMPUTED_VALUE"""),"✅")</f>
        <v>✅</v>
      </c>
      <c r="K43" s="282" t="str">
        <f>IFERROR(__xludf.DUMMYFUNCTION("""COMPUTED_VALUE"""),"✅")</f>
        <v>✅</v>
      </c>
      <c r="L43" s="282" t="str">
        <f>IFERROR(__xludf.DUMMYFUNCTION("""COMPUTED_VALUE"""),"✅")</f>
        <v>✅</v>
      </c>
      <c r="M43" s="282" t="str">
        <f>IFERROR(__xludf.DUMMYFUNCTION("""COMPUTED_VALUE"""),"✅")</f>
        <v>✅</v>
      </c>
      <c r="N43" s="282" t="str">
        <f>IFERROR(__xludf.DUMMYFUNCTION("""COMPUTED_VALUE"""),"✅")</f>
        <v>✅</v>
      </c>
      <c r="O43" s="282" t="str">
        <f>IFERROR(__xludf.DUMMYFUNCTION("""COMPUTED_VALUE"""),"✅")</f>
        <v>✅</v>
      </c>
      <c r="P43" s="282" t="str">
        <f>IFERROR(__xludf.DUMMYFUNCTION("""COMPUTED_VALUE"""),"✅")</f>
        <v>✅</v>
      </c>
      <c r="Q43" s="282" t="str">
        <f>IFERROR(__xludf.DUMMYFUNCTION("""COMPUTED_VALUE"""),"✅")</f>
        <v>✅</v>
      </c>
      <c r="R43" s="283" t="str">
        <f>IFERROR(__xludf.DUMMYFUNCTION("""COMPUTED_VALUE"""),"   ✅")</f>
        <v>✅</v>
      </c>
      <c r="S43" s="284"/>
      <c r="T43" s="285" t="str">
        <f>IFERROR(__xludf.DUMMYFUNCTION("""COMPUTED_VALUE"""),"➖")</f>
        <v>➖</v>
      </c>
      <c r="U43" s="285" t="str">
        <f>IFERROR(__xludf.DUMMYFUNCTION("""COMPUTED_VALUE"""),"➖")</f>
        <v>➖</v>
      </c>
      <c r="V43" s="259"/>
      <c r="W43" s="286"/>
      <c r="X43" s="286"/>
      <c r="Y43" s="286"/>
    </row>
    <row r="44">
      <c r="A44" s="28"/>
      <c r="B44" s="132"/>
      <c r="C44" s="28"/>
      <c r="D44" s="260" t="str">
        <f>IFERROR(__xludf.DUMMYFUNCTION("""COMPUTED_VALUE"""),"   U")</f>
        <v>U</v>
      </c>
      <c r="E44" s="287" t="str">
        <f>IFERROR(__xludf.DUMMYFUNCTION("""COMPUTED_VALUE"""),"JAVAID")</f>
        <v>JAVAID</v>
      </c>
      <c r="F44" s="270" t="str">
        <f>IFERROR(__xludf.DUMMYFUNCTION("""COMPUTED_VALUE"""),"OA")</f>
        <v>OA</v>
      </c>
      <c r="G44" s="231" t="str">
        <f>IFERROR(__xludf.DUMMYFUNCTION("""COMPUTED_VALUE"""),"✴️")</f>
        <v>✴️</v>
      </c>
      <c r="H44" s="231" t="str">
        <f>IFERROR(__xludf.DUMMYFUNCTION("""COMPUTED_VALUE"""),"✴️")</f>
        <v>✴️</v>
      </c>
      <c r="I44" s="231" t="str">
        <f>IFERROR(__xludf.DUMMYFUNCTION("""COMPUTED_VALUE"""),"✴️")</f>
        <v>✴️</v>
      </c>
      <c r="J44" s="231" t="str">
        <f>IFERROR(__xludf.DUMMYFUNCTION("""COMPUTED_VALUE"""),"✴️")</f>
        <v>✴️</v>
      </c>
      <c r="K44" s="288" t="str">
        <f>IFERROR(__xludf.DUMMYFUNCTION("""COMPUTED_VALUE"""),"✴️")</f>
        <v>✴️</v>
      </c>
      <c r="L44" s="288" t="str">
        <f>IFERROR(__xludf.DUMMYFUNCTION("""COMPUTED_VALUE"""),"✴️")</f>
        <v>✴️</v>
      </c>
      <c r="M44" s="288" t="str">
        <f>IFERROR(__xludf.DUMMYFUNCTION("""COMPUTED_VALUE"""),"✴️")</f>
        <v>✴️</v>
      </c>
      <c r="N44" s="288" t="str">
        <f>IFERROR(__xludf.DUMMYFUNCTION("""COMPUTED_VALUE"""),"✴️")</f>
        <v>✴️</v>
      </c>
      <c r="O44" s="288" t="str">
        <f>IFERROR(__xludf.DUMMYFUNCTION("""COMPUTED_VALUE"""),"✴️")</f>
        <v>✴️</v>
      </c>
      <c r="P44" s="288" t="str">
        <f>IFERROR(__xludf.DUMMYFUNCTION("""COMPUTED_VALUE"""),"✴️")</f>
        <v>✴️</v>
      </c>
      <c r="Q44" s="288" t="str">
        <f>IFERROR(__xludf.DUMMYFUNCTION("""COMPUTED_VALUE"""),"✴️")</f>
        <v>✴️</v>
      </c>
      <c r="R44" s="257" t="str">
        <f>IFERROR(__xludf.DUMMYFUNCTION("""COMPUTED_VALUE"""),"   ✴️")</f>
        <v>✴️</v>
      </c>
      <c r="S44" s="258" t="str">
        <f>IFERROR(__xludf.DUMMYFUNCTION("""COMPUTED_VALUE"""),"SelfBattleship")</f>
        <v>SelfBattleship</v>
      </c>
      <c r="T44" s="255" t="str">
        <f>IFERROR(__xludf.DUMMYFUNCTION("""COMPUTED_VALUE"""),"➖")</f>
        <v>➖</v>
      </c>
      <c r="U44" s="255" t="str">
        <f>IFERROR(__xludf.DUMMYFUNCTION("""COMPUTED_VALUE"""),"➖")</f>
        <v>➖</v>
      </c>
      <c r="V44" s="259"/>
      <c r="W44" s="286"/>
      <c r="X44" s="286"/>
      <c r="Y44" s="286"/>
    </row>
    <row r="45">
      <c r="A45" s="28"/>
      <c r="B45" s="128"/>
      <c r="C45" s="28"/>
      <c r="D45" s="250" t="str">
        <f>IFERROR(__xludf.DUMMYFUNCTION("""COMPUTED_VALUE"""),"   R")</f>
        <v>R</v>
      </c>
      <c r="E45" s="280" t="str">
        <f>IFERROR(__xludf.DUMMYFUNCTION("""COMPUTED_VALUE"""),"T'PRING")</f>
        <v>T'PRING</v>
      </c>
      <c r="F45" s="271" t="str">
        <f>IFERROR(__xludf.DUMMYFUNCTION("""COMPUTED_VALUE"""),"CM")</f>
        <v>CM</v>
      </c>
      <c r="G45" s="281" t="str">
        <f>IFERROR(__xludf.DUMMYFUNCTION("""COMPUTED_VALUE"""),"➖")</f>
        <v>➖</v>
      </c>
      <c r="H45" s="281" t="str">
        <f>IFERROR(__xludf.DUMMYFUNCTION("""COMPUTED_VALUE"""),"➖")</f>
        <v>➖</v>
      </c>
      <c r="I45" s="281" t="str">
        <f>IFERROR(__xludf.DUMMYFUNCTION("""COMPUTED_VALUE"""),"➖")</f>
        <v>➖</v>
      </c>
      <c r="J45" s="281" t="str">
        <f>IFERROR(__xludf.DUMMYFUNCTION("""COMPUTED_VALUE"""),"➖")</f>
        <v>➖</v>
      </c>
      <c r="K45" s="282" t="str">
        <f>IFERROR(__xludf.DUMMYFUNCTION("""COMPUTED_VALUE"""),"➖")</f>
        <v>➖</v>
      </c>
      <c r="L45" s="282" t="str">
        <f>IFERROR(__xludf.DUMMYFUNCTION("""COMPUTED_VALUE"""),"➖")</f>
        <v>➖</v>
      </c>
      <c r="M45" s="282" t="str">
        <f>IFERROR(__xludf.DUMMYFUNCTION("""COMPUTED_VALUE"""),"➖")</f>
        <v>➖</v>
      </c>
      <c r="N45" s="282" t="str">
        <f>IFERROR(__xludf.DUMMYFUNCTION("""COMPUTED_VALUE"""),"➖")</f>
        <v>➖</v>
      </c>
      <c r="O45" s="282" t="str">
        <f>IFERROR(__xludf.DUMMYFUNCTION("""COMPUTED_VALUE"""),"➖")</f>
        <v>➖</v>
      </c>
      <c r="P45" s="282" t="str">
        <f>IFERROR(__xludf.DUMMYFUNCTION("""COMPUTED_VALUE"""),"➖")</f>
        <v>➖</v>
      </c>
      <c r="Q45" s="282" t="str">
        <f>IFERROR(__xludf.DUMMYFUNCTION("""COMPUTED_VALUE"""),"➖")</f>
        <v>➖</v>
      </c>
      <c r="R45" s="283" t="str">
        <f>IFERROR(__xludf.DUMMYFUNCTION("""COMPUTED_VALUE"""),"   ➖")</f>
        <v>➖</v>
      </c>
      <c r="S45" s="284"/>
      <c r="T45" s="285" t="str">
        <f>IFERROR(__xludf.DUMMYFUNCTION("""COMPUTED_VALUE"""),"➖")</f>
        <v>➖</v>
      </c>
      <c r="U45" s="285" t="str">
        <f>IFERROR(__xludf.DUMMYFUNCTION("""COMPUTED_VALUE"""),"✅")</f>
        <v>✅</v>
      </c>
      <c r="V45" s="259"/>
      <c r="W45" s="286"/>
      <c r="X45" s="286"/>
      <c r="Y45" s="286"/>
    </row>
    <row r="46">
      <c r="A46" s="28"/>
      <c r="B46" s="132"/>
      <c r="C46" s="28"/>
      <c r="D46" s="260" t="str">
        <f>IFERROR(__xludf.DUMMYFUNCTION("""COMPUTED_VALUE"""),"   R")</f>
        <v>R</v>
      </c>
      <c r="E46" s="287" t="str">
        <f>IFERROR(__xludf.DUMMYFUNCTION("""COMPUTED_VALUE"""),"T'PRING")</f>
        <v>T'PRING</v>
      </c>
      <c r="F46" s="270" t="str">
        <f>IFERROR(__xludf.DUMMYFUNCTION("""COMPUTED_VALUE"""),"OA")</f>
        <v>OA</v>
      </c>
      <c r="G46" s="231" t="str">
        <f>IFERROR(__xludf.DUMMYFUNCTION("""COMPUTED_VALUE"""),"➖")</f>
        <v>➖</v>
      </c>
      <c r="H46" s="231" t="str">
        <f>IFERROR(__xludf.DUMMYFUNCTION("""COMPUTED_VALUE"""),"➖")</f>
        <v>➖</v>
      </c>
      <c r="I46" s="231" t="str">
        <f>IFERROR(__xludf.DUMMYFUNCTION("""COMPUTED_VALUE"""),"➖")</f>
        <v>➖</v>
      </c>
      <c r="J46" s="231" t="str">
        <f>IFERROR(__xludf.DUMMYFUNCTION("""COMPUTED_VALUE"""),"➖")</f>
        <v>➖</v>
      </c>
      <c r="K46" s="288" t="str">
        <f>IFERROR(__xludf.DUMMYFUNCTION("""COMPUTED_VALUE"""),"➖")</f>
        <v>➖</v>
      </c>
      <c r="L46" s="288" t="str">
        <f>IFERROR(__xludf.DUMMYFUNCTION("""COMPUTED_VALUE"""),"➖")</f>
        <v>➖</v>
      </c>
      <c r="M46" s="288" t="str">
        <f>IFERROR(__xludf.DUMMYFUNCTION("""COMPUTED_VALUE"""),"➖")</f>
        <v>➖</v>
      </c>
      <c r="N46" s="288" t="str">
        <f>IFERROR(__xludf.DUMMYFUNCTION("""COMPUTED_VALUE"""),"➖")</f>
        <v>➖</v>
      </c>
      <c r="O46" s="288" t="str">
        <f>IFERROR(__xludf.DUMMYFUNCTION("""COMPUTED_VALUE"""),"➖")</f>
        <v>➖</v>
      </c>
      <c r="P46" s="288" t="str">
        <f>IFERROR(__xludf.DUMMYFUNCTION("""COMPUTED_VALUE"""),"➖")</f>
        <v>➖</v>
      </c>
      <c r="Q46" s="288" t="str">
        <f>IFERROR(__xludf.DUMMYFUNCTION("""COMPUTED_VALUE"""),"➖")</f>
        <v>➖</v>
      </c>
      <c r="R46" s="257" t="str">
        <f>IFERROR(__xludf.DUMMYFUNCTION("""COMPUTED_VALUE"""),"   ➖")</f>
        <v>➖</v>
      </c>
      <c r="S46" s="258"/>
      <c r="T46" s="255" t="str">
        <f>IFERROR(__xludf.DUMMYFUNCTION("""COMPUTED_VALUE"""),"➖")</f>
        <v>➖</v>
      </c>
      <c r="U46" s="255" t="str">
        <f>IFERROR(__xludf.DUMMYFUNCTION("""COMPUTED_VALUE"""),"✅")</f>
        <v>✅</v>
      </c>
      <c r="V46" s="259"/>
      <c r="W46" s="286"/>
      <c r="X46" s="286"/>
      <c r="Y46" s="286"/>
    </row>
    <row r="47">
      <c r="A47" s="28"/>
      <c r="B47" s="128"/>
      <c r="C47" s="28"/>
      <c r="D47" s="250" t="str">
        <f>IFERROR(__xludf.DUMMYFUNCTION("""COMPUTED_VALUE"""),"   R")</f>
        <v>R</v>
      </c>
      <c r="E47" s="280" t="str">
        <f>IFERROR(__xludf.DUMMYFUNCTION("""COMPUTED_VALUE"""),"STONN")</f>
        <v>STONN</v>
      </c>
      <c r="F47" s="271" t="str">
        <f>IFERROR(__xludf.DUMMYFUNCTION("""COMPUTED_VALUE"""),"CM")</f>
        <v>CM</v>
      </c>
      <c r="G47" s="281" t="str">
        <f>IFERROR(__xludf.DUMMYFUNCTION("""COMPUTED_VALUE"""),"➖")</f>
        <v>➖</v>
      </c>
      <c r="H47" s="281" t="str">
        <f>IFERROR(__xludf.DUMMYFUNCTION("""COMPUTED_VALUE"""),"➖")</f>
        <v>➖</v>
      </c>
      <c r="I47" s="281" t="str">
        <f>IFERROR(__xludf.DUMMYFUNCTION("""COMPUTED_VALUE"""),"➖")</f>
        <v>➖</v>
      </c>
      <c r="J47" s="281" t="str">
        <f>IFERROR(__xludf.DUMMYFUNCTION("""COMPUTED_VALUE"""),"➖")</f>
        <v>➖</v>
      </c>
      <c r="K47" s="282" t="str">
        <f>IFERROR(__xludf.DUMMYFUNCTION("""COMPUTED_VALUE"""),"➖")</f>
        <v>➖</v>
      </c>
      <c r="L47" s="282" t="str">
        <f>IFERROR(__xludf.DUMMYFUNCTION("""COMPUTED_VALUE"""),"➖")</f>
        <v>➖</v>
      </c>
      <c r="M47" s="282" t="str">
        <f>IFERROR(__xludf.DUMMYFUNCTION("""COMPUTED_VALUE"""),"➖")</f>
        <v>➖</v>
      </c>
      <c r="N47" s="282" t="str">
        <f>IFERROR(__xludf.DUMMYFUNCTION("""COMPUTED_VALUE"""),"➖")</f>
        <v>➖</v>
      </c>
      <c r="O47" s="282" t="str">
        <f>IFERROR(__xludf.DUMMYFUNCTION("""COMPUTED_VALUE"""),"➖")</f>
        <v>➖</v>
      </c>
      <c r="P47" s="282" t="str">
        <f>IFERROR(__xludf.DUMMYFUNCTION("""COMPUTED_VALUE"""),"➖")</f>
        <v>➖</v>
      </c>
      <c r="Q47" s="282" t="str">
        <f>IFERROR(__xludf.DUMMYFUNCTION("""COMPUTED_VALUE"""),"➖")</f>
        <v>➖</v>
      </c>
      <c r="R47" s="283" t="str">
        <f>IFERROR(__xludf.DUMMYFUNCTION("""COMPUTED_VALUE"""),"   ➖")</f>
        <v>➖</v>
      </c>
      <c r="S47" s="284"/>
      <c r="T47" s="285" t="str">
        <f>IFERROR(__xludf.DUMMYFUNCTION("""COMPUTED_VALUE"""),"➖")</f>
        <v>➖</v>
      </c>
      <c r="U47" s="285" t="str">
        <f>IFERROR(__xludf.DUMMYFUNCTION("""COMPUTED_VALUE"""),"✅")</f>
        <v>✅</v>
      </c>
      <c r="V47" s="259"/>
      <c r="W47" s="286"/>
      <c r="X47" s="286"/>
      <c r="Y47" s="286"/>
    </row>
    <row r="48">
      <c r="A48" s="28"/>
      <c r="B48" s="132"/>
      <c r="C48" s="28"/>
      <c r="D48" s="260" t="str">
        <f>IFERROR(__xludf.DUMMYFUNCTION("""COMPUTED_VALUE"""),"   R")</f>
        <v>R</v>
      </c>
      <c r="E48" s="287" t="str">
        <f>IFERROR(__xludf.DUMMYFUNCTION("""COMPUTED_VALUE"""),"STONN")</f>
        <v>STONN</v>
      </c>
      <c r="F48" s="270" t="str">
        <f>IFERROR(__xludf.DUMMYFUNCTION("""COMPUTED_VALUE"""),"OA")</f>
        <v>OA</v>
      </c>
      <c r="G48" s="231" t="str">
        <f>IFERROR(__xludf.DUMMYFUNCTION("""COMPUTED_VALUE"""),"➖")</f>
        <v>➖</v>
      </c>
      <c r="H48" s="231" t="str">
        <f>IFERROR(__xludf.DUMMYFUNCTION("""COMPUTED_VALUE"""),"➖")</f>
        <v>➖</v>
      </c>
      <c r="I48" s="231" t="str">
        <f>IFERROR(__xludf.DUMMYFUNCTION("""COMPUTED_VALUE"""),"➖")</f>
        <v>➖</v>
      </c>
      <c r="J48" s="231" t="str">
        <f>IFERROR(__xludf.DUMMYFUNCTION("""COMPUTED_VALUE"""),"➖")</f>
        <v>➖</v>
      </c>
      <c r="K48" s="288" t="str">
        <f>IFERROR(__xludf.DUMMYFUNCTION("""COMPUTED_VALUE"""),"➖")</f>
        <v>➖</v>
      </c>
      <c r="L48" s="288" t="str">
        <f>IFERROR(__xludf.DUMMYFUNCTION("""COMPUTED_VALUE"""),"➖")</f>
        <v>➖</v>
      </c>
      <c r="M48" s="288" t="str">
        <f>IFERROR(__xludf.DUMMYFUNCTION("""COMPUTED_VALUE"""),"➖")</f>
        <v>➖</v>
      </c>
      <c r="N48" s="288" t="str">
        <f>IFERROR(__xludf.DUMMYFUNCTION("""COMPUTED_VALUE"""),"➖")</f>
        <v>➖</v>
      </c>
      <c r="O48" s="288" t="str">
        <f>IFERROR(__xludf.DUMMYFUNCTION("""COMPUTED_VALUE"""),"➖")</f>
        <v>➖</v>
      </c>
      <c r="P48" s="288" t="str">
        <f>IFERROR(__xludf.DUMMYFUNCTION("""COMPUTED_VALUE"""),"➖")</f>
        <v>➖</v>
      </c>
      <c r="Q48" s="288" t="str">
        <f>IFERROR(__xludf.DUMMYFUNCTION("""COMPUTED_VALUE"""),"➖")</f>
        <v>➖</v>
      </c>
      <c r="R48" s="257" t="str">
        <f>IFERROR(__xludf.DUMMYFUNCTION("""COMPUTED_VALUE"""),"   ➖")</f>
        <v>➖</v>
      </c>
      <c r="S48" s="258"/>
      <c r="T48" s="255" t="str">
        <f>IFERROR(__xludf.DUMMYFUNCTION("""COMPUTED_VALUE"""),"➖")</f>
        <v>➖</v>
      </c>
      <c r="U48" s="255" t="str">
        <f>IFERROR(__xludf.DUMMYFUNCTION("""COMPUTED_VALUE"""),"✅")</f>
        <v>✅</v>
      </c>
      <c r="V48" s="259"/>
      <c r="W48" s="286"/>
      <c r="X48" s="286"/>
      <c r="Y48" s="286"/>
    </row>
    <row r="49">
      <c r="A49" s="28"/>
      <c r="B49" s="128"/>
      <c r="C49" s="28"/>
      <c r="D49" s="250" t="str">
        <f>IFERROR(__xludf.DUMMYFUNCTION("""COMPUTED_VALUE"""),"   R")</f>
        <v>R</v>
      </c>
      <c r="E49" s="280" t="str">
        <f>IFERROR(__xludf.DUMMYFUNCTION("""COMPUTED_VALUE"""),"BAROT")</f>
        <v>BAROT</v>
      </c>
      <c r="F49" s="271" t="str">
        <f>IFERROR(__xludf.DUMMYFUNCTION("""COMPUTED_VALUE"""),"CM")</f>
        <v>CM</v>
      </c>
      <c r="G49" s="281" t="str">
        <f>IFERROR(__xludf.DUMMYFUNCTION("""COMPUTED_VALUE"""),"➖")</f>
        <v>➖</v>
      </c>
      <c r="H49" s="281" t="str">
        <f>IFERROR(__xludf.DUMMYFUNCTION("""COMPUTED_VALUE"""),"➖")</f>
        <v>➖</v>
      </c>
      <c r="I49" s="281" t="str">
        <f>IFERROR(__xludf.DUMMYFUNCTION("""COMPUTED_VALUE"""),"➖")</f>
        <v>➖</v>
      </c>
      <c r="J49" s="281" t="str">
        <f>IFERROR(__xludf.DUMMYFUNCTION("""COMPUTED_VALUE"""),"➖")</f>
        <v>➖</v>
      </c>
      <c r="K49" s="282" t="str">
        <f>IFERROR(__xludf.DUMMYFUNCTION("""COMPUTED_VALUE"""),"➖")</f>
        <v>➖</v>
      </c>
      <c r="L49" s="282" t="str">
        <f>IFERROR(__xludf.DUMMYFUNCTION("""COMPUTED_VALUE"""),"➖")</f>
        <v>➖</v>
      </c>
      <c r="M49" s="282" t="str">
        <f>IFERROR(__xludf.DUMMYFUNCTION("""COMPUTED_VALUE"""),"➖")</f>
        <v>➖</v>
      </c>
      <c r="N49" s="282" t="str">
        <f>IFERROR(__xludf.DUMMYFUNCTION("""COMPUTED_VALUE"""),"➖")</f>
        <v>➖</v>
      </c>
      <c r="O49" s="282" t="str">
        <f>IFERROR(__xludf.DUMMYFUNCTION("""COMPUTED_VALUE"""),"➖")</f>
        <v>➖</v>
      </c>
      <c r="P49" s="282" t="str">
        <f>IFERROR(__xludf.DUMMYFUNCTION("""COMPUTED_VALUE"""),"➖")</f>
        <v>➖</v>
      </c>
      <c r="Q49" s="282" t="str">
        <f>IFERROR(__xludf.DUMMYFUNCTION("""COMPUTED_VALUE"""),"➖")</f>
        <v>➖</v>
      </c>
      <c r="R49" s="283" t="str">
        <f>IFERROR(__xludf.DUMMYFUNCTION("""COMPUTED_VALUE"""),"   ➖")</f>
        <v>➖</v>
      </c>
      <c r="S49" s="284"/>
      <c r="T49" s="285" t="str">
        <f>IFERROR(__xludf.DUMMYFUNCTION("""COMPUTED_VALUE"""),"➖")</f>
        <v>➖</v>
      </c>
      <c r="U49" s="285" t="str">
        <f>IFERROR(__xludf.DUMMYFUNCTION("""COMPUTED_VALUE"""),"✅")</f>
        <v>✅</v>
      </c>
      <c r="V49" s="259"/>
      <c r="W49" s="286"/>
      <c r="X49" s="286"/>
      <c r="Y49" s="286"/>
    </row>
    <row r="50">
      <c r="A50" s="28"/>
      <c r="B50" s="132"/>
      <c r="C50" s="28"/>
      <c r="D50" s="260" t="str">
        <f>IFERROR(__xludf.DUMMYFUNCTION("""COMPUTED_VALUE"""),"   R")</f>
        <v>R</v>
      </c>
      <c r="E50" s="287" t="str">
        <f>IFERROR(__xludf.DUMMYFUNCTION("""COMPUTED_VALUE"""),"BAROT")</f>
        <v>BAROT</v>
      </c>
      <c r="F50" s="270" t="str">
        <f>IFERROR(__xludf.DUMMYFUNCTION("""COMPUTED_VALUE"""),"OA")</f>
        <v>OA</v>
      </c>
      <c r="G50" s="231" t="str">
        <f>IFERROR(__xludf.DUMMYFUNCTION("""COMPUTED_VALUE"""),"✴️")</f>
        <v>✴️</v>
      </c>
      <c r="H50" s="231" t="str">
        <f>IFERROR(__xludf.DUMMYFUNCTION("""COMPUTED_VALUE"""),"➖")</f>
        <v>➖</v>
      </c>
      <c r="I50" s="231" t="str">
        <f>IFERROR(__xludf.DUMMYFUNCTION("""COMPUTED_VALUE"""),"➖")</f>
        <v>➖</v>
      </c>
      <c r="J50" s="231" t="str">
        <f>IFERROR(__xludf.DUMMYFUNCTION("""COMPUTED_VALUE"""),"➖")</f>
        <v>➖</v>
      </c>
      <c r="K50" s="288" t="str">
        <f>IFERROR(__xludf.DUMMYFUNCTION("""COMPUTED_VALUE"""),"➖")</f>
        <v>➖</v>
      </c>
      <c r="L50" s="288" t="str">
        <f>IFERROR(__xludf.DUMMYFUNCTION("""COMPUTED_VALUE"""),"➖")</f>
        <v>➖</v>
      </c>
      <c r="M50" s="288" t="str">
        <f>IFERROR(__xludf.DUMMYFUNCTION("""COMPUTED_VALUE"""),"➖")</f>
        <v>➖</v>
      </c>
      <c r="N50" s="288" t="str">
        <f>IFERROR(__xludf.DUMMYFUNCTION("""COMPUTED_VALUE"""),"➖")</f>
        <v>➖</v>
      </c>
      <c r="O50" s="288" t="str">
        <f>IFERROR(__xludf.DUMMYFUNCTION("""COMPUTED_VALUE"""),"➖")</f>
        <v>➖</v>
      </c>
      <c r="P50" s="288" t="str">
        <f>IFERROR(__xludf.DUMMYFUNCTION("""COMPUTED_VALUE"""),"➖")</f>
        <v>➖</v>
      </c>
      <c r="Q50" s="288" t="str">
        <f>IFERROR(__xludf.DUMMYFUNCTION("""COMPUTED_VALUE"""),"➖")</f>
        <v>➖</v>
      </c>
      <c r="R50" s="257" t="str">
        <f>IFERROR(__xludf.DUMMYFUNCTION("""COMPUTED_VALUE"""),"   ➖")</f>
        <v>➖</v>
      </c>
      <c r="S50" s="258" t="str">
        <f>IFERROR(__xludf.DUMMYFUNCTION("""COMPUTED_VALUE"""),"when mining")</f>
        <v>when mining</v>
      </c>
      <c r="T50" s="255" t="str">
        <f>IFERROR(__xludf.DUMMYFUNCTION("""COMPUTED_VALUE"""),"➖")</f>
        <v>➖</v>
      </c>
      <c r="U50" s="255" t="str">
        <f>IFERROR(__xludf.DUMMYFUNCTION("""COMPUTED_VALUE"""),"➖")</f>
        <v>➖</v>
      </c>
      <c r="V50" s="259"/>
      <c r="W50" s="286"/>
      <c r="X50" s="286"/>
      <c r="Y50" s="286"/>
    </row>
    <row r="51">
      <c r="A51" s="28"/>
      <c r="B51" s="128"/>
      <c r="C51" s="28"/>
      <c r="D51" s="250" t="str">
        <f>IFERROR(__xludf.DUMMYFUNCTION("""COMPUTED_VALUE"""),"   C")</f>
        <v>C</v>
      </c>
      <c r="E51" s="280" t="str">
        <f>IFERROR(__xludf.DUMMYFUNCTION("""COMPUTED_VALUE"""),"DOMITIA")</f>
        <v>DOMITIA</v>
      </c>
      <c r="F51" s="271" t="str">
        <f>IFERROR(__xludf.DUMMYFUNCTION("""COMPUTED_VALUE"""),"CM")</f>
        <v>CM</v>
      </c>
      <c r="G51" s="281" t="str">
        <f>IFERROR(__xludf.DUMMYFUNCTION("""COMPUTED_VALUE"""),"➖")</f>
        <v>➖</v>
      </c>
      <c r="H51" s="281" t="str">
        <f>IFERROR(__xludf.DUMMYFUNCTION("""COMPUTED_VALUE"""),"➖")</f>
        <v>➖</v>
      </c>
      <c r="I51" s="281" t="str">
        <f>IFERROR(__xludf.DUMMYFUNCTION("""COMPUTED_VALUE"""),"➖")</f>
        <v>➖</v>
      </c>
      <c r="J51" s="281" t="str">
        <f>IFERROR(__xludf.DUMMYFUNCTION("""COMPUTED_VALUE"""),"➖")</f>
        <v>➖</v>
      </c>
      <c r="K51" s="282" t="str">
        <f>IFERROR(__xludf.DUMMYFUNCTION("""COMPUTED_VALUE"""),"➖")</f>
        <v>➖</v>
      </c>
      <c r="L51" s="282" t="str">
        <f>IFERROR(__xludf.DUMMYFUNCTION("""COMPUTED_VALUE"""),"➖")</f>
        <v>➖</v>
      </c>
      <c r="M51" s="282" t="str">
        <f>IFERROR(__xludf.DUMMYFUNCTION("""COMPUTED_VALUE"""),"➖")</f>
        <v>➖</v>
      </c>
      <c r="N51" s="282" t="str">
        <f>IFERROR(__xludf.DUMMYFUNCTION("""COMPUTED_VALUE"""),"➖")</f>
        <v>➖</v>
      </c>
      <c r="O51" s="282" t="str">
        <f>IFERROR(__xludf.DUMMYFUNCTION("""COMPUTED_VALUE"""),"➖")</f>
        <v>➖</v>
      </c>
      <c r="P51" s="282" t="str">
        <f>IFERROR(__xludf.DUMMYFUNCTION("""COMPUTED_VALUE"""),"➖")</f>
        <v>➖</v>
      </c>
      <c r="Q51" s="282" t="str">
        <f>IFERROR(__xludf.DUMMYFUNCTION("""COMPUTED_VALUE"""),"➖")</f>
        <v>➖</v>
      </c>
      <c r="R51" s="283" t="str">
        <f>IFERROR(__xludf.DUMMYFUNCTION("""COMPUTED_VALUE"""),"   ➖")</f>
        <v>➖</v>
      </c>
      <c r="S51" s="284"/>
      <c r="T51" s="285" t="str">
        <f>IFERROR(__xludf.DUMMYFUNCTION("""COMPUTED_VALUE"""),"➖")</f>
        <v>➖</v>
      </c>
      <c r="U51" s="285" t="str">
        <f>IFERROR(__xludf.DUMMYFUNCTION("""COMPUTED_VALUE"""),"✅")</f>
        <v>✅</v>
      </c>
      <c r="V51" s="259"/>
      <c r="W51" s="286"/>
      <c r="X51" s="286"/>
      <c r="Y51" s="286"/>
    </row>
    <row r="52">
      <c r="A52" s="28"/>
      <c r="B52" s="132"/>
      <c r="C52" s="28"/>
      <c r="D52" s="260" t="str">
        <f>IFERROR(__xludf.DUMMYFUNCTION("""COMPUTED_VALUE"""),"   C")</f>
        <v>C</v>
      </c>
      <c r="E52" s="287" t="str">
        <f>IFERROR(__xludf.DUMMYFUNCTION("""COMPUTED_VALUE"""),"DOMITIA")</f>
        <v>DOMITIA</v>
      </c>
      <c r="F52" s="270" t="str">
        <f>IFERROR(__xludf.DUMMYFUNCTION("""COMPUTED_VALUE"""),"OA")</f>
        <v>OA</v>
      </c>
      <c r="G52" s="231" t="str">
        <f>IFERROR(__xludf.DUMMYFUNCTION("""COMPUTED_VALUE"""),"➖")</f>
        <v>➖</v>
      </c>
      <c r="H52" s="231" t="str">
        <f>IFERROR(__xludf.DUMMYFUNCTION("""COMPUTED_VALUE"""),"➖")</f>
        <v>➖</v>
      </c>
      <c r="I52" s="231" t="str">
        <f>IFERROR(__xludf.DUMMYFUNCTION("""COMPUTED_VALUE"""),"➖")</f>
        <v>➖</v>
      </c>
      <c r="J52" s="231" t="str">
        <f>IFERROR(__xludf.DUMMYFUNCTION("""COMPUTED_VALUE"""),"➖")</f>
        <v>➖</v>
      </c>
      <c r="K52" s="288" t="str">
        <f>IFERROR(__xludf.DUMMYFUNCTION("""COMPUTED_VALUE"""),"➖")</f>
        <v>➖</v>
      </c>
      <c r="L52" s="288" t="str">
        <f>IFERROR(__xludf.DUMMYFUNCTION("""COMPUTED_VALUE"""),"➖")</f>
        <v>➖</v>
      </c>
      <c r="M52" s="288" t="str">
        <f>IFERROR(__xludf.DUMMYFUNCTION("""COMPUTED_VALUE"""),"➖")</f>
        <v>➖</v>
      </c>
      <c r="N52" s="288" t="str">
        <f>IFERROR(__xludf.DUMMYFUNCTION("""COMPUTED_VALUE"""),"➖")</f>
        <v>➖</v>
      </c>
      <c r="O52" s="288" t="str">
        <f>IFERROR(__xludf.DUMMYFUNCTION("""COMPUTED_VALUE"""),"➖")</f>
        <v>➖</v>
      </c>
      <c r="P52" s="288" t="str">
        <f>IFERROR(__xludf.DUMMYFUNCTION("""COMPUTED_VALUE"""),"➖")</f>
        <v>➖</v>
      </c>
      <c r="Q52" s="288" t="str">
        <f>IFERROR(__xludf.DUMMYFUNCTION("""COMPUTED_VALUE"""),"➖")</f>
        <v>➖</v>
      </c>
      <c r="R52" s="257" t="str">
        <f>IFERROR(__xludf.DUMMYFUNCTION("""COMPUTED_VALUE"""),"   ➖")</f>
        <v>➖</v>
      </c>
      <c r="S52" s="258"/>
      <c r="T52" s="255" t="str">
        <f>IFERROR(__xludf.DUMMYFUNCTION("""COMPUTED_VALUE"""),"➖")</f>
        <v>➖</v>
      </c>
      <c r="U52" s="255" t="str">
        <f>IFERROR(__xludf.DUMMYFUNCTION("""COMPUTED_VALUE"""),"✅")</f>
        <v>✅</v>
      </c>
      <c r="V52" s="259"/>
      <c r="W52" s="286"/>
      <c r="X52" s="286"/>
      <c r="Y52" s="286"/>
    </row>
    <row r="53">
      <c r="A53" s="28"/>
      <c r="B53" s="128"/>
      <c r="C53" s="28"/>
      <c r="D53" s="250" t="str">
        <f>IFERROR(__xludf.DUMMYFUNCTION("""COMPUTED_VALUE"""),"   C")</f>
        <v>C</v>
      </c>
      <c r="E53" s="280" t="str">
        <f>IFERROR(__xludf.DUMMYFUNCTION("""COMPUTED_VALUE"""),"K'BISCH")</f>
        <v>K'BISCH</v>
      </c>
      <c r="F53" s="271" t="str">
        <f>IFERROR(__xludf.DUMMYFUNCTION("""COMPUTED_VALUE"""),"CM")</f>
        <v>CM</v>
      </c>
      <c r="G53" s="281" t="str">
        <f>IFERROR(__xludf.DUMMYFUNCTION("""COMPUTED_VALUE"""),"➖")</f>
        <v>➖</v>
      </c>
      <c r="H53" s="281" t="str">
        <f>IFERROR(__xludf.DUMMYFUNCTION("""COMPUTED_VALUE"""),"➖")</f>
        <v>➖</v>
      </c>
      <c r="I53" s="281" t="str">
        <f>IFERROR(__xludf.DUMMYFUNCTION("""COMPUTED_VALUE"""),"➖")</f>
        <v>➖</v>
      </c>
      <c r="J53" s="281" t="str">
        <f>IFERROR(__xludf.DUMMYFUNCTION("""COMPUTED_VALUE"""),"➖")</f>
        <v>➖</v>
      </c>
      <c r="K53" s="282" t="str">
        <f>IFERROR(__xludf.DUMMYFUNCTION("""COMPUTED_VALUE"""),"➖")</f>
        <v>➖</v>
      </c>
      <c r="L53" s="282" t="str">
        <f>IFERROR(__xludf.DUMMYFUNCTION("""COMPUTED_VALUE"""),"➖")</f>
        <v>➖</v>
      </c>
      <c r="M53" s="282" t="str">
        <f>IFERROR(__xludf.DUMMYFUNCTION("""COMPUTED_VALUE"""),"➖")</f>
        <v>➖</v>
      </c>
      <c r="N53" s="282" t="str">
        <f>IFERROR(__xludf.DUMMYFUNCTION("""COMPUTED_VALUE"""),"➖")</f>
        <v>➖</v>
      </c>
      <c r="O53" s="282" t="str">
        <f>IFERROR(__xludf.DUMMYFUNCTION("""COMPUTED_VALUE"""),"➖")</f>
        <v>➖</v>
      </c>
      <c r="P53" s="282" t="str">
        <f>IFERROR(__xludf.DUMMYFUNCTION("""COMPUTED_VALUE"""),"➖")</f>
        <v>➖</v>
      </c>
      <c r="Q53" s="282" t="str">
        <f>IFERROR(__xludf.DUMMYFUNCTION("""COMPUTED_VALUE"""),"➖")</f>
        <v>➖</v>
      </c>
      <c r="R53" s="283" t="str">
        <f>IFERROR(__xludf.DUMMYFUNCTION("""COMPUTED_VALUE"""),"   ➖")</f>
        <v>➖</v>
      </c>
      <c r="S53" s="284"/>
      <c r="T53" s="285" t="str">
        <f>IFERROR(__xludf.DUMMYFUNCTION("""COMPUTED_VALUE"""),"➖")</f>
        <v>➖</v>
      </c>
      <c r="U53" s="285" t="str">
        <f>IFERROR(__xludf.DUMMYFUNCTION("""COMPUTED_VALUE"""),"✅")</f>
        <v>✅</v>
      </c>
      <c r="V53" s="259"/>
      <c r="W53" s="286"/>
      <c r="X53" s="286"/>
      <c r="Y53" s="286"/>
    </row>
    <row r="54">
      <c r="A54" s="28"/>
      <c r="B54" s="132"/>
      <c r="C54" s="28"/>
      <c r="D54" s="260" t="str">
        <f>IFERROR(__xludf.DUMMYFUNCTION("""COMPUTED_VALUE"""),"   C")</f>
        <v>C</v>
      </c>
      <c r="E54" s="287" t="str">
        <f>IFERROR(__xludf.DUMMYFUNCTION("""COMPUTED_VALUE"""),"K'BISCH")</f>
        <v>K'BISCH</v>
      </c>
      <c r="F54" s="270" t="str">
        <f>IFERROR(__xludf.DUMMYFUNCTION("""COMPUTED_VALUE"""),"OA")</f>
        <v>OA</v>
      </c>
      <c r="G54" s="231" t="str">
        <f>IFERROR(__xludf.DUMMYFUNCTION("""COMPUTED_VALUE"""),"✴️")</f>
        <v>✴️</v>
      </c>
      <c r="H54" s="231" t="str">
        <f>IFERROR(__xludf.DUMMYFUNCTION("""COMPUTED_VALUE"""),"➖")</f>
        <v>➖</v>
      </c>
      <c r="I54" s="231" t="str">
        <f>IFERROR(__xludf.DUMMYFUNCTION("""COMPUTED_VALUE"""),"➖")</f>
        <v>➖</v>
      </c>
      <c r="J54" s="231" t="str">
        <f>IFERROR(__xludf.DUMMYFUNCTION("""COMPUTED_VALUE"""),"➖")</f>
        <v>➖</v>
      </c>
      <c r="K54" s="288" t="str">
        <f>IFERROR(__xludf.DUMMYFUNCTION("""COMPUTED_VALUE"""),"➖")</f>
        <v>➖</v>
      </c>
      <c r="L54" s="288" t="str">
        <f>IFERROR(__xludf.DUMMYFUNCTION("""COMPUTED_VALUE"""),"➖")</f>
        <v>➖</v>
      </c>
      <c r="M54" s="288" t="str">
        <f>IFERROR(__xludf.DUMMYFUNCTION("""COMPUTED_VALUE"""),"➖")</f>
        <v>➖</v>
      </c>
      <c r="N54" s="288" t="str">
        <f>IFERROR(__xludf.DUMMYFUNCTION("""COMPUTED_VALUE"""),"➖")</f>
        <v>➖</v>
      </c>
      <c r="O54" s="288" t="str">
        <f>IFERROR(__xludf.DUMMYFUNCTION("""COMPUTED_VALUE"""),"➖")</f>
        <v>➖</v>
      </c>
      <c r="P54" s="288" t="str">
        <f>IFERROR(__xludf.DUMMYFUNCTION("""COMPUTED_VALUE"""),"➖")</f>
        <v>➖</v>
      </c>
      <c r="Q54" s="288" t="str">
        <f>IFERROR(__xludf.DUMMYFUNCTION("""COMPUTED_VALUE"""),"➖")</f>
        <v>➖</v>
      </c>
      <c r="R54" s="257" t="str">
        <f>IFERROR(__xludf.DUMMYFUNCTION("""COMPUTED_VALUE"""),"   ➖")</f>
        <v>➖</v>
      </c>
      <c r="S54" s="258" t="str">
        <f>IFERROR(__xludf.DUMMYFUNCTION("""COMPUTED_VALUE"""),"docked on a node, on a Mining Node")</f>
        <v>docked on a node, on a Mining Node</v>
      </c>
      <c r="T54" s="255" t="str">
        <f>IFERROR(__xludf.DUMMYFUNCTION("""COMPUTED_VALUE"""),"➖")</f>
        <v>➖</v>
      </c>
      <c r="U54" s="255" t="str">
        <f>IFERROR(__xludf.DUMMYFUNCTION("""COMPUTED_VALUE"""),"➖")</f>
        <v>➖</v>
      </c>
      <c r="V54" s="259"/>
      <c r="W54" s="286"/>
      <c r="X54" s="286"/>
      <c r="Y54" s="286"/>
    </row>
    <row r="55">
      <c r="A55" s="28"/>
      <c r="B55" s="128"/>
      <c r="C55" s="28"/>
      <c r="D55" s="250" t="str">
        <f>IFERROR(__xludf.DUMMYFUNCTION("""COMPUTED_VALUE"""),"   C")</f>
        <v>C</v>
      </c>
      <c r="E55" s="280" t="str">
        <f>IFERROR(__xludf.DUMMYFUNCTION("""COMPUTED_VALUE"""),"HELVIA")</f>
        <v>HELVIA</v>
      </c>
      <c r="F55" s="271" t="str">
        <f>IFERROR(__xludf.DUMMYFUNCTION("""COMPUTED_VALUE"""),"CM")</f>
        <v>CM</v>
      </c>
      <c r="G55" s="281" t="str">
        <f>IFERROR(__xludf.DUMMYFUNCTION("""COMPUTED_VALUE"""),"➖")</f>
        <v>➖</v>
      </c>
      <c r="H55" s="281" t="str">
        <f>IFERROR(__xludf.DUMMYFUNCTION("""COMPUTED_VALUE"""),"➖")</f>
        <v>➖</v>
      </c>
      <c r="I55" s="281" t="str">
        <f>IFERROR(__xludf.DUMMYFUNCTION("""COMPUTED_VALUE"""),"➖")</f>
        <v>➖</v>
      </c>
      <c r="J55" s="281" t="str">
        <f>IFERROR(__xludf.DUMMYFUNCTION("""COMPUTED_VALUE"""),"➖")</f>
        <v>➖</v>
      </c>
      <c r="K55" s="282" t="str">
        <f>IFERROR(__xludf.DUMMYFUNCTION("""COMPUTED_VALUE"""),"➖")</f>
        <v>➖</v>
      </c>
      <c r="L55" s="282" t="str">
        <f>IFERROR(__xludf.DUMMYFUNCTION("""COMPUTED_VALUE"""),"➖")</f>
        <v>➖</v>
      </c>
      <c r="M55" s="282" t="str">
        <f>IFERROR(__xludf.DUMMYFUNCTION("""COMPUTED_VALUE"""),"➖")</f>
        <v>➖</v>
      </c>
      <c r="N55" s="282" t="str">
        <f>IFERROR(__xludf.DUMMYFUNCTION("""COMPUTED_VALUE"""),"➖")</f>
        <v>➖</v>
      </c>
      <c r="O55" s="282" t="str">
        <f>IFERROR(__xludf.DUMMYFUNCTION("""COMPUTED_VALUE"""),"➖")</f>
        <v>➖</v>
      </c>
      <c r="P55" s="282" t="str">
        <f>IFERROR(__xludf.DUMMYFUNCTION("""COMPUTED_VALUE"""),"➖")</f>
        <v>➖</v>
      </c>
      <c r="Q55" s="282" t="str">
        <f>IFERROR(__xludf.DUMMYFUNCTION("""COMPUTED_VALUE"""),"➖")</f>
        <v>➖</v>
      </c>
      <c r="R55" s="283" t="str">
        <f>IFERROR(__xludf.DUMMYFUNCTION("""COMPUTED_VALUE"""),"   ➖")</f>
        <v>➖</v>
      </c>
      <c r="S55" s="284"/>
      <c r="T55" s="285" t="str">
        <f>IFERROR(__xludf.DUMMYFUNCTION("""COMPUTED_VALUE"""),"➖")</f>
        <v>➖</v>
      </c>
      <c r="U55" s="285" t="str">
        <f>IFERROR(__xludf.DUMMYFUNCTION("""COMPUTED_VALUE"""),"✅")</f>
        <v>✅</v>
      </c>
      <c r="V55" s="259"/>
      <c r="W55" s="286"/>
      <c r="X55" s="286"/>
      <c r="Y55" s="286"/>
    </row>
    <row r="56">
      <c r="A56" s="28"/>
      <c r="B56" s="132"/>
      <c r="C56" s="28"/>
      <c r="D56" s="260" t="str">
        <f>IFERROR(__xludf.DUMMYFUNCTION("""COMPUTED_VALUE"""),"   C")</f>
        <v>C</v>
      </c>
      <c r="E56" s="287" t="str">
        <f>IFERROR(__xludf.DUMMYFUNCTION("""COMPUTED_VALUE"""),"HELVIA")</f>
        <v>HELVIA</v>
      </c>
      <c r="F56" s="270" t="str">
        <f>IFERROR(__xludf.DUMMYFUNCTION("""COMPUTED_VALUE"""),"OA")</f>
        <v>OA</v>
      </c>
      <c r="G56" s="231" t="str">
        <f>IFERROR(__xludf.DUMMYFUNCTION("""COMPUTED_VALUE"""),"➖")</f>
        <v>➖</v>
      </c>
      <c r="H56" s="231" t="str">
        <f>IFERROR(__xludf.DUMMYFUNCTION("""COMPUTED_VALUE"""),"➖")</f>
        <v>➖</v>
      </c>
      <c r="I56" s="231" t="str">
        <f>IFERROR(__xludf.DUMMYFUNCTION("""COMPUTED_VALUE"""),"➖")</f>
        <v>➖</v>
      </c>
      <c r="J56" s="231" t="str">
        <f>IFERROR(__xludf.DUMMYFUNCTION("""COMPUTED_VALUE"""),"➖")</f>
        <v>➖</v>
      </c>
      <c r="K56" s="288" t="str">
        <f>IFERROR(__xludf.DUMMYFUNCTION("""COMPUTED_VALUE"""),"➖")</f>
        <v>➖</v>
      </c>
      <c r="L56" s="288" t="str">
        <f>IFERROR(__xludf.DUMMYFUNCTION("""COMPUTED_VALUE"""),"➖")</f>
        <v>➖</v>
      </c>
      <c r="M56" s="288" t="str">
        <f>IFERROR(__xludf.DUMMYFUNCTION("""COMPUTED_VALUE"""),"➖")</f>
        <v>➖</v>
      </c>
      <c r="N56" s="288" t="str">
        <f>IFERROR(__xludf.DUMMYFUNCTION("""COMPUTED_VALUE"""),"➖")</f>
        <v>➖</v>
      </c>
      <c r="O56" s="288" t="str">
        <f>IFERROR(__xludf.DUMMYFUNCTION("""COMPUTED_VALUE"""),"➖")</f>
        <v>➖</v>
      </c>
      <c r="P56" s="288" t="str">
        <f>IFERROR(__xludf.DUMMYFUNCTION("""COMPUTED_VALUE"""),"➖")</f>
        <v>➖</v>
      </c>
      <c r="Q56" s="288" t="str">
        <f>IFERROR(__xludf.DUMMYFUNCTION("""COMPUTED_VALUE"""),"➖")</f>
        <v>➖</v>
      </c>
      <c r="R56" s="257" t="str">
        <f>IFERROR(__xludf.DUMMYFUNCTION("""COMPUTED_VALUE"""),"   ➖")</f>
        <v>➖</v>
      </c>
      <c r="S56" s="258"/>
      <c r="T56" s="255" t="str">
        <f>IFERROR(__xludf.DUMMYFUNCTION("""COMPUTED_VALUE"""),"➖")</f>
        <v>➖</v>
      </c>
      <c r="U56" s="255" t="str">
        <f>IFERROR(__xludf.DUMMYFUNCTION("""COMPUTED_VALUE"""),"✅")</f>
        <v>✅</v>
      </c>
      <c r="V56" s="259"/>
      <c r="W56" s="286"/>
      <c r="X56" s="286"/>
      <c r="Y56" s="286"/>
    </row>
    <row r="57">
      <c r="A57" s="28"/>
      <c r="B57" s="128"/>
      <c r="C57" s="28"/>
      <c r="D57" s="250" t="str">
        <f>IFERROR(__xludf.DUMMYFUNCTION("""COMPUTED_VALUE"""),"   U")</f>
        <v>U</v>
      </c>
      <c r="E57" s="280" t="str">
        <f>IFERROR(__xludf.DUMMYFUNCTION("""COMPUTED_VALUE"""),"GONZALES")</f>
        <v>GONZALES</v>
      </c>
      <c r="F57" s="271" t="str">
        <f>IFERROR(__xludf.DUMMYFUNCTION("""COMPUTED_VALUE"""),"CM")</f>
        <v>CM</v>
      </c>
      <c r="G57" s="281" t="str">
        <f>IFERROR(__xludf.DUMMYFUNCTION("""COMPUTED_VALUE"""),"➖")</f>
        <v>➖</v>
      </c>
      <c r="H57" s="281" t="str">
        <f>IFERROR(__xludf.DUMMYFUNCTION("""COMPUTED_VALUE"""),"➖")</f>
        <v>➖</v>
      </c>
      <c r="I57" s="281" t="str">
        <f>IFERROR(__xludf.DUMMYFUNCTION("""COMPUTED_VALUE"""),"✅")</f>
        <v>✅</v>
      </c>
      <c r="J57" s="281" t="str">
        <f>IFERROR(__xludf.DUMMYFUNCTION("""COMPUTED_VALUE"""),"✅")</f>
        <v>✅</v>
      </c>
      <c r="K57" s="282" t="str">
        <f>IFERROR(__xludf.DUMMYFUNCTION("""COMPUTED_VALUE"""),"✅")</f>
        <v>✅</v>
      </c>
      <c r="L57" s="282" t="str">
        <f>IFERROR(__xludf.DUMMYFUNCTION("""COMPUTED_VALUE"""),"➖")</f>
        <v>➖</v>
      </c>
      <c r="M57" s="282" t="str">
        <f>IFERROR(__xludf.DUMMYFUNCTION("""COMPUTED_VALUE"""),"✅")</f>
        <v>✅</v>
      </c>
      <c r="N57" s="282" t="str">
        <f>IFERROR(__xludf.DUMMYFUNCTION("""COMPUTED_VALUE"""),"✅")</f>
        <v>✅</v>
      </c>
      <c r="O57" s="282" t="str">
        <f>IFERROR(__xludf.DUMMYFUNCTION("""COMPUTED_VALUE"""),"✅")</f>
        <v>✅</v>
      </c>
      <c r="P57" s="282" t="str">
        <f>IFERROR(__xludf.DUMMYFUNCTION("""COMPUTED_VALUE"""),"➖")</f>
        <v>➖</v>
      </c>
      <c r="Q57" s="282" t="str">
        <f>IFERROR(__xludf.DUMMYFUNCTION("""COMPUTED_VALUE"""),"➖")</f>
        <v>➖</v>
      </c>
      <c r="R57" s="283" t="str">
        <f>IFERROR(__xludf.DUMMYFUNCTION("""COMPUTED_VALUE"""),"   ➖")</f>
        <v>➖</v>
      </c>
      <c r="S57" s="284"/>
      <c r="T57" s="285" t="str">
        <f>IFERROR(__xludf.DUMMYFUNCTION("""COMPUTED_VALUE"""),"➖")</f>
        <v>➖</v>
      </c>
      <c r="U57" s="285" t="str">
        <f>IFERROR(__xludf.DUMMYFUNCTION("""COMPUTED_VALUE"""),"➖")</f>
        <v>➖</v>
      </c>
      <c r="V57" s="259"/>
      <c r="W57" s="286"/>
      <c r="X57" s="286"/>
      <c r="Y57" s="286"/>
    </row>
    <row r="58">
      <c r="A58" s="28"/>
      <c r="B58" s="132"/>
      <c r="C58" s="28"/>
      <c r="D58" s="260" t="str">
        <f>IFERROR(__xludf.DUMMYFUNCTION("""COMPUTED_VALUE"""),"   U")</f>
        <v>U</v>
      </c>
      <c r="E58" s="287" t="str">
        <f>IFERROR(__xludf.DUMMYFUNCTION("""COMPUTED_VALUE"""),"GONZALES")</f>
        <v>GONZALES</v>
      </c>
      <c r="F58" s="270" t="str">
        <f>IFERROR(__xludf.DUMMYFUNCTION("""COMPUTED_VALUE"""),"OA")</f>
        <v>OA</v>
      </c>
      <c r="G58" s="231" t="str">
        <f>IFERROR(__xludf.DUMMYFUNCTION("""COMPUTED_VALUE"""),"➖")</f>
        <v>➖</v>
      </c>
      <c r="H58" s="231" t="str">
        <f>IFERROR(__xludf.DUMMYFUNCTION("""COMPUTED_VALUE"""),"➖")</f>
        <v>➖</v>
      </c>
      <c r="I58" s="231" t="str">
        <f>IFERROR(__xludf.DUMMYFUNCTION("""COMPUTED_VALUE"""),"✅")</f>
        <v>✅</v>
      </c>
      <c r="J58" s="231" t="str">
        <f>IFERROR(__xludf.DUMMYFUNCTION("""COMPUTED_VALUE"""),"✅")</f>
        <v>✅</v>
      </c>
      <c r="K58" s="288" t="str">
        <f>IFERROR(__xludf.DUMMYFUNCTION("""COMPUTED_VALUE"""),"✅")</f>
        <v>✅</v>
      </c>
      <c r="L58" s="288" t="str">
        <f>IFERROR(__xludf.DUMMYFUNCTION("""COMPUTED_VALUE"""),"➖")</f>
        <v>➖</v>
      </c>
      <c r="M58" s="288" t="str">
        <f>IFERROR(__xludf.DUMMYFUNCTION("""COMPUTED_VALUE"""),"✅")</f>
        <v>✅</v>
      </c>
      <c r="N58" s="288" t="str">
        <f>IFERROR(__xludf.DUMMYFUNCTION("""COMPUTED_VALUE"""),"✅")</f>
        <v>✅</v>
      </c>
      <c r="O58" s="288" t="str">
        <f>IFERROR(__xludf.DUMMYFUNCTION("""COMPUTED_VALUE"""),"✅")</f>
        <v>✅</v>
      </c>
      <c r="P58" s="288" t="str">
        <f>IFERROR(__xludf.DUMMYFUNCTION("""COMPUTED_VALUE"""),"➖")</f>
        <v>➖</v>
      </c>
      <c r="Q58" s="288" t="str">
        <f>IFERROR(__xludf.DUMMYFUNCTION("""COMPUTED_VALUE"""),"➖")</f>
        <v>➖</v>
      </c>
      <c r="R58" s="257" t="str">
        <f>IFERROR(__xludf.DUMMYFUNCTION("""COMPUTED_VALUE"""),"   ➖")</f>
        <v>➖</v>
      </c>
      <c r="S58" s="258"/>
      <c r="T58" s="255" t="str">
        <f>IFERROR(__xludf.DUMMYFUNCTION("""COMPUTED_VALUE"""),"➖")</f>
        <v>➖</v>
      </c>
      <c r="U58" s="255" t="str">
        <f>IFERROR(__xludf.DUMMYFUNCTION("""COMPUTED_VALUE"""),"➖")</f>
        <v>➖</v>
      </c>
      <c r="V58" s="259"/>
      <c r="W58" s="286"/>
      <c r="X58" s="286"/>
      <c r="Y58" s="286"/>
    </row>
    <row r="59">
      <c r="A59" s="28"/>
      <c r="B59" s="128"/>
      <c r="C59" s="28"/>
      <c r="D59" s="250" t="str">
        <f>IFERROR(__xludf.DUMMYFUNCTION("""COMPUTED_VALUE"""),"   U")</f>
        <v>U</v>
      </c>
      <c r="E59" s="280" t="str">
        <f>IFERROR(__xludf.DUMMYFUNCTION("""COMPUTED_VALUE"""),"CHEN")</f>
        <v>CHEN</v>
      </c>
      <c r="F59" s="271" t="str">
        <f>IFERROR(__xludf.DUMMYFUNCTION("""COMPUTED_VALUE"""),"CM")</f>
        <v>CM</v>
      </c>
      <c r="G59" s="281" t="str">
        <f>IFERROR(__xludf.DUMMYFUNCTION("""COMPUTED_VALUE"""),"➖")</f>
        <v>➖</v>
      </c>
      <c r="H59" s="281" t="str">
        <f>IFERROR(__xludf.DUMMYFUNCTION("""COMPUTED_VALUE"""),"➖")</f>
        <v>➖</v>
      </c>
      <c r="I59" s="281" t="str">
        <f>IFERROR(__xludf.DUMMYFUNCTION("""COMPUTED_VALUE"""),"✴️")</f>
        <v>✴️</v>
      </c>
      <c r="J59" s="281" t="str">
        <f>IFERROR(__xludf.DUMMYFUNCTION("""COMPUTED_VALUE"""),"✴️")</f>
        <v>✴️</v>
      </c>
      <c r="K59" s="282" t="str">
        <f>IFERROR(__xludf.DUMMYFUNCTION("""COMPUTED_VALUE"""),"✴️")</f>
        <v>✴️</v>
      </c>
      <c r="L59" s="282" t="str">
        <f>IFERROR(__xludf.DUMMYFUNCTION("""COMPUTED_VALUE"""),"➖")</f>
        <v>➖</v>
      </c>
      <c r="M59" s="282" t="str">
        <f>IFERROR(__xludf.DUMMYFUNCTION("""COMPUTED_VALUE"""),"✴️")</f>
        <v>✴️</v>
      </c>
      <c r="N59" s="282" t="str">
        <f>IFERROR(__xludf.DUMMYFUNCTION("""COMPUTED_VALUE"""),"✴️")</f>
        <v>✴️</v>
      </c>
      <c r="O59" s="282" t="str">
        <f>IFERROR(__xludf.DUMMYFUNCTION("""COMPUTED_VALUE"""),"✴️")</f>
        <v>✴️</v>
      </c>
      <c r="P59" s="282" t="str">
        <f>IFERROR(__xludf.DUMMYFUNCTION("""COMPUTED_VALUE"""),"➖")</f>
        <v>➖</v>
      </c>
      <c r="Q59" s="282" t="str">
        <f>IFERROR(__xludf.DUMMYFUNCTION("""COMPUTED_VALUE"""),"➖")</f>
        <v>➖</v>
      </c>
      <c r="R59" s="283" t="str">
        <f>IFERROR(__xludf.DUMMYFUNCTION("""COMPUTED_VALUE"""),"   ➖")</f>
        <v>➖</v>
      </c>
      <c r="S59" s="284" t="str">
        <f>IFERROR(__xludf.DUMMYFUNCTION("""COMPUTED_VALUE"""),"target level 51 or under")</f>
        <v>target level 51 or under</v>
      </c>
      <c r="T59" s="285" t="str">
        <f>IFERROR(__xludf.DUMMYFUNCTION("""COMPUTED_VALUE"""),"➖")</f>
        <v>➖</v>
      </c>
      <c r="U59" s="285" t="str">
        <f>IFERROR(__xludf.DUMMYFUNCTION("""COMPUTED_VALUE"""),"➖")</f>
        <v>➖</v>
      </c>
      <c r="V59" s="259"/>
      <c r="W59" s="286"/>
      <c r="X59" s="286"/>
      <c r="Y59" s="286"/>
    </row>
    <row r="60">
      <c r="A60" s="28"/>
      <c r="B60" s="132"/>
      <c r="C60" s="28"/>
      <c r="D60" s="260" t="str">
        <f>IFERROR(__xludf.DUMMYFUNCTION("""COMPUTED_VALUE"""),"   U")</f>
        <v>U</v>
      </c>
      <c r="E60" s="287" t="str">
        <f>IFERROR(__xludf.DUMMYFUNCTION("""COMPUTED_VALUE"""),"CHEN")</f>
        <v>CHEN</v>
      </c>
      <c r="F60" s="270" t="str">
        <f>IFERROR(__xludf.DUMMYFUNCTION("""COMPUTED_VALUE"""),"OA")</f>
        <v>OA</v>
      </c>
      <c r="G60" s="231" t="str">
        <f>IFERROR(__xludf.DUMMYFUNCTION("""COMPUTED_VALUE"""),"➖")</f>
        <v>➖</v>
      </c>
      <c r="H60" s="231" t="str">
        <f>IFERROR(__xludf.DUMMYFUNCTION("""COMPUTED_VALUE"""),"➖")</f>
        <v>➖</v>
      </c>
      <c r="I60" s="231" t="str">
        <f>IFERROR(__xludf.DUMMYFUNCTION("""COMPUTED_VALUE"""),"✴️")</f>
        <v>✴️</v>
      </c>
      <c r="J60" s="231" t="str">
        <f>IFERROR(__xludf.DUMMYFUNCTION("""COMPUTED_VALUE"""),"✴️")</f>
        <v>✴️</v>
      </c>
      <c r="K60" s="288" t="str">
        <f>IFERROR(__xludf.DUMMYFUNCTION("""COMPUTED_VALUE"""),"✴️")</f>
        <v>✴️</v>
      </c>
      <c r="L60" s="288" t="str">
        <f>IFERROR(__xludf.DUMMYFUNCTION("""COMPUTED_VALUE"""),"➖")</f>
        <v>➖</v>
      </c>
      <c r="M60" s="288" t="str">
        <f>IFERROR(__xludf.DUMMYFUNCTION("""COMPUTED_VALUE"""),"➖")</f>
        <v>➖</v>
      </c>
      <c r="N60" s="288" t="str">
        <f>IFERROR(__xludf.DUMMYFUNCTION("""COMPUTED_VALUE"""),"➖")</f>
        <v>➖</v>
      </c>
      <c r="O60" s="288" t="str">
        <f>IFERROR(__xludf.DUMMYFUNCTION("""COMPUTED_VALUE"""),"➖")</f>
        <v>➖</v>
      </c>
      <c r="P60" s="288" t="str">
        <f>IFERROR(__xludf.DUMMYFUNCTION("""COMPUTED_VALUE"""),"➖")</f>
        <v>➖</v>
      </c>
      <c r="Q60" s="288" t="str">
        <f>IFERROR(__xludf.DUMMYFUNCTION("""COMPUTED_VALUE"""),"➖")</f>
        <v>➖</v>
      </c>
      <c r="R60" s="257" t="str">
        <f>IFERROR(__xludf.DUMMYFUNCTION("""COMPUTED_VALUE"""),"   ➖")</f>
        <v>➖</v>
      </c>
      <c r="S60" s="258" t="str">
        <f>IFERROR(__xludf.DUMMYFUNCTION("""COMPUTED_VALUE"""),"TargetMaxLevel, ModuleEnergy")</f>
        <v>TargetMaxLevel, ModuleEnergy</v>
      </c>
      <c r="T60" s="255" t="str">
        <f>IFERROR(__xludf.DUMMYFUNCTION("""COMPUTED_VALUE"""),"➖")</f>
        <v>➖</v>
      </c>
      <c r="U60" s="255" t="str">
        <f>IFERROR(__xludf.DUMMYFUNCTION("""COMPUTED_VALUE"""),"➖")</f>
        <v>➖</v>
      </c>
      <c r="V60" s="259"/>
      <c r="W60" s="286"/>
      <c r="X60" s="286"/>
      <c r="Y60" s="286"/>
    </row>
    <row r="61">
      <c r="A61" s="28"/>
      <c r="B61" s="128"/>
      <c r="C61" s="28"/>
      <c r="D61" s="250" t="str">
        <f>IFERROR(__xludf.DUMMYFUNCTION("""COMPUTED_VALUE"""),"   C")</f>
        <v>C</v>
      </c>
      <c r="E61" s="280" t="str">
        <f>IFERROR(__xludf.DUMMYFUNCTION("""COMPUTED_VALUE"""),"GAILA")</f>
        <v>GAILA</v>
      </c>
      <c r="F61" s="271" t="str">
        <f>IFERROR(__xludf.DUMMYFUNCTION("""COMPUTED_VALUE"""),"CM")</f>
        <v>CM</v>
      </c>
      <c r="G61" s="281" t="str">
        <f>IFERROR(__xludf.DUMMYFUNCTION("""COMPUTED_VALUE"""),"✅")</f>
        <v>✅</v>
      </c>
      <c r="H61" s="281" t="str">
        <f>IFERROR(__xludf.DUMMYFUNCTION("""COMPUTED_VALUE"""),"✅")</f>
        <v>✅</v>
      </c>
      <c r="I61" s="281" t="str">
        <f>IFERROR(__xludf.DUMMYFUNCTION("""COMPUTED_VALUE"""),"✅")</f>
        <v>✅</v>
      </c>
      <c r="J61" s="281" t="str">
        <f>IFERROR(__xludf.DUMMYFUNCTION("""COMPUTED_VALUE"""),"✅")</f>
        <v>✅</v>
      </c>
      <c r="K61" s="282" t="str">
        <f>IFERROR(__xludf.DUMMYFUNCTION("""COMPUTED_VALUE"""),"✅")</f>
        <v>✅</v>
      </c>
      <c r="L61" s="282" t="str">
        <f>IFERROR(__xludf.DUMMYFUNCTION("""COMPUTED_VALUE"""),"✅")</f>
        <v>✅</v>
      </c>
      <c r="M61" s="282" t="str">
        <f>IFERROR(__xludf.DUMMYFUNCTION("""COMPUTED_VALUE"""),"✅")</f>
        <v>✅</v>
      </c>
      <c r="N61" s="282" t="str">
        <f>IFERROR(__xludf.DUMMYFUNCTION("""COMPUTED_VALUE"""),"✅")</f>
        <v>✅</v>
      </c>
      <c r="O61" s="282" t="str">
        <f>IFERROR(__xludf.DUMMYFUNCTION("""COMPUTED_VALUE"""),"✅")</f>
        <v>✅</v>
      </c>
      <c r="P61" s="282" t="str">
        <f>IFERROR(__xludf.DUMMYFUNCTION("""COMPUTED_VALUE"""),"✅")</f>
        <v>✅</v>
      </c>
      <c r="Q61" s="282" t="str">
        <f>IFERROR(__xludf.DUMMYFUNCTION("""COMPUTED_VALUE"""),"✅")</f>
        <v>✅</v>
      </c>
      <c r="R61" s="283" t="str">
        <f>IFERROR(__xludf.DUMMYFUNCTION("""COMPUTED_VALUE"""),"   ✅")</f>
        <v>✅</v>
      </c>
      <c r="S61" s="284"/>
      <c r="T61" s="285" t="str">
        <f>IFERROR(__xludf.DUMMYFUNCTION("""COMPUTED_VALUE"""),"➖")</f>
        <v>➖</v>
      </c>
      <c r="U61" s="285" t="str">
        <f>IFERROR(__xludf.DUMMYFUNCTION("""COMPUTED_VALUE"""),"➖")</f>
        <v>➖</v>
      </c>
      <c r="V61" s="259"/>
      <c r="W61" s="286"/>
      <c r="X61" s="286"/>
      <c r="Y61" s="286"/>
    </row>
    <row r="62">
      <c r="A62" s="28"/>
      <c r="B62" s="132"/>
      <c r="C62" s="28"/>
      <c r="D62" s="260" t="str">
        <f>IFERROR(__xludf.DUMMYFUNCTION("""COMPUTED_VALUE"""),"   C")</f>
        <v>C</v>
      </c>
      <c r="E62" s="287" t="str">
        <f>IFERROR(__xludf.DUMMYFUNCTION("""COMPUTED_VALUE"""),"GAILA")</f>
        <v>GAILA</v>
      </c>
      <c r="F62" s="270" t="str">
        <f>IFERROR(__xludf.DUMMYFUNCTION("""COMPUTED_VALUE"""),"OA")</f>
        <v>OA</v>
      </c>
      <c r="G62" s="231" t="str">
        <f>IFERROR(__xludf.DUMMYFUNCTION("""COMPUTED_VALUE"""),"➖")</f>
        <v>➖</v>
      </c>
      <c r="H62" s="231" t="str">
        <f>IFERROR(__xludf.DUMMYFUNCTION("""COMPUTED_VALUE"""),"➖")</f>
        <v>➖</v>
      </c>
      <c r="I62" s="231" t="str">
        <f>IFERROR(__xludf.DUMMYFUNCTION("""COMPUTED_VALUE"""),"✴️")</f>
        <v>✴️</v>
      </c>
      <c r="J62" s="231" t="str">
        <f>IFERROR(__xludf.DUMMYFUNCTION("""COMPUTED_VALUE"""),"✴️")</f>
        <v>✴️</v>
      </c>
      <c r="K62" s="288" t="str">
        <f>IFERROR(__xludf.DUMMYFUNCTION("""COMPUTED_VALUE"""),"✴️")</f>
        <v>✴️</v>
      </c>
      <c r="L62" s="288" t="str">
        <f>IFERROR(__xludf.DUMMYFUNCTION("""COMPUTED_VALUE"""),"➖")</f>
        <v>➖</v>
      </c>
      <c r="M62" s="288" t="str">
        <f>IFERROR(__xludf.DUMMYFUNCTION("""COMPUTED_VALUE"""),"✴️")</f>
        <v>✴️</v>
      </c>
      <c r="N62" s="288" t="str">
        <f>IFERROR(__xludf.DUMMYFUNCTION("""COMPUTED_VALUE"""),"✴️")</f>
        <v>✴️</v>
      </c>
      <c r="O62" s="288" t="str">
        <f>IFERROR(__xludf.DUMMYFUNCTION("""COMPUTED_VALUE"""),"✴️")</f>
        <v>✴️</v>
      </c>
      <c r="P62" s="288" t="str">
        <f>IFERROR(__xludf.DUMMYFUNCTION("""COMPUTED_VALUE"""),"➖")</f>
        <v>➖</v>
      </c>
      <c r="Q62" s="288" t="str">
        <f>IFERROR(__xludf.DUMMYFUNCTION("""COMPUTED_VALUE"""),"➖")</f>
        <v>➖</v>
      </c>
      <c r="R62" s="257" t="str">
        <f>IFERROR(__xludf.DUMMYFUNCTION("""COMPUTED_VALUE"""),"   ➖")</f>
        <v>➖</v>
      </c>
      <c r="S62" s="258" t="str">
        <f>IFERROR(__xludf.DUMMYFUNCTION("""COMPUTED_VALUE"""),"target level 70 or under")</f>
        <v>target level 70 or under</v>
      </c>
      <c r="T62" s="255" t="str">
        <f>IFERROR(__xludf.DUMMYFUNCTION("""COMPUTED_VALUE"""),"➖")</f>
        <v>➖</v>
      </c>
      <c r="U62" s="255" t="str">
        <f>IFERROR(__xludf.DUMMYFUNCTION("""COMPUTED_VALUE"""),"➖")</f>
        <v>➖</v>
      </c>
      <c r="V62" s="259"/>
      <c r="W62" s="286"/>
      <c r="X62" s="286"/>
      <c r="Y62" s="286"/>
    </row>
    <row r="63">
      <c r="A63" s="28"/>
      <c r="B63" s="128"/>
      <c r="C63" s="28"/>
      <c r="D63" s="250" t="str">
        <f>IFERROR(__xludf.DUMMYFUNCTION("""COMPUTED_VALUE"""),"   C")</f>
        <v>C</v>
      </c>
      <c r="E63" s="280" t="str">
        <f>IFERROR(__xludf.DUMMYFUNCTION("""COMPUTED_VALUE"""),"SHEV")</f>
        <v>SHEV</v>
      </c>
      <c r="F63" s="271" t="str">
        <f>IFERROR(__xludf.DUMMYFUNCTION("""COMPUTED_VALUE"""),"CM")</f>
        <v>CM</v>
      </c>
      <c r="G63" s="281" t="str">
        <f>IFERROR(__xludf.DUMMYFUNCTION("""COMPUTED_VALUE"""),"✅")</f>
        <v>✅</v>
      </c>
      <c r="H63" s="281" t="str">
        <f>IFERROR(__xludf.DUMMYFUNCTION("""COMPUTED_VALUE"""),"✅")</f>
        <v>✅</v>
      </c>
      <c r="I63" s="281" t="str">
        <f>IFERROR(__xludf.DUMMYFUNCTION("""COMPUTED_VALUE"""),"✅")</f>
        <v>✅</v>
      </c>
      <c r="J63" s="281" t="str">
        <f>IFERROR(__xludf.DUMMYFUNCTION("""COMPUTED_VALUE"""),"✅")</f>
        <v>✅</v>
      </c>
      <c r="K63" s="282" t="str">
        <f>IFERROR(__xludf.DUMMYFUNCTION("""COMPUTED_VALUE"""),"✅")</f>
        <v>✅</v>
      </c>
      <c r="L63" s="282" t="str">
        <f>IFERROR(__xludf.DUMMYFUNCTION("""COMPUTED_VALUE"""),"✅")</f>
        <v>✅</v>
      </c>
      <c r="M63" s="282" t="str">
        <f>IFERROR(__xludf.DUMMYFUNCTION("""COMPUTED_VALUE"""),"✅")</f>
        <v>✅</v>
      </c>
      <c r="N63" s="282" t="str">
        <f>IFERROR(__xludf.DUMMYFUNCTION("""COMPUTED_VALUE"""),"✅")</f>
        <v>✅</v>
      </c>
      <c r="O63" s="282" t="str">
        <f>IFERROR(__xludf.DUMMYFUNCTION("""COMPUTED_VALUE"""),"✅")</f>
        <v>✅</v>
      </c>
      <c r="P63" s="282" t="str">
        <f>IFERROR(__xludf.DUMMYFUNCTION("""COMPUTED_VALUE"""),"✅")</f>
        <v>✅</v>
      </c>
      <c r="Q63" s="282" t="str">
        <f>IFERROR(__xludf.DUMMYFUNCTION("""COMPUTED_VALUE"""),"✅")</f>
        <v>✅</v>
      </c>
      <c r="R63" s="283" t="str">
        <f>IFERROR(__xludf.DUMMYFUNCTION("""COMPUTED_VALUE"""),"   ✅")</f>
        <v>✅</v>
      </c>
      <c r="S63" s="284"/>
      <c r="T63" s="285" t="str">
        <f>IFERROR(__xludf.DUMMYFUNCTION("""COMPUTED_VALUE"""),"➖")</f>
        <v>➖</v>
      </c>
      <c r="U63" s="285" t="str">
        <f>IFERROR(__xludf.DUMMYFUNCTION("""COMPUTED_VALUE"""),"➖")</f>
        <v>➖</v>
      </c>
      <c r="V63" s="259"/>
      <c r="W63" s="286"/>
      <c r="X63" s="286"/>
      <c r="Y63" s="286"/>
    </row>
    <row r="64">
      <c r="A64" s="28"/>
      <c r="B64" s="132"/>
      <c r="C64" s="28"/>
      <c r="D64" s="260" t="str">
        <f>IFERROR(__xludf.DUMMYFUNCTION("""COMPUTED_VALUE"""),"   C")</f>
        <v>C</v>
      </c>
      <c r="E64" s="287" t="str">
        <f>IFERROR(__xludf.DUMMYFUNCTION("""COMPUTED_VALUE"""),"SHEV")</f>
        <v>SHEV</v>
      </c>
      <c r="F64" s="270" t="str">
        <f>IFERROR(__xludf.DUMMYFUNCTION("""COMPUTED_VALUE"""),"OA")</f>
        <v>OA</v>
      </c>
      <c r="G64" s="231" t="str">
        <f>IFERROR(__xludf.DUMMYFUNCTION("""COMPUTED_VALUE"""),"➖")</f>
        <v>➖</v>
      </c>
      <c r="H64" s="231" t="str">
        <f>IFERROR(__xludf.DUMMYFUNCTION("""COMPUTED_VALUE"""),"➖")</f>
        <v>➖</v>
      </c>
      <c r="I64" s="231" t="str">
        <f>IFERROR(__xludf.DUMMYFUNCTION("""COMPUTED_VALUE"""),"✴️")</f>
        <v>✴️</v>
      </c>
      <c r="J64" s="231" t="str">
        <f>IFERROR(__xludf.DUMMYFUNCTION("""COMPUTED_VALUE"""),"✴️")</f>
        <v>✴️</v>
      </c>
      <c r="K64" s="288" t="str">
        <f>IFERROR(__xludf.DUMMYFUNCTION("""COMPUTED_VALUE"""),"✴️")</f>
        <v>✴️</v>
      </c>
      <c r="L64" s="288" t="str">
        <f>IFERROR(__xludf.DUMMYFUNCTION("""COMPUTED_VALUE"""),"➖")</f>
        <v>➖</v>
      </c>
      <c r="M64" s="288" t="str">
        <f>IFERROR(__xludf.DUMMYFUNCTION("""COMPUTED_VALUE"""),"✴️")</f>
        <v>✴️</v>
      </c>
      <c r="N64" s="288" t="str">
        <f>IFERROR(__xludf.DUMMYFUNCTION("""COMPUTED_VALUE"""),"✴️")</f>
        <v>✴️</v>
      </c>
      <c r="O64" s="288" t="str">
        <f>IFERROR(__xludf.DUMMYFUNCTION("""COMPUTED_VALUE"""),"✴️")</f>
        <v>✴️</v>
      </c>
      <c r="P64" s="288" t="str">
        <f>IFERROR(__xludf.DUMMYFUNCTION("""COMPUTED_VALUE"""),"➖")</f>
        <v>➖</v>
      </c>
      <c r="Q64" s="288" t="str">
        <f>IFERROR(__xludf.DUMMYFUNCTION("""COMPUTED_VALUE"""),"➖")</f>
        <v>➖</v>
      </c>
      <c r="R64" s="257" t="str">
        <f>IFERROR(__xludf.DUMMYFUNCTION("""COMPUTED_VALUE"""),"   ➖")</f>
        <v>➖</v>
      </c>
      <c r="S64" s="258" t="str">
        <f>IFERROR(__xludf.DUMMYFUNCTION("""COMPUTED_VALUE"""),"ModuleEnergy")</f>
        <v>ModuleEnergy</v>
      </c>
      <c r="T64" s="255" t="str">
        <f>IFERROR(__xludf.DUMMYFUNCTION("""COMPUTED_VALUE"""),"➖")</f>
        <v>➖</v>
      </c>
      <c r="U64" s="255" t="str">
        <f>IFERROR(__xludf.DUMMYFUNCTION("""COMPUTED_VALUE"""),"➖")</f>
        <v>➖</v>
      </c>
      <c r="V64" s="259"/>
      <c r="W64" s="286"/>
      <c r="X64" s="286"/>
      <c r="Y64" s="286"/>
    </row>
    <row r="65">
      <c r="A65" s="28"/>
      <c r="B65" s="128"/>
      <c r="C65" s="28"/>
      <c r="D65" s="250" t="str">
        <f>IFERROR(__xludf.DUMMYFUNCTION("""COMPUTED_VALUE"""),"   C")</f>
        <v>C</v>
      </c>
      <c r="E65" s="280" t="str">
        <f>IFERROR(__xludf.DUMMYFUNCTION("""COMPUTED_VALUE"""),"T'LAAN")</f>
        <v>T'LAAN</v>
      </c>
      <c r="F65" s="271" t="str">
        <f>IFERROR(__xludf.DUMMYFUNCTION("""COMPUTED_VALUE"""),"CM")</f>
        <v>CM</v>
      </c>
      <c r="G65" s="281" t="str">
        <f>IFERROR(__xludf.DUMMYFUNCTION("""COMPUTED_VALUE"""),"➖")</f>
        <v>➖</v>
      </c>
      <c r="H65" s="281" t="str">
        <f>IFERROR(__xludf.DUMMYFUNCTION("""COMPUTED_VALUE"""),"➖")</f>
        <v>➖</v>
      </c>
      <c r="I65" s="281" t="str">
        <f>IFERROR(__xludf.DUMMYFUNCTION("""COMPUTED_VALUE"""),"➖")</f>
        <v>➖</v>
      </c>
      <c r="J65" s="281" t="str">
        <f>IFERROR(__xludf.DUMMYFUNCTION("""COMPUTED_VALUE"""),"➖")</f>
        <v>➖</v>
      </c>
      <c r="K65" s="282" t="str">
        <f>IFERROR(__xludf.DUMMYFUNCTION("""COMPUTED_VALUE"""),"➖")</f>
        <v>➖</v>
      </c>
      <c r="L65" s="282" t="str">
        <f>IFERROR(__xludf.DUMMYFUNCTION("""COMPUTED_VALUE"""),"➖")</f>
        <v>➖</v>
      </c>
      <c r="M65" s="282" t="str">
        <f>IFERROR(__xludf.DUMMYFUNCTION("""COMPUTED_VALUE"""),"➖")</f>
        <v>➖</v>
      </c>
      <c r="N65" s="282" t="str">
        <f>IFERROR(__xludf.DUMMYFUNCTION("""COMPUTED_VALUE"""),"➖")</f>
        <v>➖</v>
      </c>
      <c r="O65" s="282" t="str">
        <f>IFERROR(__xludf.DUMMYFUNCTION("""COMPUTED_VALUE"""),"➖")</f>
        <v>➖</v>
      </c>
      <c r="P65" s="282" t="str">
        <f>IFERROR(__xludf.DUMMYFUNCTION("""COMPUTED_VALUE"""),"➖")</f>
        <v>➖</v>
      </c>
      <c r="Q65" s="282" t="str">
        <f>IFERROR(__xludf.DUMMYFUNCTION("""COMPUTED_VALUE"""),"➖")</f>
        <v>➖</v>
      </c>
      <c r="R65" s="283" t="str">
        <f>IFERROR(__xludf.DUMMYFUNCTION("""COMPUTED_VALUE"""),"   ➖")</f>
        <v>➖</v>
      </c>
      <c r="S65" s="284"/>
      <c r="T65" s="285" t="str">
        <f>IFERROR(__xludf.DUMMYFUNCTION("""COMPUTED_VALUE"""),"➖")</f>
        <v>➖</v>
      </c>
      <c r="U65" s="285" t="str">
        <f>IFERROR(__xludf.DUMMYFUNCTION("""COMPUTED_VALUE"""),"✅")</f>
        <v>✅</v>
      </c>
      <c r="V65" s="259"/>
      <c r="W65" s="286"/>
      <c r="X65" s="286"/>
      <c r="Y65" s="286"/>
    </row>
    <row r="66">
      <c r="A66" s="28"/>
      <c r="B66" s="132"/>
      <c r="C66" s="28"/>
      <c r="D66" s="260" t="str">
        <f>IFERROR(__xludf.DUMMYFUNCTION("""COMPUTED_VALUE"""),"   C")</f>
        <v>C</v>
      </c>
      <c r="E66" s="287" t="str">
        <f>IFERROR(__xludf.DUMMYFUNCTION("""COMPUTED_VALUE"""),"T'LAAN")</f>
        <v>T'LAAN</v>
      </c>
      <c r="F66" s="270" t="str">
        <f>IFERROR(__xludf.DUMMYFUNCTION("""COMPUTED_VALUE"""),"OA")</f>
        <v>OA</v>
      </c>
      <c r="G66" s="231" t="str">
        <f>IFERROR(__xludf.DUMMYFUNCTION("""COMPUTED_VALUE"""),"➖")</f>
        <v>➖</v>
      </c>
      <c r="H66" s="231" t="str">
        <f>IFERROR(__xludf.DUMMYFUNCTION("""COMPUTED_VALUE"""),"➖")</f>
        <v>➖</v>
      </c>
      <c r="I66" s="231" t="str">
        <f>IFERROR(__xludf.DUMMYFUNCTION("""COMPUTED_VALUE"""),"✴️")</f>
        <v>✴️</v>
      </c>
      <c r="J66" s="231" t="str">
        <f>IFERROR(__xludf.DUMMYFUNCTION("""COMPUTED_VALUE"""),"✴️")</f>
        <v>✴️</v>
      </c>
      <c r="K66" s="288" t="str">
        <f>IFERROR(__xludf.DUMMYFUNCTION("""COMPUTED_VALUE"""),"✴️")</f>
        <v>✴️</v>
      </c>
      <c r="L66" s="288" t="str">
        <f>IFERROR(__xludf.DUMMYFUNCTION("""COMPUTED_VALUE"""),"➖")</f>
        <v>➖</v>
      </c>
      <c r="M66" s="288" t="str">
        <f>IFERROR(__xludf.DUMMYFUNCTION("""COMPUTED_VALUE"""),"➖")</f>
        <v>➖</v>
      </c>
      <c r="N66" s="288" t="str">
        <f>IFERROR(__xludf.DUMMYFUNCTION("""COMPUTED_VALUE"""),"➖")</f>
        <v>➖</v>
      </c>
      <c r="O66" s="288" t="str">
        <f>IFERROR(__xludf.DUMMYFUNCTION("""COMPUTED_VALUE"""),"➖")</f>
        <v>➖</v>
      </c>
      <c r="P66" s="288" t="str">
        <f>IFERROR(__xludf.DUMMYFUNCTION("""COMPUTED_VALUE"""),"➖")</f>
        <v>➖</v>
      </c>
      <c r="Q66" s="288" t="str">
        <f>IFERROR(__xludf.DUMMYFUNCTION("""COMPUTED_VALUE"""),"➖")</f>
        <v>➖</v>
      </c>
      <c r="R66" s="257" t="str">
        <f>IFERROR(__xludf.DUMMYFUNCTION("""COMPUTED_VALUE"""),"   ➖")</f>
        <v>➖</v>
      </c>
      <c r="S66" s="258" t="str">
        <f>IFERROR(__xludf.DUMMYFUNCTION("""COMPUTED_VALUE"""),"TargetMaxLevel, ModuleKinetic")</f>
        <v>TargetMaxLevel, ModuleKinetic</v>
      </c>
      <c r="T66" s="255" t="str">
        <f>IFERROR(__xludf.DUMMYFUNCTION("""COMPUTED_VALUE"""),"➖")</f>
        <v>➖</v>
      </c>
      <c r="U66" s="255" t="str">
        <f>IFERROR(__xludf.DUMMYFUNCTION("""COMPUTED_VALUE"""),"➖")</f>
        <v>➖</v>
      </c>
      <c r="V66" s="259"/>
      <c r="W66" s="286"/>
      <c r="X66" s="286"/>
      <c r="Y66" s="286"/>
    </row>
    <row r="67">
      <c r="A67" s="28"/>
      <c r="B67" s="128"/>
      <c r="C67" s="28"/>
      <c r="D67" s="250" t="str">
        <f>IFERROR(__xludf.DUMMYFUNCTION("""COMPUTED_VALUE"""),"   C")</f>
        <v>C</v>
      </c>
      <c r="E67" s="280" t="str">
        <f>IFERROR(__xludf.DUMMYFUNCTION("""COMPUTED_VALUE"""),"VEL")</f>
        <v>VEL</v>
      </c>
      <c r="F67" s="271" t="str">
        <f>IFERROR(__xludf.DUMMYFUNCTION("""COMPUTED_VALUE"""),"CM")</f>
        <v>CM</v>
      </c>
      <c r="G67" s="281" t="str">
        <f>IFERROR(__xludf.DUMMYFUNCTION("""COMPUTED_VALUE"""),"✅")</f>
        <v>✅</v>
      </c>
      <c r="H67" s="281" t="str">
        <f>IFERROR(__xludf.DUMMYFUNCTION("""COMPUTED_VALUE"""),"✅")</f>
        <v>✅</v>
      </c>
      <c r="I67" s="281" t="str">
        <f>IFERROR(__xludf.DUMMYFUNCTION("""COMPUTED_VALUE"""),"✅")</f>
        <v>✅</v>
      </c>
      <c r="J67" s="281" t="str">
        <f>IFERROR(__xludf.DUMMYFUNCTION("""COMPUTED_VALUE"""),"✅")</f>
        <v>✅</v>
      </c>
      <c r="K67" s="282" t="str">
        <f>IFERROR(__xludf.DUMMYFUNCTION("""COMPUTED_VALUE"""),"✅")</f>
        <v>✅</v>
      </c>
      <c r="L67" s="282" t="str">
        <f>IFERROR(__xludf.DUMMYFUNCTION("""COMPUTED_VALUE"""),"✅")</f>
        <v>✅</v>
      </c>
      <c r="M67" s="282" t="str">
        <f>IFERROR(__xludf.DUMMYFUNCTION("""COMPUTED_VALUE"""),"✅")</f>
        <v>✅</v>
      </c>
      <c r="N67" s="282" t="str">
        <f>IFERROR(__xludf.DUMMYFUNCTION("""COMPUTED_VALUE"""),"✅")</f>
        <v>✅</v>
      </c>
      <c r="O67" s="282" t="str">
        <f>IFERROR(__xludf.DUMMYFUNCTION("""COMPUTED_VALUE"""),"✅")</f>
        <v>✅</v>
      </c>
      <c r="P67" s="282" t="str">
        <f>IFERROR(__xludf.DUMMYFUNCTION("""COMPUTED_VALUE"""),"✅")</f>
        <v>✅</v>
      </c>
      <c r="Q67" s="282" t="str">
        <f>IFERROR(__xludf.DUMMYFUNCTION("""COMPUTED_VALUE"""),"✅")</f>
        <v>✅</v>
      </c>
      <c r="R67" s="283" t="str">
        <f>IFERROR(__xludf.DUMMYFUNCTION("""COMPUTED_VALUE"""),"   ✅")</f>
        <v>✅</v>
      </c>
      <c r="S67" s="284"/>
      <c r="T67" s="285" t="str">
        <f>IFERROR(__xludf.DUMMYFUNCTION("""COMPUTED_VALUE"""),"➖")</f>
        <v>➖</v>
      </c>
      <c r="U67" s="285" t="str">
        <f>IFERROR(__xludf.DUMMYFUNCTION("""COMPUTED_VALUE"""),"➖")</f>
        <v>➖</v>
      </c>
      <c r="V67" s="259"/>
      <c r="W67" s="286"/>
      <c r="X67" s="286"/>
      <c r="Y67" s="286"/>
    </row>
    <row r="68">
      <c r="A68" s="28"/>
      <c r="B68" s="132"/>
      <c r="C68" s="28"/>
      <c r="D68" s="260" t="str">
        <f>IFERROR(__xludf.DUMMYFUNCTION("""COMPUTED_VALUE"""),"   C")</f>
        <v>C</v>
      </c>
      <c r="E68" s="287" t="str">
        <f>IFERROR(__xludf.DUMMYFUNCTION("""COMPUTED_VALUE"""),"VEL")</f>
        <v>VEL</v>
      </c>
      <c r="F68" s="270" t="str">
        <f>IFERROR(__xludf.DUMMYFUNCTION("""COMPUTED_VALUE"""),"OA")</f>
        <v>OA</v>
      </c>
      <c r="G68" s="231" t="str">
        <f>IFERROR(__xludf.DUMMYFUNCTION("""COMPUTED_VALUE"""),"➖")</f>
        <v>➖</v>
      </c>
      <c r="H68" s="231" t="str">
        <f>IFERROR(__xludf.DUMMYFUNCTION("""COMPUTED_VALUE"""),"➖")</f>
        <v>➖</v>
      </c>
      <c r="I68" s="231" t="str">
        <f>IFERROR(__xludf.DUMMYFUNCTION("""COMPUTED_VALUE"""),"✴️")</f>
        <v>✴️</v>
      </c>
      <c r="J68" s="231" t="str">
        <f>IFERROR(__xludf.DUMMYFUNCTION("""COMPUTED_VALUE"""),"✴️")</f>
        <v>✴️</v>
      </c>
      <c r="K68" s="288" t="str">
        <f>IFERROR(__xludf.DUMMYFUNCTION("""COMPUTED_VALUE"""),"✴️")</f>
        <v>✴️</v>
      </c>
      <c r="L68" s="288" t="str">
        <f>IFERROR(__xludf.DUMMYFUNCTION("""COMPUTED_VALUE"""),"➖")</f>
        <v>➖</v>
      </c>
      <c r="M68" s="288" t="str">
        <f>IFERROR(__xludf.DUMMYFUNCTION("""COMPUTED_VALUE"""),"✴️")</f>
        <v>✴️</v>
      </c>
      <c r="N68" s="288" t="str">
        <f>IFERROR(__xludf.DUMMYFUNCTION("""COMPUTED_VALUE"""),"✴️")</f>
        <v>✴️</v>
      </c>
      <c r="O68" s="288" t="str">
        <f>IFERROR(__xludf.DUMMYFUNCTION("""COMPUTED_VALUE"""),"✴️")</f>
        <v>✴️</v>
      </c>
      <c r="P68" s="288" t="str">
        <f>IFERROR(__xludf.DUMMYFUNCTION("""COMPUTED_VALUE"""),"➖")</f>
        <v>➖</v>
      </c>
      <c r="Q68" s="288" t="str">
        <f>IFERROR(__xludf.DUMMYFUNCTION("""COMPUTED_VALUE"""),"➖")</f>
        <v>➖</v>
      </c>
      <c r="R68" s="257" t="str">
        <f>IFERROR(__xludf.DUMMYFUNCTION("""COMPUTED_VALUE"""),"   ➖")</f>
        <v>➖</v>
      </c>
      <c r="S68" s="258" t="str">
        <f>IFERROR(__xludf.DUMMYFUNCTION("""COMPUTED_VALUE"""),"ModuleKinetic")</f>
        <v>ModuleKinetic</v>
      </c>
      <c r="T68" s="255" t="str">
        <f>IFERROR(__xludf.DUMMYFUNCTION("""COMPUTED_VALUE"""),"➖")</f>
        <v>➖</v>
      </c>
      <c r="U68" s="255" t="str">
        <f>IFERROR(__xludf.DUMMYFUNCTION("""COMPUTED_VALUE"""),"➖")</f>
        <v>➖</v>
      </c>
      <c r="V68" s="259"/>
      <c r="W68" s="286"/>
      <c r="X68" s="286"/>
      <c r="Y68" s="286"/>
    </row>
    <row r="69">
      <c r="A69" s="28"/>
      <c r="B69" s="128"/>
      <c r="C69" s="28"/>
      <c r="D69" s="250" t="str">
        <f>IFERROR(__xludf.DUMMYFUNCTION("""COMPUTED_VALUE"""),"   C")</f>
        <v>C</v>
      </c>
      <c r="E69" s="280" t="str">
        <f>IFERROR(__xludf.DUMMYFUNCTION("""COMPUTED_VALUE"""),"M'BENGA")</f>
        <v>M'BENGA</v>
      </c>
      <c r="F69" s="271" t="str">
        <f>IFERROR(__xludf.DUMMYFUNCTION("""COMPUTED_VALUE"""),"CM")</f>
        <v>CM</v>
      </c>
      <c r="G69" s="281" t="str">
        <f>IFERROR(__xludf.DUMMYFUNCTION("""COMPUTED_VALUE"""),"➖")</f>
        <v>➖</v>
      </c>
      <c r="H69" s="281" t="str">
        <f>IFERROR(__xludf.DUMMYFUNCTION("""COMPUTED_VALUE"""),"✅")</f>
        <v>✅</v>
      </c>
      <c r="I69" s="281" t="str">
        <f>IFERROR(__xludf.DUMMYFUNCTION("""COMPUTED_VALUE"""),"➖")</f>
        <v>➖</v>
      </c>
      <c r="J69" s="281" t="str">
        <f>IFERROR(__xludf.DUMMYFUNCTION("""COMPUTED_VALUE"""),"➖")</f>
        <v>➖</v>
      </c>
      <c r="K69" s="282" t="str">
        <f>IFERROR(__xludf.DUMMYFUNCTION("""COMPUTED_VALUE"""),"➖")</f>
        <v>➖</v>
      </c>
      <c r="L69" s="282" t="str">
        <f>IFERROR(__xludf.DUMMYFUNCTION("""COMPUTED_VALUE"""),"➖")</f>
        <v>➖</v>
      </c>
      <c r="M69" s="282" t="str">
        <f>IFERROR(__xludf.DUMMYFUNCTION("""COMPUTED_VALUE"""),"➖")</f>
        <v>➖</v>
      </c>
      <c r="N69" s="282" t="str">
        <f>IFERROR(__xludf.DUMMYFUNCTION("""COMPUTED_VALUE"""),"➖")</f>
        <v>➖</v>
      </c>
      <c r="O69" s="282" t="str">
        <f>IFERROR(__xludf.DUMMYFUNCTION("""COMPUTED_VALUE"""),"➖")</f>
        <v>➖</v>
      </c>
      <c r="P69" s="282" t="str">
        <f>IFERROR(__xludf.DUMMYFUNCTION("""COMPUTED_VALUE"""),"➖")</f>
        <v>➖</v>
      </c>
      <c r="Q69" s="282" t="str">
        <f>IFERROR(__xludf.DUMMYFUNCTION("""COMPUTED_VALUE"""),"➖")</f>
        <v>➖</v>
      </c>
      <c r="R69" s="283" t="str">
        <f>IFERROR(__xludf.DUMMYFUNCTION("""COMPUTED_VALUE"""),"   ➖")</f>
        <v>➖</v>
      </c>
      <c r="S69" s="284"/>
      <c r="T69" s="285" t="str">
        <f>IFERROR(__xludf.DUMMYFUNCTION("""COMPUTED_VALUE"""),"➖")</f>
        <v>➖</v>
      </c>
      <c r="U69" s="285" t="str">
        <f>IFERROR(__xludf.DUMMYFUNCTION("""COMPUTED_VALUE"""),"➖")</f>
        <v>➖</v>
      </c>
      <c r="V69" s="259"/>
      <c r="W69" s="286"/>
      <c r="X69" s="286"/>
      <c r="Y69" s="286"/>
    </row>
    <row r="70">
      <c r="A70" s="28"/>
      <c r="B70" s="132"/>
      <c r="C70" s="28"/>
      <c r="D70" s="260" t="str">
        <f>IFERROR(__xludf.DUMMYFUNCTION("""COMPUTED_VALUE"""),"   C")</f>
        <v>C</v>
      </c>
      <c r="E70" s="287" t="str">
        <f>IFERROR(__xludf.DUMMYFUNCTION("""COMPUTED_VALUE"""),"M'BENGA")</f>
        <v>M'BENGA</v>
      </c>
      <c r="F70" s="270" t="str">
        <f>IFERROR(__xludf.DUMMYFUNCTION("""COMPUTED_VALUE"""),"OA")</f>
        <v>OA</v>
      </c>
      <c r="G70" s="231" t="str">
        <f>IFERROR(__xludf.DUMMYFUNCTION("""COMPUTED_VALUE"""),"➖")</f>
        <v>➖</v>
      </c>
      <c r="H70" s="231" t="str">
        <f>IFERROR(__xludf.DUMMYFUNCTION("""COMPUTED_VALUE"""),"✅")</f>
        <v>✅</v>
      </c>
      <c r="I70" s="231" t="str">
        <f>IFERROR(__xludf.DUMMYFUNCTION("""COMPUTED_VALUE"""),"➖")</f>
        <v>➖</v>
      </c>
      <c r="J70" s="231" t="str">
        <f>IFERROR(__xludf.DUMMYFUNCTION("""COMPUTED_VALUE"""),"➖")</f>
        <v>➖</v>
      </c>
      <c r="K70" s="288" t="str">
        <f>IFERROR(__xludf.DUMMYFUNCTION("""COMPUTED_VALUE"""),"➖")</f>
        <v>➖</v>
      </c>
      <c r="L70" s="288" t="str">
        <f>IFERROR(__xludf.DUMMYFUNCTION("""COMPUTED_VALUE"""),"➖")</f>
        <v>➖</v>
      </c>
      <c r="M70" s="288" t="str">
        <f>IFERROR(__xludf.DUMMYFUNCTION("""COMPUTED_VALUE"""),"➖")</f>
        <v>➖</v>
      </c>
      <c r="N70" s="288" t="str">
        <f>IFERROR(__xludf.DUMMYFUNCTION("""COMPUTED_VALUE"""),"➖")</f>
        <v>➖</v>
      </c>
      <c r="O70" s="288" t="str">
        <f>IFERROR(__xludf.DUMMYFUNCTION("""COMPUTED_VALUE"""),"➖")</f>
        <v>➖</v>
      </c>
      <c r="P70" s="288" t="str">
        <f>IFERROR(__xludf.DUMMYFUNCTION("""COMPUTED_VALUE"""),"➖")</f>
        <v>➖</v>
      </c>
      <c r="Q70" s="288" t="str">
        <f>IFERROR(__xludf.DUMMYFUNCTION("""COMPUTED_VALUE"""),"➖")</f>
        <v>➖</v>
      </c>
      <c r="R70" s="257" t="str">
        <f>IFERROR(__xludf.DUMMYFUNCTION("""COMPUTED_VALUE"""),"   ➖")</f>
        <v>➖</v>
      </c>
      <c r="S70" s="258"/>
      <c r="T70" s="255" t="str">
        <f>IFERROR(__xludf.DUMMYFUNCTION("""COMPUTED_VALUE"""),"➖")</f>
        <v>➖</v>
      </c>
      <c r="U70" s="255" t="str">
        <f>IFERROR(__xludf.DUMMYFUNCTION("""COMPUTED_VALUE"""),"➖")</f>
        <v>➖</v>
      </c>
      <c r="V70" s="259"/>
      <c r="W70" s="286"/>
      <c r="X70" s="286"/>
      <c r="Y70" s="286"/>
    </row>
    <row r="71">
      <c r="A71" s="28"/>
      <c r="B71" s="128"/>
      <c r="C71" s="28"/>
      <c r="D71" s="250" t="str">
        <f>IFERROR(__xludf.DUMMYFUNCTION("""COMPUTED_VALUE"""),"   R")</f>
        <v>R</v>
      </c>
      <c r="E71" s="280" t="str">
        <f>IFERROR(__xludf.DUMMYFUNCTION("""COMPUTED_VALUE"""),"KURON")</f>
        <v>KURON</v>
      </c>
      <c r="F71" s="271" t="str">
        <f>IFERROR(__xludf.DUMMYFUNCTION("""COMPUTED_VALUE"""),"CM")</f>
        <v>CM</v>
      </c>
      <c r="G71" s="281" t="str">
        <f>IFERROR(__xludf.DUMMYFUNCTION("""COMPUTED_VALUE"""),"✴️")</f>
        <v>✴️</v>
      </c>
      <c r="H71" s="281" t="str">
        <f>IFERROR(__xludf.DUMMYFUNCTION("""COMPUTED_VALUE"""),"✴️")</f>
        <v>✴️</v>
      </c>
      <c r="I71" s="281" t="str">
        <f>IFERROR(__xludf.DUMMYFUNCTION("""COMPUTED_VALUE"""),"✴️")</f>
        <v>✴️</v>
      </c>
      <c r="J71" s="281" t="str">
        <f>IFERROR(__xludf.DUMMYFUNCTION("""COMPUTED_VALUE"""),"✴️")</f>
        <v>✴️</v>
      </c>
      <c r="K71" s="282" t="str">
        <f>IFERROR(__xludf.DUMMYFUNCTION("""COMPUTED_VALUE"""),"✴️")</f>
        <v>✴️</v>
      </c>
      <c r="L71" s="282" t="str">
        <f>IFERROR(__xludf.DUMMYFUNCTION("""COMPUTED_VALUE"""),"✴️")</f>
        <v>✴️</v>
      </c>
      <c r="M71" s="282" t="str">
        <f>IFERROR(__xludf.DUMMYFUNCTION("""COMPUTED_VALUE"""),"✴️")</f>
        <v>✴️</v>
      </c>
      <c r="N71" s="282" t="str">
        <f>IFERROR(__xludf.DUMMYFUNCTION("""COMPUTED_VALUE"""),"✴️")</f>
        <v>✴️</v>
      </c>
      <c r="O71" s="282" t="str">
        <f>IFERROR(__xludf.DUMMYFUNCTION("""COMPUTED_VALUE"""),"✴️")</f>
        <v>✴️</v>
      </c>
      <c r="P71" s="282" t="str">
        <f>IFERROR(__xludf.DUMMYFUNCTION("""COMPUTED_VALUE"""),"✴️")</f>
        <v>✴️</v>
      </c>
      <c r="Q71" s="282" t="str">
        <f>IFERROR(__xludf.DUMMYFUNCTION("""COMPUTED_VALUE"""),"✴️")</f>
        <v>✴️</v>
      </c>
      <c r="R71" s="283" t="str">
        <f>IFERROR(__xludf.DUMMYFUNCTION("""COMPUTED_VALUE"""),"   ✴️")</f>
        <v>✴️</v>
      </c>
      <c r="S71" s="284" t="str">
        <f>IFERROR(__xludf.DUMMYFUNCTION("""COMPUTED_VALUE"""),"ModuleKinetic")</f>
        <v>ModuleKinetic</v>
      </c>
      <c r="T71" s="285" t="str">
        <f>IFERROR(__xludf.DUMMYFUNCTION("""COMPUTED_VALUE"""),"➖")</f>
        <v>➖</v>
      </c>
      <c r="U71" s="285" t="str">
        <f>IFERROR(__xludf.DUMMYFUNCTION("""COMPUTED_VALUE"""),"➖")</f>
        <v>➖</v>
      </c>
      <c r="V71" s="259"/>
      <c r="W71" s="286"/>
      <c r="X71" s="286"/>
      <c r="Y71" s="286"/>
    </row>
    <row r="72">
      <c r="A72" s="28"/>
      <c r="B72" s="132"/>
      <c r="C72" s="28"/>
      <c r="D72" s="260" t="str">
        <f>IFERROR(__xludf.DUMMYFUNCTION("""COMPUTED_VALUE"""),"   R")</f>
        <v>R</v>
      </c>
      <c r="E72" s="287" t="str">
        <f>IFERROR(__xludf.DUMMYFUNCTION("""COMPUTED_VALUE"""),"KURON")</f>
        <v>KURON</v>
      </c>
      <c r="F72" s="270" t="str">
        <f>IFERROR(__xludf.DUMMYFUNCTION("""COMPUTED_VALUE"""),"OA")</f>
        <v>OA</v>
      </c>
      <c r="G72" s="231" t="str">
        <f>IFERROR(__xludf.DUMMYFUNCTION("""COMPUTED_VALUE"""),"➖")</f>
        <v>➖</v>
      </c>
      <c r="H72" s="231" t="str">
        <f>IFERROR(__xludf.DUMMYFUNCTION("""COMPUTED_VALUE"""),"➖")</f>
        <v>➖</v>
      </c>
      <c r="I72" s="231" t="str">
        <f>IFERROR(__xludf.DUMMYFUNCTION("""COMPUTED_VALUE"""),"➖")</f>
        <v>➖</v>
      </c>
      <c r="J72" s="231" t="str">
        <f>IFERROR(__xludf.DUMMYFUNCTION("""COMPUTED_VALUE"""),"➖")</f>
        <v>➖</v>
      </c>
      <c r="K72" s="288" t="str">
        <f>IFERROR(__xludf.DUMMYFUNCTION("""COMPUTED_VALUE"""),"➖")</f>
        <v>➖</v>
      </c>
      <c r="L72" s="288" t="str">
        <f>IFERROR(__xludf.DUMMYFUNCTION("""COMPUTED_VALUE"""),"➖")</f>
        <v>➖</v>
      </c>
      <c r="M72" s="288" t="str">
        <f>IFERROR(__xludf.DUMMYFUNCTION("""COMPUTED_VALUE"""),"➖")</f>
        <v>➖</v>
      </c>
      <c r="N72" s="288" t="str">
        <f>IFERROR(__xludf.DUMMYFUNCTION("""COMPUTED_VALUE"""),"➖")</f>
        <v>➖</v>
      </c>
      <c r="O72" s="288" t="str">
        <f>IFERROR(__xludf.DUMMYFUNCTION("""COMPUTED_VALUE"""),"➖")</f>
        <v>➖</v>
      </c>
      <c r="P72" s="288" t="str">
        <f>IFERROR(__xludf.DUMMYFUNCTION("""COMPUTED_VALUE"""),"➖")</f>
        <v>➖</v>
      </c>
      <c r="Q72" s="288" t="str">
        <f>IFERROR(__xludf.DUMMYFUNCTION("""COMPUTED_VALUE"""),"➖")</f>
        <v>➖</v>
      </c>
      <c r="R72" s="257" t="str">
        <f>IFERROR(__xludf.DUMMYFUNCTION("""COMPUTED_VALUE"""),"   ➖")</f>
        <v>➖</v>
      </c>
      <c r="S72" s="258"/>
      <c r="T72" s="255" t="str">
        <f>IFERROR(__xludf.DUMMYFUNCTION("""COMPUTED_VALUE"""),"➖")</f>
        <v>➖</v>
      </c>
      <c r="U72" s="255" t="str">
        <f>IFERROR(__xludf.DUMMYFUNCTION("""COMPUTED_VALUE"""),"✅")</f>
        <v>✅</v>
      </c>
      <c r="V72" s="259"/>
      <c r="W72" s="286"/>
      <c r="X72" s="286"/>
      <c r="Y72" s="286"/>
    </row>
    <row r="73">
      <c r="A73" s="28"/>
      <c r="B73" s="128"/>
      <c r="C73" s="28"/>
      <c r="D73" s="250" t="str">
        <f>IFERROR(__xludf.DUMMYFUNCTION("""COMPUTED_VALUE"""),"   U")</f>
        <v>U</v>
      </c>
      <c r="E73" s="280" t="str">
        <f>IFERROR(__xludf.DUMMYFUNCTION("""COMPUTED_VALUE"""),"YAN'AGH")</f>
        <v>YAN'AGH</v>
      </c>
      <c r="F73" s="271" t="str">
        <f>IFERROR(__xludf.DUMMYFUNCTION("""COMPUTED_VALUE"""),"CM")</f>
        <v>CM</v>
      </c>
      <c r="G73" s="281" t="str">
        <f>IFERROR(__xludf.DUMMYFUNCTION("""COMPUTED_VALUE"""),"✅")</f>
        <v>✅</v>
      </c>
      <c r="H73" s="281" t="str">
        <f>IFERROR(__xludf.DUMMYFUNCTION("""COMPUTED_VALUE"""),"✅")</f>
        <v>✅</v>
      </c>
      <c r="I73" s="281" t="str">
        <f>IFERROR(__xludf.DUMMYFUNCTION("""COMPUTED_VALUE"""),"✅")</f>
        <v>✅</v>
      </c>
      <c r="J73" s="281" t="str">
        <f>IFERROR(__xludf.DUMMYFUNCTION("""COMPUTED_VALUE"""),"✅")</f>
        <v>✅</v>
      </c>
      <c r="K73" s="282" t="str">
        <f>IFERROR(__xludf.DUMMYFUNCTION("""COMPUTED_VALUE"""),"✅")</f>
        <v>✅</v>
      </c>
      <c r="L73" s="282" t="str">
        <f>IFERROR(__xludf.DUMMYFUNCTION("""COMPUTED_VALUE"""),"✅")</f>
        <v>✅</v>
      </c>
      <c r="M73" s="282" t="str">
        <f>IFERROR(__xludf.DUMMYFUNCTION("""COMPUTED_VALUE"""),"✅")</f>
        <v>✅</v>
      </c>
      <c r="N73" s="282" t="str">
        <f>IFERROR(__xludf.DUMMYFUNCTION("""COMPUTED_VALUE"""),"✅")</f>
        <v>✅</v>
      </c>
      <c r="O73" s="282" t="str">
        <f>IFERROR(__xludf.DUMMYFUNCTION("""COMPUTED_VALUE"""),"✅")</f>
        <v>✅</v>
      </c>
      <c r="P73" s="282" t="str">
        <f>IFERROR(__xludf.DUMMYFUNCTION("""COMPUTED_VALUE"""),"✅")</f>
        <v>✅</v>
      </c>
      <c r="Q73" s="282" t="str">
        <f>IFERROR(__xludf.DUMMYFUNCTION("""COMPUTED_VALUE"""),"✅")</f>
        <v>✅</v>
      </c>
      <c r="R73" s="283" t="str">
        <f>IFERROR(__xludf.DUMMYFUNCTION("""COMPUTED_VALUE"""),"   ✅")</f>
        <v>✅</v>
      </c>
      <c r="S73" s="284"/>
      <c r="T73" s="285" t="str">
        <f>IFERROR(__xludf.DUMMYFUNCTION("""COMPUTED_VALUE"""),"➖")</f>
        <v>➖</v>
      </c>
      <c r="U73" s="285" t="str">
        <f>IFERROR(__xludf.DUMMYFUNCTION("""COMPUTED_VALUE"""),"➖")</f>
        <v>➖</v>
      </c>
      <c r="V73" s="259"/>
      <c r="W73" s="286"/>
      <c r="X73" s="286"/>
      <c r="Y73" s="286"/>
    </row>
    <row r="74">
      <c r="A74" s="28"/>
      <c r="B74" s="132"/>
      <c r="C74" s="28"/>
      <c r="D74" s="260" t="str">
        <f>IFERROR(__xludf.DUMMYFUNCTION("""COMPUTED_VALUE"""),"   U")</f>
        <v>U</v>
      </c>
      <c r="E74" s="287" t="str">
        <f>IFERROR(__xludf.DUMMYFUNCTION("""COMPUTED_VALUE"""),"YAN'AGH")</f>
        <v>YAN'AGH</v>
      </c>
      <c r="F74" s="270" t="str">
        <f>IFERROR(__xludf.DUMMYFUNCTION("""COMPUTED_VALUE"""),"OA")</f>
        <v>OA</v>
      </c>
      <c r="G74" s="231" t="str">
        <f>IFERROR(__xludf.DUMMYFUNCTION("""COMPUTED_VALUE"""),"✴️")</f>
        <v>✴️</v>
      </c>
      <c r="H74" s="231" t="str">
        <f>IFERROR(__xludf.DUMMYFUNCTION("""COMPUTED_VALUE"""),"✴️")</f>
        <v>✴️</v>
      </c>
      <c r="I74" s="231" t="str">
        <f>IFERROR(__xludf.DUMMYFUNCTION("""COMPUTED_VALUE"""),"✴️")</f>
        <v>✴️</v>
      </c>
      <c r="J74" s="231" t="str">
        <f>IFERROR(__xludf.DUMMYFUNCTION("""COMPUTED_VALUE"""),"✴️")</f>
        <v>✴️</v>
      </c>
      <c r="K74" s="288" t="str">
        <f>IFERROR(__xludf.DUMMYFUNCTION("""COMPUTED_VALUE"""),"✴️")</f>
        <v>✴️</v>
      </c>
      <c r="L74" s="288" t="str">
        <f>IFERROR(__xludf.DUMMYFUNCTION("""COMPUTED_VALUE"""),"✴️")</f>
        <v>✴️</v>
      </c>
      <c r="M74" s="288" t="str">
        <f>IFERROR(__xludf.DUMMYFUNCTION("""COMPUTED_VALUE"""),"✴️")</f>
        <v>✴️</v>
      </c>
      <c r="N74" s="288" t="str">
        <f>IFERROR(__xludf.DUMMYFUNCTION("""COMPUTED_VALUE"""),"✴️")</f>
        <v>✴️</v>
      </c>
      <c r="O74" s="288" t="str">
        <f>IFERROR(__xludf.DUMMYFUNCTION("""COMPUTED_VALUE"""),"➖")</f>
        <v>➖</v>
      </c>
      <c r="P74" s="288" t="str">
        <f>IFERROR(__xludf.DUMMYFUNCTION("""COMPUTED_VALUE"""),"✴️")</f>
        <v>✴️</v>
      </c>
      <c r="Q74" s="288" t="str">
        <f>IFERROR(__xludf.DUMMYFUNCTION("""COMPUTED_VALUE"""),"➖")</f>
        <v>➖</v>
      </c>
      <c r="R74" s="257" t="str">
        <f>IFERROR(__xludf.DUMMYFUNCTION("""COMPUTED_VALUE"""),"   ➖")</f>
        <v>➖</v>
      </c>
      <c r="S74" s="258" t="str">
        <f>IFERROR(__xludf.DUMMYFUNCTION("""COMPUTED_VALUE"""),"Romulan")</f>
        <v>Romulan</v>
      </c>
      <c r="T74" s="255" t="str">
        <f>IFERROR(__xludf.DUMMYFUNCTION("""COMPUTED_VALUE"""),"➖")</f>
        <v>➖</v>
      </c>
      <c r="U74" s="255" t="str">
        <f>IFERROR(__xludf.DUMMYFUNCTION("""COMPUTED_VALUE"""),"➖")</f>
        <v>➖</v>
      </c>
      <c r="V74" s="259"/>
      <c r="W74" s="286"/>
      <c r="X74" s="286"/>
      <c r="Y74" s="286"/>
    </row>
    <row r="75">
      <c r="A75" s="28"/>
      <c r="B75" s="128"/>
      <c r="C75" s="28"/>
      <c r="D75" s="250" t="str">
        <f>IFERROR(__xludf.DUMMYFUNCTION("""COMPUTED_VALUE"""),"   R")</f>
        <v>R</v>
      </c>
      <c r="E75" s="280" t="str">
        <f>IFERROR(__xludf.DUMMYFUNCTION("""COMPUTED_VALUE"""),"TAL")</f>
        <v>TAL</v>
      </c>
      <c r="F75" s="271" t="str">
        <f>IFERROR(__xludf.DUMMYFUNCTION("""COMPUTED_VALUE"""),"CM")</f>
        <v>CM</v>
      </c>
      <c r="G75" s="281" t="str">
        <f>IFERROR(__xludf.DUMMYFUNCTION("""COMPUTED_VALUE"""),"✴️")</f>
        <v>✴️</v>
      </c>
      <c r="H75" s="281" t="str">
        <f>IFERROR(__xludf.DUMMYFUNCTION("""COMPUTED_VALUE"""),"✴️")</f>
        <v>✴️</v>
      </c>
      <c r="I75" s="281" t="str">
        <f>IFERROR(__xludf.DUMMYFUNCTION("""COMPUTED_VALUE"""),"✴️")</f>
        <v>✴️</v>
      </c>
      <c r="J75" s="281" t="str">
        <f>IFERROR(__xludf.DUMMYFUNCTION("""COMPUTED_VALUE"""),"✴️")</f>
        <v>✴️</v>
      </c>
      <c r="K75" s="282" t="str">
        <f>IFERROR(__xludf.DUMMYFUNCTION("""COMPUTED_VALUE"""),"✴️")</f>
        <v>✴️</v>
      </c>
      <c r="L75" s="282" t="str">
        <f>IFERROR(__xludf.DUMMYFUNCTION("""COMPUTED_VALUE"""),"✴️")</f>
        <v>✴️</v>
      </c>
      <c r="M75" s="282" t="str">
        <f>IFERROR(__xludf.DUMMYFUNCTION("""COMPUTED_VALUE"""),"✴️")</f>
        <v>✴️</v>
      </c>
      <c r="N75" s="282" t="str">
        <f>IFERROR(__xludf.DUMMYFUNCTION("""COMPUTED_VALUE"""),"✴️")</f>
        <v>✴️</v>
      </c>
      <c r="O75" s="282" t="str">
        <f>IFERROR(__xludf.DUMMYFUNCTION("""COMPUTED_VALUE"""),"✴️")</f>
        <v>✴️</v>
      </c>
      <c r="P75" s="282" t="str">
        <f>IFERROR(__xludf.DUMMYFUNCTION("""COMPUTED_VALUE"""),"✴️")</f>
        <v>✴️</v>
      </c>
      <c r="Q75" s="282" t="str">
        <f>IFERROR(__xludf.DUMMYFUNCTION("""COMPUTED_VALUE"""),"✴️")</f>
        <v>✴️</v>
      </c>
      <c r="R75" s="283" t="str">
        <f>IFERROR(__xludf.DUMMYFUNCTION("""COMPUTED_VALUE"""),"   ✴️")</f>
        <v>✴️</v>
      </c>
      <c r="S75" s="284" t="str">
        <f>IFERROR(__xludf.DUMMYFUNCTION("""COMPUTED_VALUE"""),"EnemyBattleship")</f>
        <v>EnemyBattleship</v>
      </c>
      <c r="T75" s="285" t="str">
        <f>IFERROR(__xludf.DUMMYFUNCTION("""COMPUTED_VALUE"""),"➖")</f>
        <v>➖</v>
      </c>
      <c r="U75" s="285" t="str">
        <f>IFERROR(__xludf.DUMMYFUNCTION("""COMPUTED_VALUE"""),"➖")</f>
        <v>➖</v>
      </c>
      <c r="V75" s="259"/>
      <c r="W75" s="286"/>
      <c r="X75" s="286"/>
      <c r="Y75" s="286"/>
    </row>
    <row r="76">
      <c r="A76" s="28"/>
      <c r="B76" s="132"/>
      <c r="C76" s="28"/>
      <c r="D76" s="260" t="str">
        <f>IFERROR(__xludf.DUMMYFUNCTION("""COMPUTED_VALUE"""),"   R")</f>
        <v>R</v>
      </c>
      <c r="E76" s="287" t="str">
        <f>IFERROR(__xludf.DUMMYFUNCTION("""COMPUTED_VALUE"""),"TAL")</f>
        <v>TAL</v>
      </c>
      <c r="F76" s="270" t="str">
        <f>IFERROR(__xludf.DUMMYFUNCTION("""COMPUTED_VALUE"""),"OA")</f>
        <v>OA</v>
      </c>
      <c r="G76" s="231" t="str">
        <f>IFERROR(__xludf.DUMMYFUNCTION("""COMPUTED_VALUE"""),"✴️")</f>
        <v>✴️</v>
      </c>
      <c r="H76" s="231" t="str">
        <f>IFERROR(__xludf.DUMMYFUNCTION("""COMPUTED_VALUE"""),"✴️")</f>
        <v>✴️</v>
      </c>
      <c r="I76" s="231" t="str">
        <f>IFERROR(__xludf.DUMMYFUNCTION("""COMPUTED_VALUE"""),"✴️")</f>
        <v>✴️</v>
      </c>
      <c r="J76" s="231" t="str">
        <f>IFERROR(__xludf.DUMMYFUNCTION("""COMPUTED_VALUE"""),"✴️")</f>
        <v>✴️</v>
      </c>
      <c r="K76" s="288" t="str">
        <f>IFERROR(__xludf.DUMMYFUNCTION("""COMPUTED_VALUE"""),"➖")</f>
        <v>➖</v>
      </c>
      <c r="L76" s="288" t="str">
        <f>IFERROR(__xludf.DUMMYFUNCTION("""COMPUTED_VALUE"""),"✴️")</f>
        <v>✴️</v>
      </c>
      <c r="M76" s="288" t="str">
        <f>IFERROR(__xludf.DUMMYFUNCTION("""COMPUTED_VALUE"""),"➖")</f>
        <v>➖</v>
      </c>
      <c r="N76" s="288" t="str">
        <f>IFERROR(__xludf.DUMMYFUNCTION("""COMPUTED_VALUE"""),"➖")</f>
        <v>➖</v>
      </c>
      <c r="O76" s="288" t="str">
        <f>IFERROR(__xludf.DUMMYFUNCTION("""COMPUTED_VALUE"""),"➖")</f>
        <v>➖</v>
      </c>
      <c r="P76" s="288" t="str">
        <f>IFERROR(__xludf.DUMMYFUNCTION("""COMPUTED_VALUE"""),"➖")</f>
        <v>➖</v>
      </c>
      <c r="Q76" s="288" t="str">
        <f>IFERROR(__xludf.DUMMYFUNCTION("""COMPUTED_VALUE"""),"✴️")</f>
        <v>✴️</v>
      </c>
      <c r="R76" s="257" t="str">
        <f>IFERROR(__xludf.DUMMYFUNCTION("""COMPUTED_VALUE"""),"   ✴️")</f>
        <v>✴️</v>
      </c>
      <c r="S76" s="258" t="str">
        <f>IFERROR(__xludf.DUMMYFUNCTION("""COMPUTED_VALUE"""),"TargetMaxLevel, TargetHasBurning")</f>
        <v>TargetMaxLevel, TargetHasBurning</v>
      </c>
      <c r="T76" s="255" t="str">
        <f>IFERROR(__xludf.DUMMYFUNCTION("""COMPUTED_VALUE"""),"➖")</f>
        <v>➖</v>
      </c>
      <c r="U76" s="255" t="str">
        <f>IFERROR(__xludf.DUMMYFUNCTION("""COMPUTED_VALUE"""),"➖")</f>
        <v>➖</v>
      </c>
      <c r="V76" s="259"/>
      <c r="W76" s="286"/>
      <c r="X76" s="286"/>
      <c r="Y76" s="286"/>
    </row>
    <row r="77">
      <c r="A77" s="28"/>
      <c r="B77" s="128"/>
      <c r="C77" s="28"/>
      <c r="D77" s="250" t="str">
        <f>IFERROR(__xludf.DUMMYFUNCTION("""COMPUTED_VALUE"""),"   U")</f>
        <v>U</v>
      </c>
      <c r="E77" s="280" t="str">
        <f>IFERROR(__xludf.DUMMYFUNCTION("""COMPUTED_VALUE"""),"D'JAOKI")</f>
        <v>D'JAOKI</v>
      </c>
      <c r="F77" s="271" t="str">
        <f>IFERROR(__xludf.DUMMYFUNCTION("""COMPUTED_VALUE"""),"CM")</f>
        <v>CM</v>
      </c>
      <c r="G77" s="281" t="str">
        <f>IFERROR(__xludf.DUMMYFUNCTION("""COMPUTED_VALUE"""),"✅")</f>
        <v>✅</v>
      </c>
      <c r="H77" s="281" t="str">
        <f>IFERROR(__xludf.DUMMYFUNCTION("""COMPUTED_VALUE"""),"✅")</f>
        <v>✅</v>
      </c>
      <c r="I77" s="281" t="str">
        <f>IFERROR(__xludf.DUMMYFUNCTION("""COMPUTED_VALUE"""),"✅")</f>
        <v>✅</v>
      </c>
      <c r="J77" s="281" t="str">
        <f>IFERROR(__xludf.DUMMYFUNCTION("""COMPUTED_VALUE"""),"✅")</f>
        <v>✅</v>
      </c>
      <c r="K77" s="282" t="str">
        <f>IFERROR(__xludf.DUMMYFUNCTION("""COMPUTED_VALUE"""),"✅")</f>
        <v>✅</v>
      </c>
      <c r="L77" s="282" t="str">
        <f>IFERROR(__xludf.DUMMYFUNCTION("""COMPUTED_VALUE"""),"✅")</f>
        <v>✅</v>
      </c>
      <c r="M77" s="282" t="str">
        <f>IFERROR(__xludf.DUMMYFUNCTION("""COMPUTED_VALUE"""),"✅")</f>
        <v>✅</v>
      </c>
      <c r="N77" s="282" t="str">
        <f>IFERROR(__xludf.DUMMYFUNCTION("""COMPUTED_VALUE"""),"✅")</f>
        <v>✅</v>
      </c>
      <c r="O77" s="282" t="str">
        <f>IFERROR(__xludf.DUMMYFUNCTION("""COMPUTED_VALUE"""),"✅")</f>
        <v>✅</v>
      </c>
      <c r="P77" s="282" t="str">
        <f>IFERROR(__xludf.DUMMYFUNCTION("""COMPUTED_VALUE"""),"✅")</f>
        <v>✅</v>
      </c>
      <c r="Q77" s="282" t="str">
        <f>IFERROR(__xludf.DUMMYFUNCTION("""COMPUTED_VALUE"""),"✅")</f>
        <v>✅</v>
      </c>
      <c r="R77" s="283" t="str">
        <f>IFERROR(__xludf.DUMMYFUNCTION("""COMPUTED_VALUE"""),"   ✅")</f>
        <v>✅</v>
      </c>
      <c r="S77" s="284"/>
      <c r="T77" s="285" t="str">
        <f>IFERROR(__xludf.DUMMYFUNCTION("""COMPUTED_VALUE"""),"➖")</f>
        <v>➖</v>
      </c>
      <c r="U77" s="285" t="str">
        <f>IFERROR(__xludf.DUMMYFUNCTION("""COMPUTED_VALUE"""),"➖")</f>
        <v>➖</v>
      </c>
      <c r="V77" s="259"/>
      <c r="W77" s="286"/>
      <c r="X77" s="286"/>
      <c r="Y77" s="286"/>
    </row>
    <row r="78">
      <c r="A78" s="28"/>
      <c r="B78" s="132"/>
      <c r="C78" s="28"/>
      <c r="D78" s="260" t="str">
        <f>IFERROR(__xludf.DUMMYFUNCTION("""COMPUTED_VALUE"""),"   U")</f>
        <v>U</v>
      </c>
      <c r="E78" s="287" t="str">
        <f>IFERROR(__xludf.DUMMYFUNCTION("""COMPUTED_VALUE"""),"D'JAOKI")</f>
        <v>D'JAOKI</v>
      </c>
      <c r="F78" s="270" t="str">
        <f>IFERROR(__xludf.DUMMYFUNCTION("""COMPUTED_VALUE"""),"OA")</f>
        <v>OA</v>
      </c>
      <c r="G78" s="231" t="str">
        <f>IFERROR(__xludf.DUMMYFUNCTION("""COMPUTED_VALUE"""),"✴️")</f>
        <v>✴️</v>
      </c>
      <c r="H78" s="231" t="str">
        <f>IFERROR(__xludf.DUMMYFUNCTION("""COMPUTED_VALUE"""),"✴️")</f>
        <v>✴️</v>
      </c>
      <c r="I78" s="231" t="str">
        <f>IFERROR(__xludf.DUMMYFUNCTION("""COMPUTED_VALUE"""),"✴️")</f>
        <v>✴️</v>
      </c>
      <c r="J78" s="231" t="str">
        <f>IFERROR(__xludf.DUMMYFUNCTION("""COMPUTED_VALUE"""),"✴️")</f>
        <v>✴️</v>
      </c>
      <c r="K78" s="288" t="str">
        <f>IFERROR(__xludf.DUMMYFUNCTION("""COMPUTED_VALUE"""),"✴️")</f>
        <v>✴️</v>
      </c>
      <c r="L78" s="288" t="str">
        <f>IFERROR(__xludf.DUMMYFUNCTION("""COMPUTED_VALUE"""),"✴️")</f>
        <v>✴️</v>
      </c>
      <c r="M78" s="288" t="str">
        <f>IFERROR(__xludf.DUMMYFUNCTION("""COMPUTED_VALUE"""),"➖")</f>
        <v>➖</v>
      </c>
      <c r="N78" s="288" t="str">
        <f>IFERROR(__xludf.DUMMYFUNCTION("""COMPUTED_VALUE"""),"➖")</f>
        <v>➖</v>
      </c>
      <c r="O78" s="288" t="str">
        <f>IFERROR(__xludf.DUMMYFUNCTION("""COMPUTED_VALUE"""),"➖")</f>
        <v>➖</v>
      </c>
      <c r="P78" s="288" t="str">
        <f>IFERROR(__xludf.DUMMYFUNCTION("""COMPUTED_VALUE"""),"➖")</f>
        <v>➖</v>
      </c>
      <c r="Q78" s="288" t="str">
        <f>IFERROR(__xludf.DUMMYFUNCTION("""COMPUTED_VALUE"""),"✴️")</f>
        <v>✴️</v>
      </c>
      <c r="R78" s="257" t="str">
        <f>IFERROR(__xludf.DUMMYFUNCTION("""COMPUTED_VALUE"""),"   ✴️")</f>
        <v>✴️</v>
      </c>
      <c r="S78" s="258" t="str">
        <f>IFERROR(__xludf.DUMMYFUNCTION("""COMPUTED_VALUE"""),"TargetHasBurning")</f>
        <v>TargetHasBurning</v>
      </c>
      <c r="T78" s="255" t="str">
        <f>IFERROR(__xludf.DUMMYFUNCTION("""COMPUTED_VALUE"""),"➖")</f>
        <v>➖</v>
      </c>
      <c r="U78" s="255" t="str">
        <f>IFERROR(__xludf.DUMMYFUNCTION("""COMPUTED_VALUE"""),"➖")</f>
        <v>➖</v>
      </c>
      <c r="V78" s="259"/>
      <c r="W78" s="286"/>
      <c r="X78" s="286"/>
      <c r="Y78" s="286"/>
    </row>
    <row r="79">
      <c r="A79" s="28"/>
      <c r="B79" s="128"/>
      <c r="C79" s="28"/>
      <c r="D79" s="250" t="str">
        <f>IFERROR(__xludf.DUMMYFUNCTION("""COMPUTED_VALUE"""),"   R")</f>
        <v>R</v>
      </c>
      <c r="E79" s="280" t="str">
        <f>IFERROR(__xludf.DUMMYFUNCTION("""COMPUTED_VALUE"""),"KEENSER")</f>
        <v>KEENSER</v>
      </c>
      <c r="F79" s="271" t="str">
        <f>IFERROR(__xludf.DUMMYFUNCTION("""COMPUTED_VALUE"""),"CM")</f>
        <v>CM</v>
      </c>
      <c r="G79" s="281" t="str">
        <f>IFERROR(__xludf.DUMMYFUNCTION("""COMPUTED_VALUE"""),"➖")</f>
        <v>➖</v>
      </c>
      <c r="H79" s="281" t="str">
        <f>IFERROR(__xludf.DUMMYFUNCTION("""COMPUTED_VALUE"""),"✅")</f>
        <v>✅</v>
      </c>
      <c r="I79" s="281" t="str">
        <f>IFERROR(__xludf.DUMMYFUNCTION("""COMPUTED_VALUE"""),"➖")</f>
        <v>➖</v>
      </c>
      <c r="J79" s="281" t="str">
        <f>IFERROR(__xludf.DUMMYFUNCTION("""COMPUTED_VALUE"""),"➖")</f>
        <v>➖</v>
      </c>
      <c r="K79" s="282" t="str">
        <f>IFERROR(__xludf.DUMMYFUNCTION("""COMPUTED_VALUE"""),"➖")</f>
        <v>➖</v>
      </c>
      <c r="L79" s="282" t="str">
        <f>IFERROR(__xludf.DUMMYFUNCTION("""COMPUTED_VALUE"""),"➖")</f>
        <v>➖</v>
      </c>
      <c r="M79" s="282" t="str">
        <f>IFERROR(__xludf.DUMMYFUNCTION("""COMPUTED_VALUE"""),"➖")</f>
        <v>➖</v>
      </c>
      <c r="N79" s="282" t="str">
        <f>IFERROR(__xludf.DUMMYFUNCTION("""COMPUTED_VALUE"""),"➖")</f>
        <v>➖</v>
      </c>
      <c r="O79" s="282" t="str">
        <f>IFERROR(__xludf.DUMMYFUNCTION("""COMPUTED_VALUE"""),"➖")</f>
        <v>➖</v>
      </c>
      <c r="P79" s="282" t="str">
        <f>IFERROR(__xludf.DUMMYFUNCTION("""COMPUTED_VALUE"""),"➖")</f>
        <v>➖</v>
      </c>
      <c r="Q79" s="282" t="str">
        <f>IFERROR(__xludf.DUMMYFUNCTION("""COMPUTED_VALUE"""),"➖")</f>
        <v>➖</v>
      </c>
      <c r="R79" s="283" t="str">
        <f>IFERROR(__xludf.DUMMYFUNCTION("""COMPUTED_VALUE"""),"   ➖")</f>
        <v>➖</v>
      </c>
      <c r="S79" s="284"/>
      <c r="T79" s="285" t="str">
        <f>IFERROR(__xludf.DUMMYFUNCTION("""COMPUTED_VALUE"""),"➖")</f>
        <v>➖</v>
      </c>
      <c r="U79" s="285" t="str">
        <f>IFERROR(__xludf.DUMMYFUNCTION("""COMPUTED_VALUE"""),"➖")</f>
        <v>➖</v>
      </c>
      <c r="V79" s="259"/>
      <c r="W79" s="286"/>
      <c r="X79" s="286"/>
      <c r="Y79" s="286"/>
    </row>
    <row r="80">
      <c r="A80" s="28"/>
      <c r="B80" s="132"/>
      <c r="C80" s="28"/>
      <c r="D80" s="260" t="str">
        <f>IFERROR(__xludf.DUMMYFUNCTION("""COMPUTED_VALUE"""),"   R")</f>
        <v>R</v>
      </c>
      <c r="E80" s="287" t="str">
        <f>IFERROR(__xludf.DUMMYFUNCTION("""COMPUTED_VALUE"""),"KEENSER")</f>
        <v>KEENSER</v>
      </c>
      <c r="F80" s="270" t="str">
        <f>IFERROR(__xludf.DUMMYFUNCTION("""COMPUTED_VALUE"""),"OA")</f>
        <v>OA</v>
      </c>
      <c r="G80" s="231" t="str">
        <f>IFERROR(__xludf.DUMMYFUNCTION("""COMPUTED_VALUE"""),"➖")</f>
        <v>➖</v>
      </c>
      <c r="H80" s="231" t="str">
        <f>IFERROR(__xludf.DUMMYFUNCTION("""COMPUTED_VALUE"""),"✅")</f>
        <v>✅</v>
      </c>
      <c r="I80" s="231" t="str">
        <f>IFERROR(__xludf.DUMMYFUNCTION("""COMPUTED_VALUE"""),"➖")</f>
        <v>➖</v>
      </c>
      <c r="J80" s="231" t="str">
        <f>IFERROR(__xludf.DUMMYFUNCTION("""COMPUTED_VALUE"""),"➖")</f>
        <v>➖</v>
      </c>
      <c r="K80" s="288" t="str">
        <f>IFERROR(__xludf.DUMMYFUNCTION("""COMPUTED_VALUE"""),"➖")</f>
        <v>➖</v>
      </c>
      <c r="L80" s="288" t="str">
        <f>IFERROR(__xludf.DUMMYFUNCTION("""COMPUTED_VALUE"""),"➖")</f>
        <v>➖</v>
      </c>
      <c r="M80" s="288" t="str">
        <f>IFERROR(__xludf.DUMMYFUNCTION("""COMPUTED_VALUE"""),"➖")</f>
        <v>➖</v>
      </c>
      <c r="N80" s="288" t="str">
        <f>IFERROR(__xludf.DUMMYFUNCTION("""COMPUTED_VALUE"""),"➖")</f>
        <v>➖</v>
      </c>
      <c r="O80" s="288" t="str">
        <f>IFERROR(__xludf.DUMMYFUNCTION("""COMPUTED_VALUE"""),"➖")</f>
        <v>➖</v>
      </c>
      <c r="P80" s="288" t="str">
        <f>IFERROR(__xludf.DUMMYFUNCTION("""COMPUTED_VALUE"""),"➖")</f>
        <v>➖</v>
      </c>
      <c r="Q80" s="288" t="str">
        <f>IFERROR(__xludf.DUMMYFUNCTION("""COMPUTED_VALUE"""),"➖")</f>
        <v>➖</v>
      </c>
      <c r="R80" s="257" t="str">
        <f>IFERROR(__xludf.DUMMYFUNCTION("""COMPUTED_VALUE"""),"   ➖")</f>
        <v>➖</v>
      </c>
      <c r="S80" s="258"/>
      <c r="T80" s="255" t="str">
        <f>IFERROR(__xludf.DUMMYFUNCTION("""COMPUTED_VALUE"""),"➖")</f>
        <v>➖</v>
      </c>
      <c r="U80" s="255" t="str">
        <f>IFERROR(__xludf.DUMMYFUNCTION("""COMPUTED_VALUE"""),"➖")</f>
        <v>➖</v>
      </c>
      <c r="V80" s="259"/>
      <c r="W80" s="286"/>
      <c r="X80" s="286"/>
      <c r="Y80" s="286"/>
    </row>
    <row r="81">
      <c r="A81" s="28"/>
      <c r="B81" s="128"/>
      <c r="C81" s="28"/>
      <c r="D81" s="250" t="str">
        <f>IFERROR(__xludf.DUMMYFUNCTION("""COMPUTED_VALUE"""),"   U")</f>
        <v>U</v>
      </c>
      <c r="E81" s="280">
        <f>IFERROR(__xludf.DUMMYFUNCTION("""COMPUTED_VALUE"""),718.0)</f>
        <v>718</v>
      </c>
      <c r="F81" s="271" t="str">
        <f>IFERROR(__xludf.DUMMYFUNCTION("""COMPUTED_VALUE"""),"CM")</f>
        <v>CM</v>
      </c>
      <c r="G81" s="281" t="str">
        <f>IFERROR(__xludf.DUMMYFUNCTION("""COMPUTED_VALUE"""),"➖")</f>
        <v>➖</v>
      </c>
      <c r="H81" s="281" t="str">
        <f>IFERROR(__xludf.DUMMYFUNCTION("""COMPUTED_VALUE"""),"✅")</f>
        <v>✅</v>
      </c>
      <c r="I81" s="281" t="str">
        <f>IFERROR(__xludf.DUMMYFUNCTION("""COMPUTED_VALUE"""),"➖")</f>
        <v>➖</v>
      </c>
      <c r="J81" s="281" t="str">
        <f>IFERROR(__xludf.DUMMYFUNCTION("""COMPUTED_VALUE"""),"➖")</f>
        <v>➖</v>
      </c>
      <c r="K81" s="282" t="str">
        <f>IFERROR(__xludf.DUMMYFUNCTION("""COMPUTED_VALUE"""),"➖")</f>
        <v>➖</v>
      </c>
      <c r="L81" s="282" t="str">
        <f>IFERROR(__xludf.DUMMYFUNCTION("""COMPUTED_VALUE"""),"➖")</f>
        <v>➖</v>
      </c>
      <c r="M81" s="282" t="str">
        <f>IFERROR(__xludf.DUMMYFUNCTION("""COMPUTED_VALUE"""),"➖")</f>
        <v>➖</v>
      </c>
      <c r="N81" s="282" t="str">
        <f>IFERROR(__xludf.DUMMYFUNCTION("""COMPUTED_VALUE"""),"➖")</f>
        <v>➖</v>
      </c>
      <c r="O81" s="282" t="str">
        <f>IFERROR(__xludf.DUMMYFUNCTION("""COMPUTED_VALUE"""),"➖")</f>
        <v>➖</v>
      </c>
      <c r="P81" s="282" t="str">
        <f>IFERROR(__xludf.DUMMYFUNCTION("""COMPUTED_VALUE"""),"➖")</f>
        <v>➖</v>
      </c>
      <c r="Q81" s="282" t="str">
        <f>IFERROR(__xludf.DUMMYFUNCTION("""COMPUTED_VALUE"""),"➖")</f>
        <v>➖</v>
      </c>
      <c r="R81" s="283" t="str">
        <f>IFERROR(__xludf.DUMMYFUNCTION("""COMPUTED_VALUE"""),"   ➖")</f>
        <v>➖</v>
      </c>
      <c r="S81" s="284"/>
      <c r="T81" s="285" t="str">
        <f>IFERROR(__xludf.DUMMYFUNCTION("""COMPUTED_VALUE"""),"➖")</f>
        <v>➖</v>
      </c>
      <c r="U81" s="285" t="str">
        <f>IFERROR(__xludf.DUMMYFUNCTION("""COMPUTED_VALUE"""),"➖")</f>
        <v>➖</v>
      </c>
      <c r="V81" s="259"/>
      <c r="W81" s="286"/>
      <c r="X81" s="286"/>
      <c r="Y81" s="286"/>
    </row>
    <row r="82">
      <c r="A82" s="28"/>
      <c r="B82" s="132"/>
      <c r="C82" s="28"/>
      <c r="D82" s="260" t="str">
        <f>IFERROR(__xludf.DUMMYFUNCTION("""COMPUTED_VALUE"""),"   U")</f>
        <v>U</v>
      </c>
      <c r="E82" s="287">
        <f>IFERROR(__xludf.DUMMYFUNCTION("""COMPUTED_VALUE"""),718.0)</f>
        <v>718</v>
      </c>
      <c r="F82" s="270" t="str">
        <f>IFERROR(__xludf.DUMMYFUNCTION("""COMPUTED_VALUE"""),"OA")</f>
        <v>OA</v>
      </c>
      <c r="G82" s="231" t="str">
        <f>IFERROR(__xludf.DUMMYFUNCTION("""COMPUTED_VALUE"""),"✅")</f>
        <v>✅</v>
      </c>
      <c r="H82" s="231" t="str">
        <f>IFERROR(__xludf.DUMMYFUNCTION("""COMPUTED_VALUE"""),"✅")</f>
        <v>✅</v>
      </c>
      <c r="I82" s="231" t="str">
        <f>IFERROR(__xludf.DUMMYFUNCTION("""COMPUTED_VALUE"""),"✅")</f>
        <v>✅</v>
      </c>
      <c r="J82" s="231" t="str">
        <f>IFERROR(__xludf.DUMMYFUNCTION("""COMPUTED_VALUE"""),"✅")</f>
        <v>✅</v>
      </c>
      <c r="K82" s="288" t="str">
        <f>IFERROR(__xludf.DUMMYFUNCTION("""COMPUTED_VALUE"""),"✅")</f>
        <v>✅</v>
      </c>
      <c r="L82" s="288" t="str">
        <f>IFERROR(__xludf.DUMMYFUNCTION("""COMPUTED_VALUE"""),"✅")</f>
        <v>✅</v>
      </c>
      <c r="M82" s="288" t="str">
        <f>IFERROR(__xludf.DUMMYFUNCTION("""COMPUTED_VALUE"""),"✅")</f>
        <v>✅</v>
      </c>
      <c r="N82" s="288" t="str">
        <f>IFERROR(__xludf.DUMMYFUNCTION("""COMPUTED_VALUE"""),"✅")</f>
        <v>✅</v>
      </c>
      <c r="O82" s="288" t="str">
        <f>IFERROR(__xludf.DUMMYFUNCTION("""COMPUTED_VALUE"""),"✅")</f>
        <v>✅</v>
      </c>
      <c r="P82" s="288" t="str">
        <f>IFERROR(__xludf.DUMMYFUNCTION("""COMPUTED_VALUE"""),"✅")</f>
        <v>✅</v>
      </c>
      <c r="Q82" s="288" t="str">
        <f>IFERROR(__xludf.DUMMYFUNCTION("""COMPUTED_VALUE"""),"✅")</f>
        <v>✅</v>
      </c>
      <c r="R82" s="257" t="str">
        <f>IFERROR(__xludf.DUMMYFUNCTION("""COMPUTED_VALUE"""),"   ✅")</f>
        <v>✅</v>
      </c>
      <c r="S82" s="258"/>
      <c r="T82" s="255" t="str">
        <f>IFERROR(__xludf.DUMMYFUNCTION("""COMPUTED_VALUE"""),"➖")</f>
        <v>➖</v>
      </c>
      <c r="U82" s="255" t="str">
        <f>IFERROR(__xludf.DUMMYFUNCTION("""COMPUTED_VALUE"""),"➖")</f>
        <v>➖</v>
      </c>
      <c r="V82" s="259"/>
      <c r="W82" s="286"/>
      <c r="X82" s="286"/>
      <c r="Y82" s="286"/>
    </row>
    <row r="83">
      <c r="A83" s="28"/>
      <c r="B83" s="128"/>
      <c r="C83" s="28"/>
      <c r="D83" s="250" t="str">
        <f>IFERROR(__xludf.DUMMYFUNCTION("""COMPUTED_VALUE"""),"   E")</f>
        <v>E</v>
      </c>
      <c r="E83" s="280" t="str">
        <f>IFERROR(__xludf.DUMMYFUNCTION("""COMPUTED_VALUE"""),"MITCHELL")</f>
        <v>MITCHELL</v>
      </c>
      <c r="F83" s="271" t="str">
        <f>IFERROR(__xludf.DUMMYFUNCTION("""COMPUTED_VALUE"""),"CM")</f>
        <v>CM</v>
      </c>
      <c r="G83" s="281" t="str">
        <f>IFERROR(__xludf.DUMMYFUNCTION("""COMPUTED_VALUE"""),"➖")</f>
        <v>➖</v>
      </c>
      <c r="H83" s="281" t="str">
        <f>IFERROR(__xludf.DUMMYFUNCTION("""COMPUTED_VALUE"""),"✅")</f>
        <v>✅</v>
      </c>
      <c r="I83" s="281" t="str">
        <f>IFERROR(__xludf.DUMMYFUNCTION("""COMPUTED_VALUE"""),"➖")</f>
        <v>➖</v>
      </c>
      <c r="J83" s="281" t="str">
        <f>IFERROR(__xludf.DUMMYFUNCTION("""COMPUTED_VALUE"""),"➖")</f>
        <v>➖</v>
      </c>
      <c r="K83" s="282" t="str">
        <f>IFERROR(__xludf.DUMMYFUNCTION("""COMPUTED_VALUE"""),"➖")</f>
        <v>➖</v>
      </c>
      <c r="L83" s="282" t="str">
        <f>IFERROR(__xludf.DUMMYFUNCTION("""COMPUTED_VALUE"""),"➖")</f>
        <v>➖</v>
      </c>
      <c r="M83" s="282" t="str">
        <f>IFERROR(__xludf.DUMMYFUNCTION("""COMPUTED_VALUE"""),"➖")</f>
        <v>➖</v>
      </c>
      <c r="N83" s="282" t="str">
        <f>IFERROR(__xludf.DUMMYFUNCTION("""COMPUTED_VALUE"""),"➖")</f>
        <v>➖</v>
      </c>
      <c r="O83" s="282" t="str">
        <f>IFERROR(__xludf.DUMMYFUNCTION("""COMPUTED_VALUE"""),"➖")</f>
        <v>➖</v>
      </c>
      <c r="P83" s="282" t="str">
        <f>IFERROR(__xludf.DUMMYFUNCTION("""COMPUTED_VALUE"""),"➖")</f>
        <v>➖</v>
      </c>
      <c r="Q83" s="282" t="str">
        <f>IFERROR(__xludf.DUMMYFUNCTION("""COMPUTED_VALUE"""),"➖")</f>
        <v>➖</v>
      </c>
      <c r="R83" s="283" t="str">
        <f>IFERROR(__xludf.DUMMYFUNCTION("""COMPUTED_VALUE"""),"   ➖")</f>
        <v>➖</v>
      </c>
      <c r="S83" s="284"/>
      <c r="T83" s="285" t="str">
        <f>IFERROR(__xludf.DUMMYFUNCTION("""COMPUTED_VALUE"""),"➖")</f>
        <v>➖</v>
      </c>
      <c r="U83" s="285" t="str">
        <f>IFERROR(__xludf.DUMMYFUNCTION("""COMPUTED_VALUE"""),"➖")</f>
        <v>➖</v>
      </c>
      <c r="V83" s="259"/>
      <c r="W83" s="286"/>
      <c r="X83" s="286"/>
      <c r="Y83" s="286"/>
    </row>
    <row r="84">
      <c r="A84" s="28"/>
      <c r="B84" s="132"/>
      <c r="C84" s="28"/>
      <c r="D84" s="260" t="str">
        <f>IFERROR(__xludf.DUMMYFUNCTION("""COMPUTED_VALUE"""),"   E")</f>
        <v>E</v>
      </c>
      <c r="E84" s="287" t="str">
        <f>IFERROR(__xludf.DUMMYFUNCTION("""COMPUTED_VALUE"""),"MITCHELL")</f>
        <v>MITCHELL</v>
      </c>
      <c r="F84" s="270" t="str">
        <f>IFERROR(__xludf.DUMMYFUNCTION("""COMPUTED_VALUE"""),"OA")</f>
        <v>OA</v>
      </c>
      <c r="G84" s="231" t="str">
        <f>IFERROR(__xludf.DUMMYFUNCTION("""COMPUTED_VALUE"""),"✅")</f>
        <v>✅</v>
      </c>
      <c r="H84" s="231" t="str">
        <f>IFERROR(__xludf.DUMMYFUNCTION("""COMPUTED_VALUE"""),"✅")</f>
        <v>✅</v>
      </c>
      <c r="I84" s="231" t="str">
        <f>IFERROR(__xludf.DUMMYFUNCTION("""COMPUTED_VALUE"""),"✅")</f>
        <v>✅</v>
      </c>
      <c r="J84" s="231" t="str">
        <f>IFERROR(__xludf.DUMMYFUNCTION("""COMPUTED_VALUE"""),"✅")</f>
        <v>✅</v>
      </c>
      <c r="K84" s="288" t="str">
        <f>IFERROR(__xludf.DUMMYFUNCTION("""COMPUTED_VALUE"""),"✅")</f>
        <v>✅</v>
      </c>
      <c r="L84" s="288" t="str">
        <f>IFERROR(__xludf.DUMMYFUNCTION("""COMPUTED_VALUE"""),"✅")</f>
        <v>✅</v>
      </c>
      <c r="M84" s="288" t="str">
        <f>IFERROR(__xludf.DUMMYFUNCTION("""COMPUTED_VALUE"""),"✅")</f>
        <v>✅</v>
      </c>
      <c r="N84" s="288" t="str">
        <f>IFERROR(__xludf.DUMMYFUNCTION("""COMPUTED_VALUE"""),"✅")</f>
        <v>✅</v>
      </c>
      <c r="O84" s="288" t="str">
        <f>IFERROR(__xludf.DUMMYFUNCTION("""COMPUTED_VALUE"""),"✅")</f>
        <v>✅</v>
      </c>
      <c r="P84" s="288" t="str">
        <f>IFERROR(__xludf.DUMMYFUNCTION("""COMPUTED_VALUE"""),"✅")</f>
        <v>✅</v>
      </c>
      <c r="Q84" s="288" t="str">
        <f>IFERROR(__xludf.DUMMYFUNCTION("""COMPUTED_VALUE"""),"✅")</f>
        <v>✅</v>
      </c>
      <c r="R84" s="257" t="str">
        <f>IFERROR(__xludf.DUMMYFUNCTION("""COMPUTED_VALUE"""),"   ✅")</f>
        <v>✅</v>
      </c>
      <c r="S84" s="258"/>
      <c r="T84" s="255" t="str">
        <f>IFERROR(__xludf.DUMMYFUNCTION("""COMPUTED_VALUE"""),"➖")</f>
        <v>➖</v>
      </c>
      <c r="U84" s="255" t="str">
        <f>IFERROR(__xludf.DUMMYFUNCTION("""COMPUTED_VALUE"""),"➖")</f>
        <v>➖</v>
      </c>
      <c r="V84" s="259"/>
      <c r="W84" s="286"/>
      <c r="X84" s="286"/>
      <c r="Y84" s="286"/>
    </row>
    <row r="85">
      <c r="A85" s="28"/>
      <c r="B85" s="128"/>
      <c r="C85" s="28"/>
      <c r="D85" s="250" t="str">
        <f>IFERROR(__xludf.DUMMYFUNCTION("""COMPUTED_VALUE"""),"   C")</f>
        <v>C</v>
      </c>
      <c r="E85" s="280" t="str">
        <f>IFERROR(__xludf.DUMMYFUNCTION("""COMPUTED_VALUE"""),"KOMAL")</f>
        <v>KOMAL</v>
      </c>
      <c r="F85" s="271" t="str">
        <f>IFERROR(__xludf.DUMMYFUNCTION("""COMPUTED_VALUE"""),"CM")</f>
        <v>CM</v>
      </c>
      <c r="G85" s="281" t="str">
        <f>IFERROR(__xludf.DUMMYFUNCTION("""COMPUTED_VALUE"""),"✴️")</f>
        <v>✴️</v>
      </c>
      <c r="H85" s="281" t="str">
        <f>IFERROR(__xludf.DUMMYFUNCTION("""COMPUTED_VALUE"""),"✴️")</f>
        <v>✴️</v>
      </c>
      <c r="I85" s="281" t="str">
        <f>IFERROR(__xludf.DUMMYFUNCTION("""COMPUTED_VALUE"""),"➖")</f>
        <v>➖</v>
      </c>
      <c r="J85" s="281" t="str">
        <f>IFERROR(__xludf.DUMMYFUNCTION("""COMPUTED_VALUE"""),"➖")</f>
        <v>➖</v>
      </c>
      <c r="K85" s="282" t="str">
        <f>IFERROR(__xludf.DUMMYFUNCTION("""COMPUTED_VALUE"""),"➖")</f>
        <v>➖</v>
      </c>
      <c r="L85" s="282" t="str">
        <f>IFERROR(__xludf.DUMMYFUNCTION("""COMPUTED_VALUE"""),"➖")</f>
        <v>➖</v>
      </c>
      <c r="M85" s="282" t="str">
        <f>IFERROR(__xludf.DUMMYFUNCTION("""COMPUTED_VALUE"""),"➖")</f>
        <v>➖</v>
      </c>
      <c r="N85" s="282" t="str">
        <f>IFERROR(__xludf.DUMMYFUNCTION("""COMPUTED_VALUE"""),"➖")</f>
        <v>➖</v>
      </c>
      <c r="O85" s="282" t="str">
        <f>IFERROR(__xludf.DUMMYFUNCTION("""COMPUTED_VALUE"""),"➖")</f>
        <v>➖</v>
      </c>
      <c r="P85" s="282" t="str">
        <f>IFERROR(__xludf.DUMMYFUNCTION("""COMPUTED_VALUE"""),"➖")</f>
        <v>➖</v>
      </c>
      <c r="Q85" s="282" t="str">
        <f>IFERROR(__xludf.DUMMYFUNCTION("""COMPUTED_VALUE"""),"➖")</f>
        <v>➖</v>
      </c>
      <c r="R85" s="283" t="str">
        <f>IFERROR(__xludf.DUMMYFUNCTION("""COMPUTED_VALUE"""),"   ➖")</f>
        <v>➖</v>
      </c>
      <c r="S85" s="284" t="str">
        <f>IFERROR(__xludf.DUMMYFUNCTION("""COMPUTED_VALUE"""),"SelfBattleship")</f>
        <v>SelfBattleship</v>
      </c>
      <c r="T85" s="285" t="str">
        <f>IFERROR(__xludf.DUMMYFUNCTION("""COMPUTED_VALUE"""),"➖")</f>
        <v>➖</v>
      </c>
      <c r="U85" s="285" t="str">
        <f>IFERROR(__xludf.DUMMYFUNCTION("""COMPUTED_VALUE"""),"➖")</f>
        <v>➖</v>
      </c>
      <c r="V85" s="259"/>
      <c r="W85" s="286"/>
      <c r="X85" s="286"/>
      <c r="Y85" s="286"/>
    </row>
    <row r="86">
      <c r="A86" s="28"/>
      <c r="B86" s="132"/>
      <c r="C86" s="28"/>
      <c r="D86" s="260" t="str">
        <f>IFERROR(__xludf.DUMMYFUNCTION("""COMPUTED_VALUE"""),"   C")</f>
        <v>C</v>
      </c>
      <c r="E86" s="287" t="str">
        <f>IFERROR(__xludf.DUMMYFUNCTION("""COMPUTED_VALUE"""),"KOMAL")</f>
        <v>KOMAL</v>
      </c>
      <c r="F86" s="270" t="str">
        <f>IFERROR(__xludf.DUMMYFUNCTION("""COMPUTED_VALUE"""),"OA")</f>
        <v>OA</v>
      </c>
      <c r="G86" s="231" t="str">
        <f>IFERROR(__xludf.DUMMYFUNCTION("""COMPUTED_VALUE"""),"✴️")</f>
        <v>✴️</v>
      </c>
      <c r="H86" s="231" t="str">
        <f>IFERROR(__xludf.DUMMYFUNCTION("""COMPUTED_VALUE"""),"✴️")</f>
        <v>✴️</v>
      </c>
      <c r="I86" s="231" t="str">
        <f>IFERROR(__xludf.DUMMYFUNCTION("""COMPUTED_VALUE"""),"➖")</f>
        <v>➖</v>
      </c>
      <c r="J86" s="231" t="str">
        <f>IFERROR(__xludf.DUMMYFUNCTION("""COMPUTED_VALUE"""),"➖")</f>
        <v>➖</v>
      </c>
      <c r="K86" s="288" t="str">
        <f>IFERROR(__xludf.DUMMYFUNCTION("""COMPUTED_VALUE"""),"➖")</f>
        <v>➖</v>
      </c>
      <c r="L86" s="288" t="str">
        <f>IFERROR(__xludf.DUMMYFUNCTION("""COMPUTED_VALUE"""),"➖")</f>
        <v>➖</v>
      </c>
      <c r="M86" s="288" t="str">
        <f>IFERROR(__xludf.DUMMYFUNCTION("""COMPUTED_VALUE"""),"➖")</f>
        <v>➖</v>
      </c>
      <c r="N86" s="288" t="str">
        <f>IFERROR(__xludf.DUMMYFUNCTION("""COMPUTED_VALUE"""),"➖")</f>
        <v>➖</v>
      </c>
      <c r="O86" s="288" t="str">
        <f>IFERROR(__xludf.DUMMYFUNCTION("""COMPUTED_VALUE"""),"➖")</f>
        <v>➖</v>
      </c>
      <c r="P86" s="288" t="str">
        <f>IFERROR(__xludf.DUMMYFUNCTION("""COMPUTED_VALUE"""),"➖")</f>
        <v>➖</v>
      </c>
      <c r="Q86" s="288" t="str">
        <f>IFERROR(__xludf.DUMMYFUNCTION("""COMPUTED_VALUE"""),"➖")</f>
        <v>➖</v>
      </c>
      <c r="R86" s="257" t="str">
        <f>IFERROR(__xludf.DUMMYFUNCTION("""COMPUTED_VALUE"""),"   ➖")</f>
        <v>➖</v>
      </c>
      <c r="S86" s="258" t="str">
        <f>IFERROR(__xludf.DUMMYFUNCTION("""COMPUTED_VALUE"""),"ModuleKinetic")</f>
        <v>ModuleKinetic</v>
      </c>
      <c r="T86" s="255" t="str">
        <f>IFERROR(__xludf.DUMMYFUNCTION("""COMPUTED_VALUE"""),"➖")</f>
        <v>➖</v>
      </c>
      <c r="U86" s="255" t="str">
        <f>IFERROR(__xludf.DUMMYFUNCTION("""COMPUTED_VALUE"""),"➖")</f>
        <v>➖</v>
      </c>
      <c r="V86" s="259"/>
      <c r="W86" s="286"/>
      <c r="X86" s="286"/>
      <c r="Y86" s="286"/>
    </row>
    <row r="87">
      <c r="A87" s="28"/>
      <c r="B87" s="128"/>
      <c r="C87" s="28"/>
      <c r="D87" s="250" t="str">
        <f>IFERROR(__xludf.DUMMYFUNCTION("""COMPUTED_VALUE"""),"   C")</f>
        <v>C</v>
      </c>
      <c r="E87" s="280" t="str">
        <f>IFERROR(__xludf.DUMMYFUNCTION("""COMPUTED_VALUE"""),"VARTOQ")</f>
        <v>VARTOQ</v>
      </c>
      <c r="F87" s="271" t="str">
        <f>IFERROR(__xludf.DUMMYFUNCTION("""COMPUTED_VALUE"""),"CM")</f>
        <v>CM</v>
      </c>
      <c r="G87" s="281" t="str">
        <f>IFERROR(__xludf.DUMMYFUNCTION("""COMPUTED_VALUE"""),"✴️")</f>
        <v>✴️</v>
      </c>
      <c r="H87" s="281" t="str">
        <f>IFERROR(__xludf.DUMMYFUNCTION("""COMPUTED_VALUE"""),"✴️")</f>
        <v>✴️</v>
      </c>
      <c r="I87" s="281" t="str">
        <f>IFERROR(__xludf.DUMMYFUNCTION("""COMPUTED_VALUE"""),"➖")</f>
        <v>➖</v>
      </c>
      <c r="J87" s="281" t="str">
        <f>IFERROR(__xludf.DUMMYFUNCTION("""COMPUTED_VALUE"""),"➖")</f>
        <v>➖</v>
      </c>
      <c r="K87" s="282" t="str">
        <f>IFERROR(__xludf.DUMMYFUNCTION("""COMPUTED_VALUE"""),"➖")</f>
        <v>➖</v>
      </c>
      <c r="L87" s="282" t="str">
        <f>IFERROR(__xludf.DUMMYFUNCTION("""COMPUTED_VALUE"""),"➖")</f>
        <v>➖</v>
      </c>
      <c r="M87" s="282" t="str">
        <f>IFERROR(__xludf.DUMMYFUNCTION("""COMPUTED_VALUE"""),"➖")</f>
        <v>➖</v>
      </c>
      <c r="N87" s="282" t="str">
        <f>IFERROR(__xludf.DUMMYFUNCTION("""COMPUTED_VALUE"""),"➖")</f>
        <v>➖</v>
      </c>
      <c r="O87" s="282" t="str">
        <f>IFERROR(__xludf.DUMMYFUNCTION("""COMPUTED_VALUE"""),"➖")</f>
        <v>➖</v>
      </c>
      <c r="P87" s="282" t="str">
        <f>IFERROR(__xludf.DUMMYFUNCTION("""COMPUTED_VALUE"""),"➖")</f>
        <v>➖</v>
      </c>
      <c r="Q87" s="282" t="str">
        <f>IFERROR(__xludf.DUMMYFUNCTION("""COMPUTED_VALUE"""),"➖")</f>
        <v>➖</v>
      </c>
      <c r="R87" s="283" t="str">
        <f>IFERROR(__xludf.DUMMYFUNCTION("""COMPUTED_VALUE"""),"   ➖")</f>
        <v>➖</v>
      </c>
      <c r="S87" s="284" t="str">
        <f>IFERROR(__xludf.DUMMYFUNCTION("""COMPUTED_VALUE"""),"SelfInterceptor")</f>
        <v>SelfInterceptor</v>
      </c>
      <c r="T87" s="285" t="str">
        <f>IFERROR(__xludf.DUMMYFUNCTION("""COMPUTED_VALUE"""),"➖")</f>
        <v>➖</v>
      </c>
      <c r="U87" s="285" t="str">
        <f>IFERROR(__xludf.DUMMYFUNCTION("""COMPUTED_VALUE"""),"➖")</f>
        <v>➖</v>
      </c>
      <c r="V87" s="259"/>
      <c r="W87" s="286"/>
      <c r="X87" s="286"/>
      <c r="Y87" s="286"/>
    </row>
    <row r="88">
      <c r="A88" s="28"/>
      <c r="B88" s="132"/>
      <c r="C88" s="28"/>
      <c r="D88" s="260" t="str">
        <f>IFERROR(__xludf.DUMMYFUNCTION("""COMPUTED_VALUE"""),"   C")</f>
        <v>C</v>
      </c>
      <c r="E88" s="287" t="str">
        <f>IFERROR(__xludf.DUMMYFUNCTION("""COMPUTED_VALUE"""),"VARTOQ")</f>
        <v>VARTOQ</v>
      </c>
      <c r="F88" s="270" t="str">
        <f>IFERROR(__xludf.DUMMYFUNCTION("""COMPUTED_VALUE"""),"OA")</f>
        <v>OA</v>
      </c>
      <c r="G88" s="231" t="str">
        <f>IFERROR(__xludf.DUMMYFUNCTION("""COMPUTED_VALUE"""),"✴️")</f>
        <v>✴️</v>
      </c>
      <c r="H88" s="231" t="str">
        <f>IFERROR(__xludf.DUMMYFUNCTION("""COMPUTED_VALUE"""),"✴️")</f>
        <v>✴️</v>
      </c>
      <c r="I88" s="231" t="str">
        <f>IFERROR(__xludf.DUMMYFUNCTION("""COMPUTED_VALUE"""),"➖")</f>
        <v>➖</v>
      </c>
      <c r="J88" s="231" t="str">
        <f>IFERROR(__xludf.DUMMYFUNCTION("""COMPUTED_VALUE"""),"➖")</f>
        <v>➖</v>
      </c>
      <c r="K88" s="288" t="str">
        <f>IFERROR(__xludf.DUMMYFUNCTION("""COMPUTED_VALUE"""),"➖")</f>
        <v>➖</v>
      </c>
      <c r="L88" s="288" t="str">
        <f>IFERROR(__xludf.DUMMYFUNCTION("""COMPUTED_VALUE"""),"➖")</f>
        <v>➖</v>
      </c>
      <c r="M88" s="288" t="str">
        <f>IFERROR(__xludf.DUMMYFUNCTION("""COMPUTED_VALUE"""),"➖")</f>
        <v>➖</v>
      </c>
      <c r="N88" s="288" t="str">
        <f>IFERROR(__xludf.DUMMYFUNCTION("""COMPUTED_VALUE"""),"➖")</f>
        <v>➖</v>
      </c>
      <c r="O88" s="288" t="str">
        <f>IFERROR(__xludf.DUMMYFUNCTION("""COMPUTED_VALUE"""),"➖")</f>
        <v>➖</v>
      </c>
      <c r="P88" s="288" t="str">
        <f>IFERROR(__xludf.DUMMYFUNCTION("""COMPUTED_VALUE"""),"➖")</f>
        <v>➖</v>
      </c>
      <c r="Q88" s="288" t="str">
        <f>IFERROR(__xludf.DUMMYFUNCTION("""COMPUTED_VALUE"""),"➖")</f>
        <v>➖</v>
      </c>
      <c r="R88" s="257" t="str">
        <f>IFERROR(__xludf.DUMMYFUNCTION("""COMPUTED_VALUE"""),"   ➖")</f>
        <v>➖</v>
      </c>
      <c r="S88" s="258" t="str">
        <f>IFERROR(__xludf.DUMMYFUNCTION("""COMPUTED_VALUE"""),"ModuleKinetic")</f>
        <v>ModuleKinetic</v>
      </c>
      <c r="T88" s="255" t="str">
        <f>IFERROR(__xludf.DUMMYFUNCTION("""COMPUTED_VALUE"""),"➖")</f>
        <v>➖</v>
      </c>
      <c r="U88" s="255" t="str">
        <f>IFERROR(__xludf.DUMMYFUNCTION("""COMPUTED_VALUE"""),"➖")</f>
        <v>➖</v>
      </c>
      <c r="V88" s="259"/>
      <c r="W88" s="286"/>
      <c r="X88" s="286"/>
      <c r="Y88" s="286"/>
    </row>
    <row r="89">
      <c r="A89" s="28"/>
      <c r="B89" s="128"/>
      <c r="C89" s="28"/>
      <c r="D89" s="250" t="str">
        <f>IFERROR(__xludf.DUMMYFUNCTION("""COMPUTED_VALUE"""),"   C")</f>
        <v>C</v>
      </c>
      <c r="E89" s="280" t="str">
        <f>IFERROR(__xludf.DUMMYFUNCTION("""COMPUTED_VALUE"""),"RUKOR")</f>
        <v>RUKOR</v>
      </c>
      <c r="F89" s="271" t="str">
        <f>IFERROR(__xludf.DUMMYFUNCTION("""COMPUTED_VALUE"""),"CM")</f>
        <v>CM</v>
      </c>
      <c r="G89" s="281" t="str">
        <f>IFERROR(__xludf.DUMMYFUNCTION("""COMPUTED_VALUE"""),"✴️")</f>
        <v>✴️</v>
      </c>
      <c r="H89" s="281" t="str">
        <f>IFERROR(__xludf.DUMMYFUNCTION("""COMPUTED_VALUE"""),"✴️")</f>
        <v>✴️</v>
      </c>
      <c r="I89" s="281" t="str">
        <f>IFERROR(__xludf.DUMMYFUNCTION("""COMPUTED_VALUE"""),"➖")</f>
        <v>➖</v>
      </c>
      <c r="J89" s="281" t="str">
        <f>IFERROR(__xludf.DUMMYFUNCTION("""COMPUTED_VALUE"""),"➖")</f>
        <v>➖</v>
      </c>
      <c r="K89" s="282" t="str">
        <f>IFERROR(__xludf.DUMMYFUNCTION("""COMPUTED_VALUE"""),"➖")</f>
        <v>➖</v>
      </c>
      <c r="L89" s="282" t="str">
        <f>IFERROR(__xludf.DUMMYFUNCTION("""COMPUTED_VALUE"""),"➖")</f>
        <v>➖</v>
      </c>
      <c r="M89" s="282" t="str">
        <f>IFERROR(__xludf.DUMMYFUNCTION("""COMPUTED_VALUE"""),"➖")</f>
        <v>➖</v>
      </c>
      <c r="N89" s="282" t="str">
        <f>IFERROR(__xludf.DUMMYFUNCTION("""COMPUTED_VALUE"""),"➖")</f>
        <v>➖</v>
      </c>
      <c r="O89" s="282" t="str">
        <f>IFERROR(__xludf.DUMMYFUNCTION("""COMPUTED_VALUE"""),"➖")</f>
        <v>➖</v>
      </c>
      <c r="P89" s="282" t="str">
        <f>IFERROR(__xludf.DUMMYFUNCTION("""COMPUTED_VALUE"""),"➖")</f>
        <v>➖</v>
      </c>
      <c r="Q89" s="282" t="str">
        <f>IFERROR(__xludf.DUMMYFUNCTION("""COMPUTED_VALUE"""),"➖")</f>
        <v>➖</v>
      </c>
      <c r="R89" s="283" t="str">
        <f>IFERROR(__xludf.DUMMYFUNCTION("""COMPUTED_VALUE"""),"   ➖")</f>
        <v>➖</v>
      </c>
      <c r="S89" s="284" t="str">
        <f>IFERROR(__xludf.DUMMYFUNCTION("""COMPUTED_VALUE"""),"SelfExplorer")</f>
        <v>SelfExplorer</v>
      </c>
      <c r="T89" s="285" t="str">
        <f>IFERROR(__xludf.DUMMYFUNCTION("""COMPUTED_VALUE"""),"➖")</f>
        <v>➖</v>
      </c>
      <c r="U89" s="285" t="str">
        <f>IFERROR(__xludf.DUMMYFUNCTION("""COMPUTED_VALUE"""),"➖")</f>
        <v>➖</v>
      </c>
      <c r="V89" s="259"/>
      <c r="W89" s="286"/>
      <c r="X89" s="286"/>
      <c r="Y89" s="286"/>
    </row>
    <row r="90">
      <c r="A90" s="28"/>
      <c r="B90" s="132"/>
      <c r="C90" s="28"/>
      <c r="D90" s="260" t="str">
        <f>IFERROR(__xludf.DUMMYFUNCTION("""COMPUTED_VALUE"""),"   C")</f>
        <v>C</v>
      </c>
      <c r="E90" s="287" t="str">
        <f>IFERROR(__xludf.DUMMYFUNCTION("""COMPUTED_VALUE"""),"RUKOR")</f>
        <v>RUKOR</v>
      </c>
      <c r="F90" s="270" t="str">
        <f>IFERROR(__xludf.DUMMYFUNCTION("""COMPUTED_VALUE"""),"OA")</f>
        <v>OA</v>
      </c>
      <c r="G90" s="231" t="str">
        <f>IFERROR(__xludf.DUMMYFUNCTION("""COMPUTED_VALUE"""),"✴️")</f>
        <v>✴️</v>
      </c>
      <c r="H90" s="231" t="str">
        <f>IFERROR(__xludf.DUMMYFUNCTION("""COMPUTED_VALUE"""),"✴️")</f>
        <v>✴️</v>
      </c>
      <c r="I90" s="231" t="str">
        <f>IFERROR(__xludf.DUMMYFUNCTION("""COMPUTED_VALUE"""),"➖")</f>
        <v>➖</v>
      </c>
      <c r="J90" s="231" t="str">
        <f>IFERROR(__xludf.DUMMYFUNCTION("""COMPUTED_VALUE"""),"➖")</f>
        <v>➖</v>
      </c>
      <c r="K90" s="288" t="str">
        <f>IFERROR(__xludf.DUMMYFUNCTION("""COMPUTED_VALUE"""),"➖")</f>
        <v>➖</v>
      </c>
      <c r="L90" s="288" t="str">
        <f>IFERROR(__xludf.DUMMYFUNCTION("""COMPUTED_VALUE"""),"➖")</f>
        <v>➖</v>
      </c>
      <c r="M90" s="288" t="str">
        <f>IFERROR(__xludf.DUMMYFUNCTION("""COMPUTED_VALUE"""),"➖")</f>
        <v>➖</v>
      </c>
      <c r="N90" s="288" t="str">
        <f>IFERROR(__xludf.DUMMYFUNCTION("""COMPUTED_VALUE"""),"➖")</f>
        <v>➖</v>
      </c>
      <c r="O90" s="288" t="str">
        <f>IFERROR(__xludf.DUMMYFUNCTION("""COMPUTED_VALUE"""),"➖")</f>
        <v>➖</v>
      </c>
      <c r="P90" s="288" t="str">
        <f>IFERROR(__xludf.DUMMYFUNCTION("""COMPUTED_VALUE"""),"➖")</f>
        <v>➖</v>
      </c>
      <c r="Q90" s="288" t="str">
        <f>IFERROR(__xludf.DUMMYFUNCTION("""COMPUTED_VALUE"""),"➖")</f>
        <v>➖</v>
      </c>
      <c r="R90" s="257" t="str">
        <f>IFERROR(__xludf.DUMMYFUNCTION("""COMPUTED_VALUE"""),"   ➖")</f>
        <v>➖</v>
      </c>
      <c r="S90" s="258" t="str">
        <f>IFERROR(__xludf.DUMMYFUNCTION("""COMPUTED_VALUE"""),"ModuleEnergy")</f>
        <v>ModuleEnergy</v>
      </c>
      <c r="T90" s="255" t="str">
        <f>IFERROR(__xludf.DUMMYFUNCTION("""COMPUTED_VALUE"""),"➖")</f>
        <v>➖</v>
      </c>
      <c r="U90" s="255" t="str">
        <f>IFERROR(__xludf.DUMMYFUNCTION("""COMPUTED_VALUE"""),"➖")</f>
        <v>➖</v>
      </c>
      <c r="V90" s="259"/>
      <c r="W90" s="286"/>
      <c r="X90" s="286"/>
      <c r="Y90" s="286"/>
    </row>
    <row r="91">
      <c r="A91" s="28"/>
      <c r="B91" s="128"/>
      <c r="C91" s="28"/>
      <c r="D91" s="250" t="str">
        <f>IFERROR(__xludf.DUMMYFUNCTION("""COMPUTED_VALUE"""),"   C")</f>
        <v>C</v>
      </c>
      <c r="E91" s="280" t="str">
        <f>IFERROR(__xludf.DUMMYFUNCTION("""COMPUTED_VALUE"""),"DARWIN")</f>
        <v>DARWIN</v>
      </c>
      <c r="F91" s="271" t="str">
        <f>IFERROR(__xludf.DUMMYFUNCTION("""COMPUTED_VALUE"""),"CM")</f>
        <v>CM</v>
      </c>
      <c r="G91" s="281" t="str">
        <f>IFERROR(__xludf.DUMMYFUNCTION("""COMPUTED_VALUE"""),"✅")</f>
        <v>✅</v>
      </c>
      <c r="H91" s="281" t="str">
        <f>IFERROR(__xludf.DUMMYFUNCTION("""COMPUTED_VALUE"""),"✅")</f>
        <v>✅</v>
      </c>
      <c r="I91" s="281" t="str">
        <f>IFERROR(__xludf.DUMMYFUNCTION("""COMPUTED_VALUE"""),"➖")</f>
        <v>➖</v>
      </c>
      <c r="J91" s="281" t="str">
        <f>IFERROR(__xludf.DUMMYFUNCTION("""COMPUTED_VALUE"""),"➖")</f>
        <v>➖</v>
      </c>
      <c r="K91" s="282" t="str">
        <f>IFERROR(__xludf.DUMMYFUNCTION("""COMPUTED_VALUE"""),"➖")</f>
        <v>➖</v>
      </c>
      <c r="L91" s="282" t="str">
        <f>IFERROR(__xludf.DUMMYFUNCTION("""COMPUTED_VALUE"""),"➖")</f>
        <v>➖</v>
      </c>
      <c r="M91" s="282" t="str">
        <f>IFERROR(__xludf.DUMMYFUNCTION("""COMPUTED_VALUE"""),"➖")</f>
        <v>➖</v>
      </c>
      <c r="N91" s="282" t="str">
        <f>IFERROR(__xludf.DUMMYFUNCTION("""COMPUTED_VALUE"""),"➖")</f>
        <v>➖</v>
      </c>
      <c r="O91" s="282" t="str">
        <f>IFERROR(__xludf.DUMMYFUNCTION("""COMPUTED_VALUE"""),"➖")</f>
        <v>➖</v>
      </c>
      <c r="P91" s="282" t="str">
        <f>IFERROR(__xludf.DUMMYFUNCTION("""COMPUTED_VALUE"""),"➖")</f>
        <v>➖</v>
      </c>
      <c r="Q91" s="282" t="str">
        <f>IFERROR(__xludf.DUMMYFUNCTION("""COMPUTED_VALUE"""),"➖")</f>
        <v>➖</v>
      </c>
      <c r="R91" s="283" t="str">
        <f>IFERROR(__xludf.DUMMYFUNCTION("""COMPUTED_VALUE"""),"   ➖")</f>
        <v>➖</v>
      </c>
      <c r="S91" s="284"/>
      <c r="T91" s="285" t="str">
        <f>IFERROR(__xludf.DUMMYFUNCTION("""COMPUTED_VALUE"""),"➖")</f>
        <v>➖</v>
      </c>
      <c r="U91" s="285" t="str">
        <f>IFERROR(__xludf.DUMMYFUNCTION("""COMPUTED_VALUE"""),"➖")</f>
        <v>➖</v>
      </c>
      <c r="V91" s="259"/>
      <c r="W91" s="286"/>
      <c r="X91" s="286"/>
      <c r="Y91" s="286"/>
    </row>
    <row r="92">
      <c r="A92" s="28"/>
      <c r="B92" s="132"/>
      <c r="C92" s="28"/>
      <c r="D92" s="260" t="str">
        <f>IFERROR(__xludf.DUMMYFUNCTION("""COMPUTED_VALUE"""),"   C")</f>
        <v>C</v>
      </c>
      <c r="E92" s="287" t="str">
        <f>IFERROR(__xludf.DUMMYFUNCTION("""COMPUTED_VALUE"""),"DARWIN")</f>
        <v>DARWIN</v>
      </c>
      <c r="F92" s="270" t="str">
        <f>IFERROR(__xludf.DUMMYFUNCTION("""COMPUTED_VALUE"""),"OA")</f>
        <v>OA</v>
      </c>
      <c r="G92" s="231" t="str">
        <f>IFERROR(__xludf.DUMMYFUNCTION("""COMPUTED_VALUE"""),"➖")</f>
        <v>➖</v>
      </c>
      <c r="H92" s="231" t="str">
        <f>IFERROR(__xludf.DUMMYFUNCTION("""COMPUTED_VALUE"""),"➖")</f>
        <v>➖</v>
      </c>
      <c r="I92" s="231" t="str">
        <f>IFERROR(__xludf.DUMMYFUNCTION("""COMPUTED_VALUE"""),"➖")</f>
        <v>➖</v>
      </c>
      <c r="J92" s="231" t="str">
        <f>IFERROR(__xludf.DUMMYFUNCTION("""COMPUTED_VALUE"""),"➖")</f>
        <v>➖</v>
      </c>
      <c r="K92" s="288" t="str">
        <f>IFERROR(__xludf.DUMMYFUNCTION("""COMPUTED_VALUE"""),"➖")</f>
        <v>➖</v>
      </c>
      <c r="L92" s="288" t="str">
        <f>IFERROR(__xludf.DUMMYFUNCTION("""COMPUTED_VALUE"""),"➖")</f>
        <v>➖</v>
      </c>
      <c r="M92" s="288" t="str">
        <f>IFERROR(__xludf.DUMMYFUNCTION("""COMPUTED_VALUE"""),"➖")</f>
        <v>➖</v>
      </c>
      <c r="N92" s="288" t="str">
        <f>IFERROR(__xludf.DUMMYFUNCTION("""COMPUTED_VALUE"""),"➖")</f>
        <v>➖</v>
      </c>
      <c r="O92" s="288" t="str">
        <f>IFERROR(__xludf.DUMMYFUNCTION("""COMPUTED_VALUE"""),"➖")</f>
        <v>➖</v>
      </c>
      <c r="P92" s="288" t="str">
        <f>IFERROR(__xludf.DUMMYFUNCTION("""COMPUTED_VALUE"""),"➖")</f>
        <v>➖</v>
      </c>
      <c r="Q92" s="288" t="str">
        <f>IFERROR(__xludf.DUMMYFUNCTION("""COMPUTED_VALUE"""),"➖")</f>
        <v>➖</v>
      </c>
      <c r="R92" s="257" t="str">
        <f>IFERROR(__xludf.DUMMYFUNCTION("""COMPUTED_VALUE"""),"   ➖")</f>
        <v>➖</v>
      </c>
      <c r="S92" s="258"/>
      <c r="T92" s="255" t="str">
        <f>IFERROR(__xludf.DUMMYFUNCTION("""COMPUTED_VALUE"""),"➖")</f>
        <v>➖</v>
      </c>
      <c r="U92" s="255" t="str">
        <f>IFERROR(__xludf.DUMMYFUNCTION("""COMPUTED_VALUE"""),"✅")</f>
        <v>✅</v>
      </c>
      <c r="V92" s="259"/>
      <c r="W92" s="286"/>
      <c r="X92" s="286"/>
      <c r="Y92" s="286"/>
    </row>
    <row r="93">
      <c r="A93" s="28"/>
      <c r="B93" s="128"/>
      <c r="C93" s="28"/>
      <c r="D93" s="250" t="str">
        <f>IFERROR(__xludf.DUMMYFUNCTION("""COMPUTED_VALUE"""),"   U")</f>
        <v>U</v>
      </c>
      <c r="E93" s="280" t="str">
        <f>IFERROR(__xludf.DUMMYFUNCTION("""COMPUTED_VALUE"""),"LESLIE")</f>
        <v>LESLIE</v>
      </c>
      <c r="F93" s="271" t="str">
        <f>IFERROR(__xludf.DUMMYFUNCTION("""COMPUTED_VALUE"""),"CM")</f>
        <v>CM</v>
      </c>
      <c r="G93" s="281" t="str">
        <f>IFERROR(__xludf.DUMMYFUNCTION("""COMPUTED_VALUE"""),"✴️")</f>
        <v>✴️</v>
      </c>
      <c r="H93" s="281" t="str">
        <f>IFERROR(__xludf.DUMMYFUNCTION("""COMPUTED_VALUE"""),"✴️")</f>
        <v>✴️</v>
      </c>
      <c r="I93" s="281" t="str">
        <f>IFERROR(__xludf.DUMMYFUNCTION("""COMPUTED_VALUE"""),"✴️")</f>
        <v>✴️</v>
      </c>
      <c r="J93" s="281" t="str">
        <f>IFERROR(__xludf.DUMMYFUNCTION("""COMPUTED_VALUE"""),"✴️")</f>
        <v>✴️</v>
      </c>
      <c r="K93" s="282" t="str">
        <f>IFERROR(__xludf.DUMMYFUNCTION("""COMPUTED_VALUE"""),"✴️")</f>
        <v>✴️</v>
      </c>
      <c r="L93" s="282" t="str">
        <f>IFERROR(__xludf.DUMMYFUNCTION("""COMPUTED_VALUE"""),"✴️")</f>
        <v>✴️</v>
      </c>
      <c r="M93" s="282" t="str">
        <f>IFERROR(__xludf.DUMMYFUNCTION("""COMPUTED_VALUE"""),"✴️")</f>
        <v>✴️</v>
      </c>
      <c r="N93" s="282" t="str">
        <f>IFERROR(__xludf.DUMMYFUNCTION("""COMPUTED_VALUE"""),"✴️")</f>
        <v>✴️</v>
      </c>
      <c r="O93" s="282" t="str">
        <f>IFERROR(__xludf.DUMMYFUNCTION("""COMPUTED_VALUE"""),"✴️")</f>
        <v>✴️</v>
      </c>
      <c r="P93" s="282" t="str">
        <f>IFERROR(__xludf.DUMMYFUNCTION("""COMPUTED_VALUE"""),"✴️")</f>
        <v>✴️</v>
      </c>
      <c r="Q93" s="282" t="str">
        <f>IFERROR(__xludf.DUMMYFUNCTION("""COMPUTED_VALUE"""),"✴️")</f>
        <v>✴️</v>
      </c>
      <c r="R93" s="283" t="str">
        <f>IFERROR(__xludf.DUMMYFUNCTION("""COMPUTED_VALUE"""),"   ✴️")</f>
        <v>✴️</v>
      </c>
      <c r="S93" s="284" t="str">
        <f>IFERROR(__xludf.DUMMYFUNCTION("""COMPUTED_VALUE"""),"HullHealthBelowStartOfCombat")</f>
        <v>HullHealthBelowStartOfCombat</v>
      </c>
      <c r="T93" s="285" t="str">
        <f>IFERROR(__xludf.DUMMYFUNCTION("""COMPUTED_VALUE"""),"➖")</f>
        <v>➖</v>
      </c>
      <c r="U93" s="285" t="str">
        <f>IFERROR(__xludf.DUMMYFUNCTION("""COMPUTED_VALUE"""),"➖")</f>
        <v>➖</v>
      </c>
      <c r="V93" s="259"/>
      <c r="W93" s="286"/>
      <c r="X93" s="286"/>
      <c r="Y93" s="286"/>
    </row>
    <row r="94">
      <c r="A94" s="28"/>
      <c r="B94" s="132"/>
      <c r="C94" s="28"/>
      <c r="D94" s="260" t="str">
        <f>IFERROR(__xludf.DUMMYFUNCTION("""COMPUTED_VALUE"""),"   U")</f>
        <v>U</v>
      </c>
      <c r="E94" s="287" t="str">
        <f>IFERROR(__xludf.DUMMYFUNCTION("""COMPUTED_VALUE"""),"LESLIE")</f>
        <v>LESLIE</v>
      </c>
      <c r="F94" s="270" t="str">
        <f>IFERROR(__xludf.DUMMYFUNCTION("""COMPUTED_VALUE"""),"OA")</f>
        <v>OA</v>
      </c>
      <c r="G94" s="231" t="str">
        <f>IFERROR(__xludf.DUMMYFUNCTION("""COMPUTED_VALUE"""),"➖")</f>
        <v>➖</v>
      </c>
      <c r="H94" s="231" t="str">
        <f>IFERROR(__xludf.DUMMYFUNCTION("""COMPUTED_VALUE"""),"➖")</f>
        <v>➖</v>
      </c>
      <c r="I94" s="231" t="str">
        <f>IFERROR(__xludf.DUMMYFUNCTION("""COMPUTED_VALUE"""),"➖")</f>
        <v>➖</v>
      </c>
      <c r="J94" s="231" t="str">
        <f>IFERROR(__xludf.DUMMYFUNCTION("""COMPUTED_VALUE"""),"➖")</f>
        <v>➖</v>
      </c>
      <c r="K94" s="288" t="str">
        <f>IFERROR(__xludf.DUMMYFUNCTION("""COMPUTED_VALUE"""),"➖")</f>
        <v>➖</v>
      </c>
      <c r="L94" s="288" t="str">
        <f>IFERROR(__xludf.DUMMYFUNCTION("""COMPUTED_VALUE"""),"➖")</f>
        <v>➖</v>
      </c>
      <c r="M94" s="288" t="str">
        <f>IFERROR(__xludf.DUMMYFUNCTION("""COMPUTED_VALUE"""),"➖")</f>
        <v>➖</v>
      </c>
      <c r="N94" s="288" t="str">
        <f>IFERROR(__xludf.DUMMYFUNCTION("""COMPUTED_VALUE"""),"➖")</f>
        <v>➖</v>
      </c>
      <c r="O94" s="288" t="str">
        <f>IFERROR(__xludf.DUMMYFUNCTION("""COMPUTED_VALUE"""),"➖")</f>
        <v>➖</v>
      </c>
      <c r="P94" s="288" t="str">
        <f>IFERROR(__xludf.DUMMYFUNCTION("""COMPUTED_VALUE"""),"➖")</f>
        <v>➖</v>
      </c>
      <c r="Q94" s="288" t="str">
        <f>IFERROR(__xludf.DUMMYFUNCTION("""COMPUTED_VALUE"""),"➖")</f>
        <v>➖</v>
      </c>
      <c r="R94" s="257" t="str">
        <f>IFERROR(__xludf.DUMMYFUNCTION("""COMPUTED_VALUE"""),"   ➖")</f>
        <v>➖</v>
      </c>
      <c r="S94" s="258"/>
      <c r="T94" s="255" t="str">
        <f>IFERROR(__xludf.DUMMYFUNCTION("""COMPUTED_VALUE"""),"➖")</f>
        <v>➖</v>
      </c>
      <c r="U94" s="255" t="str">
        <f>IFERROR(__xludf.DUMMYFUNCTION("""COMPUTED_VALUE"""),"✅")</f>
        <v>✅</v>
      </c>
      <c r="V94" s="259"/>
      <c r="W94" s="286"/>
      <c r="X94" s="286"/>
      <c r="Y94" s="286"/>
    </row>
    <row r="95">
      <c r="A95" s="28"/>
      <c r="B95" s="128"/>
      <c r="C95" s="28"/>
      <c r="D95" s="250" t="str">
        <f>IFERROR(__xludf.DUMMYFUNCTION("""COMPUTED_VALUE"""),"   R")</f>
        <v>R</v>
      </c>
      <c r="E95" s="280" t="str">
        <f>IFERROR(__xludf.DUMMYFUNCTION("""COMPUTED_VALUE"""),"DECIUS")</f>
        <v>DECIUS</v>
      </c>
      <c r="F95" s="271" t="str">
        <f>IFERROR(__xludf.DUMMYFUNCTION("""COMPUTED_VALUE"""),"CM")</f>
        <v>CM</v>
      </c>
      <c r="G95" s="281" t="str">
        <f>IFERROR(__xludf.DUMMYFUNCTION("""COMPUTED_VALUE"""),"✴️")</f>
        <v>✴️</v>
      </c>
      <c r="H95" s="281" t="str">
        <f>IFERROR(__xludf.DUMMYFUNCTION("""COMPUTED_VALUE"""),"✴️")</f>
        <v>✴️</v>
      </c>
      <c r="I95" s="281" t="str">
        <f>IFERROR(__xludf.DUMMYFUNCTION("""COMPUTED_VALUE"""),"✴️")</f>
        <v>✴️</v>
      </c>
      <c r="J95" s="281" t="str">
        <f>IFERROR(__xludf.DUMMYFUNCTION("""COMPUTED_VALUE"""),"✴️")</f>
        <v>✴️</v>
      </c>
      <c r="K95" s="282" t="str">
        <f>IFERROR(__xludf.DUMMYFUNCTION("""COMPUTED_VALUE"""),"✴️")</f>
        <v>✴️</v>
      </c>
      <c r="L95" s="282" t="str">
        <f>IFERROR(__xludf.DUMMYFUNCTION("""COMPUTED_VALUE"""),"✴️")</f>
        <v>✴️</v>
      </c>
      <c r="M95" s="282" t="str">
        <f>IFERROR(__xludf.DUMMYFUNCTION("""COMPUTED_VALUE"""),"✴️")</f>
        <v>✴️</v>
      </c>
      <c r="N95" s="282" t="str">
        <f>IFERROR(__xludf.DUMMYFUNCTION("""COMPUTED_VALUE"""),"✴️")</f>
        <v>✴️</v>
      </c>
      <c r="O95" s="282" t="str">
        <f>IFERROR(__xludf.DUMMYFUNCTION("""COMPUTED_VALUE"""),"✴️")</f>
        <v>✴️</v>
      </c>
      <c r="P95" s="282" t="str">
        <f>IFERROR(__xludf.DUMMYFUNCTION("""COMPUTED_VALUE"""),"✴️")</f>
        <v>✴️</v>
      </c>
      <c r="Q95" s="282" t="str">
        <f>IFERROR(__xludf.DUMMYFUNCTION("""COMPUTED_VALUE"""),"✴️")</f>
        <v>✴️</v>
      </c>
      <c r="R95" s="283" t="str">
        <f>IFERROR(__xludf.DUMMYFUNCTION("""COMPUTED_VALUE"""),"   ✴️")</f>
        <v>✴️</v>
      </c>
      <c r="S95" s="284" t="str">
        <f>IFERROR(__xludf.DUMMYFUNCTION("""COMPUTED_VALUE"""),"EnemyStronger")</f>
        <v>EnemyStronger</v>
      </c>
      <c r="T95" s="285" t="str">
        <f>IFERROR(__xludf.DUMMYFUNCTION("""COMPUTED_VALUE"""),"➖")</f>
        <v>➖</v>
      </c>
      <c r="U95" s="285" t="str">
        <f>IFERROR(__xludf.DUMMYFUNCTION("""COMPUTED_VALUE"""),"➖")</f>
        <v>➖</v>
      </c>
      <c r="V95" s="259"/>
      <c r="W95" s="286"/>
      <c r="X95" s="286"/>
      <c r="Y95" s="286"/>
    </row>
    <row r="96">
      <c r="A96" s="28"/>
      <c r="B96" s="132"/>
      <c r="C96" s="28"/>
      <c r="D96" s="260" t="str">
        <f>IFERROR(__xludf.DUMMYFUNCTION("""COMPUTED_VALUE"""),"   R")</f>
        <v>R</v>
      </c>
      <c r="E96" s="287" t="str">
        <f>IFERROR(__xludf.DUMMYFUNCTION("""COMPUTED_VALUE"""),"DECIUS")</f>
        <v>DECIUS</v>
      </c>
      <c r="F96" s="270" t="str">
        <f>IFERROR(__xludf.DUMMYFUNCTION("""COMPUTED_VALUE"""),"OA")</f>
        <v>OA</v>
      </c>
      <c r="G96" s="231" t="str">
        <f>IFERROR(__xludf.DUMMYFUNCTION("""COMPUTED_VALUE"""),"✅")</f>
        <v>✅</v>
      </c>
      <c r="H96" s="231" t="str">
        <f>IFERROR(__xludf.DUMMYFUNCTION("""COMPUTED_VALUE"""),"✅")</f>
        <v>✅</v>
      </c>
      <c r="I96" s="231" t="str">
        <f>IFERROR(__xludf.DUMMYFUNCTION("""COMPUTED_VALUE"""),"✅")</f>
        <v>✅</v>
      </c>
      <c r="J96" s="231" t="str">
        <f>IFERROR(__xludf.DUMMYFUNCTION("""COMPUTED_VALUE"""),"✅")</f>
        <v>✅</v>
      </c>
      <c r="K96" s="288" t="str">
        <f>IFERROR(__xludf.DUMMYFUNCTION("""COMPUTED_VALUE"""),"✅")</f>
        <v>✅</v>
      </c>
      <c r="L96" s="288" t="str">
        <f>IFERROR(__xludf.DUMMYFUNCTION("""COMPUTED_VALUE"""),"✅")</f>
        <v>✅</v>
      </c>
      <c r="M96" s="288" t="str">
        <f>IFERROR(__xludf.DUMMYFUNCTION("""COMPUTED_VALUE"""),"✅")</f>
        <v>✅</v>
      </c>
      <c r="N96" s="288" t="str">
        <f>IFERROR(__xludf.DUMMYFUNCTION("""COMPUTED_VALUE"""),"✅")</f>
        <v>✅</v>
      </c>
      <c r="O96" s="288" t="str">
        <f>IFERROR(__xludf.DUMMYFUNCTION("""COMPUTED_VALUE"""),"✅")</f>
        <v>✅</v>
      </c>
      <c r="P96" s="288" t="str">
        <f>IFERROR(__xludf.DUMMYFUNCTION("""COMPUTED_VALUE"""),"✅")</f>
        <v>✅</v>
      </c>
      <c r="Q96" s="288" t="str">
        <f>IFERROR(__xludf.DUMMYFUNCTION("""COMPUTED_VALUE"""),"✅")</f>
        <v>✅</v>
      </c>
      <c r="R96" s="257" t="str">
        <f>IFERROR(__xludf.DUMMYFUNCTION("""COMPUTED_VALUE"""),"   ✅")</f>
        <v>✅</v>
      </c>
      <c r="S96" s="258"/>
      <c r="T96" s="255" t="str">
        <f>IFERROR(__xludf.DUMMYFUNCTION("""COMPUTED_VALUE"""),"➖")</f>
        <v>➖</v>
      </c>
      <c r="U96" s="255" t="str">
        <f>IFERROR(__xludf.DUMMYFUNCTION("""COMPUTED_VALUE"""),"➖")</f>
        <v>➖</v>
      </c>
      <c r="V96" s="259"/>
      <c r="W96" s="286"/>
      <c r="X96" s="286"/>
      <c r="Y96" s="286"/>
    </row>
    <row r="97">
      <c r="A97" s="28"/>
      <c r="B97" s="128"/>
      <c r="C97" s="28"/>
      <c r="D97" s="250" t="str">
        <f>IFERROR(__xludf.DUMMYFUNCTION("""COMPUTED_VALUE"""),"   E")</f>
        <v>E</v>
      </c>
      <c r="E97" s="280" t="str">
        <f>IFERROR(__xludf.DUMMYFUNCTION("""COMPUTED_VALUE"""),"KANG")</f>
        <v>KANG</v>
      </c>
      <c r="F97" s="271" t="str">
        <f>IFERROR(__xludf.DUMMYFUNCTION("""COMPUTED_VALUE"""),"CM")</f>
        <v>CM</v>
      </c>
      <c r="G97" s="281" t="str">
        <f>IFERROR(__xludf.DUMMYFUNCTION("""COMPUTED_VALUE"""),"✅")</f>
        <v>✅</v>
      </c>
      <c r="H97" s="281" t="str">
        <f>IFERROR(__xludf.DUMMYFUNCTION("""COMPUTED_VALUE"""),"✅")</f>
        <v>✅</v>
      </c>
      <c r="I97" s="281" t="str">
        <f>IFERROR(__xludf.DUMMYFUNCTION("""COMPUTED_VALUE"""),"✅")</f>
        <v>✅</v>
      </c>
      <c r="J97" s="281" t="str">
        <f>IFERROR(__xludf.DUMMYFUNCTION("""COMPUTED_VALUE"""),"✅")</f>
        <v>✅</v>
      </c>
      <c r="K97" s="282" t="str">
        <f>IFERROR(__xludf.DUMMYFUNCTION("""COMPUTED_VALUE"""),"✅")</f>
        <v>✅</v>
      </c>
      <c r="L97" s="282" t="str">
        <f>IFERROR(__xludf.DUMMYFUNCTION("""COMPUTED_VALUE"""),"✅")</f>
        <v>✅</v>
      </c>
      <c r="M97" s="282" t="str">
        <f>IFERROR(__xludf.DUMMYFUNCTION("""COMPUTED_VALUE"""),"✅")</f>
        <v>✅</v>
      </c>
      <c r="N97" s="282" t="str">
        <f>IFERROR(__xludf.DUMMYFUNCTION("""COMPUTED_VALUE"""),"✅")</f>
        <v>✅</v>
      </c>
      <c r="O97" s="282" t="str">
        <f>IFERROR(__xludf.DUMMYFUNCTION("""COMPUTED_VALUE"""),"✅")</f>
        <v>✅</v>
      </c>
      <c r="P97" s="282" t="str">
        <f>IFERROR(__xludf.DUMMYFUNCTION("""COMPUTED_VALUE"""),"✅")</f>
        <v>✅</v>
      </c>
      <c r="Q97" s="282" t="str">
        <f>IFERROR(__xludf.DUMMYFUNCTION("""COMPUTED_VALUE"""),"✅")</f>
        <v>✅</v>
      </c>
      <c r="R97" s="283" t="str">
        <f>IFERROR(__xludf.DUMMYFUNCTION("""COMPUTED_VALUE"""),"   ✅")</f>
        <v>✅</v>
      </c>
      <c r="S97" s="284"/>
      <c r="T97" s="285" t="str">
        <f>IFERROR(__xludf.DUMMYFUNCTION("""COMPUTED_VALUE"""),"➖")</f>
        <v>➖</v>
      </c>
      <c r="U97" s="285" t="str">
        <f>IFERROR(__xludf.DUMMYFUNCTION("""COMPUTED_VALUE"""),"➖")</f>
        <v>➖</v>
      </c>
      <c r="V97" s="259"/>
      <c r="W97" s="286"/>
      <c r="X97" s="286"/>
      <c r="Y97" s="286"/>
    </row>
    <row r="98">
      <c r="A98" s="28"/>
      <c r="B98" s="132"/>
      <c r="C98" s="28"/>
      <c r="D98" s="260" t="str">
        <f>IFERROR(__xludf.DUMMYFUNCTION("""COMPUTED_VALUE"""),"   E")</f>
        <v>E</v>
      </c>
      <c r="E98" s="287" t="str">
        <f>IFERROR(__xludf.DUMMYFUNCTION("""COMPUTED_VALUE"""),"KANG")</f>
        <v>KANG</v>
      </c>
      <c r="F98" s="270" t="str">
        <f>IFERROR(__xludf.DUMMYFUNCTION("""COMPUTED_VALUE"""),"OA")</f>
        <v>OA</v>
      </c>
      <c r="G98" s="231" t="str">
        <f>IFERROR(__xludf.DUMMYFUNCTION("""COMPUTED_VALUE"""),"✅")</f>
        <v>✅</v>
      </c>
      <c r="H98" s="231" t="str">
        <f>IFERROR(__xludf.DUMMYFUNCTION("""COMPUTED_VALUE"""),"✅")</f>
        <v>✅</v>
      </c>
      <c r="I98" s="231" t="str">
        <f>IFERROR(__xludf.DUMMYFUNCTION("""COMPUTED_VALUE"""),"✅")</f>
        <v>✅</v>
      </c>
      <c r="J98" s="231" t="str">
        <f>IFERROR(__xludf.DUMMYFUNCTION("""COMPUTED_VALUE"""),"✅")</f>
        <v>✅</v>
      </c>
      <c r="K98" s="288" t="str">
        <f>IFERROR(__xludf.DUMMYFUNCTION("""COMPUTED_VALUE"""),"✅")</f>
        <v>✅</v>
      </c>
      <c r="L98" s="288" t="str">
        <f>IFERROR(__xludf.DUMMYFUNCTION("""COMPUTED_VALUE"""),"✅")</f>
        <v>✅</v>
      </c>
      <c r="M98" s="288" t="str">
        <f>IFERROR(__xludf.DUMMYFUNCTION("""COMPUTED_VALUE"""),"✅")</f>
        <v>✅</v>
      </c>
      <c r="N98" s="288" t="str">
        <f>IFERROR(__xludf.DUMMYFUNCTION("""COMPUTED_VALUE"""),"✅")</f>
        <v>✅</v>
      </c>
      <c r="O98" s="288" t="str">
        <f>IFERROR(__xludf.DUMMYFUNCTION("""COMPUTED_VALUE"""),"✅")</f>
        <v>✅</v>
      </c>
      <c r="P98" s="288" t="str">
        <f>IFERROR(__xludf.DUMMYFUNCTION("""COMPUTED_VALUE"""),"✅")</f>
        <v>✅</v>
      </c>
      <c r="Q98" s="288" t="str">
        <f>IFERROR(__xludf.DUMMYFUNCTION("""COMPUTED_VALUE"""),"✅")</f>
        <v>✅</v>
      </c>
      <c r="R98" s="257" t="str">
        <f>IFERROR(__xludf.DUMMYFUNCTION("""COMPUTED_VALUE"""),"   ✅")</f>
        <v>✅</v>
      </c>
      <c r="S98" s="258"/>
      <c r="T98" s="255" t="str">
        <f>IFERROR(__xludf.DUMMYFUNCTION("""COMPUTED_VALUE"""),"➖")</f>
        <v>➖</v>
      </c>
      <c r="U98" s="255" t="str">
        <f>IFERROR(__xludf.DUMMYFUNCTION("""COMPUTED_VALUE"""),"➖")</f>
        <v>➖</v>
      </c>
      <c r="V98" s="259"/>
      <c r="W98" s="286"/>
      <c r="X98" s="286"/>
      <c r="Y98" s="286"/>
    </row>
    <row r="99">
      <c r="A99" s="28"/>
      <c r="B99" s="128"/>
      <c r="C99" s="28"/>
      <c r="D99" s="250" t="str">
        <f>IFERROR(__xludf.DUMMYFUNCTION("""COMPUTED_VALUE"""),"   R")</f>
        <v>R</v>
      </c>
      <c r="E99" s="280" t="str">
        <f>IFERROR(__xludf.DUMMYFUNCTION("""COMPUTED_VALUE"""),"MARA")</f>
        <v>MARA</v>
      </c>
      <c r="F99" s="271" t="str">
        <f>IFERROR(__xludf.DUMMYFUNCTION("""COMPUTED_VALUE"""),"CM")</f>
        <v>CM</v>
      </c>
      <c r="G99" s="281" t="str">
        <f>IFERROR(__xludf.DUMMYFUNCTION("""COMPUTED_VALUE"""),"✴️")</f>
        <v>✴️</v>
      </c>
      <c r="H99" s="281" t="str">
        <f>IFERROR(__xludf.DUMMYFUNCTION("""COMPUTED_VALUE"""),"✴️")</f>
        <v>✴️</v>
      </c>
      <c r="I99" s="281" t="str">
        <f>IFERROR(__xludf.DUMMYFUNCTION("""COMPUTED_VALUE"""),"✴️")</f>
        <v>✴️</v>
      </c>
      <c r="J99" s="281" t="str">
        <f>IFERROR(__xludf.DUMMYFUNCTION("""COMPUTED_VALUE"""),"✴️")</f>
        <v>✴️</v>
      </c>
      <c r="K99" s="282" t="str">
        <f>IFERROR(__xludf.DUMMYFUNCTION("""COMPUTED_VALUE"""),"✴️")</f>
        <v>✴️</v>
      </c>
      <c r="L99" s="282" t="str">
        <f>IFERROR(__xludf.DUMMYFUNCTION("""COMPUTED_VALUE"""),"✴️")</f>
        <v>✴️</v>
      </c>
      <c r="M99" s="282" t="str">
        <f>IFERROR(__xludf.DUMMYFUNCTION("""COMPUTED_VALUE"""),"✴️")</f>
        <v>✴️</v>
      </c>
      <c r="N99" s="282" t="str">
        <f>IFERROR(__xludf.DUMMYFUNCTION("""COMPUTED_VALUE"""),"✴️")</f>
        <v>✴️</v>
      </c>
      <c r="O99" s="282" t="str">
        <f>IFERROR(__xludf.DUMMYFUNCTION("""COMPUTED_VALUE"""),"✴️")</f>
        <v>✴️</v>
      </c>
      <c r="P99" s="282" t="str">
        <f>IFERROR(__xludf.DUMMYFUNCTION("""COMPUTED_VALUE"""),"✴️")</f>
        <v>✴️</v>
      </c>
      <c r="Q99" s="282" t="str">
        <f>IFERROR(__xludf.DUMMYFUNCTION("""COMPUTED_VALUE"""),"✴️")</f>
        <v>✴️</v>
      </c>
      <c r="R99" s="283" t="str">
        <f>IFERROR(__xludf.DUMMYFUNCTION("""COMPUTED_VALUE"""),"   ✴️")</f>
        <v>✴️</v>
      </c>
      <c r="S99" s="284" t="str">
        <f>IFERROR(__xludf.DUMMYFUNCTION("""COMPUTED_VALUE"""),"EnemyInterceptor")</f>
        <v>EnemyInterceptor</v>
      </c>
      <c r="T99" s="285" t="str">
        <f>IFERROR(__xludf.DUMMYFUNCTION("""COMPUTED_VALUE"""),"➖")</f>
        <v>➖</v>
      </c>
      <c r="U99" s="285" t="str">
        <f>IFERROR(__xludf.DUMMYFUNCTION("""COMPUTED_VALUE"""),"➖")</f>
        <v>➖</v>
      </c>
      <c r="V99" s="259"/>
      <c r="W99" s="286"/>
      <c r="X99" s="286"/>
      <c r="Y99" s="286"/>
    </row>
    <row r="100">
      <c r="A100" s="28"/>
      <c r="B100" s="132"/>
      <c r="C100" s="28"/>
      <c r="D100" s="260" t="str">
        <f>IFERROR(__xludf.DUMMYFUNCTION("""COMPUTED_VALUE"""),"   R")</f>
        <v>R</v>
      </c>
      <c r="E100" s="287" t="str">
        <f>IFERROR(__xludf.DUMMYFUNCTION("""COMPUTED_VALUE"""),"MARA")</f>
        <v>MARA</v>
      </c>
      <c r="F100" s="270" t="str">
        <f>IFERROR(__xludf.DUMMYFUNCTION("""COMPUTED_VALUE"""),"OA")</f>
        <v>OA</v>
      </c>
      <c r="G100" s="231" t="str">
        <f>IFERROR(__xludf.DUMMYFUNCTION("""COMPUTED_VALUE"""),"✴️")</f>
        <v>✴️</v>
      </c>
      <c r="H100" s="231" t="str">
        <f>IFERROR(__xludf.DUMMYFUNCTION("""COMPUTED_VALUE"""),"✴️")</f>
        <v>✴️</v>
      </c>
      <c r="I100" s="231" t="str">
        <f>IFERROR(__xludf.DUMMYFUNCTION("""COMPUTED_VALUE"""),"✴️")</f>
        <v>✴️</v>
      </c>
      <c r="J100" s="231" t="str">
        <f>IFERROR(__xludf.DUMMYFUNCTION("""COMPUTED_VALUE"""),"✴️")</f>
        <v>✴️</v>
      </c>
      <c r="K100" s="288" t="str">
        <f>IFERROR(__xludf.DUMMYFUNCTION("""COMPUTED_VALUE"""),"✴️")</f>
        <v>✴️</v>
      </c>
      <c r="L100" s="288" t="str">
        <f>IFERROR(__xludf.DUMMYFUNCTION("""COMPUTED_VALUE"""),"✴️")</f>
        <v>✴️</v>
      </c>
      <c r="M100" s="288" t="str">
        <f>IFERROR(__xludf.DUMMYFUNCTION("""COMPUTED_VALUE"""),"➖")</f>
        <v>➖</v>
      </c>
      <c r="N100" s="288" t="str">
        <f>IFERROR(__xludf.DUMMYFUNCTION("""COMPUTED_VALUE"""),"➖")</f>
        <v>➖</v>
      </c>
      <c r="O100" s="288" t="str">
        <f>IFERROR(__xludf.DUMMYFUNCTION("""COMPUTED_VALUE"""),"➖")</f>
        <v>➖</v>
      </c>
      <c r="P100" s="288" t="str">
        <f>IFERROR(__xludf.DUMMYFUNCTION("""COMPUTED_VALUE"""),"➖")</f>
        <v>➖</v>
      </c>
      <c r="Q100" s="288" t="str">
        <f>IFERROR(__xludf.DUMMYFUNCTION("""COMPUTED_VALUE"""),"✴️")</f>
        <v>✴️</v>
      </c>
      <c r="R100" s="257" t="str">
        <f>IFERROR(__xludf.DUMMYFUNCTION("""COMPUTED_VALUE"""),"   ✴️")</f>
        <v>✴️</v>
      </c>
      <c r="S100" s="258" t="str">
        <f>IFERROR(__xludf.DUMMYFUNCTION("""COMPUTED_VALUE"""),"TargetHasHullBreach")</f>
        <v>TargetHasHullBreach</v>
      </c>
      <c r="T100" s="255" t="str">
        <f>IFERROR(__xludf.DUMMYFUNCTION("""COMPUTED_VALUE"""),"➖")</f>
        <v>➖</v>
      </c>
      <c r="U100" s="255" t="str">
        <f>IFERROR(__xludf.DUMMYFUNCTION("""COMPUTED_VALUE"""),"➖")</f>
        <v>➖</v>
      </c>
      <c r="V100" s="259"/>
      <c r="W100" s="286"/>
      <c r="X100" s="286"/>
      <c r="Y100" s="286"/>
    </row>
    <row r="101">
      <c r="A101" s="28"/>
      <c r="B101" s="128"/>
      <c r="C101" s="28"/>
      <c r="D101" s="250" t="str">
        <f>IFERROR(__xludf.DUMMYFUNCTION("""COMPUTED_VALUE"""),"   R")</f>
        <v>R</v>
      </c>
      <c r="E101" s="280" t="str">
        <f>IFERROR(__xludf.DUMMYFUNCTION("""COMPUTED_VALUE"""),"KRELL")</f>
        <v>KRELL</v>
      </c>
      <c r="F101" s="271" t="str">
        <f>IFERROR(__xludf.DUMMYFUNCTION("""COMPUTED_VALUE"""),"CM")</f>
        <v>CM</v>
      </c>
      <c r="G101" s="281" t="str">
        <f>IFERROR(__xludf.DUMMYFUNCTION("""COMPUTED_VALUE"""),"✅")</f>
        <v>✅</v>
      </c>
      <c r="H101" s="281" t="str">
        <f>IFERROR(__xludf.DUMMYFUNCTION("""COMPUTED_VALUE"""),"✅")</f>
        <v>✅</v>
      </c>
      <c r="I101" s="281" t="str">
        <f>IFERROR(__xludf.DUMMYFUNCTION("""COMPUTED_VALUE"""),"✅")</f>
        <v>✅</v>
      </c>
      <c r="J101" s="281" t="str">
        <f>IFERROR(__xludf.DUMMYFUNCTION("""COMPUTED_VALUE"""),"✅")</f>
        <v>✅</v>
      </c>
      <c r="K101" s="282" t="str">
        <f>IFERROR(__xludf.DUMMYFUNCTION("""COMPUTED_VALUE"""),"✅")</f>
        <v>✅</v>
      </c>
      <c r="L101" s="282" t="str">
        <f>IFERROR(__xludf.DUMMYFUNCTION("""COMPUTED_VALUE"""),"✅")</f>
        <v>✅</v>
      </c>
      <c r="M101" s="282" t="str">
        <f>IFERROR(__xludf.DUMMYFUNCTION("""COMPUTED_VALUE"""),"✅")</f>
        <v>✅</v>
      </c>
      <c r="N101" s="282" t="str">
        <f>IFERROR(__xludf.DUMMYFUNCTION("""COMPUTED_VALUE"""),"✅")</f>
        <v>✅</v>
      </c>
      <c r="O101" s="282" t="str">
        <f>IFERROR(__xludf.DUMMYFUNCTION("""COMPUTED_VALUE"""),"✅")</f>
        <v>✅</v>
      </c>
      <c r="P101" s="282" t="str">
        <f>IFERROR(__xludf.DUMMYFUNCTION("""COMPUTED_VALUE"""),"✅")</f>
        <v>✅</v>
      </c>
      <c r="Q101" s="282" t="str">
        <f>IFERROR(__xludf.DUMMYFUNCTION("""COMPUTED_VALUE"""),"✅")</f>
        <v>✅</v>
      </c>
      <c r="R101" s="283" t="str">
        <f>IFERROR(__xludf.DUMMYFUNCTION("""COMPUTED_VALUE"""),"   ✅")</f>
        <v>✅</v>
      </c>
      <c r="S101" s="284"/>
      <c r="T101" s="285" t="str">
        <f>IFERROR(__xludf.DUMMYFUNCTION("""COMPUTED_VALUE"""),"➖")</f>
        <v>➖</v>
      </c>
      <c r="U101" s="285" t="str">
        <f>IFERROR(__xludf.DUMMYFUNCTION("""COMPUTED_VALUE"""),"➖")</f>
        <v>➖</v>
      </c>
      <c r="V101" s="259"/>
      <c r="W101" s="286"/>
      <c r="X101" s="286"/>
      <c r="Y101" s="286"/>
    </row>
    <row r="102">
      <c r="A102" s="28"/>
      <c r="B102" s="132"/>
      <c r="C102" s="28"/>
      <c r="D102" s="260" t="str">
        <f>IFERROR(__xludf.DUMMYFUNCTION("""COMPUTED_VALUE"""),"   R")</f>
        <v>R</v>
      </c>
      <c r="E102" s="287" t="str">
        <f>IFERROR(__xludf.DUMMYFUNCTION("""COMPUTED_VALUE"""),"KRELL")</f>
        <v>KRELL</v>
      </c>
      <c r="F102" s="270" t="str">
        <f>IFERROR(__xludf.DUMMYFUNCTION("""COMPUTED_VALUE"""),"OA")</f>
        <v>OA</v>
      </c>
      <c r="G102" s="231" t="str">
        <f>IFERROR(__xludf.DUMMYFUNCTION("""COMPUTED_VALUE"""),"✴️")</f>
        <v>✴️</v>
      </c>
      <c r="H102" s="231" t="str">
        <f>IFERROR(__xludf.DUMMYFUNCTION("""COMPUTED_VALUE"""),"✴️")</f>
        <v>✴️</v>
      </c>
      <c r="I102" s="231" t="str">
        <f>IFERROR(__xludf.DUMMYFUNCTION("""COMPUTED_VALUE"""),"✴️")</f>
        <v>✴️</v>
      </c>
      <c r="J102" s="231" t="str">
        <f>IFERROR(__xludf.DUMMYFUNCTION("""COMPUTED_VALUE"""),"✴️")</f>
        <v>✴️</v>
      </c>
      <c r="K102" s="288" t="str">
        <f>IFERROR(__xludf.DUMMYFUNCTION("""COMPUTED_VALUE"""),"✴️")</f>
        <v>✴️</v>
      </c>
      <c r="L102" s="288" t="str">
        <f>IFERROR(__xludf.DUMMYFUNCTION("""COMPUTED_VALUE"""),"✴️")</f>
        <v>✴️</v>
      </c>
      <c r="M102" s="288" t="str">
        <f>IFERROR(__xludf.DUMMYFUNCTION("""COMPUTED_VALUE"""),"✴️")</f>
        <v>✴️</v>
      </c>
      <c r="N102" s="288" t="str">
        <f>IFERROR(__xludf.DUMMYFUNCTION("""COMPUTED_VALUE"""),"✴️")</f>
        <v>✴️</v>
      </c>
      <c r="O102" s="288" t="str">
        <f>IFERROR(__xludf.DUMMYFUNCTION("""COMPUTED_VALUE"""),"➖")</f>
        <v>➖</v>
      </c>
      <c r="P102" s="288" t="str">
        <f>IFERROR(__xludf.DUMMYFUNCTION("""COMPUTED_VALUE"""),"✴️")</f>
        <v>✴️</v>
      </c>
      <c r="Q102" s="288" t="str">
        <f>IFERROR(__xludf.DUMMYFUNCTION("""COMPUTED_VALUE"""),"➖")</f>
        <v>➖</v>
      </c>
      <c r="R102" s="257" t="str">
        <f>IFERROR(__xludf.DUMMYFUNCTION("""COMPUTED_VALUE"""),"   ➖")</f>
        <v>➖</v>
      </c>
      <c r="S102" s="258" t="str">
        <f>IFERROR(__xludf.DUMMYFUNCTION("""COMPUTED_VALUE"""),"Federation")</f>
        <v>Federation</v>
      </c>
      <c r="T102" s="255" t="str">
        <f>IFERROR(__xludf.DUMMYFUNCTION("""COMPUTED_VALUE"""),"➖")</f>
        <v>➖</v>
      </c>
      <c r="U102" s="255" t="str">
        <f>IFERROR(__xludf.DUMMYFUNCTION("""COMPUTED_VALUE"""),"➖")</f>
        <v>➖</v>
      </c>
      <c r="V102" s="259"/>
      <c r="W102" s="286"/>
      <c r="X102" s="286"/>
      <c r="Y102" s="286"/>
    </row>
    <row r="103">
      <c r="A103" s="28"/>
      <c r="B103" s="128"/>
      <c r="C103" s="28"/>
      <c r="D103" s="250" t="str">
        <f>IFERROR(__xludf.DUMMYFUNCTION("""COMPUTED_VALUE"""),"   U")</f>
        <v>U</v>
      </c>
      <c r="E103" s="280" t="str">
        <f>IFERROR(__xludf.DUMMYFUNCTION("""COMPUTED_VALUE"""),"QA'UG")</f>
        <v>QA'UG</v>
      </c>
      <c r="F103" s="271" t="str">
        <f>IFERROR(__xludf.DUMMYFUNCTION("""COMPUTED_VALUE"""),"CM")</f>
        <v>CM</v>
      </c>
      <c r="G103" s="281" t="str">
        <f>IFERROR(__xludf.DUMMYFUNCTION("""COMPUTED_VALUE"""),"✴️")</f>
        <v>✴️</v>
      </c>
      <c r="H103" s="281" t="str">
        <f>IFERROR(__xludf.DUMMYFUNCTION("""COMPUTED_VALUE"""),"✴️")</f>
        <v>✴️</v>
      </c>
      <c r="I103" s="281" t="str">
        <f>IFERROR(__xludf.DUMMYFUNCTION("""COMPUTED_VALUE"""),"✴️")</f>
        <v>✴️</v>
      </c>
      <c r="J103" s="281" t="str">
        <f>IFERROR(__xludf.DUMMYFUNCTION("""COMPUTED_VALUE"""),"✴️")</f>
        <v>✴️</v>
      </c>
      <c r="K103" s="282" t="str">
        <f>IFERROR(__xludf.DUMMYFUNCTION("""COMPUTED_VALUE"""),"✴️")</f>
        <v>✴️</v>
      </c>
      <c r="L103" s="282" t="str">
        <f>IFERROR(__xludf.DUMMYFUNCTION("""COMPUTED_VALUE"""),"✴️")</f>
        <v>✴️</v>
      </c>
      <c r="M103" s="282" t="str">
        <f>IFERROR(__xludf.DUMMYFUNCTION("""COMPUTED_VALUE"""),"➖")</f>
        <v>➖</v>
      </c>
      <c r="N103" s="282" t="str">
        <f>IFERROR(__xludf.DUMMYFUNCTION("""COMPUTED_VALUE"""),"➖")</f>
        <v>➖</v>
      </c>
      <c r="O103" s="282" t="str">
        <f>IFERROR(__xludf.DUMMYFUNCTION("""COMPUTED_VALUE"""),"➖")</f>
        <v>➖</v>
      </c>
      <c r="P103" s="282" t="str">
        <f>IFERROR(__xludf.DUMMYFUNCTION("""COMPUTED_VALUE"""),"➖")</f>
        <v>➖</v>
      </c>
      <c r="Q103" s="282" t="str">
        <f>IFERROR(__xludf.DUMMYFUNCTION("""COMPUTED_VALUE"""),"✴️")</f>
        <v>✴️</v>
      </c>
      <c r="R103" s="283" t="str">
        <f>IFERROR(__xludf.DUMMYFUNCTION("""COMPUTED_VALUE"""),"   ✴️")</f>
        <v>✴️</v>
      </c>
      <c r="S103" s="284" t="str">
        <f>IFERROR(__xludf.DUMMYFUNCTION("""COMPUTED_VALUE"""),"SelfHasHullBreach")</f>
        <v>SelfHasHullBreach</v>
      </c>
      <c r="T103" s="285" t="str">
        <f>IFERROR(__xludf.DUMMYFUNCTION("""COMPUTED_VALUE"""),"➖")</f>
        <v>➖</v>
      </c>
      <c r="U103" s="285" t="str">
        <f>IFERROR(__xludf.DUMMYFUNCTION("""COMPUTED_VALUE"""),"➖")</f>
        <v>➖</v>
      </c>
      <c r="V103" s="259"/>
      <c r="W103" s="286"/>
      <c r="X103" s="286"/>
      <c r="Y103" s="286"/>
    </row>
    <row r="104">
      <c r="A104" s="28"/>
      <c r="B104" s="132"/>
      <c r="C104" s="28"/>
      <c r="D104" s="260" t="str">
        <f>IFERROR(__xludf.DUMMYFUNCTION("""COMPUTED_VALUE"""),"   U")</f>
        <v>U</v>
      </c>
      <c r="E104" s="287" t="str">
        <f>IFERROR(__xludf.DUMMYFUNCTION("""COMPUTED_VALUE"""),"QA'UG")</f>
        <v>QA'UG</v>
      </c>
      <c r="F104" s="270" t="str">
        <f>IFERROR(__xludf.DUMMYFUNCTION("""COMPUTED_VALUE"""),"OA")</f>
        <v>OA</v>
      </c>
      <c r="G104" s="231" t="str">
        <f>IFERROR(__xludf.DUMMYFUNCTION("""COMPUTED_VALUE"""),"✴️")</f>
        <v>✴️</v>
      </c>
      <c r="H104" s="231" t="str">
        <f>IFERROR(__xludf.DUMMYFUNCTION("""COMPUTED_VALUE"""),"✴️")</f>
        <v>✴️</v>
      </c>
      <c r="I104" s="231" t="str">
        <f>IFERROR(__xludf.DUMMYFUNCTION("""COMPUTED_VALUE"""),"✴️")</f>
        <v>✴️</v>
      </c>
      <c r="J104" s="231" t="str">
        <f>IFERROR(__xludf.DUMMYFUNCTION("""COMPUTED_VALUE"""),"✴️")</f>
        <v>✴️</v>
      </c>
      <c r="K104" s="288" t="str">
        <f>IFERROR(__xludf.DUMMYFUNCTION("""COMPUTED_VALUE"""),"✴️")</f>
        <v>✴️</v>
      </c>
      <c r="L104" s="288" t="str">
        <f>IFERROR(__xludf.DUMMYFUNCTION("""COMPUTED_VALUE"""),"✴️")</f>
        <v>✴️</v>
      </c>
      <c r="M104" s="288" t="str">
        <f>IFERROR(__xludf.DUMMYFUNCTION("""COMPUTED_VALUE"""),"✴️")</f>
        <v>✴️</v>
      </c>
      <c r="N104" s="288" t="str">
        <f>IFERROR(__xludf.DUMMYFUNCTION("""COMPUTED_VALUE"""),"✴️")</f>
        <v>✴️</v>
      </c>
      <c r="O104" s="288" t="str">
        <f>IFERROR(__xludf.DUMMYFUNCTION("""COMPUTED_VALUE"""),"✴️")</f>
        <v>✴️</v>
      </c>
      <c r="P104" s="288" t="str">
        <f>IFERROR(__xludf.DUMMYFUNCTION("""COMPUTED_VALUE"""),"✴️")</f>
        <v>✴️</v>
      </c>
      <c r="Q104" s="288" t="str">
        <f>IFERROR(__xludf.DUMMYFUNCTION("""COMPUTED_VALUE"""),"✴️")</f>
        <v>✴️</v>
      </c>
      <c r="R104" s="257" t="str">
        <f>IFERROR(__xludf.DUMMYFUNCTION("""COMPUTED_VALUE"""),"   ✴️")</f>
        <v>✴️</v>
      </c>
      <c r="S104" s="258" t="str">
        <f>IFERROR(__xludf.DUMMYFUNCTION("""COMPUTED_VALUE"""),"SelfHasHullBreach")</f>
        <v>SelfHasHullBreach</v>
      </c>
      <c r="T104" s="255" t="str">
        <f>IFERROR(__xludf.DUMMYFUNCTION("""COMPUTED_VALUE"""),"➖")</f>
        <v>➖</v>
      </c>
      <c r="U104" s="255" t="str">
        <f>IFERROR(__xludf.DUMMYFUNCTION("""COMPUTED_VALUE"""),"➖")</f>
        <v>➖</v>
      </c>
      <c r="V104" s="259"/>
      <c r="W104" s="286"/>
      <c r="X104" s="286"/>
      <c r="Y104" s="286"/>
    </row>
    <row r="105">
      <c r="A105" s="28"/>
      <c r="B105" s="128"/>
      <c r="C105" s="28"/>
      <c r="D105" s="250" t="str">
        <f>IFERROR(__xludf.DUMMYFUNCTION("""COMPUTED_VALUE"""),"   U")</f>
        <v>U</v>
      </c>
      <c r="E105" s="280" t="str">
        <f>IFERROR(__xludf.DUMMYFUNCTION("""COMPUTED_VALUE"""),"LINKASA")</f>
        <v>LINKASA</v>
      </c>
      <c r="F105" s="271" t="str">
        <f>IFERROR(__xludf.DUMMYFUNCTION("""COMPUTED_VALUE"""),"CM")</f>
        <v>CM</v>
      </c>
      <c r="G105" s="281" t="str">
        <f>IFERROR(__xludf.DUMMYFUNCTION("""COMPUTED_VALUE"""),"✅")</f>
        <v>✅</v>
      </c>
      <c r="H105" s="281" t="str">
        <f>IFERROR(__xludf.DUMMYFUNCTION("""COMPUTED_VALUE"""),"✅")</f>
        <v>✅</v>
      </c>
      <c r="I105" s="281" t="str">
        <f>IFERROR(__xludf.DUMMYFUNCTION("""COMPUTED_VALUE"""),"✅")</f>
        <v>✅</v>
      </c>
      <c r="J105" s="281" t="str">
        <f>IFERROR(__xludf.DUMMYFUNCTION("""COMPUTED_VALUE"""),"✅")</f>
        <v>✅</v>
      </c>
      <c r="K105" s="282" t="str">
        <f>IFERROR(__xludf.DUMMYFUNCTION("""COMPUTED_VALUE"""),"✅")</f>
        <v>✅</v>
      </c>
      <c r="L105" s="282" t="str">
        <f>IFERROR(__xludf.DUMMYFUNCTION("""COMPUTED_VALUE"""),"✅")</f>
        <v>✅</v>
      </c>
      <c r="M105" s="282" t="str">
        <f>IFERROR(__xludf.DUMMYFUNCTION("""COMPUTED_VALUE"""),"✅")</f>
        <v>✅</v>
      </c>
      <c r="N105" s="282" t="str">
        <f>IFERROR(__xludf.DUMMYFUNCTION("""COMPUTED_VALUE"""),"✅")</f>
        <v>✅</v>
      </c>
      <c r="O105" s="282" t="str">
        <f>IFERROR(__xludf.DUMMYFUNCTION("""COMPUTED_VALUE"""),"✅")</f>
        <v>✅</v>
      </c>
      <c r="P105" s="282" t="str">
        <f>IFERROR(__xludf.DUMMYFUNCTION("""COMPUTED_VALUE"""),"✅")</f>
        <v>✅</v>
      </c>
      <c r="Q105" s="282" t="str">
        <f>IFERROR(__xludf.DUMMYFUNCTION("""COMPUTED_VALUE"""),"✅")</f>
        <v>✅</v>
      </c>
      <c r="R105" s="283" t="str">
        <f>IFERROR(__xludf.DUMMYFUNCTION("""COMPUTED_VALUE"""),"   ✅")</f>
        <v>✅</v>
      </c>
      <c r="S105" s="284"/>
      <c r="T105" s="285" t="str">
        <f>IFERROR(__xludf.DUMMYFUNCTION("""COMPUTED_VALUE"""),"➖")</f>
        <v>➖</v>
      </c>
      <c r="U105" s="285" t="str">
        <f>IFERROR(__xludf.DUMMYFUNCTION("""COMPUTED_VALUE"""),"➖")</f>
        <v>➖</v>
      </c>
      <c r="V105" s="259"/>
      <c r="W105" s="286"/>
      <c r="X105" s="286"/>
      <c r="Y105" s="286"/>
    </row>
    <row r="106">
      <c r="A106" s="28"/>
      <c r="B106" s="132"/>
      <c r="C106" s="28"/>
      <c r="D106" s="260" t="str">
        <f>IFERROR(__xludf.DUMMYFUNCTION("""COMPUTED_VALUE"""),"   U")</f>
        <v>U</v>
      </c>
      <c r="E106" s="287" t="str">
        <f>IFERROR(__xludf.DUMMYFUNCTION("""COMPUTED_VALUE"""),"LINKASA")</f>
        <v>LINKASA</v>
      </c>
      <c r="F106" s="270" t="str">
        <f>IFERROR(__xludf.DUMMYFUNCTION("""COMPUTED_VALUE"""),"OA")</f>
        <v>OA</v>
      </c>
      <c r="G106" s="231" t="str">
        <f>IFERROR(__xludf.DUMMYFUNCTION("""COMPUTED_VALUE"""),"✅")</f>
        <v>✅</v>
      </c>
      <c r="H106" s="231" t="str">
        <f>IFERROR(__xludf.DUMMYFUNCTION("""COMPUTED_VALUE"""),"✅")</f>
        <v>✅</v>
      </c>
      <c r="I106" s="231" t="str">
        <f>IFERROR(__xludf.DUMMYFUNCTION("""COMPUTED_VALUE"""),"✅")</f>
        <v>✅</v>
      </c>
      <c r="J106" s="231" t="str">
        <f>IFERROR(__xludf.DUMMYFUNCTION("""COMPUTED_VALUE"""),"✅")</f>
        <v>✅</v>
      </c>
      <c r="K106" s="288" t="str">
        <f>IFERROR(__xludf.DUMMYFUNCTION("""COMPUTED_VALUE"""),"✅")</f>
        <v>✅</v>
      </c>
      <c r="L106" s="288" t="str">
        <f>IFERROR(__xludf.DUMMYFUNCTION("""COMPUTED_VALUE"""),"✅")</f>
        <v>✅</v>
      </c>
      <c r="M106" s="288" t="str">
        <f>IFERROR(__xludf.DUMMYFUNCTION("""COMPUTED_VALUE"""),"✅")</f>
        <v>✅</v>
      </c>
      <c r="N106" s="288" t="str">
        <f>IFERROR(__xludf.DUMMYFUNCTION("""COMPUTED_VALUE"""),"✅")</f>
        <v>✅</v>
      </c>
      <c r="O106" s="288" t="str">
        <f>IFERROR(__xludf.DUMMYFUNCTION("""COMPUTED_VALUE"""),"✅")</f>
        <v>✅</v>
      </c>
      <c r="P106" s="288" t="str">
        <f>IFERROR(__xludf.DUMMYFUNCTION("""COMPUTED_VALUE"""),"✅")</f>
        <v>✅</v>
      </c>
      <c r="Q106" s="288" t="str">
        <f>IFERROR(__xludf.DUMMYFUNCTION("""COMPUTED_VALUE"""),"✅")</f>
        <v>✅</v>
      </c>
      <c r="R106" s="257" t="str">
        <f>IFERROR(__xludf.DUMMYFUNCTION("""COMPUTED_VALUE"""),"   ✅")</f>
        <v>✅</v>
      </c>
      <c r="S106" s="258"/>
      <c r="T106" s="255" t="str">
        <f>IFERROR(__xludf.DUMMYFUNCTION("""COMPUTED_VALUE"""),"➖")</f>
        <v>➖</v>
      </c>
      <c r="U106" s="255" t="str">
        <f>IFERROR(__xludf.DUMMYFUNCTION("""COMPUTED_VALUE"""),"➖")</f>
        <v>➖</v>
      </c>
      <c r="V106" s="259"/>
      <c r="W106" s="286"/>
      <c r="X106" s="286"/>
      <c r="Y106" s="286"/>
    </row>
    <row r="107">
      <c r="A107" s="28"/>
      <c r="B107" s="128"/>
      <c r="C107" s="28"/>
      <c r="D107" s="250" t="str">
        <f>IFERROR(__xludf.DUMMYFUNCTION("""COMPUTED_VALUE"""),"   E")</f>
        <v>E</v>
      </c>
      <c r="E107" s="280" t="str">
        <f>IFERROR(__xludf.DUMMYFUNCTION("""COMPUTED_VALUE"""),"CHARVANEK")</f>
        <v>CHARVANEK</v>
      </c>
      <c r="F107" s="271" t="str">
        <f>IFERROR(__xludf.DUMMYFUNCTION("""COMPUTED_VALUE"""),"CM")</f>
        <v>CM</v>
      </c>
      <c r="G107" s="281" t="str">
        <f>IFERROR(__xludf.DUMMYFUNCTION("""COMPUTED_VALUE"""),"✴️")</f>
        <v>✴️</v>
      </c>
      <c r="H107" s="281" t="str">
        <f>IFERROR(__xludf.DUMMYFUNCTION("""COMPUTED_VALUE"""),"✴️")</f>
        <v>✴️</v>
      </c>
      <c r="I107" s="281" t="str">
        <f>IFERROR(__xludf.DUMMYFUNCTION("""COMPUTED_VALUE"""),"✴️")</f>
        <v>✴️</v>
      </c>
      <c r="J107" s="281" t="str">
        <f>IFERROR(__xludf.DUMMYFUNCTION("""COMPUTED_VALUE"""),"✴️")</f>
        <v>✴️</v>
      </c>
      <c r="K107" s="282" t="str">
        <f>IFERROR(__xludf.DUMMYFUNCTION("""COMPUTED_VALUE"""),"✴️")</f>
        <v>✴️</v>
      </c>
      <c r="L107" s="282" t="str">
        <f>IFERROR(__xludf.DUMMYFUNCTION("""COMPUTED_VALUE"""),"✴️")</f>
        <v>✴️</v>
      </c>
      <c r="M107" s="282" t="str">
        <f>IFERROR(__xludf.DUMMYFUNCTION("""COMPUTED_VALUE"""),"✴️")</f>
        <v>✴️</v>
      </c>
      <c r="N107" s="282" t="str">
        <f>IFERROR(__xludf.DUMMYFUNCTION("""COMPUTED_VALUE"""),"✴️")</f>
        <v>✴️</v>
      </c>
      <c r="O107" s="282" t="str">
        <f>IFERROR(__xludf.DUMMYFUNCTION("""COMPUTED_VALUE"""),"✴️")</f>
        <v>✴️</v>
      </c>
      <c r="P107" s="282" t="str">
        <f>IFERROR(__xludf.DUMMYFUNCTION("""COMPUTED_VALUE"""),"✴️")</f>
        <v>✴️</v>
      </c>
      <c r="Q107" s="282" t="str">
        <f>IFERROR(__xludf.DUMMYFUNCTION("""COMPUTED_VALUE"""),"✴️")</f>
        <v>✴️</v>
      </c>
      <c r="R107" s="283" t="str">
        <f>IFERROR(__xludf.DUMMYFUNCTION("""COMPUTED_VALUE"""),"   ✴️")</f>
        <v>✴️</v>
      </c>
      <c r="S107" s="284" t="str">
        <f>IFERROR(__xludf.DUMMYFUNCTION("""COMPUTED_VALUE"""),"HullHealthBelowStartOfCombat")</f>
        <v>HullHealthBelowStartOfCombat</v>
      </c>
      <c r="T107" s="285" t="str">
        <f>IFERROR(__xludf.DUMMYFUNCTION("""COMPUTED_VALUE"""),"➖")</f>
        <v>➖</v>
      </c>
      <c r="U107" s="285" t="str">
        <f>IFERROR(__xludf.DUMMYFUNCTION("""COMPUTED_VALUE"""),"➖")</f>
        <v>➖</v>
      </c>
      <c r="V107" s="259"/>
      <c r="W107" s="286"/>
      <c r="X107" s="286"/>
      <c r="Y107" s="286"/>
    </row>
    <row r="108">
      <c r="A108" s="28"/>
      <c r="B108" s="132"/>
      <c r="C108" s="28"/>
      <c r="D108" s="260" t="str">
        <f>IFERROR(__xludf.DUMMYFUNCTION("""COMPUTED_VALUE"""),"   E")</f>
        <v>E</v>
      </c>
      <c r="E108" s="287" t="str">
        <f>IFERROR(__xludf.DUMMYFUNCTION("""COMPUTED_VALUE"""),"CHARVANEK")</f>
        <v>CHARVANEK</v>
      </c>
      <c r="F108" s="270" t="str">
        <f>IFERROR(__xludf.DUMMYFUNCTION("""COMPUTED_VALUE"""),"OA")</f>
        <v>OA</v>
      </c>
      <c r="G108" s="231" t="str">
        <f>IFERROR(__xludf.DUMMYFUNCTION("""COMPUTED_VALUE"""),"✅")</f>
        <v>✅</v>
      </c>
      <c r="H108" s="231" t="str">
        <f>IFERROR(__xludf.DUMMYFUNCTION("""COMPUTED_VALUE"""),"✅")</f>
        <v>✅</v>
      </c>
      <c r="I108" s="231" t="str">
        <f>IFERROR(__xludf.DUMMYFUNCTION("""COMPUTED_VALUE"""),"✅")</f>
        <v>✅</v>
      </c>
      <c r="J108" s="231" t="str">
        <f>IFERROR(__xludf.DUMMYFUNCTION("""COMPUTED_VALUE"""),"✅")</f>
        <v>✅</v>
      </c>
      <c r="K108" s="288" t="str">
        <f>IFERROR(__xludf.DUMMYFUNCTION("""COMPUTED_VALUE"""),"✅")</f>
        <v>✅</v>
      </c>
      <c r="L108" s="288" t="str">
        <f>IFERROR(__xludf.DUMMYFUNCTION("""COMPUTED_VALUE"""),"✅")</f>
        <v>✅</v>
      </c>
      <c r="M108" s="288" t="str">
        <f>IFERROR(__xludf.DUMMYFUNCTION("""COMPUTED_VALUE"""),"✅")</f>
        <v>✅</v>
      </c>
      <c r="N108" s="288" t="str">
        <f>IFERROR(__xludf.DUMMYFUNCTION("""COMPUTED_VALUE"""),"✅")</f>
        <v>✅</v>
      </c>
      <c r="O108" s="288" t="str">
        <f>IFERROR(__xludf.DUMMYFUNCTION("""COMPUTED_VALUE"""),"✅")</f>
        <v>✅</v>
      </c>
      <c r="P108" s="288" t="str">
        <f>IFERROR(__xludf.DUMMYFUNCTION("""COMPUTED_VALUE"""),"✅")</f>
        <v>✅</v>
      </c>
      <c r="Q108" s="288" t="str">
        <f>IFERROR(__xludf.DUMMYFUNCTION("""COMPUTED_VALUE"""),"✅")</f>
        <v>✅</v>
      </c>
      <c r="R108" s="257" t="str">
        <f>IFERROR(__xludf.DUMMYFUNCTION("""COMPUTED_VALUE"""),"   ✅")</f>
        <v>✅</v>
      </c>
      <c r="S108" s="258"/>
      <c r="T108" s="255" t="str">
        <f>IFERROR(__xludf.DUMMYFUNCTION("""COMPUTED_VALUE"""),"➖")</f>
        <v>➖</v>
      </c>
      <c r="U108" s="255" t="str">
        <f>IFERROR(__xludf.DUMMYFUNCTION("""COMPUTED_VALUE"""),"➖")</f>
        <v>➖</v>
      </c>
      <c r="V108" s="259"/>
      <c r="W108" s="286"/>
      <c r="X108" s="286"/>
      <c r="Y108" s="286"/>
    </row>
    <row r="109">
      <c r="A109" s="28"/>
      <c r="B109" s="128"/>
      <c r="C109" s="28"/>
      <c r="D109" s="250" t="str">
        <f>IFERROR(__xludf.DUMMYFUNCTION("""COMPUTED_VALUE"""),"   R")</f>
        <v>R</v>
      </c>
      <c r="E109" s="280" t="str">
        <f>IFERROR(__xludf.DUMMYFUNCTION("""COMPUTED_VALUE"""),"MIREK")</f>
        <v>MIREK</v>
      </c>
      <c r="F109" s="271" t="str">
        <f>IFERROR(__xludf.DUMMYFUNCTION("""COMPUTED_VALUE"""),"CM")</f>
        <v>CM</v>
      </c>
      <c r="G109" s="281" t="str">
        <f>IFERROR(__xludf.DUMMYFUNCTION("""COMPUTED_VALUE"""),"✅")</f>
        <v>✅</v>
      </c>
      <c r="H109" s="281" t="str">
        <f>IFERROR(__xludf.DUMMYFUNCTION("""COMPUTED_VALUE"""),"✅")</f>
        <v>✅</v>
      </c>
      <c r="I109" s="281" t="str">
        <f>IFERROR(__xludf.DUMMYFUNCTION("""COMPUTED_VALUE"""),"✅")</f>
        <v>✅</v>
      </c>
      <c r="J109" s="281" t="str">
        <f>IFERROR(__xludf.DUMMYFUNCTION("""COMPUTED_VALUE"""),"✅")</f>
        <v>✅</v>
      </c>
      <c r="K109" s="282" t="str">
        <f>IFERROR(__xludf.DUMMYFUNCTION("""COMPUTED_VALUE"""),"✅")</f>
        <v>✅</v>
      </c>
      <c r="L109" s="282" t="str">
        <f>IFERROR(__xludf.DUMMYFUNCTION("""COMPUTED_VALUE"""),"✅")</f>
        <v>✅</v>
      </c>
      <c r="M109" s="282" t="str">
        <f>IFERROR(__xludf.DUMMYFUNCTION("""COMPUTED_VALUE"""),"✅")</f>
        <v>✅</v>
      </c>
      <c r="N109" s="282" t="str">
        <f>IFERROR(__xludf.DUMMYFUNCTION("""COMPUTED_VALUE"""),"✅")</f>
        <v>✅</v>
      </c>
      <c r="O109" s="282" t="str">
        <f>IFERROR(__xludf.DUMMYFUNCTION("""COMPUTED_VALUE"""),"✅")</f>
        <v>✅</v>
      </c>
      <c r="P109" s="282" t="str">
        <f>IFERROR(__xludf.DUMMYFUNCTION("""COMPUTED_VALUE"""),"✅")</f>
        <v>✅</v>
      </c>
      <c r="Q109" s="282" t="str">
        <f>IFERROR(__xludf.DUMMYFUNCTION("""COMPUTED_VALUE"""),"✅")</f>
        <v>✅</v>
      </c>
      <c r="R109" s="283" t="str">
        <f>IFERROR(__xludf.DUMMYFUNCTION("""COMPUTED_VALUE"""),"   ✅")</f>
        <v>✅</v>
      </c>
      <c r="S109" s="284"/>
      <c r="T109" s="285" t="str">
        <f>IFERROR(__xludf.DUMMYFUNCTION("""COMPUTED_VALUE"""),"➖")</f>
        <v>➖</v>
      </c>
      <c r="U109" s="285" t="str">
        <f>IFERROR(__xludf.DUMMYFUNCTION("""COMPUTED_VALUE"""),"➖")</f>
        <v>➖</v>
      </c>
      <c r="V109" s="259"/>
      <c r="W109" s="286"/>
      <c r="X109" s="286"/>
      <c r="Y109" s="286"/>
    </row>
    <row r="110">
      <c r="A110" s="28"/>
      <c r="B110" s="132"/>
      <c r="C110" s="28"/>
      <c r="D110" s="260" t="str">
        <f>IFERROR(__xludf.DUMMYFUNCTION("""COMPUTED_VALUE"""),"   R")</f>
        <v>R</v>
      </c>
      <c r="E110" s="287" t="str">
        <f>IFERROR(__xludf.DUMMYFUNCTION("""COMPUTED_VALUE"""),"MIREK")</f>
        <v>MIREK</v>
      </c>
      <c r="F110" s="270" t="str">
        <f>IFERROR(__xludf.DUMMYFUNCTION("""COMPUTED_VALUE"""),"OA")</f>
        <v>OA</v>
      </c>
      <c r="G110" s="231" t="str">
        <f>IFERROR(__xludf.DUMMYFUNCTION("""COMPUTED_VALUE"""),"✴️")</f>
        <v>✴️</v>
      </c>
      <c r="H110" s="231" t="str">
        <f>IFERROR(__xludf.DUMMYFUNCTION("""COMPUTED_VALUE"""),"✴️")</f>
        <v>✴️</v>
      </c>
      <c r="I110" s="231" t="str">
        <f>IFERROR(__xludf.DUMMYFUNCTION("""COMPUTED_VALUE"""),"✴️")</f>
        <v>✴️</v>
      </c>
      <c r="J110" s="231" t="str">
        <f>IFERROR(__xludf.DUMMYFUNCTION("""COMPUTED_VALUE"""),"✴️")</f>
        <v>✴️</v>
      </c>
      <c r="K110" s="288" t="str">
        <f>IFERROR(__xludf.DUMMYFUNCTION("""COMPUTED_VALUE"""),"✴️")</f>
        <v>✴️</v>
      </c>
      <c r="L110" s="288" t="str">
        <f>IFERROR(__xludf.DUMMYFUNCTION("""COMPUTED_VALUE"""),"✴️")</f>
        <v>✴️</v>
      </c>
      <c r="M110" s="288" t="str">
        <f>IFERROR(__xludf.DUMMYFUNCTION("""COMPUTED_VALUE"""),"✴️")</f>
        <v>✴️</v>
      </c>
      <c r="N110" s="288" t="str">
        <f>IFERROR(__xludf.DUMMYFUNCTION("""COMPUTED_VALUE"""),"✴️")</f>
        <v>✴️</v>
      </c>
      <c r="O110" s="288" t="str">
        <f>IFERROR(__xludf.DUMMYFUNCTION("""COMPUTED_VALUE"""),"➖")</f>
        <v>➖</v>
      </c>
      <c r="P110" s="288" t="str">
        <f>IFERROR(__xludf.DUMMYFUNCTION("""COMPUTED_VALUE"""),"✴️")</f>
        <v>✴️</v>
      </c>
      <c r="Q110" s="288" t="str">
        <f>IFERROR(__xludf.DUMMYFUNCTION("""COMPUTED_VALUE"""),"➖")</f>
        <v>➖</v>
      </c>
      <c r="R110" s="257" t="str">
        <f>IFERROR(__xludf.DUMMYFUNCTION("""COMPUTED_VALUE"""),"   ➖")</f>
        <v>➖</v>
      </c>
      <c r="S110" s="258" t="str">
        <f>IFERROR(__xludf.DUMMYFUNCTION("""COMPUTED_VALUE"""),"Federation")</f>
        <v>Federation</v>
      </c>
      <c r="T110" s="255" t="str">
        <f>IFERROR(__xludf.DUMMYFUNCTION("""COMPUTED_VALUE"""),"➖")</f>
        <v>➖</v>
      </c>
      <c r="U110" s="255" t="str">
        <f>IFERROR(__xludf.DUMMYFUNCTION("""COMPUTED_VALUE"""),"➖")</f>
        <v>➖</v>
      </c>
      <c r="V110" s="259"/>
      <c r="W110" s="286"/>
      <c r="X110" s="286"/>
      <c r="Y110" s="286"/>
    </row>
    <row r="111">
      <c r="A111" s="28"/>
      <c r="B111" s="128"/>
      <c r="C111" s="28"/>
      <c r="D111" s="250" t="str">
        <f>IFERROR(__xludf.DUMMYFUNCTION("""COMPUTED_VALUE"""),"   U")</f>
        <v>U</v>
      </c>
      <c r="E111" s="280" t="str">
        <f>IFERROR(__xludf.DUMMYFUNCTION("""COMPUTED_VALUE"""),"L'NAR")</f>
        <v>L'NAR</v>
      </c>
      <c r="F111" s="271" t="str">
        <f>IFERROR(__xludf.DUMMYFUNCTION("""COMPUTED_VALUE"""),"CM")</f>
        <v>CM</v>
      </c>
      <c r="G111" s="281" t="str">
        <f>IFERROR(__xludf.DUMMYFUNCTION("""COMPUTED_VALUE"""),"✅")</f>
        <v>✅</v>
      </c>
      <c r="H111" s="281" t="str">
        <f>IFERROR(__xludf.DUMMYFUNCTION("""COMPUTED_VALUE"""),"✅")</f>
        <v>✅</v>
      </c>
      <c r="I111" s="281" t="str">
        <f>IFERROR(__xludf.DUMMYFUNCTION("""COMPUTED_VALUE"""),"✅")</f>
        <v>✅</v>
      </c>
      <c r="J111" s="281" t="str">
        <f>IFERROR(__xludf.DUMMYFUNCTION("""COMPUTED_VALUE"""),"✅")</f>
        <v>✅</v>
      </c>
      <c r="K111" s="282" t="str">
        <f>IFERROR(__xludf.DUMMYFUNCTION("""COMPUTED_VALUE"""),"✅")</f>
        <v>✅</v>
      </c>
      <c r="L111" s="282" t="str">
        <f>IFERROR(__xludf.DUMMYFUNCTION("""COMPUTED_VALUE"""),"✅")</f>
        <v>✅</v>
      </c>
      <c r="M111" s="282" t="str">
        <f>IFERROR(__xludf.DUMMYFUNCTION("""COMPUTED_VALUE"""),"✅")</f>
        <v>✅</v>
      </c>
      <c r="N111" s="282" t="str">
        <f>IFERROR(__xludf.DUMMYFUNCTION("""COMPUTED_VALUE"""),"✅")</f>
        <v>✅</v>
      </c>
      <c r="O111" s="282" t="str">
        <f>IFERROR(__xludf.DUMMYFUNCTION("""COMPUTED_VALUE"""),"✅")</f>
        <v>✅</v>
      </c>
      <c r="P111" s="282" t="str">
        <f>IFERROR(__xludf.DUMMYFUNCTION("""COMPUTED_VALUE"""),"✅")</f>
        <v>✅</v>
      </c>
      <c r="Q111" s="282" t="str">
        <f>IFERROR(__xludf.DUMMYFUNCTION("""COMPUTED_VALUE"""),"✅")</f>
        <v>✅</v>
      </c>
      <c r="R111" s="283" t="str">
        <f>IFERROR(__xludf.DUMMYFUNCTION("""COMPUTED_VALUE"""),"   ✅")</f>
        <v>✅</v>
      </c>
      <c r="S111" s="284"/>
      <c r="T111" s="285" t="str">
        <f>IFERROR(__xludf.DUMMYFUNCTION("""COMPUTED_VALUE"""),"➖")</f>
        <v>➖</v>
      </c>
      <c r="U111" s="285" t="str">
        <f>IFERROR(__xludf.DUMMYFUNCTION("""COMPUTED_VALUE"""),"➖")</f>
        <v>➖</v>
      </c>
      <c r="V111" s="259"/>
      <c r="W111" s="286"/>
      <c r="X111" s="286"/>
      <c r="Y111" s="286"/>
    </row>
    <row r="112">
      <c r="A112" s="28"/>
      <c r="B112" s="132"/>
      <c r="C112" s="28"/>
      <c r="D112" s="260" t="str">
        <f>IFERROR(__xludf.DUMMYFUNCTION("""COMPUTED_VALUE"""),"   U")</f>
        <v>U</v>
      </c>
      <c r="E112" s="287" t="str">
        <f>IFERROR(__xludf.DUMMYFUNCTION("""COMPUTED_VALUE"""),"L'NAR")</f>
        <v>L'NAR</v>
      </c>
      <c r="F112" s="270" t="str">
        <f>IFERROR(__xludf.DUMMYFUNCTION("""COMPUTED_VALUE"""),"OA")</f>
        <v>OA</v>
      </c>
      <c r="G112" s="231" t="str">
        <f>IFERROR(__xludf.DUMMYFUNCTION("""COMPUTED_VALUE"""),"✴️")</f>
        <v>✴️</v>
      </c>
      <c r="H112" s="231" t="str">
        <f>IFERROR(__xludf.DUMMYFUNCTION("""COMPUTED_VALUE"""),"✴️")</f>
        <v>✴️</v>
      </c>
      <c r="I112" s="231" t="str">
        <f>IFERROR(__xludf.DUMMYFUNCTION("""COMPUTED_VALUE"""),"✴️")</f>
        <v>✴️</v>
      </c>
      <c r="J112" s="231" t="str">
        <f>IFERROR(__xludf.DUMMYFUNCTION("""COMPUTED_VALUE"""),"✴️")</f>
        <v>✴️</v>
      </c>
      <c r="K112" s="288" t="str">
        <f>IFERROR(__xludf.DUMMYFUNCTION("""COMPUTED_VALUE"""),"✴️")</f>
        <v>✴️</v>
      </c>
      <c r="L112" s="288" t="str">
        <f>IFERROR(__xludf.DUMMYFUNCTION("""COMPUTED_VALUE"""),"✴️")</f>
        <v>✴️</v>
      </c>
      <c r="M112" s="288" t="str">
        <f>IFERROR(__xludf.DUMMYFUNCTION("""COMPUTED_VALUE"""),"✴️")</f>
        <v>✴️</v>
      </c>
      <c r="N112" s="288" t="str">
        <f>IFERROR(__xludf.DUMMYFUNCTION("""COMPUTED_VALUE"""),"✴️")</f>
        <v>✴️</v>
      </c>
      <c r="O112" s="288" t="str">
        <f>IFERROR(__xludf.DUMMYFUNCTION("""COMPUTED_VALUE"""),"➖")</f>
        <v>➖</v>
      </c>
      <c r="P112" s="288" t="str">
        <f>IFERROR(__xludf.DUMMYFUNCTION("""COMPUTED_VALUE"""),"✴️")</f>
        <v>✴️</v>
      </c>
      <c r="Q112" s="288" t="str">
        <f>IFERROR(__xludf.DUMMYFUNCTION("""COMPUTED_VALUE"""),"➖")</f>
        <v>➖</v>
      </c>
      <c r="R112" s="257" t="str">
        <f>IFERROR(__xludf.DUMMYFUNCTION("""COMPUTED_VALUE"""),"   ➖")</f>
        <v>➖</v>
      </c>
      <c r="S112" s="258" t="str">
        <f>IFERROR(__xludf.DUMMYFUNCTION("""COMPUTED_VALUE"""),"Klingon")</f>
        <v>Klingon</v>
      </c>
      <c r="T112" s="255" t="str">
        <f>IFERROR(__xludf.DUMMYFUNCTION("""COMPUTED_VALUE"""),"➖")</f>
        <v>➖</v>
      </c>
      <c r="U112" s="255" t="str">
        <f>IFERROR(__xludf.DUMMYFUNCTION("""COMPUTED_VALUE"""),"➖")</f>
        <v>➖</v>
      </c>
      <c r="V112" s="259"/>
      <c r="W112" s="286"/>
      <c r="X112" s="286"/>
      <c r="Y112" s="286"/>
    </row>
    <row r="113">
      <c r="A113" s="28"/>
      <c r="B113" s="128"/>
      <c r="C113" s="28"/>
      <c r="D113" s="250" t="str">
        <f>IFERROR(__xludf.DUMMYFUNCTION("""COMPUTED_VALUE"""),"   U")</f>
        <v>U</v>
      </c>
      <c r="E113" s="280" t="str">
        <f>IFERROR(__xludf.DUMMYFUNCTION("""COMPUTED_VALUE"""),"SEVERUS")</f>
        <v>SEVERUS</v>
      </c>
      <c r="F113" s="271" t="str">
        <f>IFERROR(__xludf.DUMMYFUNCTION("""COMPUTED_VALUE"""),"CM")</f>
        <v>CM</v>
      </c>
      <c r="G113" s="281" t="str">
        <f>IFERROR(__xludf.DUMMYFUNCTION("""COMPUTED_VALUE"""),"✴️")</f>
        <v>✴️</v>
      </c>
      <c r="H113" s="281" t="str">
        <f>IFERROR(__xludf.DUMMYFUNCTION("""COMPUTED_VALUE"""),"✴️")</f>
        <v>✴️</v>
      </c>
      <c r="I113" s="281" t="str">
        <f>IFERROR(__xludf.DUMMYFUNCTION("""COMPUTED_VALUE"""),"✴️")</f>
        <v>✴️</v>
      </c>
      <c r="J113" s="281" t="str">
        <f>IFERROR(__xludf.DUMMYFUNCTION("""COMPUTED_VALUE"""),"✴️")</f>
        <v>✴️</v>
      </c>
      <c r="K113" s="282" t="str">
        <f>IFERROR(__xludf.DUMMYFUNCTION("""COMPUTED_VALUE"""),"✴️")</f>
        <v>✴️</v>
      </c>
      <c r="L113" s="282" t="str">
        <f>IFERROR(__xludf.DUMMYFUNCTION("""COMPUTED_VALUE"""),"✴️")</f>
        <v>✴️</v>
      </c>
      <c r="M113" s="282" t="str">
        <f>IFERROR(__xludf.DUMMYFUNCTION("""COMPUTED_VALUE"""),"➖")</f>
        <v>➖</v>
      </c>
      <c r="N113" s="282" t="str">
        <f>IFERROR(__xludf.DUMMYFUNCTION("""COMPUTED_VALUE"""),"➖")</f>
        <v>➖</v>
      </c>
      <c r="O113" s="282" t="str">
        <f>IFERROR(__xludf.DUMMYFUNCTION("""COMPUTED_VALUE"""),"➖")</f>
        <v>➖</v>
      </c>
      <c r="P113" s="282" t="str">
        <f>IFERROR(__xludf.DUMMYFUNCTION("""COMPUTED_VALUE"""),"➖")</f>
        <v>➖</v>
      </c>
      <c r="Q113" s="282" t="str">
        <f>IFERROR(__xludf.DUMMYFUNCTION("""COMPUTED_VALUE"""),"✴️")</f>
        <v>✴️</v>
      </c>
      <c r="R113" s="283" t="str">
        <f>IFERROR(__xludf.DUMMYFUNCTION("""COMPUTED_VALUE"""),"   ✴️")</f>
        <v>✴️</v>
      </c>
      <c r="S113" s="284" t="str">
        <f>IFERROR(__xludf.DUMMYFUNCTION("""COMPUTED_VALUE"""),"SelfHasBurning")</f>
        <v>SelfHasBurning</v>
      </c>
      <c r="T113" s="285" t="str">
        <f>IFERROR(__xludf.DUMMYFUNCTION("""COMPUTED_VALUE"""),"➖")</f>
        <v>➖</v>
      </c>
      <c r="U113" s="285" t="str">
        <f>IFERROR(__xludf.DUMMYFUNCTION("""COMPUTED_VALUE"""),"➖")</f>
        <v>➖</v>
      </c>
      <c r="V113" s="259"/>
      <c r="W113" s="286"/>
      <c r="X113" s="286"/>
      <c r="Y113" s="286"/>
    </row>
    <row r="114">
      <c r="A114" s="28"/>
      <c r="B114" s="132"/>
      <c r="C114" s="28"/>
      <c r="D114" s="260" t="str">
        <f>IFERROR(__xludf.DUMMYFUNCTION("""COMPUTED_VALUE"""),"   U")</f>
        <v>U</v>
      </c>
      <c r="E114" s="287" t="str">
        <f>IFERROR(__xludf.DUMMYFUNCTION("""COMPUTED_VALUE"""),"SEVERUS")</f>
        <v>SEVERUS</v>
      </c>
      <c r="F114" s="270" t="str">
        <f>IFERROR(__xludf.DUMMYFUNCTION("""COMPUTED_VALUE"""),"OA")</f>
        <v>OA</v>
      </c>
      <c r="G114" s="231" t="str">
        <f>IFERROR(__xludf.DUMMYFUNCTION("""COMPUTED_VALUE"""),"✴️")</f>
        <v>✴️</v>
      </c>
      <c r="H114" s="231" t="str">
        <f>IFERROR(__xludf.DUMMYFUNCTION("""COMPUTED_VALUE"""),"✴️")</f>
        <v>✴️</v>
      </c>
      <c r="I114" s="231" t="str">
        <f>IFERROR(__xludf.DUMMYFUNCTION("""COMPUTED_VALUE"""),"✴️")</f>
        <v>✴️</v>
      </c>
      <c r="J114" s="231" t="str">
        <f>IFERROR(__xludf.DUMMYFUNCTION("""COMPUTED_VALUE"""),"✴️")</f>
        <v>✴️</v>
      </c>
      <c r="K114" s="288" t="str">
        <f>IFERROR(__xludf.DUMMYFUNCTION("""COMPUTED_VALUE"""),"✴️")</f>
        <v>✴️</v>
      </c>
      <c r="L114" s="288" t="str">
        <f>IFERROR(__xludf.DUMMYFUNCTION("""COMPUTED_VALUE"""),"✴️")</f>
        <v>✴️</v>
      </c>
      <c r="M114" s="288" t="str">
        <f>IFERROR(__xludf.DUMMYFUNCTION("""COMPUTED_VALUE"""),"✴️")</f>
        <v>✴️</v>
      </c>
      <c r="N114" s="288" t="str">
        <f>IFERROR(__xludf.DUMMYFUNCTION("""COMPUTED_VALUE"""),"✴️")</f>
        <v>✴️</v>
      </c>
      <c r="O114" s="288" t="str">
        <f>IFERROR(__xludf.DUMMYFUNCTION("""COMPUTED_VALUE"""),"✴️")</f>
        <v>✴️</v>
      </c>
      <c r="P114" s="288" t="str">
        <f>IFERROR(__xludf.DUMMYFUNCTION("""COMPUTED_VALUE"""),"✴️")</f>
        <v>✴️</v>
      </c>
      <c r="Q114" s="288" t="str">
        <f>IFERROR(__xludf.DUMMYFUNCTION("""COMPUTED_VALUE"""),"✴️")</f>
        <v>✴️</v>
      </c>
      <c r="R114" s="257" t="str">
        <f>IFERROR(__xludf.DUMMYFUNCTION("""COMPUTED_VALUE"""),"   ✴️")</f>
        <v>✴️</v>
      </c>
      <c r="S114" s="258" t="str">
        <f>IFERROR(__xludf.DUMMYFUNCTION("""COMPUTED_VALUE"""),"SelfHasBurning")</f>
        <v>SelfHasBurning</v>
      </c>
      <c r="T114" s="255" t="str">
        <f>IFERROR(__xludf.DUMMYFUNCTION("""COMPUTED_VALUE"""),"➖")</f>
        <v>➖</v>
      </c>
      <c r="U114" s="255" t="str">
        <f>IFERROR(__xludf.DUMMYFUNCTION("""COMPUTED_VALUE"""),"➖")</f>
        <v>➖</v>
      </c>
      <c r="V114" s="259"/>
      <c r="W114" s="286"/>
      <c r="X114" s="286"/>
      <c r="Y114" s="286"/>
    </row>
    <row r="115">
      <c r="A115" s="28"/>
      <c r="B115" s="128"/>
      <c r="C115" s="28"/>
      <c r="D115" s="250" t="str">
        <f>IFERROR(__xludf.DUMMYFUNCTION("""COMPUTED_VALUE"""),"   E")</f>
        <v>E</v>
      </c>
      <c r="E115" s="280" t="str">
        <f>IFERROR(__xludf.DUMMYFUNCTION("""COMPUTED_VALUE"""),"MARCUS")</f>
        <v>MARCUS</v>
      </c>
      <c r="F115" s="271" t="str">
        <f>IFERROR(__xludf.DUMMYFUNCTION("""COMPUTED_VALUE"""),"CM")</f>
        <v>CM</v>
      </c>
      <c r="G115" s="281" t="str">
        <f>IFERROR(__xludf.DUMMYFUNCTION("""COMPUTED_VALUE"""),"✴️")</f>
        <v>✴️</v>
      </c>
      <c r="H115" s="281" t="str">
        <f>IFERROR(__xludf.DUMMYFUNCTION("""COMPUTED_VALUE"""),"✴️")</f>
        <v>✴️</v>
      </c>
      <c r="I115" s="281" t="str">
        <f>IFERROR(__xludf.DUMMYFUNCTION("""COMPUTED_VALUE"""),"✴️")</f>
        <v>✴️</v>
      </c>
      <c r="J115" s="281" t="str">
        <f>IFERROR(__xludf.DUMMYFUNCTION("""COMPUTED_VALUE"""),"✴️")</f>
        <v>✴️</v>
      </c>
      <c r="K115" s="282" t="str">
        <f>IFERROR(__xludf.DUMMYFUNCTION("""COMPUTED_VALUE"""),"✴️")</f>
        <v>✴️</v>
      </c>
      <c r="L115" s="282" t="str">
        <f>IFERROR(__xludf.DUMMYFUNCTION("""COMPUTED_VALUE"""),"✴️")</f>
        <v>✴️</v>
      </c>
      <c r="M115" s="282" t="str">
        <f>IFERROR(__xludf.DUMMYFUNCTION("""COMPUTED_VALUE"""),"✴️")</f>
        <v>✴️</v>
      </c>
      <c r="N115" s="282" t="str">
        <f>IFERROR(__xludf.DUMMYFUNCTION("""COMPUTED_VALUE"""),"✴️")</f>
        <v>✴️</v>
      </c>
      <c r="O115" s="282" t="str">
        <f>IFERROR(__xludf.DUMMYFUNCTION("""COMPUTED_VALUE"""),"✴️")</f>
        <v>✴️</v>
      </c>
      <c r="P115" s="282" t="str">
        <f>IFERROR(__xludf.DUMMYFUNCTION("""COMPUTED_VALUE"""),"✴️")</f>
        <v>✴️</v>
      </c>
      <c r="Q115" s="282" t="str">
        <f>IFERROR(__xludf.DUMMYFUNCTION("""COMPUTED_VALUE"""),"✴️")</f>
        <v>✴️</v>
      </c>
      <c r="R115" s="283" t="str">
        <f>IFERROR(__xludf.DUMMYFUNCTION("""COMPUTED_VALUE"""),"   ✴️")</f>
        <v>✴️</v>
      </c>
      <c r="S115" s="284" t="str">
        <f>IFERROR(__xludf.DUMMYFUNCTION("""COMPUTED_VALUE"""),"HullHealthBelow")</f>
        <v>HullHealthBelow</v>
      </c>
      <c r="T115" s="285" t="str">
        <f>IFERROR(__xludf.DUMMYFUNCTION("""COMPUTED_VALUE"""),"➖")</f>
        <v>➖</v>
      </c>
      <c r="U115" s="285" t="str">
        <f>IFERROR(__xludf.DUMMYFUNCTION("""COMPUTED_VALUE"""),"➖")</f>
        <v>➖</v>
      </c>
      <c r="V115" s="259"/>
      <c r="W115" s="286"/>
      <c r="X115" s="286"/>
      <c r="Y115" s="286"/>
    </row>
    <row r="116">
      <c r="A116" s="28"/>
      <c r="B116" s="132"/>
      <c r="C116" s="28"/>
      <c r="D116" s="260" t="str">
        <f>IFERROR(__xludf.DUMMYFUNCTION("""COMPUTED_VALUE"""),"   E")</f>
        <v>E</v>
      </c>
      <c r="E116" s="287" t="str">
        <f>IFERROR(__xludf.DUMMYFUNCTION("""COMPUTED_VALUE"""),"MARCUS")</f>
        <v>MARCUS</v>
      </c>
      <c r="F116" s="270" t="str">
        <f>IFERROR(__xludf.DUMMYFUNCTION("""COMPUTED_VALUE"""),"OA")</f>
        <v>OA</v>
      </c>
      <c r="G116" s="231" t="str">
        <f>IFERROR(__xludf.DUMMYFUNCTION("""COMPUTED_VALUE"""),"✅")</f>
        <v>✅</v>
      </c>
      <c r="H116" s="231" t="str">
        <f>IFERROR(__xludf.DUMMYFUNCTION("""COMPUTED_VALUE"""),"✅")</f>
        <v>✅</v>
      </c>
      <c r="I116" s="231" t="str">
        <f>IFERROR(__xludf.DUMMYFUNCTION("""COMPUTED_VALUE"""),"✅")</f>
        <v>✅</v>
      </c>
      <c r="J116" s="231" t="str">
        <f>IFERROR(__xludf.DUMMYFUNCTION("""COMPUTED_VALUE"""),"✅")</f>
        <v>✅</v>
      </c>
      <c r="K116" s="288" t="str">
        <f>IFERROR(__xludf.DUMMYFUNCTION("""COMPUTED_VALUE"""),"✅")</f>
        <v>✅</v>
      </c>
      <c r="L116" s="288" t="str">
        <f>IFERROR(__xludf.DUMMYFUNCTION("""COMPUTED_VALUE"""),"✅")</f>
        <v>✅</v>
      </c>
      <c r="M116" s="288" t="str">
        <f>IFERROR(__xludf.DUMMYFUNCTION("""COMPUTED_VALUE"""),"✅")</f>
        <v>✅</v>
      </c>
      <c r="N116" s="288" t="str">
        <f>IFERROR(__xludf.DUMMYFUNCTION("""COMPUTED_VALUE"""),"✅")</f>
        <v>✅</v>
      </c>
      <c r="O116" s="288" t="str">
        <f>IFERROR(__xludf.DUMMYFUNCTION("""COMPUTED_VALUE"""),"✅")</f>
        <v>✅</v>
      </c>
      <c r="P116" s="288" t="str">
        <f>IFERROR(__xludf.DUMMYFUNCTION("""COMPUTED_VALUE"""),"✅")</f>
        <v>✅</v>
      </c>
      <c r="Q116" s="288" t="str">
        <f>IFERROR(__xludf.DUMMYFUNCTION("""COMPUTED_VALUE"""),"✅")</f>
        <v>✅</v>
      </c>
      <c r="R116" s="257" t="str">
        <f>IFERROR(__xludf.DUMMYFUNCTION("""COMPUTED_VALUE"""),"   ✅")</f>
        <v>✅</v>
      </c>
      <c r="S116" s="258"/>
      <c r="T116" s="255" t="str">
        <f>IFERROR(__xludf.DUMMYFUNCTION("""COMPUTED_VALUE"""),"➖")</f>
        <v>➖</v>
      </c>
      <c r="U116" s="255" t="str">
        <f>IFERROR(__xludf.DUMMYFUNCTION("""COMPUTED_VALUE"""),"➖")</f>
        <v>➖</v>
      </c>
      <c r="V116" s="259"/>
      <c r="W116" s="286"/>
      <c r="X116" s="286"/>
      <c r="Y116" s="286"/>
    </row>
    <row r="117">
      <c r="A117" s="28"/>
      <c r="B117" s="128"/>
      <c r="C117" s="28"/>
      <c r="D117" s="250" t="str">
        <f>IFERROR(__xludf.DUMMYFUNCTION("""COMPUTED_VALUE"""),"   R")</f>
        <v>R</v>
      </c>
      <c r="E117" s="280" t="str">
        <f>IFERROR(__xludf.DUMMYFUNCTION("""COMPUTED_VALUE"""),"YUKI")</f>
        <v>YUKI</v>
      </c>
      <c r="F117" s="271" t="str">
        <f>IFERROR(__xludf.DUMMYFUNCTION("""COMPUTED_VALUE"""),"CM")</f>
        <v>CM</v>
      </c>
      <c r="G117" s="281" t="str">
        <f>IFERROR(__xludf.DUMMYFUNCTION("""COMPUTED_VALUE"""),"✅")</f>
        <v>✅</v>
      </c>
      <c r="H117" s="281" t="str">
        <f>IFERROR(__xludf.DUMMYFUNCTION("""COMPUTED_VALUE"""),"✅")</f>
        <v>✅</v>
      </c>
      <c r="I117" s="281" t="str">
        <f>IFERROR(__xludf.DUMMYFUNCTION("""COMPUTED_VALUE"""),"✅")</f>
        <v>✅</v>
      </c>
      <c r="J117" s="281" t="str">
        <f>IFERROR(__xludf.DUMMYFUNCTION("""COMPUTED_VALUE"""),"✅")</f>
        <v>✅</v>
      </c>
      <c r="K117" s="282" t="str">
        <f>IFERROR(__xludf.DUMMYFUNCTION("""COMPUTED_VALUE"""),"✅")</f>
        <v>✅</v>
      </c>
      <c r="L117" s="282" t="str">
        <f>IFERROR(__xludf.DUMMYFUNCTION("""COMPUTED_VALUE"""),"✅")</f>
        <v>✅</v>
      </c>
      <c r="M117" s="282" t="str">
        <f>IFERROR(__xludf.DUMMYFUNCTION("""COMPUTED_VALUE"""),"➖")</f>
        <v>➖</v>
      </c>
      <c r="N117" s="282" t="str">
        <f>IFERROR(__xludf.DUMMYFUNCTION("""COMPUTED_VALUE"""),"➖")</f>
        <v>➖</v>
      </c>
      <c r="O117" s="282" t="str">
        <f>IFERROR(__xludf.DUMMYFUNCTION("""COMPUTED_VALUE"""),"➖")</f>
        <v>➖</v>
      </c>
      <c r="P117" s="282" t="str">
        <f>IFERROR(__xludf.DUMMYFUNCTION("""COMPUTED_VALUE"""),"➖")</f>
        <v>➖</v>
      </c>
      <c r="Q117" s="282" t="str">
        <f>IFERROR(__xludf.DUMMYFUNCTION("""COMPUTED_VALUE"""),"✅")</f>
        <v>✅</v>
      </c>
      <c r="R117" s="283" t="str">
        <f>IFERROR(__xludf.DUMMYFUNCTION("""COMPUTED_VALUE"""),"   ✅")</f>
        <v>✅</v>
      </c>
      <c r="S117" s="284"/>
      <c r="T117" s="285" t="str">
        <f>IFERROR(__xludf.DUMMYFUNCTION("""COMPUTED_VALUE"""),"➖")</f>
        <v>➖</v>
      </c>
      <c r="U117" s="285" t="str">
        <f>IFERROR(__xludf.DUMMYFUNCTION("""COMPUTED_VALUE"""),"➖")</f>
        <v>➖</v>
      </c>
      <c r="V117" s="259"/>
      <c r="W117" s="286"/>
      <c r="X117" s="286"/>
      <c r="Y117" s="286"/>
    </row>
    <row r="118">
      <c r="A118" s="28"/>
      <c r="B118" s="132"/>
      <c r="C118" s="28"/>
      <c r="D118" s="260" t="str">
        <f>IFERROR(__xludf.DUMMYFUNCTION("""COMPUTED_VALUE"""),"   R")</f>
        <v>R</v>
      </c>
      <c r="E118" s="287" t="str">
        <f>IFERROR(__xludf.DUMMYFUNCTION("""COMPUTED_VALUE"""),"YUKI")</f>
        <v>YUKI</v>
      </c>
      <c r="F118" s="270" t="str">
        <f>IFERROR(__xludf.DUMMYFUNCTION("""COMPUTED_VALUE"""),"OA")</f>
        <v>OA</v>
      </c>
      <c r="G118" s="231" t="str">
        <f>IFERROR(__xludf.DUMMYFUNCTION("""COMPUTED_VALUE"""),"✴️")</f>
        <v>✴️</v>
      </c>
      <c r="H118" s="231" t="str">
        <f>IFERROR(__xludf.DUMMYFUNCTION("""COMPUTED_VALUE"""),"✴️")</f>
        <v>✴️</v>
      </c>
      <c r="I118" s="231" t="str">
        <f>IFERROR(__xludf.DUMMYFUNCTION("""COMPUTED_VALUE"""),"✴️")</f>
        <v>✴️</v>
      </c>
      <c r="J118" s="231" t="str">
        <f>IFERROR(__xludf.DUMMYFUNCTION("""COMPUTED_VALUE"""),"✴️")</f>
        <v>✴️</v>
      </c>
      <c r="K118" s="288" t="str">
        <f>IFERROR(__xludf.DUMMYFUNCTION("""COMPUTED_VALUE"""),"✴️")</f>
        <v>✴️</v>
      </c>
      <c r="L118" s="288" t="str">
        <f>IFERROR(__xludf.DUMMYFUNCTION("""COMPUTED_VALUE"""),"✴️")</f>
        <v>✴️</v>
      </c>
      <c r="M118" s="288" t="str">
        <f>IFERROR(__xludf.DUMMYFUNCTION("""COMPUTED_VALUE"""),"✴️")</f>
        <v>✴️</v>
      </c>
      <c r="N118" s="288" t="str">
        <f>IFERROR(__xludf.DUMMYFUNCTION("""COMPUTED_VALUE"""),"✴️")</f>
        <v>✴️</v>
      </c>
      <c r="O118" s="288" t="str">
        <f>IFERROR(__xludf.DUMMYFUNCTION("""COMPUTED_VALUE"""),"➖")</f>
        <v>➖</v>
      </c>
      <c r="P118" s="288" t="str">
        <f>IFERROR(__xludf.DUMMYFUNCTION("""COMPUTED_VALUE"""),"✴️")</f>
        <v>✴️</v>
      </c>
      <c r="Q118" s="288" t="str">
        <f>IFERROR(__xludf.DUMMYFUNCTION("""COMPUTED_VALUE"""),"➖")</f>
        <v>➖</v>
      </c>
      <c r="R118" s="257" t="str">
        <f>IFERROR(__xludf.DUMMYFUNCTION("""COMPUTED_VALUE"""),"   ➖")</f>
        <v>➖</v>
      </c>
      <c r="S118" s="258" t="str">
        <f>IFERROR(__xludf.DUMMYFUNCTION("""COMPUTED_VALUE"""),"Romulan")</f>
        <v>Romulan</v>
      </c>
      <c r="T118" s="255" t="str">
        <f>IFERROR(__xludf.DUMMYFUNCTION("""COMPUTED_VALUE"""),"➖")</f>
        <v>➖</v>
      </c>
      <c r="U118" s="255" t="str">
        <f>IFERROR(__xludf.DUMMYFUNCTION("""COMPUTED_VALUE"""),"➖")</f>
        <v>➖</v>
      </c>
      <c r="V118" s="259"/>
      <c r="W118" s="286"/>
      <c r="X118" s="286"/>
      <c r="Y118" s="286"/>
    </row>
    <row r="119">
      <c r="A119" s="28"/>
      <c r="B119" s="128"/>
      <c r="C119" s="28"/>
      <c r="D119" s="250" t="str">
        <f>IFERROR(__xludf.DUMMYFUNCTION("""COMPUTED_VALUE"""),"   R")</f>
        <v>R</v>
      </c>
      <c r="E119" s="280" t="str">
        <f>IFERROR(__xludf.DUMMYFUNCTION("""COMPUTED_VALUE"""),"HARRISON")</f>
        <v>HARRISON</v>
      </c>
      <c r="F119" s="271" t="str">
        <f>IFERROR(__xludf.DUMMYFUNCTION("""COMPUTED_VALUE"""),"CM")</f>
        <v>CM</v>
      </c>
      <c r="G119" s="281" t="str">
        <f>IFERROR(__xludf.DUMMYFUNCTION("""COMPUTED_VALUE"""),"✴️")</f>
        <v>✴️</v>
      </c>
      <c r="H119" s="281" t="str">
        <f>IFERROR(__xludf.DUMMYFUNCTION("""COMPUTED_VALUE"""),"✴️")</f>
        <v>✴️</v>
      </c>
      <c r="I119" s="281" t="str">
        <f>IFERROR(__xludf.DUMMYFUNCTION("""COMPUTED_VALUE"""),"✴️")</f>
        <v>✴️</v>
      </c>
      <c r="J119" s="281" t="str">
        <f>IFERROR(__xludf.DUMMYFUNCTION("""COMPUTED_VALUE"""),"✴️")</f>
        <v>✴️</v>
      </c>
      <c r="K119" s="282" t="str">
        <f>IFERROR(__xludf.DUMMYFUNCTION("""COMPUTED_VALUE"""),"✴️")</f>
        <v>✴️</v>
      </c>
      <c r="L119" s="282" t="str">
        <f>IFERROR(__xludf.DUMMYFUNCTION("""COMPUTED_VALUE"""),"✴️")</f>
        <v>✴️</v>
      </c>
      <c r="M119" s="282" t="str">
        <f>IFERROR(__xludf.DUMMYFUNCTION("""COMPUTED_VALUE"""),"✴️")</f>
        <v>✴️</v>
      </c>
      <c r="N119" s="282" t="str">
        <f>IFERROR(__xludf.DUMMYFUNCTION("""COMPUTED_VALUE"""),"✴️")</f>
        <v>✴️</v>
      </c>
      <c r="O119" s="282" t="str">
        <f>IFERROR(__xludf.DUMMYFUNCTION("""COMPUTED_VALUE"""),"✴️")</f>
        <v>✴️</v>
      </c>
      <c r="P119" s="282" t="str">
        <f>IFERROR(__xludf.DUMMYFUNCTION("""COMPUTED_VALUE"""),"✴️")</f>
        <v>✴️</v>
      </c>
      <c r="Q119" s="282" t="str">
        <f>IFERROR(__xludf.DUMMYFUNCTION("""COMPUTED_VALUE"""),"✴️")</f>
        <v>✴️</v>
      </c>
      <c r="R119" s="283" t="str">
        <f>IFERROR(__xludf.DUMMYFUNCTION("""COMPUTED_VALUE"""),"   ✴️")</f>
        <v>✴️</v>
      </c>
      <c r="S119" s="284" t="str">
        <f>IFERROR(__xludf.DUMMYFUNCTION("""COMPUTED_VALUE"""),"TargetMaxLevel, EnemyExplorer")</f>
        <v>TargetMaxLevel, EnemyExplorer</v>
      </c>
      <c r="T119" s="285" t="str">
        <f>IFERROR(__xludf.DUMMYFUNCTION("""COMPUTED_VALUE"""),"➖")</f>
        <v>➖</v>
      </c>
      <c r="U119" s="285" t="str">
        <f>IFERROR(__xludf.DUMMYFUNCTION("""COMPUTED_VALUE"""),"➖")</f>
        <v>➖</v>
      </c>
      <c r="V119" s="259"/>
      <c r="W119" s="286"/>
      <c r="X119" s="286"/>
      <c r="Y119" s="286"/>
    </row>
    <row r="120">
      <c r="A120" s="28"/>
      <c r="B120" s="132"/>
      <c r="C120" s="28"/>
      <c r="D120" s="260" t="str">
        <f>IFERROR(__xludf.DUMMYFUNCTION("""COMPUTED_VALUE"""),"   R")</f>
        <v>R</v>
      </c>
      <c r="E120" s="287" t="str">
        <f>IFERROR(__xludf.DUMMYFUNCTION("""COMPUTED_VALUE"""),"HARRISON")</f>
        <v>HARRISON</v>
      </c>
      <c r="F120" s="270" t="str">
        <f>IFERROR(__xludf.DUMMYFUNCTION("""COMPUTED_VALUE"""),"OA")</f>
        <v>OA</v>
      </c>
      <c r="G120" s="231" t="str">
        <f>IFERROR(__xludf.DUMMYFUNCTION("""COMPUTED_VALUE"""),"✴️")</f>
        <v>✴️</v>
      </c>
      <c r="H120" s="231" t="str">
        <f>IFERROR(__xludf.DUMMYFUNCTION("""COMPUTED_VALUE"""),"✴️")</f>
        <v>✴️</v>
      </c>
      <c r="I120" s="231" t="str">
        <f>IFERROR(__xludf.DUMMYFUNCTION("""COMPUTED_VALUE"""),"✴️")</f>
        <v>✴️</v>
      </c>
      <c r="J120" s="231" t="str">
        <f>IFERROR(__xludf.DUMMYFUNCTION("""COMPUTED_VALUE"""),"✴️")</f>
        <v>✴️</v>
      </c>
      <c r="K120" s="288" t="str">
        <f>IFERROR(__xludf.DUMMYFUNCTION("""COMPUTED_VALUE"""),"✴️")</f>
        <v>✴️</v>
      </c>
      <c r="L120" s="288" t="str">
        <f>IFERROR(__xludf.DUMMYFUNCTION("""COMPUTED_VALUE"""),"✴️")</f>
        <v>✴️</v>
      </c>
      <c r="M120" s="288" t="str">
        <f>IFERROR(__xludf.DUMMYFUNCTION("""COMPUTED_VALUE"""),"➖")</f>
        <v>➖</v>
      </c>
      <c r="N120" s="288" t="str">
        <f>IFERROR(__xludf.DUMMYFUNCTION("""COMPUTED_VALUE"""),"➖")</f>
        <v>➖</v>
      </c>
      <c r="O120" s="288" t="str">
        <f>IFERROR(__xludf.DUMMYFUNCTION("""COMPUTED_VALUE"""),"➖")</f>
        <v>➖</v>
      </c>
      <c r="P120" s="288" t="str">
        <f>IFERROR(__xludf.DUMMYFUNCTION("""COMPUTED_VALUE"""),"➖")</f>
        <v>➖</v>
      </c>
      <c r="Q120" s="288" t="str">
        <f>IFERROR(__xludf.DUMMYFUNCTION("""COMPUTED_VALUE"""),"✴️")</f>
        <v>✴️</v>
      </c>
      <c r="R120" s="257" t="str">
        <f>IFERROR(__xludf.DUMMYFUNCTION("""COMPUTED_VALUE"""),"   ✴️")</f>
        <v>✴️</v>
      </c>
      <c r="S120" s="258" t="str">
        <f>IFERROR(__xludf.DUMMYFUNCTION("""COMPUTED_VALUE"""),"target level 70 or under")</f>
        <v>target level 70 or under</v>
      </c>
      <c r="T120" s="255" t="str">
        <f>IFERROR(__xludf.DUMMYFUNCTION("""COMPUTED_VALUE"""),"➖")</f>
        <v>➖</v>
      </c>
      <c r="U120" s="255" t="str">
        <f>IFERROR(__xludf.DUMMYFUNCTION("""COMPUTED_VALUE"""),"➖")</f>
        <v>➖</v>
      </c>
      <c r="V120" s="259"/>
      <c r="W120" s="286"/>
      <c r="X120" s="286"/>
      <c r="Y120" s="286"/>
    </row>
    <row r="121">
      <c r="A121" s="28"/>
      <c r="B121" s="128"/>
      <c r="C121" s="28"/>
      <c r="D121" s="250" t="str">
        <f>IFERROR(__xludf.DUMMYFUNCTION("""COMPUTED_VALUE"""),"   R")</f>
        <v>R</v>
      </c>
      <c r="E121" s="280" t="str">
        <f>IFERROR(__xludf.DUMMYFUNCTION("""COMPUTED_VALUE"""),"DUPONT")</f>
        <v>DUPONT</v>
      </c>
      <c r="F121" s="271" t="str">
        <f>IFERROR(__xludf.DUMMYFUNCTION("""COMPUTED_VALUE"""),"CM")</f>
        <v>CM</v>
      </c>
      <c r="G121" s="281" t="str">
        <f>IFERROR(__xludf.DUMMYFUNCTION("""COMPUTED_VALUE"""),"➖")</f>
        <v>➖</v>
      </c>
      <c r="H121" s="281" t="str">
        <f>IFERROR(__xludf.DUMMYFUNCTION("""COMPUTED_VALUE"""),"➖")</f>
        <v>➖</v>
      </c>
      <c r="I121" s="281" t="str">
        <f>IFERROR(__xludf.DUMMYFUNCTION("""COMPUTED_VALUE"""),"➖")</f>
        <v>➖</v>
      </c>
      <c r="J121" s="281" t="str">
        <f>IFERROR(__xludf.DUMMYFUNCTION("""COMPUTED_VALUE"""),"➖")</f>
        <v>➖</v>
      </c>
      <c r="K121" s="282" t="str">
        <f>IFERROR(__xludf.DUMMYFUNCTION("""COMPUTED_VALUE"""),"➖")</f>
        <v>➖</v>
      </c>
      <c r="L121" s="282" t="str">
        <f>IFERROR(__xludf.DUMMYFUNCTION("""COMPUTED_VALUE"""),"➖")</f>
        <v>➖</v>
      </c>
      <c r="M121" s="282" t="str">
        <f>IFERROR(__xludf.DUMMYFUNCTION("""COMPUTED_VALUE"""),"➖")</f>
        <v>➖</v>
      </c>
      <c r="N121" s="282" t="str">
        <f>IFERROR(__xludf.DUMMYFUNCTION("""COMPUTED_VALUE"""),"➖")</f>
        <v>➖</v>
      </c>
      <c r="O121" s="282" t="str">
        <f>IFERROR(__xludf.DUMMYFUNCTION("""COMPUTED_VALUE"""),"➖")</f>
        <v>➖</v>
      </c>
      <c r="P121" s="282" t="str">
        <f>IFERROR(__xludf.DUMMYFUNCTION("""COMPUTED_VALUE"""),"➖")</f>
        <v>➖</v>
      </c>
      <c r="Q121" s="282" t="str">
        <f>IFERROR(__xludf.DUMMYFUNCTION("""COMPUTED_VALUE"""),"➖")</f>
        <v>➖</v>
      </c>
      <c r="R121" s="283" t="str">
        <f>IFERROR(__xludf.DUMMYFUNCTION("""COMPUTED_VALUE"""),"   ➖")</f>
        <v>➖</v>
      </c>
      <c r="S121" s="284"/>
      <c r="T121" s="285" t="str">
        <f>IFERROR(__xludf.DUMMYFUNCTION("""COMPUTED_VALUE"""),"➖")</f>
        <v>➖</v>
      </c>
      <c r="U121" s="285" t="str">
        <f>IFERROR(__xludf.DUMMYFUNCTION("""COMPUTED_VALUE"""),"✅")</f>
        <v>✅</v>
      </c>
      <c r="V121" s="259"/>
      <c r="W121" s="286"/>
      <c r="X121" s="286"/>
      <c r="Y121" s="286"/>
    </row>
    <row r="122">
      <c r="A122" s="28"/>
      <c r="B122" s="132"/>
      <c r="C122" s="28"/>
      <c r="D122" s="260" t="str">
        <f>IFERROR(__xludf.DUMMYFUNCTION("""COMPUTED_VALUE"""),"   R")</f>
        <v>R</v>
      </c>
      <c r="E122" s="287" t="str">
        <f>IFERROR(__xludf.DUMMYFUNCTION("""COMPUTED_VALUE"""),"DUPONT")</f>
        <v>DUPONT</v>
      </c>
      <c r="F122" s="270" t="str">
        <f>IFERROR(__xludf.DUMMYFUNCTION("""COMPUTED_VALUE"""),"OA")</f>
        <v>OA</v>
      </c>
      <c r="G122" s="231" t="str">
        <f>IFERROR(__xludf.DUMMYFUNCTION("""COMPUTED_VALUE"""),"➖")</f>
        <v>➖</v>
      </c>
      <c r="H122" s="231" t="str">
        <f>IFERROR(__xludf.DUMMYFUNCTION("""COMPUTED_VALUE"""),"➖")</f>
        <v>➖</v>
      </c>
      <c r="I122" s="231" t="str">
        <f>IFERROR(__xludf.DUMMYFUNCTION("""COMPUTED_VALUE"""),"➖")</f>
        <v>➖</v>
      </c>
      <c r="J122" s="231" t="str">
        <f>IFERROR(__xludf.DUMMYFUNCTION("""COMPUTED_VALUE"""),"➖")</f>
        <v>➖</v>
      </c>
      <c r="K122" s="288" t="str">
        <f>IFERROR(__xludf.DUMMYFUNCTION("""COMPUTED_VALUE"""),"➖")</f>
        <v>➖</v>
      </c>
      <c r="L122" s="288" t="str">
        <f>IFERROR(__xludf.DUMMYFUNCTION("""COMPUTED_VALUE"""),"➖")</f>
        <v>➖</v>
      </c>
      <c r="M122" s="288" t="str">
        <f>IFERROR(__xludf.DUMMYFUNCTION("""COMPUTED_VALUE"""),"➖")</f>
        <v>➖</v>
      </c>
      <c r="N122" s="288" t="str">
        <f>IFERROR(__xludf.DUMMYFUNCTION("""COMPUTED_VALUE"""),"➖")</f>
        <v>➖</v>
      </c>
      <c r="O122" s="288" t="str">
        <f>IFERROR(__xludf.DUMMYFUNCTION("""COMPUTED_VALUE"""),"➖")</f>
        <v>➖</v>
      </c>
      <c r="P122" s="288" t="str">
        <f>IFERROR(__xludf.DUMMYFUNCTION("""COMPUTED_VALUE"""),"➖")</f>
        <v>➖</v>
      </c>
      <c r="Q122" s="288" t="str">
        <f>IFERROR(__xludf.DUMMYFUNCTION("""COMPUTED_VALUE"""),"➖")</f>
        <v>➖</v>
      </c>
      <c r="R122" s="257" t="str">
        <f>IFERROR(__xludf.DUMMYFUNCTION("""COMPUTED_VALUE"""),"   ➖")</f>
        <v>➖</v>
      </c>
      <c r="S122" s="258"/>
      <c r="T122" s="255" t="str">
        <f>IFERROR(__xludf.DUMMYFUNCTION("""COMPUTED_VALUE"""),"➖")</f>
        <v>➖</v>
      </c>
      <c r="U122" s="255" t="str">
        <f>IFERROR(__xludf.DUMMYFUNCTION("""COMPUTED_VALUE"""),"✅")</f>
        <v>✅</v>
      </c>
      <c r="V122" s="259"/>
      <c r="W122" s="286"/>
      <c r="X122" s="286"/>
      <c r="Y122" s="286"/>
    </row>
    <row r="123">
      <c r="A123" s="28"/>
      <c r="B123" s="128"/>
      <c r="C123" s="28"/>
      <c r="D123" s="250" t="str">
        <f>IFERROR(__xludf.DUMMYFUNCTION("""COMPUTED_VALUE"""),"   U")</f>
        <v>U</v>
      </c>
      <c r="E123" s="280" t="str">
        <f>IFERROR(__xludf.DUMMYFUNCTION("""COMPUTED_VALUE"""),"ZHOU")</f>
        <v>ZHOU</v>
      </c>
      <c r="F123" s="271" t="str">
        <f>IFERROR(__xludf.DUMMYFUNCTION("""COMPUTED_VALUE"""),"CM")</f>
        <v>CM</v>
      </c>
      <c r="G123" s="281" t="str">
        <f>IFERROR(__xludf.DUMMYFUNCTION("""COMPUTED_VALUE"""),"✅")</f>
        <v>✅</v>
      </c>
      <c r="H123" s="281" t="str">
        <f>IFERROR(__xludf.DUMMYFUNCTION("""COMPUTED_VALUE"""),"✅")</f>
        <v>✅</v>
      </c>
      <c r="I123" s="281" t="str">
        <f>IFERROR(__xludf.DUMMYFUNCTION("""COMPUTED_VALUE"""),"✅")</f>
        <v>✅</v>
      </c>
      <c r="J123" s="281" t="str">
        <f>IFERROR(__xludf.DUMMYFUNCTION("""COMPUTED_VALUE"""),"✅")</f>
        <v>✅</v>
      </c>
      <c r="K123" s="282" t="str">
        <f>IFERROR(__xludf.DUMMYFUNCTION("""COMPUTED_VALUE"""),"✅")</f>
        <v>✅</v>
      </c>
      <c r="L123" s="282" t="str">
        <f>IFERROR(__xludf.DUMMYFUNCTION("""COMPUTED_VALUE"""),"✅")</f>
        <v>✅</v>
      </c>
      <c r="M123" s="282" t="str">
        <f>IFERROR(__xludf.DUMMYFUNCTION("""COMPUTED_VALUE"""),"✅")</f>
        <v>✅</v>
      </c>
      <c r="N123" s="282" t="str">
        <f>IFERROR(__xludf.DUMMYFUNCTION("""COMPUTED_VALUE"""),"✅")</f>
        <v>✅</v>
      </c>
      <c r="O123" s="282" t="str">
        <f>IFERROR(__xludf.DUMMYFUNCTION("""COMPUTED_VALUE"""),"✅")</f>
        <v>✅</v>
      </c>
      <c r="P123" s="282" t="str">
        <f>IFERROR(__xludf.DUMMYFUNCTION("""COMPUTED_VALUE"""),"✅")</f>
        <v>✅</v>
      </c>
      <c r="Q123" s="282" t="str">
        <f>IFERROR(__xludf.DUMMYFUNCTION("""COMPUTED_VALUE"""),"✅")</f>
        <v>✅</v>
      </c>
      <c r="R123" s="283" t="str">
        <f>IFERROR(__xludf.DUMMYFUNCTION("""COMPUTED_VALUE"""),"   ✅")</f>
        <v>✅</v>
      </c>
      <c r="S123" s="284"/>
      <c r="T123" s="285" t="str">
        <f>IFERROR(__xludf.DUMMYFUNCTION("""COMPUTED_VALUE"""),"➖")</f>
        <v>➖</v>
      </c>
      <c r="U123" s="285" t="str">
        <f>IFERROR(__xludf.DUMMYFUNCTION("""COMPUTED_VALUE"""),"➖")</f>
        <v>➖</v>
      </c>
      <c r="V123" s="259"/>
      <c r="W123" s="286"/>
      <c r="X123" s="286"/>
      <c r="Y123" s="286"/>
    </row>
    <row r="124">
      <c r="A124" s="28"/>
      <c r="B124" s="132"/>
      <c r="C124" s="28"/>
      <c r="D124" s="260" t="str">
        <f>IFERROR(__xludf.DUMMYFUNCTION("""COMPUTED_VALUE"""),"   U")</f>
        <v>U</v>
      </c>
      <c r="E124" s="287" t="str">
        <f>IFERROR(__xludf.DUMMYFUNCTION("""COMPUTED_VALUE"""),"ZHOU")</f>
        <v>ZHOU</v>
      </c>
      <c r="F124" s="270" t="str">
        <f>IFERROR(__xludf.DUMMYFUNCTION("""COMPUTED_VALUE"""),"OA")</f>
        <v>OA</v>
      </c>
      <c r="G124" s="231" t="str">
        <f>IFERROR(__xludf.DUMMYFUNCTION("""COMPUTED_VALUE"""),"✴️")</f>
        <v>✴️</v>
      </c>
      <c r="H124" s="231" t="str">
        <f>IFERROR(__xludf.DUMMYFUNCTION("""COMPUTED_VALUE"""),"✴️")</f>
        <v>✴️</v>
      </c>
      <c r="I124" s="231" t="str">
        <f>IFERROR(__xludf.DUMMYFUNCTION("""COMPUTED_VALUE"""),"✴️")</f>
        <v>✴️</v>
      </c>
      <c r="J124" s="231" t="str">
        <f>IFERROR(__xludf.DUMMYFUNCTION("""COMPUTED_VALUE"""),"✴️")</f>
        <v>✴️</v>
      </c>
      <c r="K124" s="288" t="str">
        <f>IFERROR(__xludf.DUMMYFUNCTION("""COMPUTED_VALUE"""),"✴️")</f>
        <v>✴️</v>
      </c>
      <c r="L124" s="288" t="str">
        <f>IFERROR(__xludf.DUMMYFUNCTION("""COMPUTED_VALUE"""),"✴️")</f>
        <v>✴️</v>
      </c>
      <c r="M124" s="288" t="str">
        <f>IFERROR(__xludf.DUMMYFUNCTION("""COMPUTED_VALUE"""),"✴️")</f>
        <v>✴️</v>
      </c>
      <c r="N124" s="288" t="str">
        <f>IFERROR(__xludf.DUMMYFUNCTION("""COMPUTED_VALUE"""),"✴️")</f>
        <v>✴️</v>
      </c>
      <c r="O124" s="288" t="str">
        <f>IFERROR(__xludf.DUMMYFUNCTION("""COMPUTED_VALUE"""),"✴️")</f>
        <v>✴️</v>
      </c>
      <c r="P124" s="288" t="str">
        <f>IFERROR(__xludf.DUMMYFUNCTION("""COMPUTED_VALUE"""),"✴️")</f>
        <v>✴️</v>
      </c>
      <c r="Q124" s="288" t="str">
        <f>IFERROR(__xludf.DUMMYFUNCTION("""COMPUTED_VALUE"""),"✴️")</f>
        <v>✴️</v>
      </c>
      <c r="R124" s="257" t="str">
        <f>IFERROR(__xludf.DUMMYFUNCTION("""COMPUTED_VALUE"""),"   ✴️")</f>
        <v>✴️</v>
      </c>
      <c r="S124" s="258" t="str">
        <f>IFERROR(__xludf.DUMMYFUNCTION("""COMPUTED_VALUE"""),"SelfHasMorale")</f>
        <v>SelfHasMorale</v>
      </c>
      <c r="T124" s="255" t="str">
        <f>IFERROR(__xludf.DUMMYFUNCTION("""COMPUTED_VALUE"""),"➖")</f>
        <v>➖</v>
      </c>
      <c r="U124" s="255" t="str">
        <f>IFERROR(__xludf.DUMMYFUNCTION("""COMPUTED_VALUE"""),"➖")</f>
        <v>➖</v>
      </c>
      <c r="V124" s="259"/>
      <c r="W124" s="286"/>
      <c r="X124" s="286"/>
      <c r="Y124" s="286"/>
    </row>
    <row r="125">
      <c r="A125" s="28"/>
      <c r="B125" s="128"/>
      <c r="C125" s="28"/>
      <c r="D125" s="250" t="str">
        <f>IFERROR(__xludf.DUMMYFUNCTION("""COMPUTED_VALUE"""),"   U")</f>
        <v>U</v>
      </c>
      <c r="E125" s="280" t="str">
        <f>IFERROR(__xludf.DUMMYFUNCTION("""COMPUTED_VALUE"""),"MÄKINEN")</f>
        <v>MÄKINEN</v>
      </c>
      <c r="F125" s="271" t="str">
        <f>IFERROR(__xludf.DUMMYFUNCTION("""COMPUTED_VALUE"""),"CM")</f>
        <v>CM</v>
      </c>
      <c r="G125" s="281" t="str">
        <f>IFERROR(__xludf.DUMMYFUNCTION("""COMPUTED_VALUE"""),"➖")</f>
        <v>➖</v>
      </c>
      <c r="H125" s="281" t="str">
        <f>IFERROR(__xludf.DUMMYFUNCTION("""COMPUTED_VALUE"""),"➖")</f>
        <v>➖</v>
      </c>
      <c r="I125" s="281" t="str">
        <f>IFERROR(__xludf.DUMMYFUNCTION("""COMPUTED_VALUE"""),"➖")</f>
        <v>➖</v>
      </c>
      <c r="J125" s="281" t="str">
        <f>IFERROR(__xludf.DUMMYFUNCTION("""COMPUTED_VALUE"""),"➖")</f>
        <v>➖</v>
      </c>
      <c r="K125" s="282" t="str">
        <f>IFERROR(__xludf.DUMMYFUNCTION("""COMPUTED_VALUE"""),"➖")</f>
        <v>➖</v>
      </c>
      <c r="L125" s="282" t="str">
        <f>IFERROR(__xludf.DUMMYFUNCTION("""COMPUTED_VALUE"""),"➖")</f>
        <v>➖</v>
      </c>
      <c r="M125" s="282" t="str">
        <f>IFERROR(__xludf.DUMMYFUNCTION("""COMPUTED_VALUE"""),"➖")</f>
        <v>➖</v>
      </c>
      <c r="N125" s="282" t="str">
        <f>IFERROR(__xludf.DUMMYFUNCTION("""COMPUTED_VALUE"""),"➖")</f>
        <v>➖</v>
      </c>
      <c r="O125" s="282" t="str">
        <f>IFERROR(__xludf.DUMMYFUNCTION("""COMPUTED_VALUE"""),"➖")</f>
        <v>➖</v>
      </c>
      <c r="P125" s="282" t="str">
        <f>IFERROR(__xludf.DUMMYFUNCTION("""COMPUTED_VALUE"""),"➖")</f>
        <v>➖</v>
      </c>
      <c r="Q125" s="282" t="str">
        <f>IFERROR(__xludf.DUMMYFUNCTION("""COMPUTED_VALUE"""),"➖")</f>
        <v>➖</v>
      </c>
      <c r="R125" s="283" t="str">
        <f>IFERROR(__xludf.DUMMYFUNCTION("""COMPUTED_VALUE"""),"   ➖")</f>
        <v>➖</v>
      </c>
      <c r="S125" s="284"/>
      <c r="T125" s="285" t="str">
        <f>IFERROR(__xludf.DUMMYFUNCTION("""COMPUTED_VALUE"""),"➖")</f>
        <v>➖</v>
      </c>
      <c r="U125" s="285" t="str">
        <f>IFERROR(__xludf.DUMMYFUNCTION("""COMPUTED_VALUE"""),"✅")</f>
        <v>✅</v>
      </c>
      <c r="V125" s="259"/>
      <c r="W125" s="286"/>
      <c r="X125" s="286"/>
      <c r="Y125" s="286"/>
    </row>
    <row r="126">
      <c r="A126" s="28"/>
      <c r="B126" s="132"/>
      <c r="C126" s="28"/>
      <c r="D126" s="260" t="str">
        <f>IFERROR(__xludf.DUMMYFUNCTION("""COMPUTED_VALUE"""),"   U")</f>
        <v>U</v>
      </c>
      <c r="E126" s="287" t="str">
        <f>IFERROR(__xludf.DUMMYFUNCTION("""COMPUTED_VALUE"""),"MÄKINEN")</f>
        <v>MÄKINEN</v>
      </c>
      <c r="F126" s="270" t="str">
        <f>IFERROR(__xludf.DUMMYFUNCTION("""COMPUTED_VALUE"""),"OA")</f>
        <v>OA</v>
      </c>
      <c r="G126" s="231" t="str">
        <f>IFERROR(__xludf.DUMMYFUNCTION("""COMPUTED_VALUE"""),"➖")</f>
        <v>➖</v>
      </c>
      <c r="H126" s="231" t="str">
        <f>IFERROR(__xludf.DUMMYFUNCTION("""COMPUTED_VALUE"""),"➖")</f>
        <v>➖</v>
      </c>
      <c r="I126" s="231" t="str">
        <f>IFERROR(__xludf.DUMMYFUNCTION("""COMPUTED_VALUE"""),"➖")</f>
        <v>➖</v>
      </c>
      <c r="J126" s="231" t="str">
        <f>IFERROR(__xludf.DUMMYFUNCTION("""COMPUTED_VALUE"""),"➖")</f>
        <v>➖</v>
      </c>
      <c r="K126" s="288" t="str">
        <f>IFERROR(__xludf.DUMMYFUNCTION("""COMPUTED_VALUE"""),"➖")</f>
        <v>➖</v>
      </c>
      <c r="L126" s="288" t="str">
        <f>IFERROR(__xludf.DUMMYFUNCTION("""COMPUTED_VALUE"""),"➖")</f>
        <v>➖</v>
      </c>
      <c r="M126" s="288" t="str">
        <f>IFERROR(__xludf.DUMMYFUNCTION("""COMPUTED_VALUE"""),"➖")</f>
        <v>➖</v>
      </c>
      <c r="N126" s="288" t="str">
        <f>IFERROR(__xludf.DUMMYFUNCTION("""COMPUTED_VALUE"""),"➖")</f>
        <v>➖</v>
      </c>
      <c r="O126" s="288" t="str">
        <f>IFERROR(__xludf.DUMMYFUNCTION("""COMPUTED_VALUE"""),"➖")</f>
        <v>➖</v>
      </c>
      <c r="P126" s="288" t="str">
        <f>IFERROR(__xludf.DUMMYFUNCTION("""COMPUTED_VALUE"""),"➖")</f>
        <v>➖</v>
      </c>
      <c r="Q126" s="288" t="str">
        <f>IFERROR(__xludf.DUMMYFUNCTION("""COMPUTED_VALUE"""),"➖")</f>
        <v>➖</v>
      </c>
      <c r="R126" s="257" t="str">
        <f>IFERROR(__xludf.DUMMYFUNCTION("""COMPUTED_VALUE"""),"   ➖")</f>
        <v>➖</v>
      </c>
      <c r="S126" s="258"/>
      <c r="T126" s="255" t="str">
        <f>IFERROR(__xludf.DUMMYFUNCTION("""COMPUTED_VALUE"""),"➖")</f>
        <v>➖</v>
      </c>
      <c r="U126" s="255" t="str">
        <f>IFERROR(__xludf.DUMMYFUNCTION("""COMPUTED_VALUE"""),"✅")</f>
        <v>✅</v>
      </c>
      <c r="V126" s="259"/>
      <c r="W126" s="286"/>
      <c r="X126" s="286"/>
      <c r="Y126" s="286"/>
    </row>
    <row r="127">
      <c r="A127" s="28"/>
      <c r="B127" s="128"/>
      <c r="C127" s="28"/>
      <c r="D127" s="250" t="str">
        <f>IFERROR(__xludf.DUMMYFUNCTION("""COMPUTED_VALUE"""),"   E")</f>
        <v>E</v>
      </c>
      <c r="E127" s="280" t="str">
        <f>IFERROR(__xludf.DUMMYFUNCTION("""COMPUTED_VALUE"""),"PIKE")</f>
        <v>PIKE</v>
      </c>
      <c r="F127" s="271" t="str">
        <f>IFERROR(__xludf.DUMMYFUNCTION("""COMPUTED_VALUE"""),"CM")</f>
        <v>CM</v>
      </c>
      <c r="G127" s="281" t="str">
        <f>IFERROR(__xludf.DUMMYFUNCTION("""COMPUTED_VALUE"""),"✴️")</f>
        <v>✴️</v>
      </c>
      <c r="H127" s="281" t="str">
        <f>IFERROR(__xludf.DUMMYFUNCTION("""COMPUTED_VALUE"""),"✴️")</f>
        <v>✴️</v>
      </c>
      <c r="I127" s="281" t="str">
        <f>IFERROR(__xludf.DUMMYFUNCTION("""COMPUTED_VALUE"""),"✴️")</f>
        <v>✴️</v>
      </c>
      <c r="J127" s="281" t="str">
        <f>IFERROR(__xludf.DUMMYFUNCTION("""COMPUTED_VALUE"""),"✴️")</f>
        <v>✴️</v>
      </c>
      <c r="K127" s="282" t="str">
        <f>IFERROR(__xludf.DUMMYFUNCTION("""COMPUTED_VALUE"""),"✴️")</f>
        <v>✴️</v>
      </c>
      <c r="L127" s="282" t="str">
        <f>IFERROR(__xludf.DUMMYFUNCTION("""COMPUTED_VALUE"""),"✴️")</f>
        <v>✴️</v>
      </c>
      <c r="M127" s="282" t="str">
        <f>IFERROR(__xludf.DUMMYFUNCTION("""COMPUTED_VALUE"""),"✴️")</f>
        <v>✴️</v>
      </c>
      <c r="N127" s="282" t="str">
        <f>IFERROR(__xludf.DUMMYFUNCTION("""COMPUTED_VALUE"""),"✴️")</f>
        <v>✴️</v>
      </c>
      <c r="O127" s="282" t="str">
        <f>IFERROR(__xludf.DUMMYFUNCTION("""COMPUTED_VALUE"""),"✴️")</f>
        <v>✴️</v>
      </c>
      <c r="P127" s="282" t="str">
        <f>IFERROR(__xludf.DUMMYFUNCTION("""COMPUTED_VALUE"""),"✴️")</f>
        <v>✴️</v>
      </c>
      <c r="Q127" s="282" t="str">
        <f>IFERROR(__xludf.DUMMYFUNCTION("""COMPUTED_VALUE"""),"✴️")</f>
        <v>✴️</v>
      </c>
      <c r="R127" s="283" t="str">
        <f>IFERROR(__xludf.DUMMYFUNCTION("""COMPUTED_VALUE"""),"   ✴️")</f>
        <v>✴️</v>
      </c>
      <c r="S127" s="284" t="str">
        <f>IFERROR(__xludf.DUMMYFUNCTION("""COMPUTED_VALUE"""),"target level 70 or under")</f>
        <v>target level 70 or under</v>
      </c>
      <c r="T127" s="285" t="str">
        <f>IFERROR(__xludf.DUMMYFUNCTION("""COMPUTED_VALUE"""),"➖")</f>
        <v>➖</v>
      </c>
      <c r="U127" s="285" t="str">
        <f>IFERROR(__xludf.DUMMYFUNCTION("""COMPUTED_VALUE"""),"➖")</f>
        <v>➖</v>
      </c>
      <c r="V127" s="259"/>
      <c r="W127" s="286"/>
      <c r="X127" s="286"/>
      <c r="Y127" s="286"/>
    </row>
    <row r="128">
      <c r="A128" s="28"/>
      <c r="B128" s="132"/>
      <c r="C128" s="28"/>
      <c r="D128" s="260" t="str">
        <f>IFERROR(__xludf.DUMMYFUNCTION("""COMPUTED_VALUE"""),"   E")</f>
        <v>E</v>
      </c>
      <c r="E128" s="287" t="str">
        <f>IFERROR(__xludf.DUMMYFUNCTION("""COMPUTED_VALUE"""),"PIKE")</f>
        <v>PIKE</v>
      </c>
      <c r="F128" s="270" t="str">
        <f>IFERROR(__xludf.DUMMYFUNCTION("""COMPUTED_VALUE"""),"OA")</f>
        <v>OA</v>
      </c>
      <c r="G128" s="231" t="str">
        <f>IFERROR(__xludf.DUMMYFUNCTION("""COMPUTED_VALUE"""),"➖")</f>
        <v>➖</v>
      </c>
      <c r="H128" s="231" t="str">
        <f>IFERROR(__xludf.DUMMYFUNCTION("""COMPUTED_VALUE"""),"➖")</f>
        <v>➖</v>
      </c>
      <c r="I128" s="231" t="str">
        <f>IFERROR(__xludf.DUMMYFUNCTION("""COMPUTED_VALUE"""),"➖")</f>
        <v>➖</v>
      </c>
      <c r="J128" s="231" t="str">
        <f>IFERROR(__xludf.DUMMYFUNCTION("""COMPUTED_VALUE"""),"➖")</f>
        <v>➖</v>
      </c>
      <c r="K128" s="288" t="str">
        <f>IFERROR(__xludf.DUMMYFUNCTION("""COMPUTED_VALUE"""),"➖")</f>
        <v>➖</v>
      </c>
      <c r="L128" s="288" t="str">
        <f>IFERROR(__xludf.DUMMYFUNCTION("""COMPUTED_VALUE"""),"➖")</f>
        <v>➖</v>
      </c>
      <c r="M128" s="288" t="str">
        <f>IFERROR(__xludf.DUMMYFUNCTION("""COMPUTED_VALUE"""),"➖")</f>
        <v>➖</v>
      </c>
      <c r="N128" s="288" t="str">
        <f>IFERROR(__xludf.DUMMYFUNCTION("""COMPUTED_VALUE"""),"➖")</f>
        <v>➖</v>
      </c>
      <c r="O128" s="288" t="str">
        <f>IFERROR(__xludf.DUMMYFUNCTION("""COMPUTED_VALUE"""),"➖")</f>
        <v>➖</v>
      </c>
      <c r="P128" s="288" t="str">
        <f>IFERROR(__xludf.DUMMYFUNCTION("""COMPUTED_VALUE"""),"➖")</f>
        <v>➖</v>
      </c>
      <c r="Q128" s="288" t="str">
        <f>IFERROR(__xludf.DUMMYFUNCTION("""COMPUTED_VALUE"""),"➖")</f>
        <v>➖</v>
      </c>
      <c r="R128" s="257" t="str">
        <f>IFERROR(__xludf.DUMMYFUNCTION("""COMPUTED_VALUE"""),"   ➖")</f>
        <v>➖</v>
      </c>
      <c r="S128" s="258"/>
      <c r="T128" s="255" t="str">
        <f>IFERROR(__xludf.DUMMYFUNCTION("""COMPUTED_VALUE"""),"➖")</f>
        <v>➖</v>
      </c>
      <c r="U128" s="255" t="str">
        <f>IFERROR(__xludf.DUMMYFUNCTION("""COMPUTED_VALUE"""),"✅")</f>
        <v>✅</v>
      </c>
      <c r="V128" s="259"/>
      <c r="W128" s="286"/>
      <c r="X128" s="286"/>
      <c r="Y128" s="286"/>
    </row>
    <row r="129">
      <c r="A129" s="28"/>
      <c r="B129" s="128"/>
      <c r="C129" s="28"/>
      <c r="D129" s="250" t="str">
        <f>IFERROR(__xludf.DUMMYFUNCTION("""COMPUTED_VALUE"""),"   R")</f>
        <v>R</v>
      </c>
      <c r="E129" s="280" t="str">
        <f>IFERROR(__xludf.DUMMYFUNCTION("""COMPUTED_VALUE"""),"MOREAU")</f>
        <v>MOREAU</v>
      </c>
      <c r="F129" s="271" t="str">
        <f>IFERROR(__xludf.DUMMYFUNCTION("""COMPUTED_VALUE"""),"CM")</f>
        <v>CM</v>
      </c>
      <c r="G129" s="281" t="str">
        <f>IFERROR(__xludf.DUMMYFUNCTION("""COMPUTED_VALUE"""),"✅")</f>
        <v>✅</v>
      </c>
      <c r="H129" s="281" t="str">
        <f>IFERROR(__xludf.DUMMYFUNCTION("""COMPUTED_VALUE"""),"✅")</f>
        <v>✅</v>
      </c>
      <c r="I129" s="281" t="str">
        <f>IFERROR(__xludf.DUMMYFUNCTION("""COMPUTED_VALUE"""),"✅")</f>
        <v>✅</v>
      </c>
      <c r="J129" s="281" t="str">
        <f>IFERROR(__xludf.DUMMYFUNCTION("""COMPUTED_VALUE"""),"✅")</f>
        <v>✅</v>
      </c>
      <c r="K129" s="282" t="str">
        <f>IFERROR(__xludf.DUMMYFUNCTION("""COMPUTED_VALUE"""),"✅")</f>
        <v>✅</v>
      </c>
      <c r="L129" s="282" t="str">
        <f>IFERROR(__xludf.DUMMYFUNCTION("""COMPUTED_VALUE"""),"✅")</f>
        <v>✅</v>
      </c>
      <c r="M129" s="282" t="str">
        <f>IFERROR(__xludf.DUMMYFUNCTION("""COMPUTED_VALUE"""),"✅")</f>
        <v>✅</v>
      </c>
      <c r="N129" s="282" t="str">
        <f>IFERROR(__xludf.DUMMYFUNCTION("""COMPUTED_VALUE"""),"✅")</f>
        <v>✅</v>
      </c>
      <c r="O129" s="282" t="str">
        <f>IFERROR(__xludf.DUMMYFUNCTION("""COMPUTED_VALUE"""),"✅")</f>
        <v>✅</v>
      </c>
      <c r="P129" s="282" t="str">
        <f>IFERROR(__xludf.DUMMYFUNCTION("""COMPUTED_VALUE"""),"✅")</f>
        <v>✅</v>
      </c>
      <c r="Q129" s="282" t="str">
        <f>IFERROR(__xludf.DUMMYFUNCTION("""COMPUTED_VALUE"""),"✅")</f>
        <v>✅</v>
      </c>
      <c r="R129" s="283" t="str">
        <f>IFERROR(__xludf.DUMMYFUNCTION("""COMPUTED_VALUE"""),"   ✅")</f>
        <v>✅</v>
      </c>
      <c r="S129" s="284"/>
      <c r="T129" s="285" t="str">
        <f>IFERROR(__xludf.DUMMYFUNCTION("""COMPUTED_VALUE"""),"➖")</f>
        <v>➖</v>
      </c>
      <c r="U129" s="285" t="str">
        <f>IFERROR(__xludf.DUMMYFUNCTION("""COMPUTED_VALUE"""),"➖")</f>
        <v>➖</v>
      </c>
      <c r="V129" s="259"/>
      <c r="W129" s="286"/>
      <c r="X129" s="286"/>
      <c r="Y129" s="286"/>
    </row>
    <row r="130">
      <c r="A130" s="28"/>
      <c r="B130" s="132"/>
      <c r="C130" s="28"/>
      <c r="D130" s="260" t="str">
        <f>IFERROR(__xludf.DUMMYFUNCTION("""COMPUTED_VALUE"""),"   R")</f>
        <v>R</v>
      </c>
      <c r="E130" s="287" t="str">
        <f>IFERROR(__xludf.DUMMYFUNCTION("""COMPUTED_VALUE"""),"MOREAU")</f>
        <v>MOREAU</v>
      </c>
      <c r="F130" s="270" t="str">
        <f>IFERROR(__xludf.DUMMYFUNCTION("""COMPUTED_VALUE"""),"OA")</f>
        <v>OA</v>
      </c>
      <c r="G130" s="231" t="str">
        <f>IFERROR(__xludf.DUMMYFUNCTION("""COMPUTED_VALUE"""),"➖")</f>
        <v>➖</v>
      </c>
      <c r="H130" s="231" t="str">
        <f>IFERROR(__xludf.DUMMYFUNCTION("""COMPUTED_VALUE"""),"➖")</f>
        <v>➖</v>
      </c>
      <c r="I130" s="231" t="str">
        <f>IFERROR(__xludf.DUMMYFUNCTION("""COMPUTED_VALUE"""),"✴️")</f>
        <v>✴️</v>
      </c>
      <c r="J130" s="231" t="str">
        <f>IFERROR(__xludf.DUMMYFUNCTION("""COMPUTED_VALUE"""),"✴️")</f>
        <v>✴️</v>
      </c>
      <c r="K130" s="288" t="str">
        <f>IFERROR(__xludf.DUMMYFUNCTION("""COMPUTED_VALUE"""),"✴️")</f>
        <v>✴️</v>
      </c>
      <c r="L130" s="288" t="str">
        <f>IFERROR(__xludf.DUMMYFUNCTION("""COMPUTED_VALUE"""),"➖")</f>
        <v>➖</v>
      </c>
      <c r="M130" s="288" t="str">
        <f>IFERROR(__xludf.DUMMYFUNCTION("""COMPUTED_VALUE"""),"➖")</f>
        <v>➖</v>
      </c>
      <c r="N130" s="288" t="str">
        <f>IFERROR(__xludf.DUMMYFUNCTION("""COMPUTED_VALUE"""),"➖")</f>
        <v>➖</v>
      </c>
      <c r="O130" s="288" t="str">
        <f>IFERROR(__xludf.DUMMYFUNCTION("""COMPUTED_VALUE"""),"➖")</f>
        <v>➖</v>
      </c>
      <c r="P130" s="288" t="str">
        <f>IFERROR(__xludf.DUMMYFUNCTION("""COMPUTED_VALUE"""),"➖")</f>
        <v>➖</v>
      </c>
      <c r="Q130" s="288" t="str">
        <f>IFERROR(__xludf.DUMMYFUNCTION("""COMPUTED_VALUE"""),"➖")</f>
        <v>➖</v>
      </c>
      <c r="R130" s="257" t="str">
        <f>IFERROR(__xludf.DUMMYFUNCTION("""COMPUTED_VALUE"""),"   ➖")</f>
        <v>➖</v>
      </c>
      <c r="S130" s="258" t="str">
        <f>IFERROR(__xludf.DUMMYFUNCTION("""COMPUTED_VALUE"""),"target level 70 or under")</f>
        <v>target level 70 or under</v>
      </c>
      <c r="T130" s="255" t="str">
        <f>IFERROR(__xludf.DUMMYFUNCTION("""COMPUTED_VALUE"""),"➖")</f>
        <v>➖</v>
      </c>
      <c r="U130" s="255" t="str">
        <f>IFERROR(__xludf.DUMMYFUNCTION("""COMPUTED_VALUE"""),"➖")</f>
        <v>➖</v>
      </c>
      <c r="V130" s="259"/>
      <c r="W130" s="286"/>
      <c r="X130" s="286"/>
      <c r="Y130" s="286"/>
    </row>
    <row r="131">
      <c r="A131" s="28"/>
      <c r="B131" s="128"/>
      <c r="C131" s="28"/>
      <c r="D131" s="250" t="str">
        <f>IFERROR(__xludf.DUMMYFUNCTION("""COMPUTED_VALUE"""),"   U")</f>
        <v>U</v>
      </c>
      <c r="E131" s="280" t="str">
        <f>IFERROR(__xludf.DUMMYFUNCTION("""COMPUTED_VALUE"""),"HENDORFF")</f>
        <v>HENDORFF</v>
      </c>
      <c r="F131" s="271" t="str">
        <f>IFERROR(__xludf.DUMMYFUNCTION("""COMPUTED_VALUE"""),"CM")</f>
        <v>CM</v>
      </c>
      <c r="G131" s="281" t="str">
        <f>IFERROR(__xludf.DUMMYFUNCTION("""COMPUTED_VALUE"""),"✴️")</f>
        <v>✴️</v>
      </c>
      <c r="H131" s="281" t="str">
        <f>IFERROR(__xludf.DUMMYFUNCTION("""COMPUTED_VALUE"""),"✴️")</f>
        <v>✴️</v>
      </c>
      <c r="I131" s="281" t="str">
        <f>IFERROR(__xludf.DUMMYFUNCTION("""COMPUTED_VALUE"""),"✴️")</f>
        <v>✴️</v>
      </c>
      <c r="J131" s="281" t="str">
        <f>IFERROR(__xludf.DUMMYFUNCTION("""COMPUTED_VALUE"""),"✴️")</f>
        <v>✴️</v>
      </c>
      <c r="K131" s="282" t="str">
        <f>IFERROR(__xludf.DUMMYFUNCTION("""COMPUTED_VALUE"""),"✴️")</f>
        <v>✴️</v>
      </c>
      <c r="L131" s="282" t="str">
        <f>IFERROR(__xludf.DUMMYFUNCTION("""COMPUTED_VALUE"""),"✴️")</f>
        <v>✴️</v>
      </c>
      <c r="M131" s="282" t="str">
        <f>IFERROR(__xludf.DUMMYFUNCTION("""COMPUTED_VALUE"""),"✴️")</f>
        <v>✴️</v>
      </c>
      <c r="N131" s="282" t="str">
        <f>IFERROR(__xludf.DUMMYFUNCTION("""COMPUTED_VALUE"""),"✴️")</f>
        <v>✴️</v>
      </c>
      <c r="O131" s="282" t="str">
        <f>IFERROR(__xludf.DUMMYFUNCTION("""COMPUTED_VALUE"""),"✴️")</f>
        <v>✴️</v>
      </c>
      <c r="P131" s="282" t="str">
        <f>IFERROR(__xludf.DUMMYFUNCTION("""COMPUTED_VALUE"""),"✴️")</f>
        <v>✴️</v>
      </c>
      <c r="Q131" s="282" t="str">
        <f>IFERROR(__xludf.DUMMYFUNCTION("""COMPUTED_VALUE"""),"✴️")</f>
        <v>✴️</v>
      </c>
      <c r="R131" s="283" t="str">
        <f>IFERROR(__xludf.DUMMYFUNCTION("""COMPUTED_VALUE"""),"   ✴️")</f>
        <v>✴️</v>
      </c>
      <c r="S131" s="284" t="str">
        <f>IFERROR(__xludf.DUMMYFUNCTION("""COMPUTED_VALUE"""),"HullHealthBelowStartOfCombat")</f>
        <v>HullHealthBelowStartOfCombat</v>
      </c>
      <c r="T131" s="285" t="str">
        <f>IFERROR(__xludf.DUMMYFUNCTION("""COMPUTED_VALUE"""),"➖")</f>
        <v>➖</v>
      </c>
      <c r="U131" s="285" t="str">
        <f>IFERROR(__xludf.DUMMYFUNCTION("""COMPUTED_VALUE"""),"➖")</f>
        <v>➖</v>
      </c>
      <c r="V131" s="259"/>
      <c r="W131" s="286"/>
      <c r="X131" s="286"/>
      <c r="Y131" s="286"/>
    </row>
    <row r="132">
      <c r="A132" s="28"/>
      <c r="B132" s="132"/>
      <c r="C132" s="28"/>
      <c r="D132" s="260" t="str">
        <f>IFERROR(__xludf.DUMMYFUNCTION("""COMPUTED_VALUE"""),"   U")</f>
        <v>U</v>
      </c>
      <c r="E132" s="287" t="str">
        <f>IFERROR(__xludf.DUMMYFUNCTION("""COMPUTED_VALUE"""),"HENDORFF")</f>
        <v>HENDORFF</v>
      </c>
      <c r="F132" s="270" t="str">
        <f>IFERROR(__xludf.DUMMYFUNCTION("""COMPUTED_VALUE"""),"OA")</f>
        <v>OA</v>
      </c>
      <c r="G132" s="231" t="str">
        <f>IFERROR(__xludf.DUMMYFUNCTION("""COMPUTED_VALUE"""),"➖")</f>
        <v>➖</v>
      </c>
      <c r="H132" s="231" t="str">
        <f>IFERROR(__xludf.DUMMYFUNCTION("""COMPUTED_VALUE"""),"➖")</f>
        <v>➖</v>
      </c>
      <c r="I132" s="231" t="str">
        <f>IFERROR(__xludf.DUMMYFUNCTION("""COMPUTED_VALUE"""),"➖")</f>
        <v>➖</v>
      </c>
      <c r="J132" s="231" t="str">
        <f>IFERROR(__xludf.DUMMYFUNCTION("""COMPUTED_VALUE"""),"➖")</f>
        <v>➖</v>
      </c>
      <c r="K132" s="288" t="str">
        <f>IFERROR(__xludf.DUMMYFUNCTION("""COMPUTED_VALUE"""),"➖")</f>
        <v>➖</v>
      </c>
      <c r="L132" s="288" t="str">
        <f>IFERROR(__xludf.DUMMYFUNCTION("""COMPUTED_VALUE"""),"➖")</f>
        <v>➖</v>
      </c>
      <c r="M132" s="288" t="str">
        <f>IFERROR(__xludf.DUMMYFUNCTION("""COMPUTED_VALUE"""),"➖")</f>
        <v>➖</v>
      </c>
      <c r="N132" s="288" t="str">
        <f>IFERROR(__xludf.DUMMYFUNCTION("""COMPUTED_VALUE"""),"➖")</f>
        <v>➖</v>
      </c>
      <c r="O132" s="288" t="str">
        <f>IFERROR(__xludf.DUMMYFUNCTION("""COMPUTED_VALUE"""),"➖")</f>
        <v>➖</v>
      </c>
      <c r="P132" s="288" t="str">
        <f>IFERROR(__xludf.DUMMYFUNCTION("""COMPUTED_VALUE"""),"➖")</f>
        <v>➖</v>
      </c>
      <c r="Q132" s="288" t="str">
        <f>IFERROR(__xludf.DUMMYFUNCTION("""COMPUTED_VALUE"""),"➖")</f>
        <v>➖</v>
      </c>
      <c r="R132" s="257" t="str">
        <f>IFERROR(__xludf.DUMMYFUNCTION("""COMPUTED_VALUE"""),"   ➖")</f>
        <v>➖</v>
      </c>
      <c r="S132" s="258"/>
      <c r="T132" s="255" t="str">
        <f>IFERROR(__xludf.DUMMYFUNCTION("""COMPUTED_VALUE"""),"➖")</f>
        <v>➖</v>
      </c>
      <c r="U132" s="255" t="str">
        <f>IFERROR(__xludf.DUMMYFUNCTION("""COMPUTED_VALUE"""),"✅")</f>
        <v>✅</v>
      </c>
      <c r="V132" s="259"/>
      <c r="W132" s="286"/>
      <c r="X132" s="286"/>
      <c r="Y132" s="286"/>
    </row>
    <row r="133">
      <c r="A133" s="28"/>
      <c r="B133" s="128"/>
      <c r="C133" s="28"/>
      <c r="D133" s="250" t="str">
        <f>IFERROR(__xludf.DUMMYFUNCTION("""COMPUTED_VALUE"""),"   C")</f>
        <v>C</v>
      </c>
      <c r="E133" s="280" t="str">
        <f>IFERROR(__xludf.DUMMYFUNCTION("""COMPUTED_VALUE"""),"HADLEY")</f>
        <v>HADLEY</v>
      </c>
      <c r="F133" s="271" t="str">
        <f>IFERROR(__xludf.DUMMYFUNCTION("""COMPUTED_VALUE"""),"CM")</f>
        <v>CM</v>
      </c>
      <c r="G133" s="281" t="str">
        <f>IFERROR(__xludf.DUMMYFUNCTION("""COMPUTED_VALUE"""),"➖")</f>
        <v>➖</v>
      </c>
      <c r="H133" s="281" t="str">
        <f>IFERROR(__xludf.DUMMYFUNCTION("""COMPUTED_VALUE"""),"➖")</f>
        <v>➖</v>
      </c>
      <c r="I133" s="281" t="str">
        <f>IFERROR(__xludf.DUMMYFUNCTION("""COMPUTED_VALUE"""),"➖")</f>
        <v>➖</v>
      </c>
      <c r="J133" s="281" t="str">
        <f>IFERROR(__xludf.DUMMYFUNCTION("""COMPUTED_VALUE"""),"➖")</f>
        <v>➖</v>
      </c>
      <c r="K133" s="282" t="str">
        <f>IFERROR(__xludf.DUMMYFUNCTION("""COMPUTED_VALUE"""),"➖")</f>
        <v>➖</v>
      </c>
      <c r="L133" s="282" t="str">
        <f>IFERROR(__xludf.DUMMYFUNCTION("""COMPUTED_VALUE"""),"➖")</f>
        <v>➖</v>
      </c>
      <c r="M133" s="282" t="str">
        <f>IFERROR(__xludf.DUMMYFUNCTION("""COMPUTED_VALUE"""),"➖")</f>
        <v>➖</v>
      </c>
      <c r="N133" s="282" t="str">
        <f>IFERROR(__xludf.DUMMYFUNCTION("""COMPUTED_VALUE"""),"➖")</f>
        <v>➖</v>
      </c>
      <c r="O133" s="282" t="str">
        <f>IFERROR(__xludf.DUMMYFUNCTION("""COMPUTED_VALUE"""),"➖")</f>
        <v>➖</v>
      </c>
      <c r="P133" s="282" t="str">
        <f>IFERROR(__xludf.DUMMYFUNCTION("""COMPUTED_VALUE"""),"➖")</f>
        <v>➖</v>
      </c>
      <c r="Q133" s="282" t="str">
        <f>IFERROR(__xludf.DUMMYFUNCTION("""COMPUTED_VALUE"""),"➖")</f>
        <v>➖</v>
      </c>
      <c r="R133" s="283" t="str">
        <f>IFERROR(__xludf.DUMMYFUNCTION("""COMPUTED_VALUE"""),"   ➖")</f>
        <v>➖</v>
      </c>
      <c r="S133" s="284"/>
      <c r="T133" s="285" t="str">
        <f>IFERROR(__xludf.DUMMYFUNCTION("""COMPUTED_VALUE"""),"➖")</f>
        <v>➖</v>
      </c>
      <c r="U133" s="285" t="str">
        <f>IFERROR(__xludf.DUMMYFUNCTION("""COMPUTED_VALUE"""),"✅")</f>
        <v>✅</v>
      </c>
      <c r="V133" s="259"/>
      <c r="W133" s="286"/>
      <c r="X133" s="286"/>
      <c r="Y133" s="286"/>
    </row>
    <row r="134">
      <c r="A134" s="28"/>
      <c r="B134" s="132"/>
      <c r="C134" s="28"/>
      <c r="D134" s="260" t="str">
        <f>IFERROR(__xludf.DUMMYFUNCTION("""COMPUTED_VALUE"""),"   C")</f>
        <v>C</v>
      </c>
      <c r="E134" s="287" t="str">
        <f>IFERROR(__xludf.DUMMYFUNCTION("""COMPUTED_VALUE"""),"HADLEY")</f>
        <v>HADLEY</v>
      </c>
      <c r="F134" s="270" t="str">
        <f>IFERROR(__xludf.DUMMYFUNCTION("""COMPUTED_VALUE"""),"OA")</f>
        <v>OA</v>
      </c>
      <c r="G134" s="231" t="str">
        <f>IFERROR(__xludf.DUMMYFUNCTION("""COMPUTED_VALUE"""),"➖")</f>
        <v>➖</v>
      </c>
      <c r="H134" s="231" t="str">
        <f>IFERROR(__xludf.DUMMYFUNCTION("""COMPUTED_VALUE"""),"➖")</f>
        <v>➖</v>
      </c>
      <c r="I134" s="231" t="str">
        <f>IFERROR(__xludf.DUMMYFUNCTION("""COMPUTED_VALUE"""),"➖")</f>
        <v>➖</v>
      </c>
      <c r="J134" s="231" t="str">
        <f>IFERROR(__xludf.DUMMYFUNCTION("""COMPUTED_VALUE"""),"➖")</f>
        <v>➖</v>
      </c>
      <c r="K134" s="288" t="str">
        <f>IFERROR(__xludf.DUMMYFUNCTION("""COMPUTED_VALUE"""),"➖")</f>
        <v>➖</v>
      </c>
      <c r="L134" s="288" t="str">
        <f>IFERROR(__xludf.DUMMYFUNCTION("""COMPUTED_VALUE"""),"➖")</f>
        <v>➖</v>
      </c>
      <c r="M134" s="288" t="str">
        <f>IFERROR(__xludf.DUMMYFUNCTION("""COMPUTED_VALUE"""),"➖")</f>
        <v>➖</v>
      </c>
      <c r="N134" s="288" t="str">
        <f>IFERROR(__xludf.DUMMYFUNCTION("""COMPUTED_VALUE"""),"➖")</f>
        <v>➖</v>
      </c>
      <c r="O134" s="288" t="str">
        <f>IFERROR(__xludf.DUMMYFUNCTION("""COMPUTED_VALUE"""),"➖")</f>
        <v>➖</v>
      </c>
      <c r="P134" s="288" t="str">
        <f>IFERROR(__xludf.DUMMYFUNCTION("""COMPUTED_VALUE"""),"➖")</f>
        <v>➖</v>
      </c>
      <c r="Q134" s="288" t="str">
        <f>IFERROR(__xludf.DUMMYFUNCTION("""COMPUTED_VALUE"""),"➖")</f>
        <v>➖</v>
      </c>
      <c r="R134" s="257" t="str">
        <f>IFERROR(__xludf.DUMMYFUNCTION("""COMPUTED_VALUE"""),"   ➖")</f>
        <v>➖</v>
      </c>
      <c r="S134" s="258"/>
      <c r="T134" s="255" t="str">
        <f>IFERROR(__xludf.DUMMYFUNCTION("""COMPUTED_VALUE"""),"➖")</f>
        <v>➖</v>
      </c>
      <c r="U134" s="255" t="str">
        <f>IFERROR(__xludf.DUMMYFUNCTION("""COMPUTED_VALUE"""),"✅")</f>
        <v>✅</v>
      </c>
      <c r="V134" s="259"/>
      <c r="W134" s="286"/>
      <c r="X134" s="286"/>
      <c r="Y134" s="286"/>
    </row>
    <row r="135">
      <c r="A135" s="28"/>
      <c r="B135" s="128"/>
      <c r="C135" s="28"/>
      <c r="D135" s="250" t="str">
        <f>IFERROR(__xludf.DUMMYFUNCTION("""COMPUTED_VALUE"""),"   E")</f>
        <v>E</v>
      </c>
      <c r="E135" s="280" t="str">
        <f>IFERROR(__xludf.DUMMYFUNCTION("""COMPUTED_VALUE"""),"CAROL")</f>
        <v>CAROL</v>
      </c>
      <c r="F135" s="271" t="str">
        <f>IFERROR(__xludf.DUMMYFUNCTION("""COMPUTED_VALUE"""),"CM")</f>
        <v>CM</v>
      </c>
      <c r="G135" s="281" t="str">
        <f>IFERROR(__xludf.DUMMYFUNCTION("""COMPUTED_VALUE"""),"✅")</f>
        <v>✅</v>
      </c>
      <c r="H135" s="281" t="str">
        <f>IFERROR(__xludf.DUMMYFUNCTION("""COMPUTED_VALUE"""),"✅")</f>
        <v>✅</v>
      </c>
      <c r="I135" s="281" t="str">
        <f>IFERROR(__xludf.DUMMYFUNCTION("""COMPUTED_VALUE"""),"➖")</f>
        <v>➖</v>
      </c>
      <c r="J135" s="281" t="str">
        <f>IFERROR(__xludf.DUMMYFUNCTION("""COMPUTED_VALUE"""),"➖")</f>
        <v>➖</v>
      </c>
      <c r="K135" s="282" t="str">
        <f>IFERROR(__xludf.DUMMYFUNCTION("""COMPUTED_VALUE"""),"➖")</f>
        <v>➖</v>
      </c>
      <c r="L135" s="282" t="str">
        <f>IFERROR(__xludf.DUMMYFUNCTION("""COMPUTED_VALUE"""),"➖")</f>
        <v>➖</v>
      </c>
      <c r="M135" s="282" t="str">
        <f>IFERROR(__xludf.DUMMYFUNCTION("""COMPUTED_VALUE"""),"➖")</f>
        <v>➖</v>
      </c>
      <c r="N135" s="282" t="str">
        <f>IFERROR(__xludf.DUMMYFUNCTION("""COMPUTED_VALUE"""),"➖")</f>
        <v>➖</v>
      </c>
      <c r="O135" s="282" t="str">
        <f>IFERROR(__xludf.DUMMYFUNCTION("""COMPUTED_VALUE"""),"➖")</f>
        <v>➖</v>
      </c>
      <c r="P135" s="282" t="str">
        <f>IFERROR(__xludf.DUMMYFUNCTION("""COMPUTED_VALUE"""),"➖")</f>
        <v>➖</v>
      </c>
      <c r="Q135" s="282" t="str">
        <f>IFERROR(__xludf.DUMMYFUNCTION("""COMPUTED_VALUE"""),"➖")</f>
        <v>➖</v>
      </c>
      <c r="R135" s="283" t="str">
        <f>IFERROR(__xludf.DUMMYFUNCTION("""COMPUTED_VALUE"""),"   ➖")</f>
        <v>➖</v>
      </c>
      <c r="S135" s="284"/>
      <c r="T135" s="285" t="str">
        <f>IFERROR(__xludf.DUMMYFUNCTION("""COMPUTED_VALUE"""),"➖")</f>
        <v>➖</v>
      </c>
      <c r="U135" s="285" t="str">
        <f>IFERROR(__xludf.DUMMYFUNCTION("""COMPUTED_VALUE"""),"➖")</f>
        <v>➖</v>
      </c>
      <c r="V135" s="259"/>
      <c r="W135" s="286"/>
      <c r="X135" s="286"/>
      <c r="Y135" s="286"/>
    </row>
    <row r="136">
      <c r="A136" s="28"/>
      <c r="B136" s="132"/>
      <c r="C136" s="28"/>
      <c r="D136" s="260" t="str">
        <f>IFERROR(__xludf.DUMMYFUNCTION("""COMPUTED_VALUE"""),"   E")</f>
        <v>E</v>
      </c>
      <c r="E136" s="287" t="str">
        <f>IFERROR(__xludf.DUMMYFUNCTION("""COMPUTED_VALUE"""),"CAROL")</f>
        <v>CAROL</v>
      </c>
      <c r="F136" s="270" t="str">
        <f>IFERROR(__xludf.DUMMYFUNCTION("""COMPUTED_VALUE"""),"OA")</f>
        <v>OA</v>
      </c>
      <c r="G136" s="231" t="str">
        <f>IFERROR(__xludf.DUMMYFUNCTION("""COMPUTED_VALUE"""),"✅")</f>
        <v>✅</v>
      </c>
      <c r="H136" s="231" t="str">
        <f>IFERROR(__xludf.DUMMYFUNCTION("""COMPUTED_VALUE"""),"✅")</f>
        <v>✅</v>
      </c>
      <c r="I136" s="231" t="str">
        <f>IFERROR(__xludf.DUMMYFUNCTION("""COMPUTED_VALUE"""),"✅")</f>
        <v>✅</v>
      </c>
      <c r="J136" s="231" t="str">
        <f>IFERROR(__xludf.DUMMYFUNCTION("""COMPUTED_VALUE"""),"✅")</f>
        <v>✅</v>
      </c>
      <c r="K136" s="288" t="str">
        <f>IFERROR(__xludf.DUMMYFUNCTION("""COMPUTED_VALUE"""),"✅")</f>
        <v>✅</v>
      </c>
      <c r="L136" s="288" t="str">
        <f>IFERROR(__xludf.DUMMYFUNCTION("""COMPUTED_VALUE"""),"✅")</f>
        <v>✅</v>
      </c>
      <c r="M136" s="288" t="str">
        <f>IFERROR(__xludf.DUMMYFUNCTION("""COMPUTED_VALUE"""),"✅")</f>
        <v>✅</v>
      </c>
      <c r="N136" s="288" t="str">
        <f>IFERROR(__xludf.DUMMYFUNCTION("""COMPUTED_VALUE"""),"✅")</f>
        <v>✅</v>
      </c>
      <c r="O136" s="288" t="str">
        <f>IFERROR(__xludf.DUMMYFUNCTION("""COMPUTED_VALUE"""),"✅")</f>
        <v>✅</v>
      </c>
      <c r="P136" s="288" t="str">
        <f>IFERROR(__xludf.DUMMYFUNCTION("""COMPUTED_VALUE"""),"✅")</f>
        <v>✅</v>
      </c>
      <c r="Q136" s="288" t="str">
        <f>IFERROR(__xludf.DUMMYFUNCTION("""COMPUTED_VALUE"""),"✅")</f>
        <v>✅</v>
      </c>
      <c r="R136" s="257" t="str">
        <f>IFERROR(__xludf.DUMMYFUNCTION("""COMPUTED_VALUE"""),"   ✅")</f>
        <v>✅</v>
      </c>
      <c r="S136" s="258"/>
      <c r="T136" s="255" t="str">
        <f>IFERROR(__xludf.DUMMYFUNCTION("""COMPUTED_VALUE"""),"➖")</f>
        <v>➖</v>
      </c>
      <c r="U136" s="255" t="str">
        <f>IFERROR(__xludf.DUMMYFUNCTION("""COMPUTED_VALUE"""),"➖")</f>
        <v>➖</v>
      </c>
      <c r="V136" s="259"/>
      <c r="W136" s="286"/>
      <c r="X136" s="286"/>
      <c r="Y136" s="286"/>
    </row>
    <row r="137">
      <c r="A137" s="28"/>
      <c r="B137" s="128"/>
      <c r="C137" s="28"/>
      <c r="D137" s="250" t="str">
        <f>IFERROR(__xludf.DUMMYFUNCTION("""COMPUTED_VALUE"""),"   C")</f>
        <v>C</v>
      </c>
      <c r="E137" s="280" t="str">
        <f>IFERROR(__xludf.DUMMYFUNCTION("""COMPUTED_VALUE"""),"ZAHRA")</f>
        <v>ZAHRA</v>
      </c>
      <c r="F137" s="271" t="str">
        <f>IFERROR(__xludf.DUMMYFUNCTION("""COMPUTED_VALUE"""),"CM")</f>
        <v>CM</v>
      </c>
      <c r="G137" s="281" t="str">
        <f>IFERROR(__xludf.DUMMYFUNCTION("""COMPUTED_VALUE"""),"➖")</f>
        <v>➖</v>
      </c>
      <c r="H137" s="281" t="str">
        <f>IFERROR(__xludf.DUMMYFUNCTION("""COMPUTED_VALUE"""),"✅")</f>
        <v>✅</v>
      </c>
      <c r="I137" s="281" t="str">
        <f>IFERROR(__xludf.DUMMYFUNCTION("""COMPUTED_VALUE"""),"➖")</f>
        <v>➖</v>
      </c>
      <c r="J137" s="281" t="str">
        <f>IFERROR(__xludf.DUMMYFUNCTION("""COMPUTED_VALUE"""),"➖")</f>
        <v>➖</v>
      </c>
      <c r="K137" s="282" t="str">
        <f>IFERROR(__xludf.DUMMYFUNCTION("""COMPUTED_VALUE"""),"➖")</f>
        <v>➖</v>
      </c>
      <c r="L137" s="282" t="str">
        <f>IFERROR(__xludf.DUMMYFUNCTION("""COMPUTED_VALUE"""),"➖")</f>
        <v>➖</v>
      </c>
      <c r="M137" s="282" t="str">
        <f>IFERROR(__xludf.DUMMYFUNCTION("""COMPUTED_VALUE"""),"➖")</f>
        <v>➖</v>
      </c>
      <c r="N137" s="282" t="str">
        <f>IFERROR(__xludf.DUMMYFUNCTION("""COMPUTED_VALUE"""),"➖")</f>
        <v>➖</v>
      </c>
      <c r="O137" s="282" t="str">
        <f>IFERROR(__xludf.DUMMYFUNCTION("""COMPUTED_VALUE"""),"➖")</f>
        <v>➖</v>
      </c>
      <c r="P137" s="282" t="str">
        <f>IFERROR(__xludf.DUMMYFUNCTION("""COMPUTED_VALUE"""),"➖")</f>
        <v>➖</v>
      </c>
      <c r="Q137" s="282" t="str">
        <f>IFERROR(__xludf.DUMMYFUNCTION("""COMPUTED_VALUE"""),"➖")</f>
        <v>➖</v>
      </c>
      <c r="R137" s="283" t="str">
        <f>IFERROR(__xludf.DUMMYFUNCTION("""COMPUTED_VALUE"""),"   ➖")</f>
        <v>➖</v>
      </c>
      <c r="S137" s="284"/>
      <c r="T137" s="285" t="str">
        <f>IFERROR(__xludf.DUMMYFUNCTION("""COMPUTED_VALUE"""),"➖")</f>
        <v>➖</v>
      </c>
      <c r="U137" s="285" t="str">
        <f>IFERROR(__xludf.DUMMYFUNCTION("""COMPUTED_VALUE"""),"➖")</f>
        <v>➖</v>
      </c>
      <c r="V137" s="259"/>
      <c r="W137" s="286"/>
      <c r="X137" s="286"/>
      <c r="Y137" s="286"/>
    </row>
    <row r="138">
      <c r="A138" s="28"/>
      <c r="B138" s="132"/>
      <c r="C138" s="28"/>
      <c r="D138" s="260" t="str">
        <f>IFERROR(__xludf.DUMMYFUNCTION("""COMPUTED_VALUE"""),"   C")</f>
        <v>C</v>
      </c>
      <c r="E138" s="287" t="str">
        <f>IFERROR(__xludf.DUMMYFUNCTION("""COMPUTED_VALUE"""),"ZAHRA")</f>
        <v>ZAHRA</v>
      </c>
      <c r="F138" s="270" t="str">
        <f>IFERROR(__xludf.DUMMYFUNCTION("""COMPUTED_VALUE"""),"OA")</f>
        <v>OA</v>
      </c>
      <c r="G138" s="231" t="str">
        <f>IFERROR(__xludf.DUMMYFUNCTION("""COMPUTED_VALUE"""),"➖")</f>
        <v>➖</v>
      </c>
      <c r="H138" s="231" t="str">
        <f>IFERROR(__xludf.DUMMYFUNCTION("""COMPUTED_VALUE"""),"✅")</f>
        <v>✅</v>
      </c>
      <c r="I138" s="231" t="str">
        <f>IFERROR(__xludf.DUMMYFUNCTION("""COMPUTED_VALUE"""),"➖")</f>
        <v>➖</v>
      </c>
      <c r="J138" s="231" t="str">
        <f>IFERROR(__xludf.DUMMYFUNCTION("""COMPUTED_VALUE"""),"➖")</f>
        <v>➖</v>
      </c>
      <c r="K138" s="288" t="str">
        <f>IFERROR(__xludf.DUMMYFUNCTION("""COMPUTED_VALUE"""),"➖")</f>
        <v>➖</v>
      </c>
      <c r="L138" s="288" t="str">
        <f>IFERROR(__xludf.DUMMYFUNCTION("""COMPUTED_VALUE"""),"➖")</f>
        <v>➖</v>
      </c>
      <c r="M138" s="288" t="str">
        <f>IFERROR(__xludf.DUMMYFUNCTION("""COMPUTED_VALUE"""),"➖")</f>
        <v>➖</v>
      </c>
      <c r="N138" s="288" t="str">
        <f>IFERROR(__xludf.DUMMYFUNCTION("""COMPUTED_VALUE"""),"➖")</f>
        <v>➖</v>
      </c>
      <c r="O138" s="288" t="str">
        <f>IFERROR(__xludf.DUMMYFUNCTION("""COMPUTED_VALUE"""),"➖")</f>
        <v>➖</v>
      </c>
      <c r="P138" s="288" t="str">
        <f>IFERROR(__xludf.DUMMYFUNCTION("""COMPUTED_VALUE"""),"➖")</f>
        <v>➖</v>
      </c>
      <c r="Q138" s="288" t="str">
        <f>IFERROR(__xludf.DUMMYFUNCTION("""COMPUTED_VALUE"""),"➖")</f>
        <v>➖</v>
      </c>
      <c r="R138" s="257" t="str">
        <f>IFERROR(__xludf.DUMMYFUNCTION("""COMPUTED_VALUE"""),"   ➖")</f>
        <v>➖</v>
      </c>
      <c r="S138" s="258"/>
      <c r="T138" s="255" t="str">
        <f>IFERROR(__xludf.DUMMYFUNCTION("""COMPUTED_VALUE"""),"➖")</f>
        <v>➖</v>
      </c>
      <c r="U138" s="255" t="str">
        <f>IFERROR(__xludf.DUMMYFUNCTION("""COMPUTED_VALUE"""),"➖")</f>
        <v>➖</v>
      </c>
      <c r="V138" s="259"/>
      <c r="W138" s="286"/>
      <c r="X138" s="286"/>
      <c r="Y138" s="286"/>
    </row>
    <row r="139">
      <c r="A139" s="28"/>
      <c r="B139" s="128"/>
      <c r="C139" s="28"/>
      <c r="D139" s="250" t="str">
        <f>IFERROR(__xludf.DUMMYFUNCTION("""COMPUTED_VALUE"""),"   E")</f>
        <v>E</v>
      </c>
      <c r="E139" s="280" t="str">
        <f>IFERROR(__xludf.DUMMYFUNCTION("""COMPUTED_VALUE"""),"KHAN")</f>
        <v>KHAN</v>
      </c>
      <c r="F139" s="271" t="str">
        <f>IFERROR(__xludf.DUMMYFUNCTION("""COMPUTED_VALUE"""),"CM")</f>
        <v>CM</v>
      </c>
      <c r="G139" s="281" t="str">
        <f>IFERROR(__xludf.DUMMYFUNCTION("""COMPUTED_VALUE"""),"➖")</f>
        <v>➖</v>
      </c>
      <c r="H139" s="281" t="str">
        <f>IFERROR(__xludf.DUMMYFUNCTION("""COMPUTED_VALUE"""),"✅")</f>
        <v>✅</v>
      </c>
      <c r="I139" s="281" t="str">
        <f>IFERROR(__xludf.DUMMYFUNCTION("""COMPUTED_VALUE"""),"➖")</f>
        <v>➖</v>
      </c>
      <c r="J139" s="281" t="str">
        <f>IFERROR(__xludf.DUMMYFUNCTION("""COMPUTED_VALUE"""),"➖")</f>
        <v>➖</v>
      </c>
      <c r="K139" s="282" t="str">
        <f>IFERROR(__xludf.DUMMYFUNCTION("""COMPUTED_VALUE"""),"➖")</f>
        <v>➖</v>
      </c>
      <c r="L139" s="282" t="str">
        <f>IFERROR(__xludf.DUMMYFUNCTION("""COMPUTED_VALUE"""),"➖")</f>
        <v>➖</v>
      </c>
      <c r="M139" s="282" t="str">
        <f>IFERROR(__xludf.DUMMYFUNCTION("""COMPUTED_VALUE"""),"➖")</f>
        <v>➖</v>
      </c>
      <c r="N139" s="282" t="str">
        <f>IFERROR(__xludf.DUMMYFUNCTION("""COMPUTED_VALUE"""),"➖")</f>
        <v>➖</v>
      </c>
      <c r="O139" s="282" t="str">
        <f>IFERROR(__xludf.DUMMYFUNCTION("""COMPUTED_VALUE"""),"➖")</f>
        <v>➖</v>
      </c>
      <c r="P139" s="282" t="str">
        <f>IFERROR(__xludf.DUMMYFUNCTION("""COMPUTED_VALUE"""),"➖")</f>
        <v>➖</v>
      </c>
      <c r="Q139" s="282" t="str">
        <f>IFERROR(__xludf.DUMMYFUNCTION("""COMPUTED_VALUE"""),"➖")</f>
        <v>➖</v>
      </c>
      <c r="R139" s="283" t="str">
        <f>IFERROR(__xludf.DUMMYFUNCTION("""COMPUTED_VALUE"""),"   ➖")</f>
        <v>➖</v>
      </c>
      <c r="S139" s="284"/>
      <c r="T139" s="285" t="str">
        <f>IFERROR(__xludf.DUMMYFUNCTION("""COMPUTED_VALUE"""),"➖")</f>
        <v>➖</v>
      </c>
      <c r="U139" s="285" t="str">
        <f>IFERROR(__xludf.DUMMYFUNCTION("""COMPUTED_VALUE"""),"➖")</f>
        <v>➖</v>
      </c>
      <c r="V139" s="259"/>
      <c r="W139" s="286"/>
      <c r="X139" s="286"/>
      <c r="Y139" s="286"/>
    </row>
    <row r="140">
      <c r="A140" s="28"/>
      <c r="B140" s="132"/>
      <c r="C140" s="28"/>
      <c r="D140" s="260" t="str">
        <f>IFERROR(__xludf.DUMMYFUNCTION("""COMPUTED_VALUE"""),"   E")</f>
        <v>E</v>
      </c>
      <c r="E140" s="287" t="str">
        <f>IFERROR(__xludf.DUMMYFUNCTION("""COMPUTED_VALUE"""),"KHAN")</f>
        <v>KHAN</v>
      </c>
      <c r="F140" s="270" t="str">
        <f>IFERROR(__xludf.DUMMYFUNCTION("""COMPUTED_VALUE"""),"OA")</f>
        <v>OA</v>
      </c>
      <c r="G140" s="231" t="str">
        <f>IFERROR(__xludf.DUMMYFUNCTION("""COMPUTED_VALUE"""),"✅")</f>
        <v>✅</v>
      </c>
      <c r="H140" s="231" t="str">
        <f>IFERROR(__xludf.DUMMYFUNCTION("""COMPUTED_VALUE"""),"✅")</f>
        <v>✅</v>
      </c>
      <c r="I140" s="231" t="str">
        <f>IFERROR(__xludf.DUMMYFUNCTION("""COMPUTED_VALUE"""),"✅")</f>
        <v>✅</v>
      </c>
      <c r="J140" s="231" t="str">
        <f>IFERROR(__xludf.DUMMYFUNCTION("""COMPUTED_VALUE"""),"✅")</f>
        <v>✅</v>
      </c>
      <c r="K140" s="288" t="str">
        <f>IFERROR(__xludf.DUMMYFUNCTION("""COMPUTED_VALUE"""),"✅")</f>
        <v>✅</v>
      </c>
      <c r="L140" s="288" t="str">
        <f>IFERROR(__xludf.DUMMYFUNCTION("""COMPUTED_VALUE"""),"✅")</f>
        <v>✅</v>
      </c>
      <c r="M140" s="288" t="str">
        <f>IFERROR(__xludf.DUMMYFUNCTION("""COMPUTED_VALUE"""),"✅")</f>
        <v>✅</v>
      </c>
      <c r="N140" s="288" t="str">
        <f>IFERROR(__xludf.DUMMYFUNCTION("""COMPUTED_VALUE"""),"✅")</f>
        <v>✅</v>
      </c>
      <c r="O140" s="288" t="str">
        <f>IFERROR(__xludf.DUMMYFUNCTION("""COMPUTED_VALUE"""),"✅")</f>
        <v>✅</v>
      </c>
      <c r="P140" s="288" t="str">
        <f>IFERROR(__xludf.DUMMYFUNCTION("""COMPUTED_VALUE"""),"✅")</f>
        <v>✅</v>
      </c>
      <c r="Q140" s="288" t="str">
        <f>IFERROR(__xludf.DUMMYFUNCTION("""COMPUTED_VALUE"""),"✅")</f>
        <v>✅</v>
      </c>
      <c r="R140" s="257" t="str">
        <f>IFERROR(__xludf.DUMMYFUNCTION("""COMPUTED_VALUE"""),"   ✅")</f>
        <v>✅</v>
      </c>
      <c r="S140" s="258"/>
      <c r="T140" s="255" t="str">
        <f>IFERROR(__xludf.DUMMYFUNCTION("""COMPUTED_VALUE"""),"➖")</f>
        <v>➖</v>
      </c>
      <c r="U140" s="255" t="str">
        <f>IFERROR(__xludf.DUMMYFUNCTION("""COMPUTED_VALUE"""),"➖")</f>
        <v>➖</v>
      </c>
      <c r="V140" s="259"/>
      <c r="W140" s="286"/>
      <c r="X140" s="286"/>
      <c r="Y140" s="286"/>
    </row>
    <row r="141">
      <c r="A141" s="28"/>
      <c r="B141" s="128"/>
      <c r="C141" s="28"/>
      <c r="D141" s="250" t="str">
        <f>IFERROR(__xludf.DUMMYFUNCTION("""COMPUTED_VALUE"""),"   R")</f>
        <v>R</v>
      </c>
      <c r="E141" s="280" t="str">
        <f>IFERROR(__xludf.DUMMYFUNCTION("""COMPUTED_VALUE"""),"JOACHIM")</f>
        <v>JOACHIM</v>
      </c>
      <c r="F141" s="271" t="str">
        <f>IFERROR(__xludf.DUMMYFUNCTION("""COMPUTED_VALUE"""),"CM")</f>
        <v>CM</v>
      </c>
      <c r="G141" s="281" t="str">
        <f>IFERROR(__xludf.DUMMYFUNCTION("""COMPUTED_VALUE"""),"➖")</f>
        <v>➖</v>
      </c>
      <c r="H141" s="281" t="str">
        <f>IFERROR(__xludf.DUMMYFUNCTION("""COMPUTED_VALUE"""),"✅")</f>
        <v>✅</v>
      </c>
      <c r="I141" s="281" t="str">
        <f>IFERROR(__xludf.DUMMYFUNCTION("""COMPUTED_VALUE"""),"➖")</f>
        <v>➖</v>
      </c>
      <c r="J141" s="281" t="str">
        <f>IFERROR(__xludf.DUMMYFUNCTION("""COMPUTED_VALUE"""),"➖")</f>
        <v>➖</v>
      </c>
      <c r="K141" s="282" t="str">
        <f>IFERROR(__xludf.DUMMYFUNCTION("""COMPUTED_VALUE"""),"➖")</f>
        <v>➖</v>
      </c>
      <c r="L141" s="282" t="str">
        <f>IFERROR(__xludf.DUMMYFUNCTION("""COMPUTED_VALUE"""),"➖")</f>
        <v>➖</v>
      </c>
      <c r="M141" s="282" t="str">
        <f>IFERROR(__xludf.DUMMYFUNCTION("""COMPUTED_VALUE"""),"➖")</f>
        <v>➖</v>
      </c>
      <c r="N141" s="282" t="str">
        <f>IFERROR(__xludf.DUMMYFUNCTION("""COMPUTED_VALUE"""),"➖")</f>
        <v>➖</v>
      </c>
      <c r="O141" s="282" t="str">
        <f>IFERROR(__xludf.DUMMYFUNCTION("""COMPUTED_VALUE"""),"➖")</f>
        <v>➖</v>
      </c>
      <c r="P141" s="282" t="str">
        <f>IFERROR(__xludf.DUMMYFUNCTION("""COMPUTED_VALUE"""),"➖")</f>
        <v>➖</v>
      </c>
      <c r="Q141" s="282" t="str">
        <f>IFERROR(__xludf.DUMMYFUNCTION("""COMPUTED_VALUE"""),"➖")</f>
        <v>➖</v>
      </c>
      <c r="R141" s="283" t="str">
        <f>IFERROR(__xludf.DUMMYFUNCTION("""COMPUTED_VALUE"""),"   ➖")</f>
        <v>➖</v>
      </c>
      <c r="S141" s="284"/>
      <c r="T141" s="285" t="str">
        <f>IFERROR(__xludf.DUMMYFUNCTION("""COMPUTED_VALUE"""),"➖")</f>
        <v>➖</v>
      </c>
      <c r="U141" s="285" t="str">
        <f>IFERROR(__xludf.DUMMYFUNCTION("""COMPUTED_VALUE"""),"➖")</f>
        <v>➖</v>
      </c>
      <c r="V141" s="259"/>
      <c r="W141" s="286"/>
      <c r="X141" s="286"/>
      <c r="Y141" s="286"/>
    </row>
    <row r="142">
      <c r="A142" s="28"/>
      <c r="B142" s="132"/>
      <c r="C142" s="28"/>
      <c r="D142" s="260" t="str">
        <f>IFERROR(__xludf.DUMMYFUNCTION("""COMPUTED_VALUE"""),"   R")</f>
        <v>R</v>
      </c>
      <c r="E142" s="287" t="str">
        <f>IFERROR(__xludf.DUMMYFUNCTION("""COMPUTED_VALUE"""),"JOACHIM")</f>
        <v>JOACHIM</v>
      </c>
      <c r="F142" s="270" t="str">
        <f>IFERROR(__xludf.DUMMYFUNCTION("""COMPUTED_VALUE"""),"OA")</f>
        <v>OA</v>
      </c>
      <c r="G142" s="231" t="str">
        <f>IFERROR(__xludf.DUMMYFUNCTION("""COMPUTED_VALUE"""),"➖")</f>
        <v>➖</v>
      </c>
      <c r="H142" s="231" t="str">
        <f>IFERROR(__xludf.DUMMYFUNCTION("""COMPUTED_VALUE"""),"✅")</f>
        <v>✅</v>
      </c>
      <c r="I142" s="231" t="str">
        <f>IFERROR(__xludf.DUMMYFUNCTION("""COMPUTED_VALUE"""),"➖")</f>
        <v>➖</v>
      </c>
      <c r="J142" s="231" t="str">
        <f>IFERROR(__xludf.DUMMYFUNCTION("""COMPUTED_VALUE"""),"➖")</f>
        <v>➖</v>
      </c>
      <c r="K142" s="288" t="str">
        <f>IFERROR(__xludf.DUMMYFUNCTION("""COMPUTED_VALUE"""),"➖")</f>
        <v>➖</v>
      </c>
      <c r="L142" s="288" t="str">
        <f>IFERROR(__xludf.DUMMYFUNCTION("""COMPUTED_VALUE"""),"➖")</f>
        <v>➖</v>
      </c>
      <c r="M142" s="288" t="str">
        <f>IFERROR(__xludf.DUMMYFUNCTION("""COMPUTED_VALUE"""),"➖")</f>
        <v>➖</v>
      </c>
      <c r="N142" s="288" t="str">
        <f>IFERROR(__xludf.DUMMYFUNCTION("""COMPUTED_VALUE"""),"➖")</f>
        <v>➖</v>
      </c>
      <c r="O142" s="288" t="str">
        <f>IFERROR(__xludf.DUMMYFUNCTION("""COMPUTED_VALUE"""),"➖")</f>
        <v>➖</v>
      </c>
      <c r="P142" s="288" t="str">
        <f>IFERROR(__xludf.DUMMYFUNCTION("""COMPUTED_VALUE"""),"➖")</f>
        <v>➖</v>
      </c>
      <c r="Q142" s="288" t="str">
        <f>IFERROR(__xludf.DUMMYFUNCTION("""COMPUTED_VALUE"""),"➖")</f>
        <v>➖</v>
      </c>
      <c r="R142" s="257" t="str">
        <f>IFERROR(__xludf.DUMMYFUNCTION("""COMPUTED_VALUE"""),"   ➖")</f>
        <v>➖</v>
      </c>
      <c r="S142" s="258"/>
      <c r="T142" s="255" t="str">
        <f>IFERROR(__xludf.DUMMYFUNCTION("""COMPUTED_VALUE"""),"➖")</f>
        <v>➖</v>
      </c>
      <c r="U142" s="255" t="str">
        <f>IFERROR(__xludf.DUMMYFUNCTION("""COMPUTED_VALUE"""),"➖")</f>
        <v>➖</v>
      </c>
      <c r="V142" s="259"/>
      <c r="W142" s="286"/>
      <c r="X142" s="286"/>
      <c r="Y142" s="286"/>
    </row>
    <row r="143">
      <c r="A143" s="28"/>
      <c r="B143" s="128"/>
      <c r="C143" s="28"/>
      <c r="D143" s="250" t="str">
        <f>IFERROR(__xludf.DUMMYFUNCTION("""COMPUTED_VALUE"""),"   R")</f>
        <v>R</v>
      </c>
      <c r="E143" s="280" t="str">
        <f>IFERROR(__xludf.DUMMYFUNCTION("""COMPUTED_VALUE"""),"MARLA")</f>
        <v>MARLA</v>
      </c>
      <c r="F143" s="271" t="str">
        <f>IFERROR(__xludf.DUMMYFUNCTION("""COMPUTED_VALUE"""),"CM")</f>
        <v>CM</v>
      </c>
      <c r="G143" s="281" t="str">
        <f>IFERROR(__xludf.DUMMYFUNCTION("""COMPUTED_VALUE"""),"➖")</f>
        <v>➖</v>
      </c>
      <c r="H143" s="281" t="str">
        <f>IFERROR(__xludf.DUMMYFUNCTION("""COMPUTED_VALUE"""),"➖")</f>
        <v>➖</v>
      </c>
      <c r="I143" s="281" t="str">
        <f>IFERROR(__xludf.DUMMYFUNCTION("""COMPUTED_VALUE"""),"➖")</f>
        <v>➖</v>
      </c>
      <c r="J143" s="281" t="str">
        <f>IFERROR(__xludf.DUMMYFUNCTION("""COMPUTED_VALUE"""),"➖")</f>
        <v>➖</v>
      </c>
      <c r="K143" s="282" t="str">
        <f>IFERROR(__xludf.DUMMYFUNCTION("""COMPUTED_VALUE"""),"➖")</f>
        <v>➖</v>
      </c>
      <c r="L143" s="282" t="str">
        <f>IFERROR(__xludf.DUMMYFUNCTION("""COMPUTED_VALUE"""),"➖")</f>
        <v>➖</v>
      </c>
      <c r="M143" s="282" t="str">
        <f>IFERROR(__xludf.DUMMYFUNCTION("""COMPUTED_VALUE"""),"➖")</f>
        <v>➖</v>
      </c>
      <c r="N143" s="282" t="str">
        <f>IFERROR(__xludf.DUMMYFUNCTION("""COMPUTED_VALUE"""),"➖")</f>
        <v>➖</v>
      </c>
      <c r="O143" s="282" t="str">
        <f>IFERROR(__xludf.DUMMYFUNCTION("""COMPUTED_VALUE"""),"➖")</f>
        <v>➖</v>
      </c>
      <c r="P143" s="282" t="str">
        <f>IFERROR(__xludf.DUMMYFUNCTION("""COMPUTED_VALUE"""),"➖")</f>
        <v>➖</v>
      </c>
      <c r="Q143" s="282" t="str">
        <f>IFERROR(__xludf.DUMMYFUNCTION("""COMPUTED_VALUE"""),"➖")</f>
        <v>➖</v>
      </c>
      <c r="R143" s="283" t="str">
        <f>IFERROR(__xludf.DUMMYFUNCTION("""COMPUTED_VALUE"""),"   ➖")</f>
        <v>➖</v>
      </c>
      <c r="S143" s="284"/>
      <c r="T143" s="285" t="str">
        <f>IFERROR(__xludf.DUMMYFUNCTION("""COMPUTED_VALUE"""),"➖")</f>
        <v>➖</v>
      </c>
      <c r="U143" s="285" t="str">
        <f>IFERROR(__xludf.DUMMYFUNCTION("""COMPUTED_VALUE"""),"✅")</f>
        <v>✅</v>
      </c>
      <c r="V143" s="259"/>
      <c r="W143" s="286"/>
      <c r="X143" s="286"/>
      <c r="Y143" s="286"/>
    </row>
    <row r="144">
      <c r="A144" s="28"/>
      <c r="B144" s="132"/>
      <c r="C144" s="28"/>
      <c r="D144" s="260" t="str">
        <f>IFERROR(__xludf.DUMMYFUNCTION("""COMPUTED_VALUE"""),"   R")</f>
        <v>R</v>
      </c>
      <c r="E144" s="287" t="str">
        <f>IFERROR(__xludf.DUMMYFUNCTION("""COMPUTED_VALUE"""),"MARLA")</f>
        <v>MARLA</v>
      </c>
      <c r="F144" s="270" t="str">
        <f>IFERROR(__xludf.DUMMYFUNCTION("""COMPUTED_VALUE"""),"OA")</f>
        <v>OA</v>
      </c>
      <c r="G144" s="231" t="str">
        <f>IFERROR(__xludf.DUMMYFUNCTION("""COMPUTED_VALUE"""),"✅")</f>
        <v>✅</v>
      </c>
      <c r="H144" s="231" t="str">
        <f>IFERROR(__xludf.DUMMYFUNCTION("""COMPUTED_VALUE"""),"✅")</f>
        <v>✅</v>
      </c>
      <c r="I144" s="231" t="str">
        <f>IFERROR(__xludf.DUMMYFUNCTION("""COMPUTED_VALUE"""),"✅")</f>
        <v>✅</v>
      </c>
      <c r="J144" s="231" t="str">
        <f>IFERROR(__xludf.DUMMYFUNCTION("""COMPUTED_VALUE"""),"✅")</f>
        <v>✅</v>
      </c>
      <c r="K144" s="288" t="str">
        <f>IFERROR(__xludf.DUMMYFUNCTION("""COMPUTED_VALUE"""),"✅")</f>
        <v>✅</v>
      </c>
      <c r="L144" s="288" t="str">
        <f>IFERROR(__xludf.DUMMYFUNCTION("""COMPUTED_VALUE"""),"✅")</f>
        <v>✅</v>
      </c>
      <c r="M144" s="288" t="str">
        <f>IFERROR(__xludf.DUMMYFUNCTION("""COMPUTED_VALUE"""),"✅")</f>
        <v>✅</v>
      </c>
      <c r="N144" s="288" t="str">
        <f>IFERROR(__xludf.DUMMYFUNCTION("""COMPUTED_VALUE"""),"✅")</f>
        <v>✅</v>
      </c>
      <c r="O144" s="288" t="str">
        <f>IFERROR(__xludf.DUMMYFUNCTION("""COMPUTED_VALUE"""),"✅")</f>
        <v>✅</v>
      </c>
      <c r="P144" s="288" t="str">
        <f>IFERROR(__xludf.DUMMYFUNCTION("""COMPUTED_VALUE"""),"✅")</f>
        <v>✅</v>
      </c>
      <c r="Q144" s="288" t="str">
        <f>IFERROR(__xludf.DUMMYFUNCTION("""COMPUTED_VALUE"""),"✅")</f>
        <v>✅</v>
      </c>
      <c r="R144" s="257" t="str">
        <f>IFERROR(__xludf.DUMMYFUNCTION("""COMPUTED_VALUE"""),"   ✅")</f>
        <v>✅</v>
      </c>
      <c r="S144" s="258"/>
      <c r="T144" s="255" t="str">
        <f>IFERROR(__xludf.DUMMYFUNCTION("""COMPUTED_VALUE"""),"➖")</f>
        <v>➖</v>
      </c>
      <c r="U144" s="255" t="str">
        <f>IFERROR(__xludf.DUMMYFUNCTION("""COMPUTED_VALUE"""),"➖")</f>
        <v>➖</v>
      </c>
      <c r="V144" s="259"/>
      <c r="W144" s="286"/>
      <c r="X144" s="286"/>
      <c r="Y144" s="286"/>
    </row>
    <row r="145">
      <c r="A145" s="28"/>
      <c r="B145" s="128"/>
      <c r="C145" s="28"/>
      <c r="D145" s="250" t="str">
        <f>IFERROR(__xludf.DUMMYFUNCTION("""COMPUTED_VALUE"""),"   U")</f>
        <v>U</v>
      </c>
      <c r="E145" s="280" t="str">
        <f>IFERROR(__xludf.DUMMYFUNCTION("""COMPUTED_VALUE"""),"JOAQUIN")</f>
        <v>JOAQUIN</v>
      </c>
      <c r="F145" s="271" t="str">
        <f>IFERROR(__xludf.DUMMYFUNCTION("""COMPUTED_VALUE"""),"CM")</f>
        <v>CM</v>
      </c>
      <c r="G145" s="281" t="str">
        <f>IFERROR(__xludf.DUMMYFUNCTION("""COMPUTED_VALUE"""),"➖")</f>
        <v>➖</v>
      </c>
      <c r="H145" s="281" t="str">
        <f>IFERROR(__xludf.DUMMYFUNCTION("""COMPUTED_VALUE"""),"➖")</f>
        <v>➖</v>
      </c>
      <c r="I145" s="281" t="str">
        <f>IFERROR(__xludf.DUMMYFUNCTION("""COMPUTED_VALUE"""),"➖")</f>
        <v>➖</v>
      </c>
      <c r="J145" s="281" t="str">
        <f>IFERROR(__xludf.DUMMYFUNCTION("""COMPUTED_VALUE"""),"➖")</f>
        <v>➖</v>
      </c>
      <c r="K145" s="282" t="str">
        <f>IFERROR(__xludf.DUMMYFUNCTION("""COMPUTED_VALUE"""),"➖")</f>
        <v>➖</v>
      </c>
      <c r="L145" s="282" t="str">
        <f>IFERROR(__xludf.DUMMYFUNCTION("""COMPUTED_VALUE"""),"➖")</f>
        <v>➖</v>
      </c>
      <c r="M145" s="282" t="str">
        <f>IFERROR(__xludf.DUMMYFUNCTION("""COMPUTED_VALUE"""),"➖")</f>
        <v>➖</v>
      </c>
      <c r="N145" s="282" t="str">
        <f>IFERROR(__xludf.DUMMYFUNCTION("""COMPUTED_VALUE"""),"➖")</f>
        <v>➖</v>
      </c>
      <c r="O145" s="282" t="str">
        <f>IFERROR(__xludf.DUMMYFUNCTION("""COMPUTED_VALUE"""),"➖")</f>
        <v>➖</v>
      </c>
      <c r="P145" s="282" t="str">
        <f>IFERROR(__xludf.DUMMYFUNCTION("""COMPUTED_VALUE"""),"➖")</f>
        <v>➖</v>
      </c>
      <c r="Q145" s="282" t="str">
        <f>IFERROR(__xludf.DUMMYFUNCTION("""COMPUTED_VALUE"""),"➖")</f>
        <v>➖</v>
      </c>
      <c r="R145" s="283" t="str">
        <f>IFERROR(__xludf.DUMMYFUNCTION("""COMPUTED_VALUE"""),"   ➖")</f>
        <v>➖</v>
      </c>
      <c r="S145" s="284"/>
      <c r="T145" s="285" t="str">
        <f>IFERROR(__xludf.DUMMYFUNCTION("""COMPUTED_VALUE"""),"➖")</f>
        <v>➖</v>
      </c>
      <c r="U145" s="285" t="str">
        <f>IFERROR(__xludf.DUMMYFUNCTION("""COMPUTED_VALUE"""),"✅")</f>
        <v>✅</v>
      </c>
      <c r="V145" s="259"/>
      <c r="W145" s="286"/>
      <c r="X145" s="286"/>
      <c r="Y145" s="286"/>
    </row>
    <row r="146">
      <c r="A146" s="28"/>
      <c r="B146" s="132"/>
      <c r="C146" s="28"/>
      <c r="D146" s="260" t="str">
        <f>IFERROR(__xludf.DUMMYFUNCTION("""COMPUTED_VALUE"""),"   U")</f>
        <v>U</v>
      </c>
      <c r="E146" s="287" t="str">
        <f>IFERROR(__xludf.DUMMYFUNCTION("""COMPUTED_VALUE"""),"JOAQUIN")</f>
        <v>JOAQUIN</v>
      </c>
      <c r="F146" s="270" t="str">
        <f>IFERROR(__xludf.DUMMYFUNCTION("""COMPUTED_VALUE"""),"OA")</f>
        <v>OA</v>
      </c>
      <c r="G146" s="231" t="str">
        <f>IFERROR(__xludf.DUMMYFUNCTION("""COMPUTED_VALUE"""),"➖")</f>
        <v>➖</v>
      </c>
      <c r="H146" s="231" t="str">
        <f>IFERROR(__xludf.DUMMYFUNCTION("""COMPUTED_VALUE"""),"➖")</f>
        <v>➖</v>
      </c>
      <c r="I146" s="231" t="str">
        <f>IFERROR(__xludf.DUMMYFUNCTION("""COMPUTED_VALUE"""),"➖")</f>
        <v>➖</v>
      </c>
      <c r="J146" s="231" t="str">
        <f>IFERROR(__xludf.DUMMYFUNCTION("""COMPUTED_VALUE"""),"➖")</f>
        <v>➖</v>
      </c>
      <c r="K146" s="288" t="str">
        <f>IFERROR(__xludf.DUMMYFUNCTION("""COMPUTED_VALUE"""),"➖")</f>
        <v>➖</v>
      </c>
      <c r="L146" s="288" t="str">
        <f>IFERROR(__xludf.DUMMYFUNCTION("""COMPUTED_VALUE"""),"➖")</f>
        <v>➖</v>
      </c>
      <c r="M146" s="288" t="str">
        <f>IFERROR(__xludf.DUMMYFUNCTION("""COMPUTED_VALUE"""),"➖")</f>
        <v>➖</v>
      </c>
      <c r="N146" s="288" t="str">
        <f>IFERROR(__xludf.DUMMYFUNCTION("""COMPUTED_VALUE"""),"➖")</f>
        <v>➖</v>
      </c>
      <c r="O146" s="288" t="str">
        <f>IFERROR(__xludf.DUMMYFUNCTION("""COMPUTED_VALUE"""),"➖")</f>
        <v>➖</v>
      </c>
      <c r="P146" s="288" t="str">
        <f>IFERROR(__xludf.DUMMYFUNCTION("""COMPUTED_VALUE"""),"➖")</f>
        <v>➖</v>
      </c>
      <c r="Q146" s="288" t="str">
        <f>IFERROR(__xludf.DUMMYFUNCTION("""COMPUTED_VALUE"""),"➖")</f>
        <v>➖</v>
      </c>
      <c r="R146" s="257" t="str">
        <f>IFERROR(__xludf.DUMMYFUNCTION("""COMPUTED_VALUE"""),"   ➖")</f>
        <v>➖</v>
      </c>
      <c r="S146" s="258"/>
      <c r="T146" s="255" t="str">
        <f>IFERROR(__xludf.DUMMYFUNCTION("""COMPUTED_VALUE"""),"➖")</f>
        <v>➖</v>
      </c>
      <c r="U146" s="255" t="str">
        <f>IFERROR(__xludf.DUMMYFUNCTION("""COMPUTED_VALUE"""),"✅")</f>
        <v>✅</v>
      </c>
      <c r="V146" s="259"/>
      <c r="W146" s="286"/>
      <c r="X146" s="286"/>
      <c r="Y146" s="286"/>
    </row>
    <row r="147">
      <c r="A147" s="28"/>
      <c r="B147" s="128"/>
      <c r="C147" s="28"/>
      <c r="D147" s="250" t="str">
        <f>IFERROR(__xludf.DUMMYFUNCTION("""COMPUTED_VALUE"""),"   U")</f>
        <v>U</v>
      </c>
      <c r="E147" s="280" t="str">
        <f>IFERROR(__xludf.DUMMYFUNCTION("""COMPUTED_VALUE"""),"OTTO")</f>
        <v>OTTO</v>
      </c>
      <c r="F147" s="271" t="str">
        <f>IFERROR(__xludf.DUMMYFUNCTION("""COMPUTED_VALUE"""),"CM")</f>
        <v>CM</v>
      </c>
      <c r="G147" s="281" t="str">
        <f>IFERROR(__xludf.DUMMYFUNCTION("""COMPUTED_VALUE"""),"➖")</f>
        <v>➖</v>
      </c>
      <c r="H147" s="281" t="str">
        <f>IFERROR(__xludf.DUMMYFUNCTION("""COMPUTED_VALUE"""),"✅")</f>
        <v>✅</v>
      </c>
      <c r="I147" s="281" t="str">
        <f>IFERROR(__xludf.DUMMYFUNCTION("""COMPUTED_VALUE"""),"➖")</f>
        <v>➖</v>
      </c>
      <c r="J147" s="281" t="str">
        <f>IFERROR(__xludf.DUMMYFUNCTION("""COMPUTED_VALUE"""),"➖")</f>
        <v>➖</v>
      </c>
      <c r="K147" s="282" t="str">
        <f>IFERROR(__xludf.DUMMYFUNCTION("""COMPUTED_VALUE"""),"➖")</f>
        <v>➖</v>
      </c>
      <c r="L147" s="282" t="str">
        <f>IFERROR(__xludf.DUMMYFUNCTION("""COMPUTED_VALUE"""),"➖")</f>
        <v>➖</v>
      </c>
      <c r="M147" s="282" t="str">
        <f>IFERROR(__xludf.DUMMYFUNCTION("""COMPUTED_VALUE"""),"➖")</f>
        <v>➖</v>
      </c>
      <c r="N147" s="282" t="str">
        <f>IFERROR(__xludf.DUMMYFUNCTION("""COMPUTED_VALUE"""),"➖")</f>
        <v>➖</v>
      </c>
      <c r="O147" s="282" t="str">
        <f>IFERROR(__xludf.DUMMYFUNCTION("""COMPUTED_VALUE"""),"➖")</f>
        <v>➖</v>
      </c>
      <c r="P147" s="282" t="str">
        <f>IFERROR(__xludf.DUMMYFUNCTION("""COMPUTED_VALUE"""),"➖")</f>
        <v>➖</v>
      </c>
      <c r="Q147" s="282" t="str">
        <f>IFERROR(__xludf.DUMMYFUNCTION("""COMPUTED_VALUE"""),"➖")</f>
        <v>➖</v>
      </c>
      <c r="R147" s="283" t="str">
        <f>IFERROR(__xludf.DUMMYFUNCTION("""COMPUTED_VALUE"""),"   ➖")</f>
        <v>➖</v>
      </c>
      <c r="S147" s="284"/>
      <c r="T147" s="285" t="str">
        <f>IFERROR(__xludf.DUMMYFUNCTION("""COMPUTED_VALUE"""),"➖")</f>
        <v>➖</v>
      </c>
      <c r="U147" s="285" t="str">
        <f>IFERROR(__xludf.DUMMYFUNCTION("""COMPUTED_VALUE"""),"➖")</f>
        <v>➖</v>
      </c>
      <c r="V147" s="259"/>
      <c r="W147" s="286"/>
      <c r="X147" s="286"/>
      <c r="Y147" s="286"/>
    </row>
    <row r="148">
      <c r="A148" s="28"/>
      <c r="B148" s="132"/>
      <c r="C148" s="28"/>
      <c r="D148" s="260" t="str">
        <f>IFERROR(__xludf.DUMMYFUNCTION("""COMPUTED_VALUE"""),"   U")</f>
        <v>U</v>
      </c>
      <c r="E148" s="287" t="str">
        <f>IFERROR(__xludf.DUMMYFUNCTION("""COMPUTED_VALUE"""),"OTTO")</f>
        <v>OTTO</v>
      </c>
      <c r="F148" s="270" t="str">
        <f>IFERROR(__xludf.DUMMYFUNCTION("""COMPUTED_VALUE"""),"OA")</f>
        <v>OA</v>
      </c>
      <c r="G148" s="231" t="str">
        <f>IFERROR(__xludf.DUMMYFUNCTION("""COMPUTED_VALUE"""),"✅")</f>
        <v>✅</v>
      </c>
      <c r="H148" s="231" t="str">
        <f>IFERROR(__xludf.DUMMYFUNCTION("""COMPUTED_VALUE"""),"✅")</f>
        <v>✅</v>
      </c>
      <c r="I148" s="231" t="str">
        <f>IFERROR(__xludf.DUMMYFUNCTION("""COMPUTED_VALUE"""),"✅")</f>
        <v>✅</v>
      </c>
      <c r="J148" s="231" t="str">
        <f>IFERROR(__xludf.DUMMYFUNCTION("""COMPUTED_VALUE"""),"✅")</f>
        <v>✅</v>
      </c>
      <c r="K148" s="288" t="str">
        <f>IFERROR(__xludf.DUMMYFUNCTION("""COMPUTED_VALUE"""),"✅")</f>
        <v>✅</v>
      </c>
      <c r="L148" s="288" t="str">
        <f>IFERROR(__xludf.DUMMYFUNCTION("""COMPUTED_VALUE"""),"✅")</f>
        <v>✅</v>
      </c>
      <c r="M148" s="288" t="str">
        <f>IFERROR(__xludf.DUMMYFUNCTION("""COMPUTED_VALUE"""),"✅")</f>
        <v>✅</v>
      </c>
      <c r="N148" s="288" t="str">
        <f>IFERROR(__xludf.DUMMYFUNCTION("""COMPUTED_VALUE"""),"✅")</f>
        <v>✅</v>
      </c>
      <c r="O148" s="288" t="str">
        <f>IFERROR(__xludf.DUMMYFUNCTION("""COMPUTED_VALUE"""),"✅")</f>
        <v>✅</v>
      </c>
      <c r="P148" s="288" t="str">
        <f>IFERROR(__xludf.DUMMYFUNCTION("""COMPUTED_VALUE"""),"✅")</f>
        <v>✅</v>
      </c>
      <c r="Q148" s="288" t="str">
        <f>IFERROR(__xludf.DUMMYFUNCTION("""COMPUTED_VALUE"""),"✅")</f>
        <v>✅</v>
      </c>
      <c r="R148" s="257" t="str">
        <f>IFERROR(__xludf.DUMMYFUNCTION("""COMPUTED_VALUE"""),"   ✅")</f>
        <v>✅</v>
      </c>
      <c r="S148" s="258"/>
      <c r="T148" s="255" t="str">
        <f>IFERROR(__xludf.DUMMYFUNCTION("""COMPUTED_VALUE"""),"➖")</f>
        <v>➖</v>
      </c>
      <c r="U148" s="255" t="str">
        <f>IFERROR(__xludf.DUMMYFUNCTION("""COMPUTED_VALUE"""),"➖")</f>
        <v>➖</v>
      </c>
      <c r="V148" s="259"/>
      <c r="W148" s="286"/>
      <c r="X148" s="286"/>
      <c r="Y148" s="286"/>
    </row>
    <row r="149">
      <c r="A149" s="28"/>
      <c r="B149" s="128"/>
      <c r="C149" s="28"/>
      <c r="D149" s="250" t="str">
        <f>IFERROR(__xludf.DUMMYFUNCTION("""COMPUTED_VALUE"""),"   U")</f>
        <v>U</v>
      </c>
      <c r="E149" s="280" t="str">
        <f>IFERROR(__xludf.DUMMYFUNCTION("""COMPUTED_VALUE"""),"KATI")</f>
        <v>KATI</v>
      </c>
      <c r="F149" s="271" t="str">
        <f>IFERROR(__xludf.DUMMYFUNCTION("""COMPUTED_VALUE"""),"CM")</f>
        <v>CM</v>
      </c>
      <c r="G149" s="281" t="str">
        <f>IFERROR(__xludf.DUMMYFUNCTION("""COMPUTED_VALUE"""),"➖")</f>
        <v>➖</v>
      </c>
      <c r="H149" s="281" t="str">
        <f>IFERROR(__xludf.DUMMYFUNCTION("""COMPUTED_VALUE"""),"✅")</f>
        <v>✅</v>
      </c>
      <c r="I149" s="281" t="str">
        <f>IFERROR(__xludf.DUMMYFUNCTION("""COMPUTED_VALUE"""),"➖")</f>
        <v>➖</v>
      </c>
      <c r="J149" s="281" t="str">
        <f>IFERROR(__xludf.DUMMYFUNCTION("""COMPUTED_VALUE"""),"➖")</f>
        <v>➖</v>
      </c>
      <c r="K149" s="282" t="str">
        <f>IFERROR(__xludf.DUMMYFUNCTION("""COMPUTED_VALUE"""),"➖")</f>
        <v>➖</v>
      </c>
      <c r="L149" s="282" t="str">
        <f>IFERROR(__xludf.DUMMYFUNCTION("""COMPUTED_VALUE"""),"➖")</f>
        <v>➖</v>
      </c>
      <c r="M149" s="282" t="str">
        <f>IFERROR(__xludf.DUMMYFUNCTION("""COMPUTED_VALUE"""),"➖")</f>
        <v>➖</v>
      </c>
      <c r="N149" s="282" t="str">
        <f>IFERROR(__xludf.DUMMYFUNCTION("""COMPUTED_VALUE"""),"➖")</f>
        <v>➖</v>
      </c>
      <c r="O149" s="282" t="str">
        <f>IFERROR(__xludf.DUMMYFUNCTION("""COMPUTED_VALUE"""),"➖")</f>
        <v>➖</v>
      </c>
      <c r="P149" s="282" t="str">
        <f>IFERROR(__xludf.DUMMYFUNCTION("""COMPUTED_VALUE"""),"➖")</f>
        <v>➖</v>
      </c>
      <c r="Q149" s="282" t="str">
        <f>IFERROR(__xludf.DUMMYFUNCTION("""COMPUTED_VALUE"""),"➖")</f>
        <v>➖</v>
      </c>
      <c r="R149" s="283" t="str">
        <f>IFERROR(__xludf.DUMMYFUNCTION("""COMPUTED_VALUE"""),"   ➖")</f>
        <v>➖</v>
      </c>
      <c r="S149" s="284"/>
      <c r="T149" s="285" t="str">
        <f>IFERROR(__xludf.DUMMYFUNCTION("""COMPUTED_VALUE"""),"➖")</f>
        <v>➖</v>
      </c>
      <c r="U149" s="285" t="str">
        <f>IFERROR(__xludf.DUMMYFUNCTION("""COMPUTED_VALUE"""),"➖")</f>
        <v>➖</v>
      </c>
      <c r="V149" s="259"/>
      <c r="W149" s="286"/>
      <c r="X149" s="286"/>
      <c r="Y149" s="286"/>
    </row>
    <row r="150">
      <c r="A150" s="28"/>
      <c r="B150" s="132"/>
      <c r="C150" s="28"/>
      <c r="D150" s="260" t="str">
        <f>IFERROR(__xludf.DUMMYFUNCTION("""COMPUTED_VALUE"""),"   U")</f>
        <v>U</v>
      </c>
      <c r="E150" s="287" t="str">
        <f>IFERROR(__xludf.DUMMYFUNCTION("""COMPUTED_VALUE"""),"KATI")</f>
        <v>KATI</v>
      </c>
      <c r="F150" s="270" t="str">
        <f>IFERROR(__xludf.DUMMYFUNCTION("""COMPUTED_VALUE"""),"OA")</f>
        <v>OA</v>
      </c>
      <c r="G150" s="231" t="str">
        <f>IFERROR(__xludf.DUMMYFUNCTION("""COMPUTED_VALUE"""),"➖")</f>
        <v>➖</v>
      </c>
      <c r="H150" s="231" t="str">
        <f>IFERROR(__xludf.DUMMYFUNCTION("""COMPUTED_VALUE"""),"✅")</f>
        <v>✅</v>
      </c>
      <c r="I150" s="231" t="str">
        <f>IFERROR(__xludf.DUMMYFUNCTION("""COMPUTED_VALUE"""),"➖")</f>
        <v>➖</v>
      </c>
      <c r="J150" s="231" t="str">
        <f>IFERROR(__xludf.DUMMYFUNCTION("""COMPUTED_VALUE"""),"➖")</f>
        <v>➖</v>
      </c>
      <c r="K150" s="288" t="str">
        <f>IFERROR(__xludf.DUMMYFUNCTION("""COMPUTED_VALUE"""),"➖")</f>
        <v>➖</v>
      </c>
      <c r="L150" s="288" t="str">
        <f>IFERROR(__xludf.DUMMYFUNCTION("""COMPUTED_VALUE"""),"➖")</f>
        <v>➖</v>
      </c>
      <c r="M150" s="288" t="str">
        <f>IFERROR(__xludf.DUMMYFUNCTION("""COMPUTED_VALUE"""),"➖")</f>
        <v>➖</v>
      </c>
      <c r="N150" s="288" t="str">
        <f>IFERROR(__xludf.DUMMYFUNCTION("""COMPUTED_VALUE"""),"➖")</f>
        <v>➖</v>
      </c>
      <c r="O150" s="288" t="str">
        <f>IFERROR(__xludf.DUMMYFUNCTION("""COMPUTED_VALUE"""),"➖")</f>
        <v>➖</v>
      </c>
      <c r="P150" s="288" t="str">
        <f>IFERROR(__xludf.DUMMYFUNCTION("""COMPUTED_VALUE"""),"➖")</f>
        <v>➖</v>
      </c>
      <c r="Q150" s="288" t="str">
        <f>IFERROR(__xludf.DUMMYFUNCTION("""COMPUTED_VALUE"""),"➖")</f>
        <v>➖</v>
      </c>
      <c r="R150" s="257" t="str">
        <f>IFERROR(__xludf.DUMMYFUNCTION("""COMPUTED_VALUE"""),"   ➖")</f>
        <v>➖</v>
      </c>
      <c r="S150" s="258"/>
      <c r="T150" s="255" t="str">
        <f>IFERROR(__xludf.DUMMYFUNCTION("""COMPUTED_VALUE"""),"➖")</f>
        <v>➖</v>
      </c>
      <c r="U150" s="255" t="str">
        <f>IFERROR(__xludf.DUMMYFUNCTION("""COMPUTED_VALUE"""),"➖")</f>
        <v>➖</v>
      </c>
      <c r="V150" s="259"/>
      <c r="W150" s="286"/>
      <c r="X150" s="286"/>
      <c r="Y150" s="286"/>
    </row>
    <row r="151">
      <c r="A151" s="28"/>
      <c r="B151" s="128"/>
      <c r="C151" s="28"/>
      <c r="D151" s="250" t="str">
        <f>IFERROR(__xludf.DUMMYFUNCTION("""COMPUTED_VALUE"""),"   R")</f>
        <v>R</v>
      </c>
      <c r="E151" s="280" t="str">
        <f>IFERROR(__xludf.DUMMYFUNCTION("""COMPUTED_VALUE"""),"NAVI")</f>
        <v>NAVI</v>
      </c>
      <c r="F151" s="271" t="str">
        <f>IFERROR(__xludf.DUMMYFUNCTION("""COMPUTED_VALUE"""),"CM")</f>
        <v>CM</v>
      </c>
      <c r="G151" s="281" t="str">
        <f>IFERROR(__xludf.DUMMYFUNCTION("""COMPUTED_VALUE"""),"✴️")</f>
        <v>✴️</v>
      </c>
      <c r="H151" s="281" t="str">
        <f>IFERROR(__xludf.DUMMYFUNCTION("""COMPUTED_VALUE"""),"✴️")</f>
        <v>✴️</v>
      </c>
      <c r="I151" s="281" t="str">
        <f>IFERROR(__xludf.DUMMYFUNCTION("""COMPUTED_VALUE"""),"✴️")</f>
        <v>✴️</v>
      </c>
      <c r="J151" s="281" t="str">
        <f>IFERROR(__xludf.DUMMYFUNCTION("""COMPUTED_VALUE"""),"✴️")</f>
        <v>✴️</v>
      </c>
      <c r="K151" s="282" t="str">
        <f>IFERROR(__xludf.DUMMYFUNCTION("""COMPUTED_VALUE"""),"✴️")</f>
        <v>✴️</v>
      </c>
      <c r="L151" s="282" t="str">
        <f>IFERROR(__xludf.DUMMYFUNCTION("""COMPUTED_VALUE"""),"✴️")</f>
        <v>✴️</v>
      </c>
      <c r="M151" s="282" t="str">
        <f>IFERROR(__xludf.DUMMYFUNCTION("""COMPUTED_VALUE"""),"✴️")</f>
        <v>✴️</v>
      </c>
      <c r="N151" s="282" t="str">
        <f>IFERROR(__xludf.DUMMYFUNCTION("""COMPUTED_VALUE"""),"✴️")</f>
        <v>✴️</v>
      </c>
      <c r="O151" s="282" t="str">
        <f>IFERROR(__xludf.DUMMYFUNCTION("""COMPUTED_VALUE"""),"✴️")</f>
        <v>✴️</v>
      </c>
      <c r="P151" s="282" t="str">
        <f>IFERROR(__xludf.DUMMYFUNCTION("""COMPUTED_VALUE"""),"✴️")</f>
        <v>✴️</v>
      </c>
      <c r="Q151" s="282" t="str">
        <f>IFERROR(__xludf.DUMMYFUNCTION("""COMPUTED_VALUE"""),"✴️")</f>
        <v>✴️</v>
      </c>
      <c r="R151" s="283" t="str">
        <f>IFERROR(__xludf.DUMMYFUNCTION("""COMPUTED_VALUE"""),"   ✴️")</f>
        <v>✴️</v>
      </c>
      <c r="S151" s="284" t="str">
        <f>IFERROR(__xludf.DUMMYFUNCTION("""COMPUTED_VALUE"""),"SelfHasHullBreach")</f>
        <v>SelfHasHullBreach</v>
      </c>
      <c r="T151" s="285" t="str">
        <f>IFERROR(__xludf.DUMMYFUNCTION("""COMPUTED_VALUE"""),"➖")</f>
        <v>➖</v>
      </c>
      <c r="U151" s="285" t="str">
        <f>IFERROR(__xludf.DUMMYFUNCTION("""COMPUTED_VALUE"""),"➖")</f>
        <v>➖</v>
      </c>
      <c r="V151" s="259"/>
      <c r="W151" s="286"/>
      <c r="X151" s="286"/>
      <c r="Y151" s="286"/>
    </row>
    <row r="152">
      <c r="A152" s="28"/>
      <c r="B152" s="132"/>
      <c r="C152" s="28"/>
      <c r="D152" s="260" t="str">
        <f>IFERROR(__xludf.DUMMYFUNCTION("""COMPUTED_VALUE"""),"   R")</f>
        <v>R</v>
      </c>
      <c r="E152" s="287" t="str">
        <f>IFERROR(__xludf.DUMMYFUNCTION("""COMPUTED_VALUE"""),"NAVI")</f>
        <v>NAVI</v>
      </c>
      <c r="F152" s="270" t="str">
        <f>IFERROR(__xludf.DUMMYFUNCTION("""COMPUTED_VALUE"""),"OA")</f>
        <v>OA</v>
      </c>
      <c r="G152" s="231" t="str">
        <f>IFERROR(__xludf.DUMMYFUNCTION("""COMPUTED_VALUE"""),"✴️")</f>
        <v>✴️</v>
      </c>
      <c r="H152" s="231" t="str">
        <f>IFERROR(__xludf.DUMMYFUNCTION("""COMPUTED_VALUE"""),"✴️")</f>
        <v>✴️</v>
      </c>
      <c r="I152" s="231" t="str">
        <f>IFERROR(__xludf.DUMMYFUNCTION("""COMPUTED_VALUE"""),"✴️")</f>
        <v>✴️</v>
      </c>
      <c r="J152" s="231" t="str">
        <f>IFERROR(__xludf.DUMMYFUNCTION("""COMPUTED_VALUE"""),"✴️")</f>
        <v>✴️</v>
      </c>
      <c r="K152" s="288" t="str">
        <f>IFERROR(__xludf.DUMMYFUNCTION("""COMPUTED_VALUE"""),"✴️")</f>
        <v>✴️</v>
      </c>
      <c r="L152" s="288" t="str">
        <f>IFERROR(__xludf.DUMMYFUNCTION("""COMPUTED_VALUE"""),"✴️")</f>
        <v>✴️</v>
      </c>
      <c r="M152" s="288" t="str">
        <f>IFERROR(__xludf.DUMMYFUNCTION("""COMPUTED_VALUE"""),"✴️")</f>
        <v>✴️</v>
      </c>
      <c r="N152" s="288" t="str">
        <f>IFERROR(__xludf.DUMMYFUNCTION("""COMPUTED_VALUE"""),"✴️")</f>
        <v>✴️</v>
      </c>
      <c r="O152" s="288" t="str">
        <f>IFERROR(__xludf.DUMMYFUNCTION("""COMPUTED_VALUE"""),"✴️")</f>
        <v>✴️</v>
      </c>
      <c r="P152" s="288" t="str">
        <f>IFERROR(__xludf.DUMMYFUNCTION("""COMPUTED_VALUE"""),"✴️")</f>
        <v>✴️</v>
      </c>
      <c r="Q152" s="288" t="str">
        <f>IFERROR(__xludf.DUMMYFUNCTION("""COMPUTED_VALUE"""),"✴️")</f>
        <v>✴️</v>
      </c>
      <c r="R152" s="257" t="str">
        <f>IFERROR(__xludf.DUMMYFUNCTION("""COMPUTED_VALUE"""),"   ✴️")</f>
        <v>✴️</v>
      </c>
      <c r="S152" s="258" t="str">
        <f>IFERROR(__xludf.DUMMYFUNCTION("""COMPUTED_VALUE"""),"SelfHasHullBreach")</f>
        <v>SelfHasHullBreach</v>
      </c>
      <c r="T152" s="255" t="str">
        <f>IFERROR(__xludf.DUMMYFUNCTION("""COMPUTED_VALUE"""),"➖")</f>
        <v>➖</v>
      </c>
      <c r="U152" s="255" t="str">
        <f>IFERROR(__xludf.DUMMYFUNCTION("""COMPUTED_VALUE"""),"➖")</f>
        <v>➖</v>
      </c>
      <c r="V152" s="259"/>
      <c r="W152" s="286"/>
      <c r="X152" s="286"/>
      <c r="Y152" s="286"/>
    </row>
    <row r="153">
      <c r="A153" s="28"/>
      <c r="B153" s="128"/>
      <c r="C153" s="28"/>
      <c r="D153" s="250" t="str">
        <f>IFERROR(__xludf.DUMMYFUNCTION("""COMPUTED_VALUE"""),"   R")</f>
        <v>R</v>
      </c>
      <c r="E153" s="280" t="str">
        <f>IFERROR(__xludf.DUMMYFUNCTION("""COMPUTED_VALUE"""),"PAN")</f>
        <v>PAN</v>
      </c>
      <c r="F153" s="271" t="str">
        <f>IFERROR(__xludf.DUMMYFUNCTION("""COMPUTED_VALUE"""),"CM")</f>
        <v>CM</v>
      </c>
      <c r="G153" s="281" t="str">
        <f>IFERROR(__xludf.DUMMYFUNCTION("""COMPUTED_VALUE"""),"➖")</f>
        <v>➖</v>
      </c>
      <c r="H153" s="281" t="str">
        <f>IFERROR(__xludf.DUMMYFUNCTION("""COMPUTED_VALUE"""),"➖")</f>
        <v>➖</v>
      </c>
      <c r="I153" s="281" t="str">
        <f>IFERROR(__xludf.DUMMYFUNCTION("""COMPUTED_VALUE"""),"➖")</f>
        <v>➖</v>
      </c>
      <c r="J153" s="281" t="str">
        <f>IFERROR(__xludf.DUMMYFUNCTION("""COMPUTED_VALUE"""),"➖")</f>
        <v>➖</v>
      </c>
      <c r="K153" s="282" t="str">
        <f>IFERROR(__xludf.DUMMYFUNCTION("""COMPUTED_VALUE"""),"➖")</f>
        <v>➖</v>
      </c>
      <c r="L153" s="282" t="str">
        <f>IFERROR(__xludf.DUMMYFUNCTION("""COMPUTED_VALUE"""),"➖")</f>
        <v>➖</v>
      </c>
      <c r="M153" s="282" t="str">
        <f>IFERROR(__xludf.DUMMYFUNCTION("""COMPUTED_VALUE"""),"➖")</f>
        <v>➖</v>
      </c>
      <c r="N153" s="282" t="str">
        <f>IFERROR(__xludf.DUMMYFUNCTION("""COMPUTED_VALUE"""),"➖")</f>
        <v>➖</v>
      </c>
      <c r="O153" s="282" t="str">
        <f>IFERROR(__xludf.DUMMYFUNCTION("""COMPUTED_VALUE"""),"➖")</f>
        <v>➖</v>
      </c>
      <c r="P153" s="282" t="str">
        <f>IFERROR(__xludf.DUMMYFUNCTION("""COMPUTED_VALUE"""),"➖")</f>
        <v>➖</v>
      </c>
      <c r="Q153" s="282" t="str">
        <f>IFERROR(__xludf.DUMMYFUNCTION("""COMPUTED_VALUE"""),"➖")</f>
        <v>➖</v>
      </c>
      <c r="R153" s="283" t="str">
        <f>IFERROR(__xludf.DUMMYFUNCTION("""COMPUTED_VALUE"""),"   ➖")</f>
        <v>➖</v>
      </c>
      <c r="S153" s="284"/>
      <c r="T153" s="285" t="str">
        <f>IFERROR(__xludf.DUMMYFUNCTION("""COMPUTED_VALUE"""),"➖")</f>
        <v>➖</v>
      </c>
      <c r="U153" s="285" t="str">
        <f>IFERROR(__xludf.DUMMYFUNCTION("""COMPUTED_VALUE"""),"✅")</f>
        <v>✅</v>
      </c>
      <c r="V153" s="259"/>
      <c r="W153" s="286"/>
      <c r="X153" s="286"/>
      <c r="Y153" s="286"/>
    </row>
    <row r="154">
      <c r="A154" s="28"/>
      <c r="B154" s="132"/>
      <c r="C154" s="28"/>
      <c r="D154" s="260" t="str">
        <f>IFERROR(__xludf.DUMMYFUNCTION("""COMPUTED_VALUE"""),"   R")</f>
        <v>R</v>
      </c>
      <c r="E154" s="287" t="str">
        <f>IFERROR(__xludf.DUMMYFUNCTION("""COMPUTED_VALUE"""),"PAN")</f>
        <v>PAN</v>
      </c>
      <c r="F154" s="270" t="str">
        <f>IFERROR(__xludf.DUMMYFUNCTION("""COMPUTED_VALUE"""),"OA")</f>
        <v>OA</v>
      </c>
      <c r="G154" s="231" t="str">
        <f>IFERROR(__xludf.DUMMYFUNCTION("""COMPUTED_VALUE"""),"✅")</f>
        <v>✅</v>
      </c>
      <c r="H154" s="231" t="str">
        <f>IFERROR(__xludf.DUMMYFUNCTION("""COMPUTED_VALUE"""),"✅")</f>
        <v>✅</v>
      </c>
      <c r="I154" s="231" t="str">
        <f>IFERROR(__xludf.DUMMYFUNCTION("""COMPUTED_VALUE"""),"✅")</f>
        <v>✅</v>
      </c>
      <c r="J154" s="231" t="str">
        <f>IFERROR(__xludf.DUMMYFUNCTION("""COMPUTED_VALUE"""),"✅")</f>
        <v>✅</v>
      </c>
      <c r="K154" s="288" t="str">
        <f>IFERROR(__xludf.DUMMYFUNCTION("""COMPUTED_VALUE"""),"✅")</f>
        <v>✅</v>
      </c>
      <c r="L154" s="288" t="str">
        <f>IFERROR(__xludf.DUMMYFUNCTION("""COMPUTED_VALUE"""),"✅")</f>
        <v>✅</v>
      </c>
      <c r="M154" s="288" t="str">
        <f>IFERROR(__xludf.DUMMYFUNCTION("""COMPUTED_VALUE"""),"✅")</f>
        <v>✅</v>
      </c>
      <c r="N154" s="288" t="str">
        <f>IFERROR(__xludf.DUMMYFUNCTION("""COMPUTED_VALUE"""),"✅")</f>
        <v>✅</v>
      </c>
      <c r="O154" s="288" t="str">
        <f>IFERROR(__xludf.DUMMYFUNCTION("""COMPUTED_VALUE"""),"✅")</f>
        <v>✅</v>
      </c>
      <c r="P154" s="288" t="str">
        <f>IFERROR(__xludf.DUMMYFUNCTION("""COMPUTED_VALUE"""),"✅")</f>
        <v>✅</v>
      </c>
      <c r="Q154" s="288" t="str">
        <f>IFERROR(__xludf.DUMMYFUNCTION("""COMPUTED_VALUE"""),"✅")</f>
        <v>✅</v>
      </c>
      <c r="R154" s="257" t="str">
        <f>IFERROR(__xludf.DUMMYFUNCTION("""COMPUTED_VALUE"""),"   ✅")</f>
        <v>✅</v>
      </c>
      <c r="S154" s="258"/>
      <c r="T154" s="255" t="str">
        <f>IFERROR(__xludf.DUMMYFUNCTION("""COMPUTED_VALUE"""),"➖")</f>
        <v>➖</v>
      </c>
      <c r="U154" s="255" t="str">
        <f>IFERROR(__xludf.DUMMYFUNCTION("""COMPUTED_VALUE"""),"➖")</f>
        <v>➖</v>
      </c>
      <c r="V154" s="259"/>
      <c r="W154" s="286"/>
      <c r="X154" s="286"/>
      <c r="Y154" s="286"/>
    </row>
    <row r="155">
      <c r="A155" s="28"/>
      <c r="B155" s="128"/>
      <c r="C155" s="28"/>
      <c r="D155" s="250" t="str">
        <f>IFERROR(__xludf.DUMMYFUNCTION("""COMPUTED_VALUE"""),"   R")</f>
        <v>R</v>
      </c>
      <c r="E155" s="280" t="str">
        <f>IFERROR(__xludf.DUMMYFUNCTION("""COMPUTED_VALUE"""),"RIMA")</f>
        <v>RIMA</v>
      </c>
      <c r="F155" s="271" t="str">
        <f>IFERROR(__xludf.DUMMYFUNCTION("""COMPUTED_VALUE"""),"CM")</f>
        <v>CM</v>
      </c>
      <c r="G155" s="281" t="str">
        <f>IFERROR(__xludf.DUMMYFUNCTION("""COMPUTED_VALUE"""),"✴️")</f>
        <v>✴️</v>
      </c>
      <c r="H155" s="281" t="str">
        <f>IFERROR(__xludf.DUMMYFUNCTION("""COMPUTED_VALUE"""),"✴️")</f>
        <v>✴️</v>
      </c>
      <c r="I155" s="281" t="str">
        <f>IFERROR(__xludf.DUMMYFUNCTION("""COMPUTED_VALUE"""),"✴️")</f>
        <v>✴️</v>
      </c>
      <c r="J155" s="281" t="str">
        <f>IFERROR(__xludf.DUMMYFUNCTION("""COMPUTED_VALUE"""),"✴️")</f>
        <v>✴️</v>
      </c>
      <c r="K155" s="282" t="str">
        <f>IFERROR(__xludf.DUMMYFUNCTION("""COMPUTED_VALUE"""),"✴️")</f>
        <v>✴️</v>
      </c>
      <c r="L155" s="282" t="str">
        <f>IFERROR(__xludf.DUMMYFUNCTION("""COMPUTED_VALUE"""),"✴️")</f>
        <v>✴️</v>
      </c>
      <c r="M155" s="282" t="str">
        <f>IFERROR(__xludf.DUMMYFUNCTION("""COMPUTED_VALUE"""),"✴️")</f>
        <v>✴️</v>
      </c>
      <c r="N155" s="282" t="str">
        <f>IFERROR(__xludf.DUMMYFUNCTION("""COMPUTED_VALUE"""),"✴️")</f>
        <v>✴️</v>
      </c>
      <c r="O155" s="282" t="str">
        <f>IFERROR(__xludf.DUMMYFUNCTION("""COMPUTED_VALUE"""),"✴️")</f>
        <v>✴️</v>
      </c>
      <c r="P155" s="282" t="str">
        <f>IFERROR(__xludf.DUMMYFUNCTION("""COMPUTED_VALUE"""),"✴️")</f>
        <v>✴️</v>
      </c>
      <c r="Q155" s="282" t="str">
        <f>IFERROR(__xludf.DUMMYFUNCTION("""COMPUTED_VALUE"""),"✴️")</f>
        <v>✴️</v>
      </c>
      <c r="R155" s="283" t="str">
        <f>IFERROR(__xludf.DUMMYFUNCTION("""COMPUTED_VALUE"""),"   ✴️")</f>
        <v>✴️</v>
      </c>
      <c r="S155" s="284" t="str">
        <f>IFERROR(__xludf.DUMMYFUNCTION("""COMPUTED_VALUE"""),"SelfHasHullBreach")</f>
        <v>SelfHasHullBreach</v>
      </c>
      <c r="T155" s="285" t="str">
        <f>IFERROR(__xludf.DUMMYFUNCTION("""COMPUTED_VALUE"""),"➖")</f>
        <v>➖</v>
      </c>
      <c r="U155" s="285" t="str">
        <f>IFERROR(__xludf.DUMMYFUNCTION("""COMPUTED_VALUE"""),"➖")</f>
        <v>➖</v>
      </c>
      <c r="V155" s="259"/>
      <c r="W155" s="286"/>
      <c r="X155" s="286"/>
      <c r="Y155" s="286"/>
    </row>
    <row r="156">
      <c r="A156" s="28"/>
      <c r="B156" s="132"/>
      <c r="C156" s="28"/>
      <c r="D156" s="260" t="str">
        <f>IFERROR(__xludf.DUMMYFUNCTION("""COMPUTED_VALUE"""),"   R")</f>
        <v>R</v>
      </c>
      <c r="E156" s="287" t="str">
        <f>IFERROR(__xludf.DUMMYFUNCTION("""COMPUTED_VALUE"""),"RIMA")</f>
        <v>RIMA</v>
      </c>
      <c r="F156" s="270" t="str">
        <f>IFERROR(__xludf.DUMMYFUNCTION("""COMPUTED_VALUE"""),"OA")</f>
        <v>OA</v>
      </c>
      <c r="G156" s="231" t="str">
        <f>IFERROR(__xludf.DUMMYFUNCTION("""COMPUTED_VALUE"""),"✴️")</f>
        <v>✴️</v>
      </c>
      <c r="H156" s="231" t="str">
        <f>IFERROR(__xludf.DUMMYFUNCTION("""COMPUTED_VALUE"""),"✴️")</f>
        <v>✴️</v>
      </c>
      <c r="I156" s="231" t="str">
        <f>IFERROR(__xludf.DUMMYFUNCTION("""COMPUTED_VALUE"""),"✴️")</f>
        <v>✴️</v>
      </c>
      <c r="J156" s="231" t="str">
        <f>IFERROR(__xludf.DUMMYFUNCTION("""COMPUTED_VALUE"""),"✴️")</f>
        <v>✴️</v>
      </c>
      <c r="K156" s="288" t="str">
        <f>IFERROR(__xludf.DUMMYFUNCTION("""COMPUTED_VALUE"""),"✴️")</f>
        <v>✴️</v>
      </c>
      <c r="L156" s="288" t="str">
        <f>IFERROR(__xludf.DUMMYFUNCTION("""COMPUTED_VALUE"""),"✴️")</f>
        <v>✴️</v>
      </c>
      <c r="M156" s="288" t="str">
        <f>IFERROR(__xludf.DUMMYFUNCTION("""COMPUTED_VALUE"""),"✴️")</f>
        <v>✴️</v>
      </c>
      <c r="N156" s="288" t="str">
        <f>IFERROR(__xludf.DUMMYFUNCTION("""COMPUTED_VALUE"""),"✴️")</f>
        <v>✴️</v>
      </c>
      <c r="O156" s="288" t="str">
        <f>IFERROR(__xludf.DUMMYFUNCTION("""COMPUTED_VALUE"""),"✴️")</f>
        <v>✴️</v>
      </c>
      <c r="P156" s="288" t="str">
        <f>IFERROR(__xludf.DUMMYFUNCTION("""COMPUTED_VALUE"""),"✴️")</f>
        <v>✴️</v>
      </c>
      <c r="Q156" s="288" t="str">
        <f>IFERROR(__xludf.DUMMYFUNCTION("""COMPUTED_VALUE"""),"✴️")</f>
        <v>✴️</v>
      </c>
      <c r="R156" s="257" t="str">
        <f>IFERROR(__xludf.DUMMYFUNCTION("""COMPUTED_VALUE"""),"   ✴️")</f>
        <v>✴️</v>
      </c>
      <c r="S156" s="258" t="str">
        <f>IFERROR(__xludf.DUMMYFUNCTION("""COMPUTED_VALUE"""),"SelfHasHullBreach")</f>
        <v>SelfHasHullBreach</v>
      </c>
      <c r="T156" s="255" t="str">
        <f>IFERROR(__xludf.DUMMYFUNCTION("""COMPUTED_VALUE"""),"➖")</f>
        <v>➖</v>
      </c>
      <c r="U156" s="255" t="str">
        <f>IFERROR(__xludf.DUMMYFUNCTION("""COMPUTED_VALUE"""),"➖")</f>
        <v>➖</v>
      </c>
      <c r="V156" s="259"/>
      <c r="W156" s="286"/>
      <c r="X156" s="286"/>
      <c r="Y156" s="286"/>
    </row>
    <row r="157">
      <c r="A157" s="28"/>
      <c r="B157" s="128"/>
      <c r="C157" s="28"/>
      <c r="D157" s="250" t="str">
        <f>IFERROR(__xludf.DUMMYFUNCTION("""COMPUTED_VALUE"""),"   E")</f>
        <v>E</v>
      </c>
      <c r="E157" s="280" t="str">
        <f>IFERROR(__xludf.DUMMYFUNCTION("""COMPUTED_VALUE"""),"MUDD")</f>
        <v>MUDD</v>
      </c>
      <c r="F157" s="271" t="str">
        <f>IFERROR(__xludf.DUMMYFUNCTION("""COMPUTED_VALUE"""),"CM")</f>
        <v>CM</v>
      </c>
      <c r="G157" s="281" t="str">
        <f>IFERROR(__xludf.DUMMYFUNCTION("""COMPUTED_VALUE"""),"➖")</f>
        <v>➖</v>
      </c>
      <c r="H157" s="281" t="str">
        <f>IFERROR(__xludf.DUMMYFUNCTION("""COMPUTED_VALUE"""),"➖")</f>
        <v>➖</v>
      </c>
      <c r="I157" s="281" t="str">
        <f>IFERROR(__xludf.DUMMYFUNCTION("""COMPUTED_VALUE"""),"➖")</f>
        <v>➖</v>
      </c>
      <c r="J157" s="281" t="str">
        <f>IFERROR(__xludf.DUMMYFUNCTION("""COMPUTED_VALUE"""),"➖")</f>
        <v>➖</v>
      </c>
      <c r="K157" s="282" t="str">
        <f>IFERROR(__xludf.DUMMYFUNCTION("""COMPUTED_VALUE"""),"➖")</f>
        <v>➖</v>
      </c>
      <c r="L157" s="282" t="str">
        <f>IFERROR(__xludf.DUMMYFUNCTION("""COMPUTED_VALUE"""),"➖")</f>
        <v>➖</v>
      </c>
      <c r="M157" s="282" t="str">
        <f>IFERROR(__xludf.DUMMYFUNCTION("""COMPUTED_VALUE"""),"✴️")</f>
        <v>✴️</v>
      </c>
      <c r="N157" s="282" t="str">
        <f>IFERROR(__xludf.DUMMYFUNCTION("""COMPUTED_VALUE"""),"✴️")</f>
        <v>✴️</v>
      </c>
      <c r="O157" s="282" t="str">
        <f>IFERROR(__xludf.DUMMYFUNCTION("""COMPUTED_VALUE"""),"➖")</f>
        <v>➖</v>
      </c>
      <c r="P157" s="282" t="str">
        <f>IFERROR(__xludf.DUMMYFUNCTION("""COMPUTED_VALUE"""),"➖")</f>
        <v>➖</v>
      </c>
      <c r="Q157" s="282" t="str">
        <f>IFERROR(__xludf.DUMMYFUNCTION("""COMPUTED_VALUE"""),"➖")</f>
        <v>➖</v>
      </c>
      <c r="R157" s="283" t="str">
        <f>IFERROR(__xludf.DUMMYFUNCTION("""COMPUTED_VALUE"""),"   ➖")</f>
        <v>➖</v>
      </c>
      <c r="S157" s="284" t="str">
        <f>IFERROR(__xludf.DUMMYFUNCTION("""COMPUTED_VALUE"""),"target level 70 or under")</f>
        <v>target level 70 or under</v>
      </c>
      <c r="T157" s="285" t="str">
        <f>IFERROR(__xludf.DUMMYFUNCTION("""COMPUTED_VALUE"""),"➖")</f>
        <v>➖</v>
      </c>
      <c r="U157" s="285" t="str">
        <f>IFERROR(__xludf.DUMMYFUNCTION("""COMPUTED_VALUE"""),"➖")</f>
        <v>➖</v>
      </c>
      <c r="V157" s="259"/>
      <c r="W157" s="286"/>
      <c r="X157" s="286"/>
      <c r="Y157" s="286"/>
    </row>
    <row r="158">
      <c r="A158" s="28"/>
      <c r="B158" s="132"/>
      <c r="C158" s="28"/>
      <c r="D158" s="260" t="str">
        <f>IFERROR(__xludf.DUMMYFUNCTION("""COMPUTED_VALUE"""),"   E")</f>
        <v>E</v>
      </c>
      <c r="E158" s="287" t="str">
        <f>IFERROR(__xludf.DUMMYFUNCTION("""COMPUTED_VALUE"""),"MUDD")</f>
        <v>MUDD</v>
      </c>
      <c r="F158" s="270" t="str">
        <f>IFERROR(__xludf.DUMMYFUNCTION("""COMPUTED_VALUE"""),"OA")</f>
        <v>OA</v>
      </c>
      <c r="G158" s="231" t="str">
        <f>IFERROR(__xludf.DUMMYFUNCTION("""COMPUTED_VALUE"""),"✴️")</f>
        <v>✴️</v>
      </c>
      <c r="H158" s="231" t="str">
        <f>IFERROR(__xludf.DUMMYFUNCTION("""COMPUTED_VALUE"""),"✴️")</f>
        <v>✴️</v>
      </c>
      <c r="I158" s="231" t="str">
        <f>IFERROR(__xludf.DUMMYFUNCTION("""COMPUTED_VALUE"""),"✴️")</f>
        <v>✴️</v>
      </c>
      <c r="J158" s="231" t="str">
        <f>IFERROR(__xludf.DUMMYFUNCTION("""COMPUTED_VALUE"""),"✴️")</f>
        <v>✴️</v>
      </c>
      <c r="K158" s="288" t="str">
        <f>IFERROR(__xludf.DUMMYFUNCTION("""COMPUTED_VALUE"""),"✴️")</f>
        <v>✴️</v>
      </c>
      <c r="L158" s="288" t="str">
        <f>IFERROR(__xludf.DUMMYFUNCTION("""COMPUTED_VALUE"""),"✴️")</f>
        <v>✴️</v>
      </c>
      <c r="M158" s="288" t="str">
        <f>IFERROR(__xludf.DUMMYFUNCTION("""COMPUTED_VALUE"""),"✴️")</f>
        <v>✴️</v>
      </c>
      <c r="N158" s="288" t="str">
        <f>IFERROR(__xludf.DUMMYFUNCTION("""COMPUTED_VALUE"""),"✴️")</f>
        <v>✴️</v>
      </c>
      <c r="O158" s="288" t="str">
        <f>IFERROR(__xludf.DUMMYFUNCTION("""COMPUTED_VALUE"""),"✴️")</f>
        <v>✴️</v>
      </c>
      <c r="P158" s="288" t="str">
        <f>IFERROR(__xludf.DUMMYFUNCTION("""COMPUTED_VALUE"""),"✴️")</f>
        <v>✴️</v>
      </c>
      <c r="Q158" s="288" t="str">
        <f>IFERROR(__xludf.DUMMYFUNCTION("""COMPUTED_VALUE"""),"✴️")</f>
        <v>✴️</v>
      </c>
      <c r="R158" s="257" t="str">
        <f>IFERROR(__xludf.DUMMYFUNCTION("""COMPUTED_VALUE"""),"   ✴️")</f>
        <v>✴️</v>
      </c>
      <c r="S158" s="258" t="str">
        <f>IFERROR(__xludf.DUMMYFUNCTION("""COMPUTED_VALUE"""),"target level 70 or under")</f>
        <v>target level 70 or under</v>
      </c>
      <c r="T158" s="255" t="str">
        <f>IFERROR(__xludf.DUMMYFUNCTION("""COMPUTED_VALUE"""),"➖")</f>
        <v>➖</v>
      </c>
      <c r="U158" s="255" t="str">
        <f>IFERROR(__xludf.DUMMYFUNCTION("""COMPUTED_VALUE"""),"➖")</f>
        <v>➖</v>
      </c>
      <c r="V158" s="259"/>
      <c r="W158" s="286"/>
      <c r="X158" s="286"/>
      <c r="Y158" s="286"/>
    </row>
    <row r="159">
      <c r="A159" s="28"/>
      <c r="B159" s="128"/>
      <c r="C159" s="28"/>
      <c r="D159" s="250" t="str">
        <f>IFERROR(__xludf.DUMMYFUNCTION("""COMPUTED_VALUE"""),"   E")</f>
        <v>E</v>
      </c>
      <c r="E159" s="280" t="str">
        <f>IFERROR(__xludf.DUMMYFUNCTION("""COMPUTED_VALUE"""),"EURYDICE")</f>
        <v>EURYDICE</v>
      </c>
      <c r="F159" s="271" t="str">
        <f>IFERROR(__xludf.DUMMYFUNCTION("""COMPUTED_VALUE"""),"CM")</f>
        <v>CM</v>
      </c>
      <c r="G159" s="281" t="str">
        <f>IFERROR(__xludf.DUMMYFUNCTION("""COMPUTED_VALUE"""),"✴️")</f>
        <v>✴️</v>
      </c>
      <c r="H159" s="281" t="str">
        <f>IFERROR(__xludf.DUMMYFUNCTION("""COMPUTED_VALUE"""),"✴️")</f>
        <v>✴️</v>
      </c>
      <c r="I159" s="281" t="str">
        <f>IFERROR(__xludf.DUMMYFUNCTION("""COMPUTED_VALUE"""),"✴️")</f>
        <v>✴️</v>
      </c>
      <c r="J159" s="281" t="str">
        <f>IFERROR(__xludf.DUMMYFUNCTION("""COMPUTED_VALUE"""),"✴️")</f>
        <v>✴️</v>
      </c>
      <c r="K159" s="282" t="str">
        <f>IFERROR(__xludf.DUMMYFUNCTION("""COMPUTED_VALUE"""),"✴️")</f>
        <v>✴️</v>
      </c>
      <c r="L159" s="282" t="str">
        <f>IFERROR(__xludf.DUMMYFUNCTION("""COMPUTED_VALUE"""),"✴️")</f>
        <v>✴️</v>
      </c>
      <c r="M159" s="282" t="str">
        <f>IFERROR(__xludf.DUMMYFUNCTION("""COMPUTED_VALUE"""),"✴️")</f>
        <v>✴️</v>
      </c>
      <c r="N159" s="282" t="str">
        <f>IFERROR(__xludf.DUMMYFUNCTION("""COMPUTED_VALUE"""),"✴️")</f>
        <v>✴️</v>
      </c>
      <c r="O159" s="282" t="str">
        <f>IFERROR(__xludf.DUMMYFUNCTION("""COMPUTED_VALUE"""),"✴️")</f>
        <v>✴️</v>
      </c>
      <c r="P159" s="282" t="str">
        <f>IFERROR(__xludf.DUMMYFUNCTION("""COMPUTED_VALUE"""),"✴️")</f>
        <v>✴️</v>
      </c>
      <c r="Q159" s="282" t="str">
        <f>IFERROR(__xludf.DUMMYFUNCTION("""COMPUTED_VALUE"""),"✴️")</f>
        <v>✴️</v>
      </c>
      <c r="R159" s="283" t="str">
        <f>IFERROR(__xludf.DUMMYFUNCTION("""COMPUTED_VALUE"""),"   ✴️")</f>
        <v>✴️</v>
      </c>
      <c r="S159" s="284" t="str">
        <f>IFERROR(__xludf.DUMMYFUNCTION("""COMPUTED_VALUE"""),"target level 70 or under")</f>
        <v>target level 70 or under</v>
      </c>
      <c r="T159" s="285" t="str">
        <f>IFERROR(__xludf.DUMMYFUNCTION("""COMPUTED_VALUE"""),"➖")</f>
        <v>➖</v>
      </c>
      <c r="U159" s="285" t="str">
        <f>IFERROR(__xludf.DUMMYFUNCTION("""COMPUTED_VALUE"""),"➖")</f>
        <v>➖</v>
      </c>
      <c r="V159" s="259"/>
      <c r="W159" s="286"/>
      <c r="X159" s="286"/>
      <c r="Y159" s="286"/>
    </row>
    <row r="160">
      <c r="A160" s="28"/>
      <c r="B160" s="132"/>
      <c r="C160" s="28"/>
      <c r="D160" s="260" t="str">
        <f>IFERROR(__xludf.DUMMYFUNCTION("""COMPUTED_VALUE"""),"   E")</f>
        <v>E</v>
      </c>
      <c r="E160" s="287" t="str">
        <f>IFERROR(__xludf.DUMMYFUNCTION("""COMPUTED_VALUE"""),"EURYDICE")</f>
        <v>EURYDICE</v>
      </c>
      <c r="F160" s="270" t="str">
        <f>IFERROR(__xludf.DUMMYFUNCTION("""COMPUTED_VALUE"""),"OA")</f>
        <v>OA</v>
      </c>
      <c r="G160" s="231" t="str">
        <f>IFERROR(__xludf.DUMMYFUNCTION("""COMPUTED_VALUE"""),"✴️")</f>
        <v>✴️</v>
      </c>
      <c r="H160" s="231" t="str">
        <f>IFERROR(__xludf.DUMMYFUNCTION("""COMPUTED_VALUE"""),"✴️")</f>
        <v>✴️</v>
      </c>
      <c r="I160" s="231" t="str">
        <f>IFERROR(__xludf.DUMMYFUNCTION("""COMPUTED_VALUE"""),"✴️")</f>
        <v>✴️</v>
      </c>
      <c r="J160" s="231" t="str">
        <f>IFERROR(__xludf.DUMMYFUNCTION("""COMPUTED_VALUE"""),"✴️")</f>
        <v>✴️</v>
      </c>
      <c r="K160" s="288" t="str">
        <f>IFERROR(__xludf.DUMMYFUNCTION("""COMPUTED_VALUE"""),"✴️")</f>
        <v>✴️</v>
      </c>
      <c r="L160" s="288" t="str">
        <f>IFERROR(__xludf.DUMMYFUNCTION("""COMPUTED_VALUE"""),"✴️")</f>
        <v>✴️</v>
      </c>
      <c r="M160" s="288" t="str">
        <f>IFERROR(__xludf.DUMMYFUNCTION("""COMPUTED_VALUE"""),"✴️")</f>
        <v>✴️</v>
      </c>
      <c r="N160" s="288" t="str">
        <f>IFERROR(__xludf.DUMMYFUNCTION("""COMPUTED_VALUE"""),"✴️")</f>
        <v>✴️</v>
      </c>
      <c r="O160" s="288" t="str">
        <f>IFERROR(__xludf.DUMMYFUNCTION("""COMPUTED_VALUE"""),"✴️")</f>
        <v>✴️</v>
      </c>
      <c r="P160" s="288" t="str">
        <f>IFERROR(__xludf.DUMMYFUNCTION("""COMPUTED_VALUE"""),"✴️")</f>
        <v>✴️</v>
      </c>
      <c r="Q160" s="288" t="str">
        <f>IFERROR(__xludf.DUMMYFUNCTION("""COMPUTED_VALUE"""),"✴️")</f>
        <v>✴️</v>
      </c>
      <c r="R160" s="257" t="str">
        <f>IFERROR(__xludf.DUMMYFUNCTION("""COMPUTED_VALUE"""),"   ✴️")</f>
        <v>✴️</v>
      </c>
      <c r="S160" s="258" t="str">
        <f>IFERROR(__xludf.DUMMYFUNCTION("""COMPUTED_VALUE"""),"target level 70 or under")</f>
        <v>target level 70 or under</v>
      </c>
      <c r="T160" s="255" t="str">
        <f>IFERROR(__xludf.DUMMYFUNCTION("""COMPUTED_VALUE"""),"➖")</f>
        <v>➖</v>
      </c>
      <c r="U160" s="255" t="str">
        <f>IFERROR(__xludf.DUMMYFUNCTION("""COMPUTED_VALUE"""),"➖")</f>
        <v>➖</v>
      </c>
      <c r="V160" s="259"/>
      <c r="W160" s="286"/>
      <c r="X160" s="286"/>
      <c r="Y160" s="286"/>
    </row>
    <row r="161">
      <c r="A161" s="28"/>
      <c r="B161" s="128"/>
      <c r="C161" s="28"/>
      <c r="D161" s="250" t="str">
        <f>IFERROR(__xludf.DUMMYFUNCTION("""COMPUTED_VALUE"""),"   C")</f>
        <v>C</v>
      </c>
      <c r="E161" s="280" t="str">
        <f>IFERROR(__xludf.DUMMYFUNCTION("""COMPUTED_VALUE"""),"SESHA")</f>
        <v>SESHA</v>
      </c>
      <c r="F161" s="271" t="str">
        <f>IFERROR(__xludf.DUMMYFUNCTION("""COMPUTED_VALUE"""),"CM")</f>
        <v>CM</v>
      </c>
      <c r="G161" s="281" t="str">
        <f>IFERROR(__xludf.DUMMYFUNCTION("""COMPUTED_VALUE"""),"➖")</f>
        <v>➖</v>
      </c>
      <c r="H161" s="281" t="str">
        <f>IFERROR(__xludf.DUMMYFUNCTION("""COMPUTED_VALUE"""),"➖")</f>
        <v>➖</v>
      </c>
      <c r="I161" s="281" t="str">
        <f>IFERROR(__xludf.DUMMYFUNCTION("""COMPUTED_VALUE"""),"✴️")</f>
        <v>✴️</v>
      </c>
      <c r="J161" s="281" t="str">
        <f>IFERROR(__xludf.DUMMYFUNCTION("""COMPUTED_VALUE"""),"✴️")</f>
        <v>✴️</v>
      </c>
      <c r="K161" s="282" t="str">
        <f>IFERROR(__xludf.DUMMYFUNCTION("""COMPUTED_VALUE"""),"✴️")</f>
        <v>✴️</v>
      </c>
      <c r="L161" s="282" t="str">
        <f>IFERROR(__xludf.DUMMYFUNCTION("""COMPUTED_VALUE"""),"✴️")</f>
        <v>✴️</v>
      </c>
      <c r="M161" s="282" t="str">
        <f>IFERROR(__xludf.DUMMYFUNCTION("""COMPUTED_VALUE"""),"✴️")</f>
        <v>✴️</v>
      </c>
      <c r="N161" s="282" t="str">
        <f>IFERROR(__xludf.DUMMYFUNCTION("""COMPUTED_VALUE"""),"✴️")</f>
        <v>✴️</v>
      </c>
      <c r="O161" s="282" t="str">
        <f>IFERROR(__xludf.DUMMYFUNCTION("""COMPUTED_VALUE"""),"➖")</f>
        <v>➖</v>
      </c>
      <c r="P161" s="282" t="str">
        <f>IFERROR(__xludf.DUMMYFUNCTION("""COMPUTED_VALUE"""),"✴️")</f>
        <v>✴️</v>
      </c>
      <c r="Q161" s="282" t="str">
        <f>IFERROR(__xludf.DUMMYFUNCTION("""COMPUTED_VALUE"""),"➖")</f>
        <v>➖</v>
      </c>
      <c r="R161" s="283" t="str">
        <f>IFERROR(__xludf.DUMMYFUNCTION("""COMPUTED_VALUE"""),"   ➖")</f>
        <v>➖</v>
      </c>
      <c r="S161" s="284" t="str">
        <f>IFERROR(__xludf.DUMMYFUNCTION("""COMPUTED_VALUE"""),"Eclipse")</f>
        <v>Eclipse</v>
      </c>
      <c r="T161" s="285" t="str">
        <f>IFERROR(__xludf.DUMMYFUNCTION("""COMPUTED_VALUE"""),"➖")</f>
        <v>➖</v>
      </c>
      <c r="U161" s="285" t="str">
        <f>IFERROR(__xludf.DUMMYFUNCTION("""COMPUTED_VALUE"""),"➖")</f>
        <v>➖</v>
      </c>
      <c r="V161" s="259"/>
      <c r="W161" s="286"/>
      <c r="X161" s="286"/>
      <c r="Y161" s="286"/>
    </row>
    <row r="162">
      <c r="A162" s="28"/>
      <c r="B162" s="132"/>
      <c r="C162" s="28"/>
      <c r="D162" s="260" t="str">
        <f>IFERROR(__xludf.DUMMYFUNCTION("""COMPUTED_VALUE"""),"   C")</f>
        <v>C</v>
      </c>
      <c r="E162" s="287" t="str">
        <f>IFERROR(__xludf.DUMMYFUNCTION("""COMPUTED_VALUE"""),"SESHA")</f>
        <v>SESHA</v>
      </c>
      <c r="F162" s="270" t="str">
        <f>IFERROR(__xludf.DUMMYFUNCTION("""COMPUTED_VALUE"""),"OA")</f>
        <v>OA</v>
      </c>
      <c r="G162" s="231" t="str">
        <f>IFERROR(__xludf.DUMMYFUNCTION("""COMPUTED_VALUE"""),"➖")</f>
        <v>➖</v>
      </c>
      <c r="H162" s="231" t="str">
        <f>IFERROR(__xludf.DUMMYFUNCTION("""COMPUTED_VALUE"""),"➖")</f>
        <v>➖</v>
      </c>
      <c r="I162" s="231" t="str">
        <f>IFERROR(__xludf.DUMMYFUNCTION("""COMPUTED_VALUE"""),"✴️")</f>
        <v>✴️</v>
      </c>
      <c r="J162" s="231" t="str">
        <f>IFERROR(__xludf.DUMMYFUNCTION("""COMPUTED_VALUE"""),"✴️")</f>
        <v>✴️</v>
      </c>
      <c r="K162" s="288" t="str">
        <f>IFERROR(__xludf.DUMMYFUNCTION("""COMPUTED_VALUE"""),"✴️")</f>
        <v>✴️</v>
      </c>
      <c r="L162" s="288" t="str">
        <f>IFERROR(__xludf.DUMMYFUNCTION("""COMPUTED_VALUE"""),"✴️")</f>
        <v>✴️</v>
      </c>
      <c r="M162" s="288" t="str">
        <f>IFERROR(__xludf.DUMMYFUNCTION("""COMPUTED_VALUE"""),"✴️")</f>
        <v>✴️</v>
      </c>
      <c r="N162" s="288" t="str">
        <f>IFERROR(__xludf.DUMMYFUNCTION("""COMPUTED_VALUE"""),"✴️")</f>
        <v>✴️</v>
      </c>
      <c r="O162" s="288" t="str">
        <f>IFERROR(__xludf.DUMMYFUNCTION("""COMPUTED_VALUE"""),"➖")</f>
        <v>➖</v>
      </c>
      <c r="P162" s="288" t="str">
        <f>IFERROR(__xludf.DUMMYFUNCTION("""COMPUTED_VALUE"""),"✴️")</f>
        <v>✴️</v>
      </c>
      <c r="Q162" s="288" t="str">
        <f>IFERROR(__xludf.DUMMYFUNCTION("""COMPUTED_VALUE"""),"➖")</f>
        <v>➖</v>
      </c>
      <c r="R162" s="257" t="str">
        <f>IFERROR(__xludf.DUMMYFUNCTION("""COMPUTED_VALUE"""),"   ➖")</f>
        <v>➖</v>
      </c>
      <c r="S162" s="258" t="str">
        <f>IFERROR(__xludf.DUMMYFUNCTION("""COMPUTED_VALUE"""),"Eclipse")</f>
        <v>Eclipse</v>
      </c>
      <c r="T162" s="255" t="str">
        <f>IFERROR(__xludf.DUMMYFUNCTION("""COMPUTED_VALUE"""),"➖")</f>
        <v>➖</v>
      </c>
      <c r="U162" s="255" t="str">
        <f>IFERROR(__xludf.DUMMYFUNCTION("""COMPUTED_VALUE"""),"➖")</f>
        <v>➖</v>
      </c>
      <c r="V162" s="259"/>
      <c r="W162" s="286"/>
      <c r="X162" s="286"/>
      <c r="Y162" s="286"/>
    </row>
    <row r="163">
      <c r="A163" s="28"/>
      <c r="B163" s="128"/>
      <c r="C163" s="28"/>
      <c r="D163" s="250" t="str">
        <f>IFERROR(__xludf.DUMMYFUNCTION("""COMPUTED_VALUE"""),"   R")</f>
        <v>R</v>
      </c>
      <c r="E163" s="280" t="str">
        <f>IFERROR(__xludf.DUMMYFUNCTION("""COMPUTED_VALUE"""),"RO MUDD")</f>
        <v>RO MUDD</v>
      </c>
      <c r="F163" s="271" t="str">
        <f>IFERROR(__xludf.DUMMYFUNCTION("""COMPUTED_VALUE"""),"CM")</f>
        <v>CM</v>
      </c>
      <c r="G163" s="281" t="str">
        <f>IFERROR(__xludf.DUMMYFUNCTION("""COMPUTED_VALUE"""),"✅")</f>
        <v>✅</v>
      </c>
      <c r="H163" s="281" t="str">
        <f>IFERROR(__xludf.DUMMYFUNCTION("""COMPUTED_VALUE"""),"✅")</f>
        <v>✅</v>
      </c>
      <c r="I163" s="281" t="str">
        <f>IFERROR(__xludf.DUMMYFUNCTION("""COMPUTED_VALUE"""),"✅")</f>
        <v>✅</v>
      </c>
      <c r="J163" s="281" t="str">
        <f>IFERROR(__xludf.DUMMYFUNCTION("""COMPUTED_VALUE"""),"✅")</f>
        <v>✅</v>
      </c>
      <c r="K163" s="282" t="str">
        <f>IFERROR(__xludf.DUMMYFUNCTION("""COMPUTED_VALUE"""),"✅")</f>
        <v>✅</v>
      </c>
      <c r="L163" s="282" t="str">
        <f>IFERROR(__xludf.DUMMYFUNCTION("""COMPUTED_VALUE"""),"✅")</f>
        <v>✅</v>
      </c>
      <c r="M163" s="282" t="str">
        <f>IFERROR(__xludf.DUMMYFUNCTION("""COMPUTED_VALUE"""),"✅")</f>
        <v>✅</v>
      </c>
      <c r="N163" s="282" t="str">
        <f>IFERROR(__xludf.DUMMYFUNCTION("""COMPUTED_VALUE"""),"✅")</f>
        <v>✅</v>
      </c>
      <c r="O163" s="282" t="str">
        <f>IFERROR(__xludf.DUMMYFUNCTION("""COMPUTED_VALUE"""),"✅")</f>
        <v>✅</v>
      </c>
      <c r="P163" s="282" t="str">
        <f>IFERROR(__xludf.DUMMYFUNCTION("""COMPUTED_VALUE"""),"✅")</f>
        <v>✅</v>
      </c>
      <c r="Q163" s="282" t="str">
        <f>IFERROR(__xludf.DUMMYFUNCTION("""COMPUTED_VALUE"""),"✅")</f>
        <v>✅</v>
      </c>
      <c r="R163" s="283" t="str">
        <f>IFERROR(__xludf.DUMMYFUNCTION("""COMPUTED_VALUE"""),"   ✅")</f>
        <v>✅</v>
      </c>
      <c r="S163" s="284"/>
      <c r="T163" s="285" t="str">
        <f>IFERROR(__xludf.DUMMYFUNCTION("""COMPUTED_VALUE"""),"➖")</f>
        <v>➖</v>
      </c>
      <c r="U163" s="285" t="str">
        <f>IFERROR(__xludf.DUMMYFUNCTION("""COMPUTED_VALUE"""),"➖")</f>
        <v>➖</v>
      </c>
      <c r="V163" s="259"/>
      <c r="W163" s="286"/>
      <c r="X163" s="286"/>
      <c r="Y163" s="286"/>
    </row>
    <row r="164">
      <c r="A164" s="28"/>
      <c r="B164" s="132"/>
      <c r="C164" s="28"/>
      <c r="D164" s="260" t="str">
        <f>IFERROR(__xludf.DUMMYFUNCTION("""COMPUTED_VALUE"""),"   R")</f>
        <v>R</v>
      </c>
      <c r="E164" s="287" t="str">
        <f>IFERROR(__xludf.DUMMYFUNCTION("""COMPUTED_VALUE"""),"RO MUDD")</f>
        <v>RO MUDD</v>
      </c>
      <c r="F164" s="270" t="str">
        <f>IFERROR(__xludf.DUMMYFUNCTION("""COMPUTED_VALUE"""),"OA")</f>
        <v>OA</v>
      </c>
      <c r="G164" s="231" t="str">
        <f>IFERROR(__xludf.DUMMYFUNCTION("""COMPUTED_VALUE"""),"✅")</f>
        <v>✅</v>
      </c>
      <c r="H164" s="231" t="str">
        <f>IFERROR(__xludf.DUMMYFUNCTION("""COMPUTED_VALUE"""),"✅")</f>
        <v>✅</v>
      </c>
      <c r="I164" s="231" t="str">
        <f>IFERROR(__xludf.DUMMYFUNCTION("""COMPUTED_VALUE"""),"✅")</f>
        <v>✅</v>
      </c>
      <c r="J164" s="231" t="str">
        <f>IFERROR(__xludf.DUMMYFUNCTION("""COMPUTED_VALUE"""),"✅")</f>
        <v>✅</v>
      </c>
      <c r="K164" s="288" t="str">
        <f>IFERROR(__xludf.DUMMYFUNCTION("""COMPUTED_VALUE"""),"✅")</f>
        <v>✅</v>
      </c>
      <c r="L164" s="288" t="str">
        <f>IFERROR(__xludf.DUMMYFUNCTION("""COMPUTED_VALUE"""),"✅")</f>
        <v>✅</v>
      </c>
      <c r="M164" s="288" t="str">
        <f>IFERROR(__xludf.DUMMYFUNCTION("""COMPUTED_VALUE"""),"✅")</f>
        <v>✅</v>
      </c>
      <c r="N164" s="288" t="str">
        <f>IFERROR(__xludf.DUMMYFUNCTION("""COMPUTED_VALUE"""),"✅")</f>
        <v>✅</v>
      </c>
      <c r="O164" s="288" t="str">
        <f>IFERROR(__xludf.DUMMYFUNCTION("""COMPUTED_VALUE"""),"✅")</f>
        <v>✅</v>
      </c>
      <c r="P164" s="288" t="str">
        <f>IFERROR(__xludf.DUMMYFUNCTION("""COMPUTED_VALUE"""),"✅")</f>
        <v>✅</v>
      </c>
      <c r="Q164" s="288" t="str">
        <f>IFERROR(__xludf.DUMMYFUNCTION("""COMPUTED_VALUE"""),"✅")</f>
        <v>✅</v>
      </c>
      <c r="R164" s="257" t="str">
        <f>IFERROR(__xludf.DUMMYFUNCTION("""COMPUTED_VALUE"""),"   ✅")</f>
        <v>✅</v>
      </c>
      <c r="S164" s="258"/>
      <c r="T164" s="255" t="str">
        <f>IFERROR(__xludf.DUMMYFUNCTION("""COMPUTED_VALUE"""),"➖")</f>
        <v>➖</v>
      </c>
      <c r="U164" s="255" t="str">
        <f>IFERROR(__xludf.DUMMYFUNCTION("""COMPUTED_VALUE"""),"➖")</f>
        <v>➖</v>
      </c>
      <c r="V164" s="259"/>
      <c r="W164" s="286"/>
      <c r="X164" s="286"/>
      <c r="Y164" s="286"/>
    </row>
    <row r="165">
      <c r="A165" s="28"/>
      <c r="B165" s="128"/>
      <c r="C165" s="28"/>
      <c r="D165" s="250" t="str">
        <f>IFERROR(__xludf.DUMMYFUNCTION("""COMPUTED_VALUE"""),"   U")</f>
        <v>U</v>
      </c>
      <c r="E165" s="280" t="str">
        <f>IFERROR(__xludf.DUMMYFUNCTION("""COMPUTED_VALUE"""),"GOON")</f>
        <v>GOON</v>
      </c>
      <c r="F165" s="271" t="str">
        <f>IFERROR(__xludf.DUMMYFUNCTION("""COMPUTED_VALUE"""),"CM")</f>
        <v>CM</v>
      </c>
      <c r="G165" s="281" t="str">
        <f>IFERROR(__xludf.DUMMYFUNCTION("""COMPUTED_VALUE"""),"➖")</f>
        <v>➖</v>
      </c>
      <c r="H165" s="281" t="str">
        <f>IFERROR(__xludf.DUMMYFUNCTION("""COMPUTED_VALUE"""),"➖")</f>
        <v>➖</v>
      </c>
      <c r="I165" s="281" t="str">
        <f>IFERROR(__xludf.DUMMYFUNCTION("""COMPUTED_VALUE"""),"✅")</f>
        <v>✅</v>
      </c>
      <c r="J165" s="281" t="str">
        <f>IFERROR(__xludf.DUMMYFUNCTION("""COMPUTED_VALUE"""),"✅")</f>
        <v>✅</v>
      </c>
      <c r="K165" s="282" t="str">
        <f>IFERROR(__xludf.DUMMYFUNCTION("""COMPUTED_VALUE"""),"✅")</f>
        <v>✅</v>
      </c>
      <c r="L165" s="282" t="str">
        <f>IFERROR(__xludf.DUMMYFUNCTION("""COMPUTED_VALUE"""),"➖")</f>
        <v>➖</v>
      </c>
      <c r="M165" s="282" t="str">
        <f>IFERROR(__xludf.DUMMYFUNCTION("""COMPUTED_VALUE"""),"✅")</f>
        <v>✅</v>
      </c>
      <c r="N165" s="282" t="str">
        <f>IFERROR(__xludf.DUMMYFUNCTION("""COMPUTED_VALUE"""),"✅")</f>
        <v>✅</v>
      </c>
      <c r="O165" s="282" t="str">
        <f>IFERROR(__xludf.DUMMYFUNCTION("""COMPUTED_VALUE"""),"✅")</f>
        <v>✅</v>
      </c>
      <c r="P165" s="282" t="str">
        <f>IFERROR(__xludf.DUMMYFUNCTION("""COMPUTED_VALUE"""),"➖")</f>
        <v>➖</v>
      </c>
      <c r="Q165" s="282" t="str">
        <f>IFERROR(__xludf.DUMMYFUNCTION("""COMPUTED_VALUE"""),"➖")</f>
        <v>➖</v>
      </c>
      <c r="R165" s="283" t="str">
        <f>IFERROR(__xludf.DUMMYFUNCTION("""COMPUTED_VALUE"""),"   ➖")</f>
        <v>➖</v>
      </c>
      <c r="S165" s="284"/>
      <c r="T165" s="285" t="str">
        <f>IFERROR(__xludf.DUMMYFUNCTION("""COMPUTED_VALUE"""),"➖")</f>
        <v>➖</v>
      </c>
      <c r="U165" s="285" t="str">
        <f>IFERROR(__xludf.DUMMYFUNCTION("""COMPUTED_VALUE"""),"➖")</f>
        <v>➖</v>
      </c>
      <c r="V165" s="259"/>
      <c r="W165" s="286"/>
      <c r="X165" s="286"/>
      <c r="Y165" s="286"/>
    </row>
    <row r="166">
      <c r="A166" s="28"/>
      <c r="B166" s="132"/>
      <c r="C166" s="28"/>
      <c r="D166" s="260" t="str">
        <f>IFERROR(__xludf.DUMMYFUNCTION("""COMPUTED_VALUE"""),"   U")</f>
        <v>U</v>
      </c>
      <c r="E166" s="287" t="str">
        <f>IFERROR(__xludf.DUMMYFUNCTION("""COMPUTED_VALUE"""),"GOON")</f>
        <v>GOON</v>
      </c>
      <c r="F166" s="270" t="str">
        <f>IFERROR(__xludf.DUMMYFUNCTION("""COMPUTED_VALUE"""),"OA")</f>
        <v>OA</v>
      </c>
      <c r="G166" s="231" t="str">
        <f>IFERROR(__xludf.DUMMYFUNCTION("""COMPUTED_VALUE"""),"➖")</f>
        <v>➖</v>
      </c>
      <c r="H166" s="231" t="str">
        <f>IFERROR(__xludf.DUMMYFUNCTION("""COMPUTED_VALUE"""),"➖")</f>
        <v>➖</v>
      </c>
      <c r="I166" s="231" t="str">
        <f>IFERROR(__xludf.DUMMYFUNCTION("""COMPUTED_VALUE"""),"➖")</f>
        <v>➖</v>
      </c>
      <c r="J166" s="231" t="str">
        <f>IFERROR(__xludf.DUMMYFUNCTION("""COMPUTED_VALUE"""),"➖")</f>
        <v>➖</v>
      </c>
      <c r="K166" s="288" t="str">
        <f>IFERROR(__xludf.DUMMYFUNCTION("""COMPUTED_VALUE"""),"➖")</f>
        <v>➖</v>
      </c>
      <c r="L166" s="288" t="str">
        <f>IFERROR(__xludf.DUMMYFUNCTION("""COMPUTED_VALUE"""),"➖")</f>
        <v>➖</v>
      </c>
      <c r="M166" s="288" t="str">
        <f>IFERROR(__xludf.DUMMYFUNCTION("""COMPUTED_VALUE"""),"➖")</f>
        <v>➖</v>
      </c>
      <c r="N166" s="288" t="str">
        <f>IFERROR(__xludf.DUMMYFUNCTION("""COMPUTED_VALUE"""),"➖")</f>
        <v>➖</v>
      </c>
      <c r="O166" s="288" t="str">
        <f>IFERROR(__xludf.DUMMYFUNCTION("""COMPUTED_VALUE"""),"➖")</f>
        <v>➖</v>
      </c>
      <c r="P166" s="288" t="str">
        <f>IFERROR(__xludf.DUMMYFUNCTION("""COMPUTED_VALUE"""),"➖")</f>
        <v>➖</v>
      </c>
      <c r="Q166" s="288" t="str">
        <f>IFERROR(__xludf.DUMMYFUNCTION("""COMPUTED_VALUE"""),"➖")</f>
        <v>➖</v>
      </c>
      <c r="R166" s="257" t="str">
        <f>IFERROR(__xludf.DUMMYFUNCTION("""COMPUTED_VALUE"""),"   ➖")</f>
        <v>➖</v>
      </c>
      <c r="S166" s="258"/>
      <c r="T166" s="255" t="str">
        <f>IFERROR(__xludf.DUMMYFUNCTION("""COMPUTED_VALUE"""),"➖")</f>
        <v>➖</v>
      </c>
      <c r="U166" s="255" t="str">
        <f>IFERROR(__xludf.DUMMYFUNCTION("""COMPUTED_VALUE"""),"✅")</f>
        <v>✅</v>
      </c>
      <c r="V166" s="259"/>
      <c r="W166" s="286"/>
      <c r="X166" s="286"/>
      <c r="Y166" s="286"/>
    </row>
    <row r="167">
      <c r="A167" s="28"/>
      <c r="B167" s="128"/>
      <c r="C167" s="28"/>
      <c r="D167" s="250" t="str">
        <f>IFERROR(__xludf.DUMMYFUNCTION("""COMPUTED_VALUE"""),"   R")</f>
        <v>R</v>
      </c>
      <c r="E167" s="280" t="str">
        <f>IFERROR(__xludf.DUMMYFUNCTION("""COMPUTED_VALUE"""),"AHVIX")</f>
        <v>AHVIX</v>
      </c>
      <c r="F167" s="271" t="str">
        <f>IFERROR(__xludf.DUMMYFUNCTION("""COMPUTED_VALUE"""),"CM")</f>
        <v>CM</v>
      </c>
      <c r="G167" s="281" t="str">
        <f>IFERROR(__xludf.DUMMYFUNCTION("""COMPUTED_VALUE"""),"➖")</f>
        <v>➖</v>
      </c>
      <c r="H167" s="281" t="str">
        <f>IFERROR(__xludf.DUMMYFUNCTION("""COMPUTED_VALUE"""),"➖")</f>
        <v>➖</v>
      </c>
      <c r="I167" s="281" t="str">
        <f>IFERROR(__xludf.DUMMYFUNCTION("""COMPUTED_VALUE"""),"✴️")</f>
        <v>✴️</v>
      </c>
      <c r="J167" s="281" t="str">
        <f>IFERROR(__xludf.DUMMYFUNCTION("""COMPUTED_VALUE"""),"✴️")</f>
        <v>✴️</v>
      </c>
      <c r="K167" s="282" t="str">
        <f>IFERROR(__xludf.DUMMYFUNCTION("""COMPUTED_VALUE"""),"✴️")</f>
        <v>✴️</v>
      </c>
      <c r="L167" s="282" t="str">
        <f>IFERROR(__xludf.DUMMYFUNCTION("""COMPUTED_VALUE"""),"✴️")</f>
        <v>✴️</v>
      </c>
      <c r="M167" s="282" t="str">
        <f>IFERROR(__xludf.DUMMYFUNCTION("""COMPUTED_VALUE"""),"✴️")</f>
        <v>✴️</v>
      </c>
      <c r="N167" s="282" t="str">
        <f>IFERROR(__xludf.DUMMYFUNCTION("""COMPUTED_VALUE"""),"✴️")</f>
        <v>✴️</v>
      </c>
      <c r="O167" s="282" t="str">
        <f>IFERROR(__xludf.DUMMYFUNCTION("""COMPUTED_VALUE"""),"➖")</f>
        <v>➖</v>
      </c>
      <c r="P167" s="282" t="str">
        <f>IFERROR(__xludf.DUMMYFUNCTION("""COMPUTED_VALUE"""),"✴️")</f>
        <v>✴️</v>
      </c>
      <c r="Q167" s="282" t="str">
        <f>IFERROR(__xludf.DUMMYFUNCTION("""COMPUTED_VALUE"""),"➖")</f>
        <v>➖</v>
      </c>
      <c r="R167" s="283" t="str">
        <f>IFERROR(__xludf.DUMMYFUNCTION("""COMPUTED_VALUE"""),"   ➖")</f>
        <v>➖</v>
      </c>
      <c r="S167" s="284" t="str">
        <f>IFERROR(__xludf.DUMMYFUNCTION("""COMPUTED_VALUE"""),"Eclipse")</f>
        <v>Eclipse</v>
      </c>
      <c r="T167" s="285" t="str">
        <f>IFERROR(__xludf.DUMMYFUNCTION("""COMPUTED_VALUE"""),"➖")</f>
        <v>➖</v>
      </c>
      <c r="U167" s="285" t="str">
        <f>IFERROR(__xludf.DUMMYFUNCTION("""COMPUTED_VALUE"""),"➖")</f>
        <v>➖</v>
      </c>
      <c r="V167" s="259"/>
      <c r="W167" s="286"/>
      <c r="X167" s="286"/>
      <c r="Y167" s="286"/>
    </row>
    <row r="168">
      <c r="A168" s="28"/>
      <c r="B168" s="132"/>
      <c r="C168" s="28"/>
      <c r="D168" s="260" t="str">
        <f>IFERROR(__xludf.DUMMYFUNCTION("""COMPUTED_VALUE"""),"   R")</f>
        <v>R</v>
      </c>
      <c r="E168" s="287" t="str">
        <f>IFERROR(__xludf.DUMMYFUNCTION("""COMPUTED_VALUE"""),"AHVIX")</f>
        <v>AHVIX</v>
      </c>
      <c r="F168" s="270" t="str">
        <f>IFERROR(__xludf.DUMMYFUNCTION("""COMPUTED_VALUE"""),"OA")</f>
        <v>OA</v>
      </c>
      <c r="G168" s="231" t="str">
        <f>IFERROR(__xludf.DUMMYFUNCTION("""COMPUTED_VALUE"""),"➖")</f>
        <v>➖</v>
      </c>
      <c r="H168" s="231" t="str">
        <f>IFERROR(__xludf.DUMMYFUNCTION("""COMPUTED_VALUE"""),"➖")</f>
        <v>➖</v>
      </c>
      <c r="I168" s="231" t="str">
        <f>IFERROR(__xludf.DUMMYFUNCTION("""COMPUTED_VALUE"""),"✴️")</f>
        <v>✴️</v>
      </c>
      <c r="J168" s="231" t="str">
        <f>IFERROR(__xludf.DUMMYFUNCTION("""COMPUTED_VALUE"""),"✴️")</f>
        <v>✴️</v>
      </c>
      <c r="K168" s="288" t="str">
        <f>IFERROR(__xludf.DUMMYFUNCTION("""COMPUTED_VALUE"""),"✴️")</f>
        <v>✴️</v>
      </c>
      <c r="L168" s="288" t="str">
        <f>IFERROR(__xludf.DUMMYFUNCTION("""COMPUTED_VALUE"""),"✴️")</f>
        <v>✴️</v>
      </c>
      <c r="M168" s="288" t="str">
        <f>IFERROR(__xludf.DUMMYFUNCTION("""COMPUTED_VALUE"""),"✴️")</f>
        <v>✴️</v>
      </c>
      <c r="N168" s="288" t="str">
        <f>IFERROR(__xludf.DUMMYFUNCTION("""COMPUTED_VALUE"""),"✴️")</f>
        <v>✴️</v>
      </c>
      <c r="O168" s="288" t="str">
        <f>IFERROR(__xludf.DUMMYFUNCTION("""COMPUTED_VALUE"""),"➖")</f>
        <v>➖</v>
      </c>
      <c r="P168" s="288" t="str">
        <f>IFERROR(__xludf.DUMMYFUNCTION("""COMPUTED_VALUE"""),"✴️")</f>
        <v>✴️</v>
      </c>
      <c r="Q168" s="288" t="str">
        <f>IFERROR(__xludf.DUMMYFUNCTION("""COMPUTED_VALUE"""),"➖")</f>
        <v>➖</v>
      </c>
      <c r="R168" s="257" t="str">
        <f>IFERROR(__xludf.DUMMYFUNCTION("""COMPUTED_VALUE"""),"   ➖")</f>
        <v>➖</v>
      </c>
      <c r="S168" s="258" t="str">
        <f>IFERROR(__xludf.DUMMYFUNCTION("""COMPUTED_VALUE"""),"Eclipse")</f>
        <v>Eclipse</v>
      </c>
      <c r="T168" s="255" t="str">
        <f>IFERROR(__xludf.DUMMYFUNCTION("""COMPUTED_VALUE"""),"➖")</f>
        <v>➖</v>
      </c>
      <c r="U168" s="255" t="str">
        <f>IFERROR(__xludf.DUMMYFUNCTION("""COMPUTED_VALUE"""),"➖")</f>
        <v>➖</v>
      </c>
      <c r="V168" s="259"/>
      <c r="W168" s="286"/>
      <c r="X168" s="286"/>
      <c r="Y168" s="286"/>
    </row>
    <row r="169">
      <c r="A169" s="28"/>
      <c r="B169" s="128"/>
      <c r="C169" s="28"/>
      <c r="D169" s="250" t="str">
        <f>IFERROR(__xludf.DUMMYFUNCTION("""COMPUTED_VALUE"""),"   C")</f>
        <v>C</v>
      </c>
      <c r="E169" s="280" t="str">
        <f>IFERROR(__xludf.DUMMYFUNCTION("""COMPUTED_VALUE"""),"TIZA")</f>
        <v>TIZA</v>
      </c>
      <c r="F169" s="271" t="str">
        <f>IFERROR(__xludf.DUMMYFUNCTION("""COMPUTED_VALUE"""),"CM")</f>
        <v>CM</v>
      </c>
      <c r="G169" s="281" t="str">
        <f>IFERROR(__xludf.DUMMYFUNCTION("""COMPUTED_VALUE"""),"➖")</f>
        <v>➖</v>
      </c>
      <c r="H169" s="281" t="str">
        <f>IFERROR(__xludf.DUMMYFUNCTION("""COMPUTED_VALUE"""),"➖")</f>
        <v>➖</v>
      </c>
      <c r="I169" s="281" t="str">
        <f>IFERROR(__xludf.DUMMYFUNCTION("""COMPUTED_VALUE"""),"✴️")</f>
        <v>✴️</v>
      </c>
      <c r="J169" s="281" t="str">
        <f>IFERROR(__xludf.DUMMYFUNCTION("""COMPUTED_VALUE"""),"✴️")</f>
        <v>✴️</v>
      </c>
      <c r="K169" s="282" t="str">
        <f>IFERROR(__xludf.DUMMYFUNCTION("""COMPUTED_VALUE"""),"✴️")</f>
        <v>✴️</v>
      </c>
      <c r="L169" s="282" t="str">
        <f>IFERROR(__xludf.DUMMYFUNCTION("""COMPUTED_VALUE"""),"✴️")</f>
        <v>✴️</v>
      </c>
      <c r="M169" s="282" t="str">
        <f>IFERROR(__xludf.DUMMYFUNCTION("""COMPUTED_VALUE"""),"✴️")</f>
        <v>✴️</v>
      </c>
      <c r="N169" s="282" t="str">
        <f>IFERROR(__xludf.DUMMYFUNCTION("""COMPUTED_VALUE"""),"✴️")</f>
        <v>✴️</v>
      </c>
      <c r="O169" s="282" t="str">
        <f>IFERROR(__xludf.DUMMYFUNCTION("""COMPUTED_VALUE"""),"➖")</f>
        <v>➖</v>
      </c>
      <c r="P169" s="282" t="str">
        <f>IFERROR(__xludf.DUMMYFUNCTION("""COMPUTED_VALUE"""),"✴️")</f>
        <v>✴️</v>
      </c>
      <c r="Q169" s="282" t="str">
        <f>IFERROR(__xludf.DUMMYFUNCTION("""COMPUTED_VALUE"""),"➖")</f>
        <v>➖</v>
      </c>
      <c r="R169" s="283" t="str">
        <f>IFERROR(__xludf.DUMMYFUNCTION("""COMPUTED_VALUE"""),"   ➖")</f>
        <v>➖</v>
      </c>
      <c r="S169" s="284" t="str">
        <f>IFERROR(__xludf.DUMMYFUNCTION("""COMPUTED_VALUE"""),"Eclipse")</f>
        <v>Eclipse</v>
      </c>
      <c r="T169" s="285" t="str">
        <f>IFERROR(__xludf.DUMMYFUNCTION("""COMPUTED_VALUE"""),"➖")</f>
        <v>➖</v>
      </c>
      <c r="U169" s="285" t="str">
        <f>IFERROR(__xludf.DUMMYFUNCTION("""COMPUTED_VALUE"""),"➖")</f>
        <v>➖</v>
      </c>
      <c r="V169" s="259"/>
      <c r="W169" s="286"/>
      <c r="X169" s="286"/>
      <c r="Y169" s="286"/>
    </row>
    <row r="170">
      <c r="A170" s="28"/>
      <c r="B170" s="132"/>
      <c r="C170" s="28"/>
      <c r="D170" s="260" t="str">
        <f>IFERROR(__xludf.DUMMYFUNCTION("""COMPUTED_VALUE"""),"   C")</f>
        <v>C</v>
      </c>
      <c r="E170" s="287" t="str">
        <f>IFERROR(__xludf.DUMMYFUNCTION("""COMPUTED_VALUE"""),"TIZA")</f>
        <v>TIZA</v>
      </c>
      <c r="F170" s="270" t="str">
        <f>IFERROR(__xludf.DUMMYFUNCTION("""COMPUTED_VALUE"""),"OA")</f>
        <v>OA</v>
      </c>
      <c r="G170" s="231" t="str">
        <f>IFERROR(__xludf.DUMMYFUNCTION("""COMPUTED_VALUE"""),"➖")</f>
        <v>➖</v>
      </c>
      <c r="H170" s="231" t="str">
        <f>IFERROR(__xludf.DUMMYFUNCTION("""COMPUTED_VALUE"""),"➖")</f>
        <v>➖</v>
      </c>
      <c r="I170" s="231" t="str">
        <f>IFERROR(__xludf.DUMMYFUNCTION("""COMPUTED_VALUE"""),"✴️")</f>
        <v>✴️</v>
      </c>
      <c r="J170" s="231" t="str">
        <f>IFERROR(__xludf.DUMMYFUNCTION("""COMPUTED_VALUE"""),"✴️")</f>
        <v>✴️</v>
      </c>
      <c r="K170" s="288" t="str">
        <f>IFERROR(__xludf.DUMMYFUNCTION("""COMPUTED_VALUE"""),"✴️")</f>
        <v>✴️</v>
      </c>
      <c r="L170" s="288" t="str">
        <f>IFERROR(__xludf.DUMMYFUNCTION("""COMPUTED_VALUE"""),"✴️")</f>
        <v>✴️</v>
      </c>
      <c r="M170" s="288" t="str">
        <f>IFERROR(__xludf.DUMMYFUNCTION("""COMPUTED_VALUE"""),"✴️")</f>
        <v>✴️</v>
      </c>
      <c r="N170" s="288" t="str">
        <f>IFERROR(__xludf.DUMMYFUNCTION("""COMPUTED_VALUE"""),"✴️")</f>
        <v>✴️</v>
      </c>
      <c r="O170" s="288" t="str">
        <f>IFERROR(__xludf.DUMMYFUNCTION("""COMPUTED_VALUE"""),"➖")</f>
        <v>➖</v>
      </c>
      <c r="P170" s="288" t="str">
        <f>IFERROR(__xludf.DUMMYFUNCTION("""COMPUTED_VALUE"""),"✴️")</f>
        <v>✴️</v>
      </c>
      <c r="Q170" s="288" t="str">
        <f>IFERROR(__xludf.DUMMYFUNCTION("""COMPUTED_VALUE"""),"➖")</f>
        <v>➖</v>
      </c>
      <c r="R170" s="257" t="str">
        <f>IFERROR(__xludf.DUMMYFUNCTION("""COMPUTED_VALUE"""),"   ➖")</f>
        <v>➖</v>
      </c>
      <c r="S170" s="258" t="str">
        <f>IFERROR(__xludf.DUMMYFUNCTION("""COMPUTED_VALUE"""),"Eclipse")</f>
        <v>Eclipse</v>
      </c>
      <c r="T170" s="255" t="str">
        <f>IFERROR(__xludf.DUMMYFUNCTION("""COMPUTED_VALUE"""),"➖")</f>
        <v>➖</v>
      </c>
      <c r="U170" s="255" t="str">
        <f>IFERROR(__xludf.DUMMYFUNCTION("""COMPUTED_VALUE"""),"➖")</f>
        <v>➖</v>
      </c>
      <c r="V170" s="259"/>
      <c r="W170" s="286"/>
      <c r="X170" s="286"/>
      <c r="Y170" s="286"/>
    </row>
    <row r="171">
      <c r="A171" s="28"/>
      <c r="B171" s="128"/>
      <c r="C171" s="28"/>
      <c r="D171" s="250" t="str">
        <f>IFERROR(__xludf.DUMMYFUNCTION("""COMPUTED_VALUE"""),"   E")</f>
        <v>E</v>
      </c>
      <c r="E171" s="280" t="str">
        <f>IFERROR(__xludf.DUMMYFUNCTION("""COMPUTED_VALUE"""),"HARRY MUDD")</f>
        <v>HARRY MUDD</v>
      </c>
      <c r="F171" s="271" t="str">
        <f>IFERROR(__xludf.DUMMYFUNCTION("""COMPUTED_VALUE"""),"CM")</f>
        <v>CM</v>
      </c>
      <c r="G171" s="281" t="str">
        <f>IFERROR(__xludf.DUMMYFUNCTION("""COMPUTED_VALUE"""),"✴️")</f>
        <v>✴️</v>
      </c>
      <c r="H171" s="281" t="str">
        <f>IFERROR(__xludf.DUMMYFUNCTION("""COMPUTED_VALUE"""),"✴️")</f>
        <v>✴️</v>
      </c>
      <c r="I171" s="281" t="str">
        <f>IFERROR(__xludf.DUMMYFUNCTION("""COMPUTED_VALUE"""),"✴️")</f>
        <v>✴️</v>
      </c>
      <c r="J171" s="281" t="str">
        <f>IFERROR(__xludf.DUMMYFUNCTION("""COMPUTED_VALUE"""),"✴️")</f>
        <v>✴️</v>
      </c>
      <c r="K171" s="282" t="str">
        <f>IFERROR(__xludf.DUMMYFUNCTION("""COMPUTED_VALUE"""),"✴️")</f>
        <v>✴️</v>
      </c>
      <c r="L171" s="282" t="str">
        <f>IFERROR(__xludf.DUMMYFUNCTION("""COMPUTED_VALUE"""),"✴️")</f>
        <v>✴️</v>
      </c>
      <c r="M171" s="282" t="str">
        <f>IFERROR(__xludf.DUMMYFUNCTION("""COMPUTED_VALUE"""),"✴️")</f>
        <v>✴️</v>
      </c>
      <c r="N171" s="282" t="str">
        <f>IFERROR(__xludf.DUMMYFUNCTION("""COMPUTED_VALUE"""),"✴️")</f>
        <v>✴️</v>
      </c>
      <c r="O171" s="282" t="str">
        <f>IFERROR(__xludf.DUMMYFUNCTION("""COMPUTED_VALUE"""),"✴️")</f>
        <v>✴️</v>
      </c>
      <c r="P171" s="282" t="str">
        <f>IFERROR(__xludf.DUMMYFUNCTION("""COMPUTED_VALUE"""),"✴️")</f>
        <v>✴️</v>
      </c>
      <c r="Q171" s="282" t="str">
        <f>IFERROR(__xludf.DUMMYFUNCTION("""COMPUTED_VALUE"""),"✴️")</f>
        <v>✴️</v>
      </c>
      <c r="R171" s="283" t="str">
        <f>IFERROR(__xludf.DUMMYFUNCTION("""COMPUTED_VALUE"""),"   ✴️")</f>
        <v>✴️</v>
      </c>
      <c r="S171" s="284" t="str">
        <f>IFERROR(__xludf.DUMMYFUNCTION("""COMPUTED_VALUE"""),"target level 70 or under")</f>
        <v>target level 70 or under</v>
      </c>
      <c r="T171" s="285" t="str">
        <f>IFERROR(__xludf.DUMMYFUNCTION("""COMPUTED_VALUE"""),"➖")</f>
        <v>➖</v>
      </c>
      <c r="U171" s="285" t="str">
        <f>IFERROR(__xludf.DUMMYFUNCTION("""COMPUTED_VALUE"""),"➖")</f>
        <v>➖</v>
      </c>
      <c r="V171" s="259"/>
      <c r="W171" s="286"/>
      <c r="X171" s="286"/>
      <c r="Y171" s="286"/>
    </row>
    <row r="172">
      <c r="A172" s="28"/>
      <c r="B172" s="132"/>
      <c r="C172" s="28"/>
      <c r="D172" s="260" t="str">
        <f>IFERROR(__xludf.DUMMYFUNCTION("""COMPUTED_VALUE"""),"   E")</f>
        <v>E</v>
      </c>
      <c r="E172" s="287" t="str">
        <f>IFERROR(__xludf.DUMMYFUNCTION("""COMPUTED_VALUE"""),"HARRY MUDD")</f>
        <v>HARRY MUDD</v>
      </c>
      <c r="F172" s="270" t="str">
        <f>IFERROR(__xludf.DUMMYFUNCTION("""COMPUTED_VALUE"""),"OA")</f>
        <v>OA</v>
      </c>
      <c r="G172" s="231" t="str">
        <f>IFERROR(__xludf.DUMMYFUNCTION("""COMPUTED_VALUE"""),"✴️")</f>
        <v>✴️</v>
      </c>
      <c r="H172" s="231" t="str">
        <f>IFERROR(__xludf.DUMMYFUNCTION("""COMPUTED_VALUE"""),"✴️")</f>
        <v>✴️</v>
      </c>
      <c r="I172" s="231" t="str">
        <f>IFERROR(__xludf.DUMMYFUNCTION("""COMPUTED_VALUE"""),"✴️")</f>
        <v>✴️</v>
      </c>
      <c r="J172" s="231" t="str">
        <f>IFERROR(__xludf.DUMMYFUNCTION("""COMPUTED_VALUE"""),"✴️")</f>
        <v>✴️</v>
      </c>
      <c r="K172" s="288" t="str">
        <f>IFERROR(__xludf.DUMMYFUNCTION("""COMPUTED_VALUE"""),"✴️")</f>
        <v>✴️</v>
      </c>
      <c r="L172" s="288" t="str">
        <f>IFERROR(__xludf.DUMMYFUNCTION("""COMPUTED_VALUE"""),"✴️")</f>
        <v>✴️</v>
      </c>
      <c r="M172" s="288" t="str">
        <f>IFERROR(__xludf.DUMMYFUNCTION("""COMPUTED_VALUE"""),"✴️")</f>
        <v>✴️</v>
      </c>
      <c r="N172" s="288" t="str">
        <f>IFERROR(__xludf.DUMMYFUNCTION("""COMPUTED_VALUE"""),"✴️")</f>
        <v>✴️</v>
      </c>
      <c r="O172" s="288" t="str">
        <f>IFERROR(__xludf.DUMMYFUNCTION("""COMPUTED_VALUE"""),"✴️")</f>
        <v>✴️</v>
      </c>
      <c r="P172" s="288" t="str">
        <f>IFERROR(__xludf.DUMMYFUNCTION("""COMPUTED_VALUE"""),"✴️")</f>
        <v>✴️</v>
      </c>
      <c r="Q172" s="288" t="str">
        <f>IFERROR(__xludf.DUMMYFUNCTION("""COMPUTED_VALUE"""),"✴️")</f>
        <v>✴️</v>
      </c>
      <c r="R172" s="257" t="str">
        <f>IFERROR(__xludf.DUMMYFUNCTION("""COMPUTED_VALUE"""),"   ✴️")</f>
        <v>✴️</v>
      </c>
      <c r="S172" s="258" t="str">
        <f>IFERROR(__xludf.DUMMYFUNCTION("""COMPUTED_VALUE"""),"target level 70 or under")</f>
        <v>target level 70 or under</v>
      </c>
      <c r="T172" s="255" t="str">
        <f>IFERROR(__xludf.DUMMYFUNCTION("""COMPUTED_VALUE"""),"➖")</f>
        <v>➖</v>
      </c>
      <c r="U172" s="255" t="str">
        <f>IFERROR(__xludf.DUMMYFUNCTION("""COMPUTED_VALUE"""),"➖")</f>
        <v>➖</v>
      </c>
      <c r="V172" s="259"/>
      <c r="W172" s="286"/>
      <c r="X172" s="286"/>
      <c r="Y172" s="286"/>
    </row>
    <row r="173">
      <c r="A173" s="28"/>
      <c r="B173" s="128"/>
      <c r="C173" s="28"/>
      <c r="D173" s="250" t="str">
        <f>IFERROR(__xludf.DUMMYFUNCTION("""COMPUTED_VALUE"""),"   E")</f>
        <v>E</v>
      </c>
      <c r="E173" s="280" t="str">
        <f>IFERROR(__xludf.DUMMYFUNCTION("""COMPUTED_VALUE"""),"KRAS")</f>
        <v>KRAS</v>
      </c>
      <c r="F173" s="271" t="str">
        <f>IFERROR(__xludf.DUMMYFUNCTION("""COMPUTED_VALUE"""),"CM")</f>
        <v>CM</v>
      </c>
      <c r="G173" s="281" t="str">
        <f>IFERROR(__xludf.DUMMYFUNCTION("""COMPUTED_VALUE"""),"✅")</f>
        <v>✅</v>
      </c>
      <c r="H173" s="281" t="str">
        <f>IFERROR(__xludf.DUMMYFUNCTION("""COMPUTED_VALUE"""),"✅")</f>
        <v>✅</v>
      </c>
      <c r="I173" s="281" t="str">
        <f>IFERROR(__xludf.DUMMYFUNCTION("""COMPUTED_VALUE"""),"➖")</f>
        <v>➖</v>
      </c>
      <c r="J173" s="281" t="str">
        <f>IFERROR(__xludf.DUMMYFUNCTION("""COMPUTED_VALUE"""),"➖")</f>
        <v>➖</v>
      </c>
      <c r="K173" s="282" t="str">
        <f>IFERROR(__xludf.DUMMYFUNCTION("""COMPUTED_VALUE"""),"➖")</f>
        <v>➖</v>
      </c>
      <c r="L173" s="282" t="str">
        <f>IFERROR(__xludf.DUMMYFUNCTION("""COMPUTED_VALUE"""),"➖")</f>
        <v>➖</v>
      </c>
      <c r="M173" s="282" t="str">
        <f>IFERROR(__xludf.DUMMYFUNCTION("""COMPUTED_VALUE"""),"➖")</f>
        <v>➖</v>
      </c>
      <c r="N173" s="282" t="str">
        <f>IFERROR(__xludf.DUMMYFUNCTION("""COMPUTED_VALUE"""),"➖")</f>
        <v>➖</v>
      </c>
      <c r="O173" s="282" t="str">
        <f>IFERROR(__xludf.DUMMYFUNCTION("""COMPUTED_VALUE"""),"➖")</f>
        <v>➖</v>
      </c>
      <c r="P173" s="282" t="str">
        <f>IFERROR(__xludf.DUMMYFUNCTION("""COMPUTED_VALUE"""),"➖")</f>
        <v>➖</v>
      </c>
      <c r="Q173" s="282" t="str">
        <f>IFERROR(__xludf.DUMMYFUNCTION("""COMPUTED_VALUE"""),"➖")</f>
        <v>➖</v>
      </c>
      <c r="R173" s="283" t="str">
        <f>IFERROR(__xludf.DUMMYFUNCTION("""COMPUTED_VALUE"""),"   ➖")</f>
        <v>➖</v>
      </c>
      <c r="S173" s="284"/>
      <c r="T173" s="285" t="str">
        <f>IFERROR(__xludf.DUMMYFUNCTION("""COMPUTED_VALUE"""),"➖")</f>
        <v>➖</v>
      </c>
      <c r="U173" s="285" t="str">
        <f>IFERROR(__xludf.DUMMYFUNCTION("""COMPUTED_VALUE"""),"➖")</f>
        <v>➖</v>
      </c>
      <c r="V173" s="259"/>
      <c r="W173" s="286"/>
      <c r="X173" s="286"/>
      <c r="Y173" s="286"/>
    </row>
    <row r="174">
      <c r="A174" s="28"/>
      <c r="B174" s="132"/>
      <c r="C174" s="28"/>
      <c r="D174" s="260" t="str">
        <f>IFERROR(__xludf.DUMMYFUNCTION("""COMPUTED_VALUE"""),"   E")</f>
        <v>E</v>
      </c>
      <c r="E174" s="287" t="str">
        <f>IFERROR(__xludf.DUMMYFUNCTION("""COMPUTED_VALUE"""),"KRAS")</f>
        <v>KRAS</v>
      </c>
      <c r="F174" s="270" t="str">
        <f>IFERROR(__xludf.DUMMYFUNCTION("""COMPUTED_VALUE"""),"OA")</f>
        <v>OA</v>
      </c>
      <c r="G174" s="231" t="str">
        <f>IFERROR(__xludf.DUMMYFUNCTION("""COMPUTED_VALUE"""),"✅")</f>
        <v>✅</v>
      </c>
      <c r="H174" s="231" t="str">
        <f>IFERROR(__xludf.DUMMYFUNCTION("""COMPUTED_VALUE"""),"✅")</f>
        <v>✅</v>
      </c>
      <c r="I174" s="231" t="str">
        <f>IFERROR(__xludf.DUMMYFUNCTION("""COMPUTED_VALUE"""),"➖")</f>
        <v>➖</v>
      </c>
      <c r="J174" s="231" t="str">
        <f>IFERROR(__xludf.DUMMYFUNCTION("""COMPUTED_VALUE"""),"➖")</f>
        <v>➖</v>
      </c>
      <c r="K174" s="288" t="str">
        <f>IFERROR(__xludf.DUMMYFUNCTION("""COMPUTED_VALUE"""),"➖")</f>
        <v>➖</v>
      </c>
      <c r="L174" s="288" t="str">
        <f>IFERROR(__xludf.DUMMYFUNCTION("""COMPUTED_VALUE"""),"➖")</f>
        <v>➖</v>
      </c>
      <c r="M174" s="288" t="str">
        <f>IFERROR(__xludf.DUMMYFUNCTION("""COMPUTED_VALUE"""),"➖")</f>
        <v>➖</v>
      </c>
      <c r="N174" s="288" t="str">
        <f>IFERROR(__xludf.DUMMYFUNCTION("""COMPUTED_VALUE"""),"➖")</f>
        <v>➖</v>
      </c>
      <c r="O174" s="288" t="str">
        <f>IFERROR(__xludf.DUMMYFUNCTION("""COMPUTED_VALUE"""),"➖")</f>
        <v>➖</v>
      </c>
      <c r="P174" s="288" t="str">
        <f>IFERROR(__xludf.DUMMYFUNCTION("""COMPUTED_VALUE"""),"➖")</f>
        <v>➖</v>
      </c>
      <c r="Q174" s="288" t="str">
        <f>IFERROR(__xludf.DUMMYFUNCTION("""COMPUTED_VALUE"""),"➖")</f>
        <v>➖</v>
      </c>
      <c r="R174" s="257" t="str">
        <f>IFERROR(__xludf.DUMMYFUNCTION("""COMPUTED_VALUE"""),"   ➖")</f>
        <v>➖</v>
      </c>
      <c r="S174" s="258"/>
      <c r="T174" s="255" t="str">
        <f>IFERROR(__xludf.DUMMYFUNCTION("""COMPUTED_VALUE"""),"➖")</f>
        <v>➖</v>
      </c>
      <c r="U174" s="255" t="str">
        <f>IFERROR(__xludf.DUMMYFUNCTION("""COMPUTED_VALUE"""),"➖")</f>
        <v>➖</v>
      </c>
      <c r="V174" s="259"/>
      <c r="W174" s="286"/>
      <c r="X174" s="286"/>
      <c r="Y174" s="286"/>
    </row>
    <row r="175">
      <c r="A175" s="28"/>
      <c r="B175" s="128"/>
      <c r="C175" s="28"/>
      <c r="D175" s="250" t="str">
        <f>IFERROR(__xludf.DUMMYFUNCTION("""COMPUTED_VALUE"""),"   U")</f>
        <v>U</v>
      </c>
      <c r="E175" s="280" t="str">
        <f>IFERROR(__xludf.DUMMYFUNCTION("""COMPUTED_VALUE"""),"KLAA")</f>
        <v>KLAA</v>
      </c>
      <c r="F175" s="271" t="str">
        <f>IFERROR(__xludf.DUMMYFUNCTION("""COMPUTED_VALUE"""),"CM")</f>
        <v>CM</v>
      </c>
      <c r="G175" s="281" t="str">
        <f>IFERROR(__xludf.DUMMYFUNCTION("""COMPUTED_VALUE"""),"➖")</f>
        <v>➖</v>
      </c>
      <c r="H175" s="281" t="str">
        <f>IFERROR(__xludf.DUMMYFUNCTION("""COMPUTED_VALUE"""),"➖")</f>
        <v>➖</v>
      </c>
      <c r="I175" s="281" t="str">
        <f>IFERROR(__xludf.DUMMYFUNCTION("""COMPUTED_VALUE"""),"➖")</f>
        <v>➖</v>
      </c>
      <c r="J175" s="281" t="str">
        <f>IFERROR(__xludf.DUMMYFUNCTION("""COMPUTED_VALUE"""),"➖")</f>
        <v>➖</v>
      </c>
      <c r="K175" s="282" t="str">
        <f>IFERROR(__xludf.DUMMYFUNCTION("""COMPUTED_VALUE"""),"➖")</f>
        <v>➖</v>
      </c>
      <c r="L175" s="282" t="str">
        <f>IFERROR(__xludf.DUMMYFUNCTION("""COMPUTED_VALUE"""),"➖")</f>
        <v>➖</v>
      </c>
      <c r="M175" s="282" t="str">
        <f>IFERROR(__xludf.DUMMYFUNCTION("""COMPUTED_VALUE"""),"➖")</f>
        <v>➖</v>
      </c>
      <c r="N175" s="282" t="str">
        <f>IFERROR(__xludf.DUMMYFUNCTION("""COMPUTED_VALUE"""),"➖")</f>
        <v>➖</v>
      </c>
      <c r="O175" s="282" t="str">
        <f>IFERROR(__xludf.DUMMYFUNCTION("""COMPUTED_VALUE"""),"➖")</f>
        <v>➖</v>
      </c>
      <c r="P175" s="282" t="str">
        <f>IFERROR(__xludf.DUMMYFUNCTION("""COMPUTED_VALUE"""),"➖")</f>
        <v>➖</v>
      </c>
      <c r="Q175" s="282" t="str">
        <f>IFERROR(__xludf.DUMMYFUNCTION("""COMPUTED_VALUE"""),"➖")</f>
        <v>➖</v>
      </c>
      <c r="R175" s="283" t="str">
        <f>IFERROR(__xludf.DUMMYFUNCTION("""COMPUTED_VALUE"""),"   ➖")</f>
        <v>➖</v>
      </c>
      <c r="S175" s="284"/>
      <c r="T175" s="285" t="str">
        <f>IFERROR(__xludf.DUMMYFUNCTION("""COMPUTED_VALUE"""),"➖")</f>
        <v>➖</v>
      </c>
      <c r="U175" s="285" t="str">
        <f>IFERROR(__xludf.DUMMYFUNCTION("""COMPUTED_VALUE"""),"✅")</f>
        <v>✅</v>
      </c>
      <c r="V175" s="259"/>
      <c r="W175" s="286"/>
      <c r="X175" s="286"/>
      <c r="Y175" s="286"/>
    </row>
    <row r="176">
      <c r="A176" s="28"/>
      <c r="B176" s="132"/>
      <c r="C176" s="28"/>
      <c r="D176" s="260" t="str">
        <f>IFERROR(__xludf.DUMMYFUNCTION("""COMPUTED_VALUE"""),"   U")</f>
        <v>U</v>
      </c>
      <c r="E176" s="287" t="str">
        <f>IFERROR(__xludf.DUMMYFUNCTION("""COMPUTED_VALUE"""),"KLAA")</f>
        <v>KLAA</v>
      </c>
      <c r="F176" s="270" t="str">
        <f>IFERROR(__xludf.DUMMYFUNCTION("""COMPUTED_VALUE"""),"OA")</f>
        <v>OA</v>
      </c>
      <c r="G176" s="231" t="str">
        <f>IFERROR(__xludf.DUMMYFUNCTION("""COMPUTED_VALUE"""),"✅")</f>
        <v>✅</v>
      </c>
      <c r="H176" s="231" t="str">
        <f>IFERROR(__xludf.DUMMYFUNCTION("""COMPUTED_VALUE"""),"✅")</f>
        <v>✅</v>
      </c>
      <c r="I176" s="231" t="str">
        <f>IFERROR(__xludf.DUMMYFUNCTION("""COMPUTED_VALUE"""),"✅")</f>
        <v>✅</v>
      </c>
      <c r="J176" s="231" t="str">
        <f>IFERROR(__xludf.DUMMYFUNCTION("""COMPUTED_VALUE"""),"✅")</f>
        <v>✅</v>
      </c>
      <c r="K176" s="288" t="str">
        <f>IFERROR(__xludf.DUMMYFUNCTION("""COMPUTED_VALUE"""),"✅")</f>
        <v>✅</v>
      </c>
      <c r="L176" s="288" t="str">
        <f>IFERROR(__xludf.DUMMYFUNCTION("""COMPUTED_VALUE"""),"✅")</f>
        <v>✅</v>
      </c>
      <c r="M176" s="288" t="str">
        <f>IFERROR(__xludf.DUMMYFUNCTION("""COMPUTED_VALUE"""),"✅")</f>
        <v>✅</v>
      </c>
      <c r="N176" s="288" t="str">
        <f>IFERROR(__xludf.DUMMYFUNCTION("""COMPUTED_VALUE"""),"✅")</f>
        <v>✅</v>
      </c>
      <c r="O176" s="288" t="str">
        <f>IFERROR(__xludf.DUMMYFUNCTION("""COMPUTED_VALUE"""),"✅")</f>
        <v>✅</v>
      </c>
      <c r="P176" s="288" t="str">
        <f>IFERROR(__xludf.DUMMYFUNCTION("""COMPUTED_VALUE"""),"✅")</f>
        <v>✅</v>
      </c>
      <c r="Q176" s="288" t="str">
        <f>IFERROR(__xludf.DUMMYFUNCTION("""COMPUTED_VALUE"""),"✅")</f>
        <v>✅</v>
      </c>
      <c r="R176" s="257" t="str">
        <f>IFERROR(__xludf.DUMMYFUNCTION("""COMPUTED_VALUE"""),"   ✅")</f>
        <v>✅</v>
      </c>
      <c r="S176" s="258"/>
      <c r="T176" s="255" t="str">
        <f>IFERROR(__xludf.DUMMYFUNCTION("""COMPUTED_VALUE"""),"➖")</f>
        <v>➖</v>
      </c>
      <c r="U176" s="255" t="str">
        <f>IFERROR(__xludf.DUMMYFUNCTION("""COMPUTED_VALUE"""),"➖")</f>
        <v>➖</v>
      </c>
      <c r="V176" s="259"/>
      <c r="W176" s="286"/>
      <c r="X176" s="286"/>
      <c r="Y176" s="286"/>
    </row>
    <row r="177">
      <c r="A177" s="28"/>
      <c r="B177" s="128"/>
      <c r="C177" s="28"/>
      <c r="D177" s="250" t="str">
        <f>IFERROR(__xludf.DUMMYFUNCTION("""COMPUTED_VALUE"""),"   U")</f>
        <v>U</v>
      </c>
      <c r="E177" s="280" t="str">
        <f>IFERROR(__xludf.DUMMYFUNCTION("""COMPUTED_VALUE"""),"VIXIS")</f>
        <v>VIXIS</v>
      </c>
      <c r="F177" s="271" t="str">
        <f>IFERROR(__xludf.DUMMYFUNCTION("""COMPUTED_VALUE"""),"CM")</f>
        <v>CM</v>
      </c>
      <c r="G177" s="281" t="str">
        <f>IFERROR(__xludf.DUMMYFUNCTION("""COMPUTED_VALUE"""),"✅")</f>
        <v>✅</v>
      </c>
      <c r="H177" s="281" t="str">
        <f>IFERROR(__xludf.DUMMYFUNCTION("""COMPUTED_VALUE"""),"✅")</f>
        <v>✅</v>
      </c>
      <c r="I177" s="281" t="str">
        <f>IFERROR(__xludf.DUMMYFUNCTION("""COMPUTED_VALUE"""),"✅")</f>
        <v>✅</v>
      </c>
      <c r="J177" s="281" t="str">
        <f>IFERROR(__xludf.DUMMYFUNCTION("""COMPUTED_VALUE"""),"✅")</f>
        <v>✅</v>
      </c>
      <c r="K177" s="282" t="str">
        <f>IFERROR(__xludf.DUMMYFUNCTION("""COMPUTED_VALUE"""),"✅")</f>
        <v>✅</v>
      </c>
      <c r="L177" s="282" t="str">
        <f>IFERROR(__xludf.DUMMYFUNCTION("""COMPUTED_VALUE"""),"✅")</f>
        <v>✅</v>
      </c>
      <c r="M177" s="282" t="str">
        <f>IFERROR(__xludf.DUMMYFUNCTION("""COMPUTED_VALUE"""),"➖")</f>
        <v>➖</v>
      </c>
      <c r="N177" s="282" t="str">
        <f>IFERROR(__xludf.DUMMYFUNCTION("""COMPUTED_VALUE"""),"➖")</f>
        <v>➖</v>
      </c>
      <c r="O177" s="282" t="str">
        <f>IFERROR(__xludf.DUMMYFUNCTION("""COMPUTED_VALUE"""),"➖")</f>
        <v>➖</v>
      </c>
      <c r="P177" s="282" t="str">
        <f>IFERROR(__xludf.DUMMYFUNCTION("""COMPUTED_VALUE"""),"➖")</f>
        <v>➖</v>
      </c>
      <c r="Q177" s="282" t="str">
        <f>IFERROR(__xludf.DUMMYFUNCTION("""COMPUTED_VALUE"""),"✅")</f>
        <v>✅</v>
      </c>
      <c r="R177" s="283" t="str">
        <f>IFERROR(__xludf.DUMMYFUNCTION("""COMPUTED_VALUE"""),"   ✅")</f>
        <v>✅</v>
      </c>
      <c r="S177" s="284"/>
      <c r="T177" s="285" t="str">
        <f>IFERROR(__xludf.DUMMYFUNCTION("""COMPUTED_VALUE"""),"➖")</f>
        <v>➖</v>
      </c>
      <c r="U177" s="285" t="str">
        <f>IFERROR(__xludf.DUMMYFUNCTION("""COMPUTED_VALUE"""),"➖")</f>
        <v>➖</v>
      </c>
      <c r="V177" s="259"/>
      <c r="W177" s="286"/>
      <c r="X177" s="286"/>
      <c r="Y177" s="286"/>
    </row>
    <row r="178">
      <c r="A178" s="28"/>
      <c r="B178" s="132"/>
      <c r="C178" s="28"/>
      <c r="D178" s="260" t="str">
        <f>IFERROR(__xludf.DUMMYFUNCTION("""COMPUTED_VALUE"""),"   U")</f>
        <v>U</v>
      </c>
      <c r="E178" s="287" t="str">
        <f>IFERROR(__xludf.DUMMYFUNCTION("""COMPUTED_VALUE"""),"VIXIS")</f>
        <v>VIXIS</v>
      </c>
      <c r="F178" s="270" t="str">
        <f>IFERROR(__xludf.DUMMYFUNCTION("""COMPUTED_VALUE"""),"OA")</f>
        <v>OA</v>
      </c>
      <c r="G178" s="231" t="str">
        <f>IFERROR(__xludf.DUMMYFUNCTION("""COMPUTED_VALUE"""),"✴️")</f>
        <v>✴️</v>
      </c>
      <c r="H178" s="231" t="str">
        <f>IFERROR(__xludf.DUMMYFUNCTION("""COMPUTED_VALUE"""),"✴️")</f>
        <v>✴️</v>
      </c>
      <c r="I178" s="231" t="str">
        <f>IFERROR(__xludf.DUMMYFUNCTION("""COMPUTED_VALUE"""),"➖")</f>
        <v>➖</v>
      </c>
      <c r="J178" s="231" t="str">
        <f>IFERROR(__xludf.DUMMYFUNCTION("""COMPUTED_VALUE"""),"➖")</f>
        <v>➖</v>
      </c>
      <c r="K178" s="288" t="str">
        <f>IFERROR(__xludf.DUMMYFUNCTION("""COMPUTED_VALUE"""),"➖")</f>
        <v>➖</v>
      </c>
      <c r="L178" s="288" t="str">
        <f>IFERROR(__xludf.DUMMYFUNCTION("""COMPUTED_VALUE"""),"➖")</f>
        <v>➖</v>
      </c>
      <c r="M178" s="288" t="str">
        <f>IFERROR(__xludf.DUMMYFUNCTION("""COMPUTED_VALUE"""),"➖")</f>
        <v>➖</v>
      </c>
      <c r="N178" s="288" t="str">
        <f>IFERROR(__xludf.DUMMYFUNCTION("""COMPUTED_VALUE"""),"➖")</f>
        <v>➖</v>
      </c>
      <c r="O178" s="288" t="str">
        <f>IFERROR(__xludf.DUMMYFUNCTION("""COMPUTED_VALUE"""),"➖")</f>
        <v>➖</v>
      </c>
      <c r="P178" s="288" t="str">
        <f>IFERROR(__xludf.DUMMYFUNCTION("""COMPUTED_VALUE"""),"➖")</f>
        <v>➖</v>
      </c>
      <c r="Q178" s="288" t="str">
        <f>IFERROR(__xludf.DUMMYFUNCTION("""COMPUTED_VALUE"""),"➖")</f>
        <v>➖</v>
      </c>
      <c r="R178" s="257" t="str">
        <f>IFERROR(__xludf.DUMMYFUNCTION("""COMPUTED_VALUE"""),"   ➖")</f>
        <v>➖</v>
      </c>
      <c r="S178" s="258" t="str">
        <f>IFERROR(__xludf.DUMMYFUNCTION("""COMPUTED_VALUE"""),"ModuleEnergy")</f>
        <v>ModuleEnergy</v>
      </c>
      <c r="T178" s="255" t="str">
        <f>IFERROR(__xludf.DUMMYFUNCTION("""COMPUTED_VALUE"""),"➖")</f>
        <v>➖</v>
      </c>
      <c r="U178" s="255" t="str">
        <f>IFERROR(__xludf.DUMMYFUNCTION("""COMPUTED_VALUE"""),"➖")</f>
        <v>➖</v>
      </c>
      <c r="V178" s="259"/>
      <c r="W178" s="286"/>
      <c r="X178" s="286"/>
      <c r="Y178" s="286"/>
    </row>
    <row r="179">
      <c r="A179" s="28"/>
      <c r="B179" s="128"/>
      <c r="C179" s="28"/>
      <c r="D179" s="250" t="str">
        <f>IFERROR(__xludf.DUMMYFUNCTION("""COMPUTED_VALUE"""),"   C")</f>
        <v>C</v>
      </c>
      <c r="E179" s="280" t="str">
        <f>IFERROR(__xludf.DUMMYFUNCTION("""COMPUTED_VALUE"""),"CADET KIRK")</f>
        <v>CADET KIRK</v>
      </c>
      <c r="F179" s="271" t="str">
        <f>IFERROR(__xludf.DUMMYFUNCTION("""COMPUTED_VALUE"""),"CM")</f>
        <v>CM</v>
      </c>
      <c r="G179" s="281" t="str">
        <f>IFERROR(__xludf.DUMMYFUNCTION("""COMPUTED_VALUE"""),"✅")</f>
        <v>✅</v>
      </c>
      <c r="H179" s="281" t="str">
        <f>IFERROR(__xludf.DUMMYFUNCTION("""COMPUTED_VALUE"""),"✅")</f>
        <v>✅</v>
      </c>
      <c r="I179" s="281" t="str">
        <f>IFERROR(__xludf.DUMMYFUNCTION("""COMPUTED_VALUE"""),"✅")</f>
        <v>✅</v>
      </c>
      <c r="J179" s="281" t="str">
        <f>IFERROR(__xludf.DUMMYFUNCTION("""COMPUTED_VALUE"""),"✅")</f>
        <v>✅</v>
      </c>
      <c r="K179" s="282" t="str">
        <f>IFERROR(__xludf.DUMMYFUNCTION("""COMPUTED_VALUE"""),"✅")</f>
        <v>✅</v>
      </c>
      <c r="L179" s="282" t="str">
        <f>IFERROR(__xludf.DUMMYFUNCTION("""COMPUTED_VALUE"""),"✅")</f>
        <v>✅</v>
      </c>
      <c r="M179" s="282" t="str">
        <f>IFERROR(__xludf.DUMMYFUNCTION("""COMPUTED_VALUE"""),"✅")</f>
        <v>✅</v>
      </c>
      <c r="N179" s="282" t="str">
        <f>IFERROR(__xludf.DUMMYFUNCTION("""COMPUTED_VALUE"""),"✅")</f>
        <v>✅</v>
      </c>
      <c r="O179" s="282" t="str">
        <f>IFERROR(__xludf.DUMMYFUNCTION("""COMPUTED_VALUE"""),"✅")</f>
        <v>✅</v>
      </c>
      <c r="P179" s="282" t="str">
        <f>IFERROR(__xludf.DUMMYFUNCTION("""COMPUTED_VALUE"""),"✅")</f>
        <v>✅</v>
      </c>
      <c r="Q179" s="282" t="str">
        <f>IFERROR(__xludf.DUMMYFUNCTION("""COMPUTED_VALUE"""),"✅")</f>
        <v>✅</v>
      </c>
      <c r="R179" s="283" t="str">
        <f>IFERROR(__xludf.DUMMYFUNCTION("""COMPUTED_VALUE"""),"   ✅")</f>
        <v>✅</v>
      </c>
      <c r="S179" s="284"/>
      <c r="T179" s="285" t="str">
        <f>IFERROR(__xludf.DUMMYFUNCTION("""COMPUTED_VALUE"""),"➖")</f>
        <v>➖</v>
      </c>
      <c r="U179" s="285" t="str">
        <f>IFERROR(__xludf.DUMMYFUNCTION("""COMPUTED_VALUE"""),"➖")</f>
        <v>➖</v>
      </c>
      <c r="V179" s="259"/>
      <c r="W179" s="286"/>
      <c r="X179" s="286"/>
      <c r="Y179" s="286"/>
    </row>
    <row r="180">
      <c r="A180" s="28"/>
      <c r="B180" s="132"/>
      <c r="C180" s="28"/>
      <c r="D180" s="260" t="str">
        <f>IFERROR(__xludf.DUMMYFUNCTION("""COMPUTED_VALUE"""),"   C")</f>
        <v>C</v>
      </c>
      <c r="E180" s="287" t="str">
        <f>IFERROR(__xludf.DUMMYFUNCTION("""COMPUTED_VALUE"""),"CADET KIRK")</f>
        <v>CADET KIRK</v>
      </c>
      <c r="F180" s="270" t="str">
        <f>IFERROR(__xludf.DUMMYFUNCTION("""COMPUTED_VALUE"""),"OA")</f>
        <v>OA</v>
      </c>
      <c r="G180" s="231" t="str">
        <f>IFERROR(__xludf.DUMMYFUNCTION("""COMPUTED_VALUE"""),"✅")</f>
        <v>✅</v>
      </c>
      <c r="H180" s="231" t="str">
        <f>IFERROR(__xludf.DUMMYFUNCTION("""COMPUTED_VALUE"""),"✅")</f>
        <v>✅</v>
      </c>
      <c r="I180" s="231" t="str">
        <f>IFERROR(__xludf.DUMMYFUNCTION("""COMPUTED_VALUE"""),"✅")</f>
        <v>✅</v>
      </c>
      <c r="J180" s="231" t="str">
        <f>IFERROR(__xludf.DUMMYFUNCTION("""COMPUTED_VALUE"""),"✅")</f>
        <v>✅</v>
      </c>
      <c r="K180" s="288" t="str">
        <f>IFERROR(__xludf.DUMMYFUNCTION("""COMPUTED_VALUE"""),"✅")</f>
        <v>✅</v>
      </c>
      <c r="L180" s="288" t="str">
        <f>IFERROR(__xludf.DUMMYFUNCTION("""COMPUTED_VALUE"""),"✅")</f>
        <v>✅</v>
      </c>
      <c r="M180" s="288" t="str">
        <f>IFERROR(__xludf.DUMMYFUNCTION("""COMPUTED_VALUE"""),"✅")</f>
        <v>✅</v>
      </c>
      <c r="N180" s="288" t="str">
        <f>IFERROR(__xludf.DUMMYFUNCTION("""COMPUTED_VALUE"""),"✅")</f>
        <v>✅</v>
      </c>
      <c r="O180" s="288" t="str">
        <f>IFERROR(__xludf.DUMMYFUNCTION("""COMPUTED_VALUE"""),"✅")</f>
        <v>✅</v>
      </c>
      <c r="P180" s="288" t="str">
        <f>IFERROR(__xludf.DUMMYFUNCTION("""COMPUTED_VALUE"""),"✅")</f>
        <v>✅</v>
      </c>
      <c r="Q180" s="288" t="str">
        <f>IFERROR(__xludf.DUMMYFUNCTION("""COMPUTED_VALUE"""),"✅")</f>
        <v>✅</v>
      </c>
      <c r="R180" s="257" t="str">
        <f>IFERROR(__xludf.DUMMYFUNCTION("""COMPUTED_VALUE"""),"   ✅")</f>
        <v>✅</v>
      </c>
      <c r="S180" s="258"/>
      <c r="T180" s="255" t="str">
        <f>IFERROR(__xludf.DUMMYFUNCTION("""COMPUTED_VALUE"""),"➖")</f>
        <v>➖</v>
      </c>
      <c r="U180" s="255" t="str">
        <f>IFERROR(__xludf.DUMMYFUNCTION("""COMPUTED_VALUE"""),"➖")</f>
        <v>➖</v>
      </c>
      <c r="V180" s="259"/>
      <c r="W180" s="286"/>
      <c r="X180" s="286"/>
      <c r="Y180" s="286"/>
    </row>
    <row r="181">
      <c r="A181" s="28"/>
      <c r="B181" s="128"/>
      <c r="C181" s="28"/>
      <c r="D181" s="250" t="str">
        <f>IFERROR(__xludf.DUMMYFUNCTION("""COMPUTED_VALUE"""),"   C")</f>
        <v>C</v>
      </c>
      <c r="E181" s="280" t="str">
        <f>IFERROR(__xludf.DUMMYFUNCTION("""COMPUTED_VALUE"""),"INSTR. SPOCK")</f>
        <v>INSTR. SPOCK</v>
      </c>
      <c r="F181" s="271" t="str">
        <f>IFERROR(__xludf.DUMMYFUNCTION("""COMPUTED_VALUE"""),"CM")</f>
        <v>CM</v>
      </c>
      <c r="G181" s="281" t="str">
        <f>IFERROR(__xludf.DUMMYFUNCTION("""COMPUTED_VALUE"""),"✅")</f>
        <v>✅</v>
      </c>
      <c r="H181" s="281" t="str">
        <f>IFERROR(__xludf.DUMMYFUNCTION("""COMPUTED_VALUE"""),"✅")</f>
        <v>✅</v>
      </c>
      <c r="I181" s="281" t="str">
        <f>IFERROR(__xludf.DUMMYFUNCTION("""COMPUTED_VALUE"""),"✅")</f>
        <v>✅</v>
      </c>
      <c r="J181" s="281" t="str">
        <f>IFERROR(__xludf.DUMMYFUNCTION("""COMPUTED_VALUE"""),"✅")</f>
        <v>✅</v>
      </c>
      <c r="K181" s="282" t="str">
        <f>IFERROR(__xludf.DUMMYFUNCTION("""COMPUTED_VALUE"""),"✅")</f>
        <v>✅</v>
      </c>
      <c r="L181" s="282" t="str">
        <f>IFERROR(__xludf.DUMMYFUNCTION("""COMPUTED_VALUE"""),"✅")</f>
        <v>✅</v>
      </c>
      <c r="M181" s="282" t="str">
        <f>IFERROR(__xludf.DUMMYFUNCTION("""COMPUTED_VALUE"""),"✅")</f>
        <v>✅</v>
      </c>
      <c r="N181" s="282" t="str">
        <f>IFERROR(__xludf.DUMMYFUNCTION("""COMPUTED_VALUE"""),"✅")</f>
        <v>✅</v>
      </c>
      <c r="O181" s="282" t="str">
        <f>IFERROR(__xludf.DUMMYFUNCTION("""COMPUTED_VALUE"""),"✅")</f>
        <v>✅</v>
      </c>
      <c r="P181" s="282" t="str">
        <f>IFERROR(__xludf.DUMMYFUNCTION("""COMPUTED_VALUE"""),"✅")</f>
        <v>✅</v>
      </c>
      <c r="Q181" s="282" t="str">
        <f>IFERROR(__xludf.DUMMYFUNCTION("""COMPUTED_VALUE"""),"✅")</f>
        <v>✅</v>
      </c>
      <c r="R181" s="283" t="str">
        <f>IFERROR(__xludf.DUMMYFUNCTION("""COMPUTED_VALUE"""),"   ✅")</f>
        <v>✅</v>
      </c>
      <c r="S181" s="284"/>
      <c r="T181" s="285" t="str">
        <f>IFERROR(__xludf.DUMMYFUNCTION("""COMPUTED_VALUE"""),"➖")</f>
        <v>➖</v>
      </c>
      <c r="U181" s="285" t="str">
        <f>IFERROR(__xludf.DUMMYFUNCTION("""COMPUTED_VALUE"""),"➖")</f>
        <v>➖</v>
      </c>
      <c r="V181" s="259"/>
      <c r="W181" s="286"/>
      <c r="X181" s="286"/>
      <c r="Y181" s="286"/>
    </row>
    <row r="182">
      <c r="A182" s="28"/>
      <c r="B182" s="132"/>
      <c r="C182" s="28"/>
      <c r="D182" s="260" t="str">
        <f>IFERROR(__xludf.DUMMYFUNCTION("""COMPUTED_VALUE"""),"   C")</f>
        <v>C</v>
      </c>
      <c r="E182" s="287" t="str">
        <f>IFERROR(__xludf.DUMMYFUNCTION("""COMPUTED_VALUE"""),"INSTR. SPOCK")</f>
        <v>INSTR. SPOCK</v>
      </c>
      <c r="F182" s="270" t="str">
        <f>IFERROR(__xludf.DUMMYFUNCTION("""COMPUTED_VALUE"""),"OA")</f>
        <v>OA</v>
      </c>
      <c r="G182" s="231" t="str">
        <f>IFERROR(__xludf.DUMMYFUNCTION("""COMPUTED_VALUE"""),"✅")</f>
        <v>✅</v>
      </c>
      <c r="H182" s="231" t="str">
        <f>IFERROR(__xludf.DUMMYFUNCTION("""COMPUTED_VALUE"""),"✅")</f>
        <v>✅</v>
      </c>
      <c r="I182" s="231" t="str">
        <f>IFERROR(__xludf.DUMMYFUNCTION("""COMPUTED_VALUE"""),"✅")</f>
        <v>✅</v>
      </c>
      <c r="J182" s="231" t="str">
        <f>IFERROR(__xludf.DUMMYFUNCTION("""COMPUTED_VALUE"""),"✅")</f>
        <v>✅</v>
      </c>
      <c r="K182" s="288" t="str">
        <f>IFERROR(__xludf.DUMMYFUNCTION("""COMPUTED_VALUE"""),"✅")</f>
        <v>✅</v>
      </c>
      <c r="L182" s="288" t="str">
        <f>IFERROR(__xludf.DUMMYFUNCTION("""COMPUTED_VALUE"""),"✅")</f>
        <v>✅</v>
      </c>
      <c r="M182" s="288" t="str">
        <f>IFERROR(__xludf.DUMMYFUNCTION("""COMPUTED_VALUE"""),"✅")</f>
        <v>✅</v>
      </c>
      <c r="N182" s="288" t="str">
        <f>IFERROR(__xludf.DUMMYFUNCTION("""COMPUTED_VALUE"""),"✅")</f>
        <v>✅</v>
      </c>
      <c r="O182" s="288" t="str">
        <f>IFERROR(__xludf.DUMMYFUNCTION("""COMPUTED_VALUE"""),"✅")</f>
        <v>✅</v>
      </c>
      <c r="P182" s="288" t="str">
        <f>IFERROR(__xludf.DUMMYFUNCTION("""COMPUTED_VALUE"""),"✅")</f>
        <v>✅</v>
      </c>
      <c r="Q182" s="288" t="str">
        <f>IFERROR(__xludf.DUMMYFUNCTION("""COMPUTED_VALUE"""),"✅")</f>
        <v>✅</v>
      </c>
      <c r="R182" s="257" t="str">
        <f>IFERROR(__xludf.DUMMYFUNCTION("""COMPUTED_VALUE"""),"   ✅")</f>
        <v>✅</v>
      </c>
      <c r="S182" s="258"/>
      <c r="T182" s="255" t="str">
        <f>IFERROR(__xludf.DUMMYFUNCTION("""COMPUTED_VALUE"""),"➖")</f>
        <v>➖</v>
      </c>
      <c r="U182" s="255" t="str">
        <f>IFERROR(__xludf.DUMMYFUNCTION("""COMPUTED_VALUE"""),"➖")</f>
        <v>➖</v>
      </c>
      <c r="V182" s="259"/>
      <c r="W182" s="286"/>
      <c r="X182" s="286"/>
      <c r="Y182" s="286"/>
    </row>
    <row r="183">
      <c r="A183" s="28"/>
      <c r="B183" s="128"/>
      <c r="C183" s="28"/>
      <c r="D183" s="250" t="str">
        <f>IFERROR(__xludf.DUMMYFUNCTION("""COMPUTED_VALUE"""),"   C")</f>
        <v>C</v>
      </c>
      <c r="E183" s="280" t="str">
        <f>IFERROR(__xludf.DUMMYFUNCTION("""COMPUTED_VALUE"""),"CADET MCCOY")</f>
        <v>CADET MCCOY</v>
      </c>
      <c r="F183" s="271" t="str">
        <f>IFERROR(__xludf.DUMMYFUNCTION("""COMPUTED_VALUE"""),"CM")</f>
        <v>CM</v>
      </c>
      <c r="G183" s="281" t="str">
        <f>IFERROR(__xludf.DUMMYFUNCTION("""COMPUTED_VALUE"""),"✅")</f>
        <v>✅</v>
      </c>
      <c r="H183" s="281" t="str">
        <f>IFERROR(__xludf.DUMMYFUNCTION("""COMPUTED_VALUE"""),"✅")</f>
        <v>✅</v>
      </c>
      <c r="I183" s="281" t="str">
        <f>IFERROR(__xludf.DUMMYFUNCTION("""COMPUTED_VALUE"""),"✅")</f>
        <v>✅</v>
      </c>
      <c r="J183" s="281" t="str">
        <f>IFERROR(__xludf.DUMMYFUNCTION("""COMPUTED_VALUE"""),"✅")</f>
        <v>✅</v>
      </c>
      <c r="K183" s="282" t="str">
        <f>IFERROR(__xludf.DUMMYFUNCTION("""COMPUTED_VALUE"""),"✅")</f>
        <v>✅</v>
      </c>
      <c r="L183" s="282" t="str">
        <f>IFERROR(__xludf.DUMMYFUNCTION("""COMPUTED_VALUE"""),"✅")</f>
        <v>✅</v>
      </c>
      <c r="M183" s="282" t="str">
        <f>IFERROR(__xludf.DUMMYFUNCTION("""COMPUTED_VALUE"""),"✅")</f>
        <v>✅</v>
      </c>
      <c r="N183" s="282" t="str">
        <f>IFERROR(__xludf.DUMMYFUNCTION("""COMPUTED_VALUE"""),"✅")</f>
        <v>✅</v>
      </c>
      <c r="O183" s="282" t="str">
        <f>IFERROR(__xludf.DUMMYFUNCTION("""COMPUTED_VALUE"""),"✅")</f>
        <v>✅</v>
      </c>
      <c r="P183" s="282" t="str">
        <f>IFERROR(__xludf.DUMMYFUNCTION("""COMPUTED_VALUE"""),"✅")</f>
        <v>✅</v>
      </c>
      <c r="Q183" s="282" t="str">
        <f>IFERROR(__xludf.DUMMYFUNCTION("""COMPUTED_VALUE"""),"✅")</f>
        <v>✅</v>
      </c>
      <c r="R183" s="283" t="str">
        <f>IFERROR(__xludf.DUMMYFUNCTION("""COMPUTED_VALUE"""),"   ✅")</f>
        <v>✅</v>
      </c>
      <c r="S183" s="284"/>
      <c r="T183" s="285" t="str">
        <f>IFERROR(__xludf.DUMMYFUNCTION("""COMPUTED_VALUE"""),"➖")</f>
        <v>➖</v>
      </c>
      <c r="U183" s="285" t="str">
        <f>IFERROR(__xludf.DUMMYFUNCTION("""COMPUTED_VALUE"""),"➖")</f>
        <v>➖</v>
      </c>
      <c r="V183" s="259"/>
      <c r="W183" s="286"/>
      <c r="X183" s="286"/>
      <c r="Y183" s="286"/>
    </row>
    <row r="184">
      <c r="A184" s="28"/>
      <c r="B184" s="132"/>
      <c r="C184" s="28"/>
      <c r="D184" s="260" t="str">
        <f>IFERROR(__xludf.DUMMYFUNCTION("""COMPUTED_VALUE"""),"   C")</f>
        <v>C</v>
      </c>
      <c r="E184" s="287" t="str">
        <f>IFERROR(__xludf.DUMMYFUNCTION("""COMPUTED_VALUE"""),"CADET MCCOY")</f>
        <v>CADET MCCOY</v>
      </c>
      <c r="F184" s="270" t="str">
        <f>IFERROR(__xludf.DUMMYFUNCTION("""COMPUTED_VALUE"""),"OA")</f>
        <v>OA</v>
      </c>
      <c r="G184" s="231" t="str">
        <f>IFERROR(__xludf.DUMMYFUNCTION("""COMPUTED_VALUE"""),"✅")</f>
        <v>✅</v>
      </c>
      <c r="H184" s="231" t="str">
        <f>IFERROR(__xludf.DUMMYFUNCTION("""COMPUTED_VALUE"""),"✅")</f>
        <v>✅</v>
      </c>
      <c r="I184" s="231" t="str">
        <f>IFERROR(__xludf.DUMMYFUNCTION("""COMPUTED_VALUE"""),"✅")</f>
        <v>✅</v>
      </c>
      <c r="J184" s="231" t="str">
        <f>IFERROR(__xludf.DUMMYFUNCTION("""COMPUTED_VALUE"""),"✅")</f>
        <v>✅</v>
      </c>
      <c r="K184" s="288" t="str">
        <f>IFERROR(__xludf.DUMMYFUNCTION("""COMPUTED_VALUE"""),"✅")</f>
        <v>✅</v>
      </c>
      <c r="L184" s="288" t="str">
        <f>IFERROR(__xludf.DUMMYFUNCTION("""COMPUTED_VALUE"""),"✅")</f>
        <v>✅</v>
      </c>
      <c r="M184" s="288" t="str">
        <f>IFERROR(__xludf.DUMMYFUNCTION("""COMPUTED_VALUE"""),"✅")</f>
        <v>✅</v>
      </c>
      <c r="N184" s="288" t="str">
        <f>IFERROR(__xludf.DUMMYFUNCTION("""COMPUTED_VALUE"""),"✅")</f>
        <v>✅</v>
      </c>
      <c r="O184" s="288" t="str">
        <f>IFERROR(__xludf.DUMMYFUNCTION("""COMPUTED_VALUE"""),"✅")</f>
        <v>✅</v>
      </c>
      <c r="P184" s="288" t="str">
        <f>IFERROR(__xludf.DUMMYFUNCTION("""COMPUTED_VALUE"""),"✅")</f>
        <v>✅</v>
      </c>
      <c r="Q184" s="288" t="str">
        <f>IFERROR(__xludf.DUMMYFUNCTION("""COMPUTED_VALUE"""),"✅")</f>
        <v>✅</v>
      </c>
      <c r="R184" s="257" t="str">
        <f>IFERROR(__xludf.DUMMYFUNCTION("""COMPUTED_VALUE"""),"   ✅")</f>
        <v>✅</v>
      </c>
      <c r="S184" s="258"/>
      <c r="T184" s="255" t="str">
        <f>IFERROR(__xludf.DUMMYFUNCTION("""COMPUTED_VALUE"""),"➖")</f>
        <v>➖</v>
      </c>
      <c r="U184" s="255" t="str">
        <f>IFERROR(__xludf.DUMMYFUNCTION("""COMPUTED_VALUE"""),"➖")</f>
        <v>➖</v>
      </c>
      <c r="V184" s="259"/>
      <c r="W184" s="286"/>
      <c r="X184" s="286"/>
      <c r="Y184" s="286"/>
    </row>
    <row r="185">
      <c r="A185" s="28"/>
      <c r="B185" s="128"/>
      <c r="C185" s="28"/>
      <c r="D185" s="250" t="str">
        <f>IFERROR(__xludf.DUMMYFUNCTION("""COMPUTED_VALUE"""),"   C")</f>
        <v>C</v>
      </c>
      <c r="E185" s="280" t="str">
        <f>IFERROR(__xludf.DUMMYFUNCTION("""COMPUTED_VALUE"""),"CADET SCOTTY")</f>
        <v>CADET SCOTTY</v>
      </c>
      <c r="F185" s="271" t="str">
        <f>IFERROR(__xludf.DUMMYFUNCTION("""COMPUTED_VALUE"""),"CM")</f>
        <v>CM</v>
      </c>
      <c r="G185" s="281" t="str">
        <f>IFERROR(__xludf.DUMMYFUNCTION("""COMPUTED_VALUE"""),"✅")</f>
        <v>✅</v>
      </c>
      <c r="H185" s="281" t="str">
        <f>IFERROR(__xludf.DUMMYFUNCTION("""COMPUTED_VALUE"""),"✅")</f>
        <v>✅</v>
      </c>
      <c r="I185" s="281" t="str">
        <f>IFERROR(__xludf.DUMMYFUNCTION("""COMPUTED_VALUE"""),"✅")</f>
        <v>✅</v>
      </c>
      <c r="J185" s="281" t="str">
        <f>IFERROR(__xludf.DUMMYFUNCTION("""COMPUTED_VALUE"""),"✅")</f>
        <v>✅</v>
      </c>
      <c r="K185" s="282" t="str">
        <f>IFERROR(__xludf.DUMMYFUNCTION("""COMPUTED_VALUE"""),"✅")</f>
        <v>✅</v>
      </c>
      <c r="L185" s="282" t="str">
        <f>IFERROR(__xludf.DUMMYFUNCTION("""COMPUTED_VALUE"""),"✅")</f>
        <v>✅</v>
      </c>
      <c r="M185" s="282" t="str">
        <f>IFERROR(__xludf.DUMMYFUNCTION("""COMPUTED_VALUE"""),"✅")</f>
        <v>✅</v>
      </c>
      <c r="N185" s="282" t="str">
        <f>IFERROR(__xludf.DUMMYFUNCTION("""COMPUTED_VALUE"""),"✅")</f>
        <v>✅</v>
      </c>
      <c r="O185" s="282" t="str">
        <f>IFERROR(__xludf.DUMMYFUNCTION("""COMPUTED_VALUE"""),"✅")</f>
        <v>✅</v>
      </c>
      <c r="P185" s="282" t="str">
        <f>IFERROR(__xludf.DUMMYFUNCTION("""COMPUTED_VALUE"""),"✅")</f>
        <v>✅</v>
      </c>
      <c r="Q185" s="282" t="str">
        <f>IFERROR(__xludf.DUMMYFUNCTION("""COMPUTED_VALUE"""),"✅")</f>
        <v>✅</v>
      </c>
      <c r="R185" s="283" t="str">
        <f>IFERROR(__xludf.DUMMYFUNCTION("""COMPUTED_VALUE"""),"   ✅")</f>
        <v>✅</v>
      </c>
      <c r="S185" s="284"/>
      <c r="T185" s="285" t="str">
        <f>IFERROR(__xludf.DUMMYFUNCTION("""COMPUTED_VALUE"""),"➖")</f>
        <v>➖</v>
      </c>
      <c r="U185" s="285" t="str">
        <f>IFERROR(__xludf.DUMMYFUNCTION("""COMPUTED_VALUE"""),"➖")</f>
        <v>➖</v>
      </c>
      <c r="V185" s="259"/>
      <c r="W185" s="286"/>
      <c r="X185" s="286"/>
      <c r="Y185" s="286"/>
    </row>
    <row r="186">
      <c r="A186" s="28"/>
      <c r="B186" s="132"/>
      <c r="C186" s="28"/>
      <c r="D186" s="260" t="str">
        <f>IFERROR(__xludf.DUMMYFUNCTION("""COMPUTED_VALUE"""),"   C")</f>
        <v>C</v>
      </c>
      <c r="E186" s="287" t="str">
        <f>IFERROR(__xludf.DUMMYFUNCTION("""COMPUTED_VALUE"""),"CADET SCOTTY")</f>
        <v>CADET SCOTTY</v>
      </c>
      <c r="F186" s="270" t="str">
        <f>IFERROR(__xludf.DUMMYFUNCTION("""COMPUTED_VALUE"""),"OA")</f>
        <v>OA</v>
      </c>
      <c r="G186" s="231" t="str">
        <f>IFERROR(__xludf.DUMMYFUNCTION("""COMPUTED_VALUE"""),"➖")</f>
        <v>➖</v>
      </c>
      <c r="H186" s="231" t="str">
        <f>IFERROR(__xludf.DUMMYFUNCTION("""COMPUTED_VALUE"""),"➖")</f>
        <v>➖</v>
      </c>
      <c r="I186" s="231" t="str">
        <f>IFERROR(__xludf.DUMMYFUNCTION("""COMPUTED_VALUE"""),"➖")</f>
        <v>➖</v>
      </c>
      <c r="J186" s="231" t="str">
        <f>IFERROR(__xludf.DUMMYFUNCTION("""COMPUTED_VALUE"""),"➖")</f>
        <v>➖</v>
      </c>
      <c r="K186" s="288" t="str">
        <f>IFERROR(__xludf.DUMMYFUNCTION("""COMPUTED_VALUE"""),"➖")</f>
        <v>➖</v>
      </c>
      <c r="L186" s="288" t="str">
        <f>IFERROR(__xludf.DUMMYFUNCTION("""COMPUTED_VALUE"""),"➖")</f>
        <v>➖</v>
      </c>
      <c r="M186" s="288" t="str">
        <f>IFERROR(__xludf.DUMMYFUNCTION("""COMPUTED_VALUE"""),"➖")</f>
        <v>➖</v>
      </c>
      <c r="N186" s="288" t="str">
        <f>IFERROR(__xludf.DUMMYFUNCTION("""COMPUTED_VALUE"""),"➖")</f>
        <v>➖</v>
      </c>
      <c r="O186" s="288" t="str">
        <f>IFERROR(__xludf.DUMMYFUNCTION("""COMPUTED_VALUE"""),"➖")</f>
        <v>➖</v>
      </c>
      <c r="P186" s="288" t="str">
        <f>IFERROR(__xludf.DUMMYFUNCTION("""COMPUTED_VALUE"""),"➖")</f>
        <v>➖</v>
      </c>
      <c r="Q186" s="288" t="str">
        <f>IFERROR(__xludf.DUMMYFUNCTION("""COMPUTED_VALUE"""),"➖")</f>
        <v>➖</v>
      </c>
      <c r="R186" s="257" t="str">
        <f>IFERROR(__xludf.DUMMYFUNCTION("""COMPUTED_VALUE"""),"   ➖")</f>
        <v>➖</v>
      </c>
      <c r="S186" s="258"/>
      <c r="T186" s="255" t="str">
        <f>IFERROR(__xludf.DUMMYFUNCTION("""COMPUTED_VALUE"""),"➖")</f>
        <v>➖</v>
      </c>
      <c r="U186" s="255" t="str">
        <f>IFERROR(__xludf.DUMMYFUNCTION("""COMPUTED_VALUE"""),"✅")</f>
        <v>✅</v>
      </c>
      <c r="V186" s="259"/>
      <c r="W186" s="286"/>
      <c r="X186" s="286"/>
      <c r="Y186" s="286"/>
    </row>
    <row r="187">
      <c r="A187" s="28"/>
      <c r="B187" s="128"/>
      <c r="C187" s="28"/>
      <c r="D187" s="250" t="str">
        <f>IFERROR(__xludf.DUMMYFUNCTION("""COMPUTED_VALUE"""),"   C")</f>
        <v>C</v>
      </c>
      <c r="E187" s="280" t="str">
        <f>IFERROR(__xludf.DUMMYFUNCTION("""COMPUTED_VALUE"""),"CADET UHURA")</f>
        <v>CADET UHURA</v>
      </c>
      <c r="F187" s="271" t="str">
        <f>IFERROR(__xludf.DUMMYFUNCTION("""COMPUTED_VALUE"""),"CM")</f>
        <v>CM</v>
      </c>
      <c r="G187" s="281" t="str">
        <f>IFERROR(__xludf.DUMMYFUNCTION("""COMPUTED_VALUE"""),"✅")</f>
        <v>✅</v>
      </c>
      <c r="H187" s="281" t="str">
        <f>IFERROR(__xludf.DUMMYFUNCTION("""COMPUTED_VALUE"""),"✅")</f>
        <v>✅</v>
      </c>
      <c r="I187" s="281" t="str">
        <f>IFERROR(__xludf.DUMMYFUNCTION("""COMPUTED_VALUE"""),"✅")</f>
        <v>✅</v>
      </c>
      <c r="J187" s="281" t="str">
        <f>IFERROR(__xludf.DUMMYFUNCTION("""COMPUTED_VALUE"""),"✅")</f>
        <v>✅</v>
      </c>
      <c r="K187" s="282" t="str">
        <f>IFERROR(__xludf.DUMMYFUNCTION("""COMPUTED_VALUE"""),"✅")</f>
        <v>✅</v>
      </c>
      <c r="L187" s="282" t="str">
        <f>IFERROR(__xludf.DUMMYFUNCTION("""COMPUTED_VALUE"""),"✅")</f>
        <v>✅</v>
      </c>
      <c r="M187" s="282" t="str">
        <f>IFERROR(__xludf.DUMMYFUNCTION("""COMPUTED_VALUE"""),"➖")</f>
        <v>➖</v>
      </c>
      <c r="N187" s="282" t="str">
        <f>IFERROR(__xludf.DUMMYFUNCTION("""COMPUTED_VALUE"""),"➖")</f>
        <v>➖</v>
      </c>
      <c r="O187" s="282" t="str">
        <f>IFERROR(__xludf.DUMMYFUNCTION("""COMPUTED_VALUE"""),"➖")</f>
        <v>➖</v>
      </c>
      <c r="P187" s="282" t="str">
        <f>IFERROR(__xludf.DUMMYFUNCTION("""COMPUTED_VALUE"""),"➖")</f>
        <v>➖</v>
      </c>
      <c r="Q187" s="282" t="str">
        <f>IFERROR(__xludf.DUMMYFUNCTION("""COMPUTED_VALUE"""),"✅")</f>
        <v>✅</v>
      </c>
      <c r="R187" s="283" t="str">
        <f>IFERROR(__xludf.DUMMYFUNCTION("""COMPUTED_VALUE"""),"   ✅")</f>
        <v>✅</v>
      </c>
      <c r="S187" s="284"/>
      <c r="T187" s="285" t="str">
        <f>IFERROR(__xludf.DUMMYFUNCTION("""COMPUTED_VALUE"""),"➖")</f>
        <v>➖</v>
      </c>
      <c r="U187" s="285" t="str">
        <f>IFERROR(__xludf.DUMMYFUNCTION("""COMPUTED_VALUE"""),"➖")</f>
        <v>➖</v>
      </c>
      <c r="V187" s="259"/>
      <c r="W187" s="286"/>
      <c r="X187" s="286"/>
      <c r="Y187" s="286"/>
    </row>
    <row r="188">
      <c r="A188" s="28"/>
      <c r="B188" s="132"/>
      <c r="C188" s="28"/>
      <c r="D188" s="260" t="str">
        <f>IFERROR(__xludf.DUMMYFUNCTION("""COMPUTED_VALUE"""),"   C")</f>
        <v>C</v>
      </c>
      <c r="E188" s="287" t="str">
        <f>IFERROR(__xludf.DUMMYFUNCTION("""COMPUTED_VALUE"""),"CADET UHURA")</f>
        <v>CADET UHURA</v>
      </c>
      <c r="F188" s="270" t="str">
        <f>IFERROR(__xludf.DUMMYFUNCTION("""COMPUTED_VALUE"""),"OA")</f>
        <v>OA</v>
      </c>
      <c r="G188" s="231" t="str">
        <f>IFERROR(__xludf.DUMMYFUNCTION("""COMPUTED_VALUE"""),"✅")</f>
        <v>✅</v>
      </c>
      <c r="H188" s="231" t="str">
        <f>IFERROR(__xludf.DUMMYFUNCTION("""COMPUTED_VALUE"""),"✅")</f>
        <v>✅</v>
      </c>
      <c r="I188" s="231" t="str">
        <f>IFERROR(__xludf.DUMMYFUNCTION("""COMPUTED_VALUE"""),"✅")</f>
        <v>✅</v>
      </c>
      <c r="J188" s="231" t="str">
        <f>IFERROR(__xludf.DUMMYFUNCTION("""COMPUTED_VALUE"""),"✅")</f>
        <v>✅</v>
      </c>
      <c r="K188" s="288" t="str">
        <f>IFERROR(__xludf.DUMMYFUNCTION("""COMPUTED_VALUE"""),"✅")</f>
        <v>✅</v>
      </c>
      <c r="L188" s="288" t="str">
        <f>IFERROR(__xludf.DUMMYFUNCTION("""COMPUTED_VALUE"""),"✅")</f>
        <v>✅</v>
      </c>
      <c r="M188" s="288" t="str">
        <f>IFERROR(__xludf.DUMMYFUNCTION("""COMPUTED_VALUE"""),"✅")</f>
        <v>✅</v>
      </c>
      <c r="N188" s="288" t="str">
        <f>IFERROR(__xludf.DUMMYFUNCTION("""COMPUTED_VALUE"""),"✅")</f>
        <v>✅</v>
      </c>
      <c r="O188" s="288" t="str">
        <f>IFERROR(__xludf.DUMMYFUNCTION("""COMPUTED_VALUE"""),"✅")</f>
        <v>✅</v>
      </c>
      <c r="P188" s="288" t="str">
        <f>IFERROR(__xludf.DUMMYFUNCTION("""COMPUTED_VALUE"""),"✅")</f>
        <v>✅</v>
      </c>
      <c r="Q188" s="288" t="str">
        <f>IFERROR(__xludf.DUMMYFUNCTION("""COMPUTED_VALUE"""),"✅")</f>
        <v>✅</v>
      </c>
      <c r="R188" s="257" t="str">
        <f>IFERROR(__xludf.DUMMYFUNCTION("""COMPUTED_VALUE"""),"   ✅")</f>
        <v>✅</v>
      </c>
      <c r="S188" s="258"/>
      <c r="T188" s="255" t="str">
        <f>IFERROR(__xludf.DUMMYFUNCTION("""COMPUTED_VALUE"""),"➖")</f>
        <v>➖</v>
      </c>
      <c r="U188" s="255" t="str">
        <f>IFERROR(__xludf.DUMMYFUNCTION("""COMPUTED_VALUE"""),"➖")</f>
        <v>➖</v>
      </c>
      <c r="V188" s="259"/>
      <c r="W188" s="286"/>
      <c r="X188" s="286"/>
      <c r="Y188" s="286"/>
    </row>
    <row r="189">
      <c r="A189" s="28"/>
      <c r="B189" s="128"/>
      <c r="C189" s="28"/>
      <c r="D189" s="250" t="str">
        <f>IFERROR(__xludf.DUMMYFUNCTION("""COMPUTED_VALUE"""),"   C")</f>
        <v>C</v>
      </c>
      <c r="E189" s="280" t="str">
        <f>IFERROR(__xludf.DUMMYFUNCTION("""COMPUTED_VALUE"""),"CADET SULU")</f>
        <v>CADET SULU</v>
      </c>
      <c r="F189" s="271" t="str">
        <f>IFERROR(__xludf.DUMMYFUNCTION("""COMPUTED_VALUE"""),"CM")</f>
        <v>CM</v>
      </c>
      <c r="G189" s="281" t="str">
        <f>IFERROR(__xludf.DUMMYFUNCTION("""COMPUTED_VALUE"""),"✅")</f>
        <v>✅</v>
      </c>
      <c r="H189" s="281" t="str">
        <f>IFERROR(__xludf.DUMMYFUNCTION("""COMPUTED_VALUE"""),"✅")</f>
        <v>✅</v>
      </c>
      <c r="I189" s="281" t="str">
        <f>IFERROR(__xludf.DUMMYFUNCTION("""COMPUTED_VALUE"""),"✅")</f>
        <v>✅</v>
      </c>
      <c r="J189" s="281" t="str">
        <f>IFERROR(__xludf.DUMMYFUNCTION("""COMPUTED_VALUE"""),"✅")</f>
        <v>✅</v>
      </c>
      <c r="K189" s="282" t="str">
        <f>IFERROR(__xludf.DUMMYFUNCTION("""COMPUTED_VALUE"""),"✅")</f>
        <v>✅</v>
      </c>
      <c r="L189" s="282" t="str">
        <f>IFERROR(__xludf.DUMMYFUNCTION("""COMPUTED_VALUE"""),"✅")</f>
        <v>✅</v>
      </c>
      <c r="M189" s="282" t="str">
        <f>IFERROR(__xludf.DUMMYFUNCTION("""COMPUTED_VALUE"""),"✅")</f>
        <v>✅</v>
      </c>
      <c r="N189" s="282" t="str">
        <f>IFERROR(__xludf.DUMMYFUNCTION("""COMPUTED_VALUE"""),"✅")</f>
        <v>✅</v>
      </c>
      <c r="O189" s="282" t="str">
        <f>IFERROR(__xludf.DUMMYFUNCTION("""COMPUTED_VALUE"""),"✅")</f>
        <v>✅</v>
      </c>
      <c r="P189" s="282" t="str">
        <f>IFERROR(__xludf.DUMMYFUNCTION("""COMPUTED_VALUE"""),"✅")</f>
        <v>✅</v>
      </c>
      <c r="Q189" s="282" t="str">
        <f>IFERROR(__xludf.DUMMYFUNCTION("""COMPUTED_VALUE"""),"✅")</f>
        <v>✅</v>
      </c>
      <c r="R189" s="283" t="str">
        <f>IFERROR(__xludf.DUMMYFUNCTION("""COMPUTED_VALUE"""),"   ✅")</f>
        <v>✅</v>
      </c>
      <c r="S189" s="284"/>
      <c r="T189" s="285" t="str">
        <f>IFERROR(__xludf.DUMMYFUNCTION("""COMPUTED_VALUE"""),"➖")</f>
        <v>➖</v>
      </c>
      <c r="U189" s="285" t="str">
        <f>IFERROR(__xludf.DUMMYFUNCTION("""COMPUTED_VALUE"""),"➖")</f>
        <v>➖</v>
      </c>
      <c r="V189" s="259"/>
      <c r="W189" s="286"/>
      <c r="X189" s="286"/>
      <c r="Y189" s="286"/>
    </row>
    <row r="190">
      <c r="A190" s="28"/>
      <c r="B190" s="132"/>
      <c r="C190" s="28"/>
      <c r="D190" s="260" t="str">
        <f>IFERROR(__xludf.DUMMYFUNCTION("""COMPUTED_VALUE"""),"   C")</f>
        <v>C</v>
      </c>
      <c r="E190" s="287" t="str">
        <f>IFERROR(__xludf.DUMMYFUNCTION("""COMPUTED_VALUE"""),"CADET SULU")</f>
        <v>CADET SULU</v>
      </c>
      <c r="F190" s="270" t="str">
        <f>IFERROR(__xludf.DUMMYFUNCTION("""COMPUTED_VALUE"""),"OA")</f>
        <v>OA</v>
      </c>
      <c r="G190" s="231" t="str">
        <f>IFERROR(__xludf.DUMMYFUNCTION("""COMPUTED_VALUE"""),"✅")</f>
        <v>✅</v>
      </c>
      <c r="H190" s="231" t="str">
        <f>IFERROR(__xludf.DUMMYFUNCTION("""COMPUTED_VALUE"""),"✅")</f>
        <v>✅</v>
      </c>
      <c r="I190" s="231" t="str">
        <f>IFERROR(__xludf.DUMMYFUNCTION("""COMPUTED_VALUE"""),"✅")</f>
        <v>✅</v>
      </c>
      <c r="J190" s="231" t="str">
        <f>IFERROR(__xludf.DUMMYFUNCTION("""COMPUTED_VALUE"""),"✅")</f>
        <v>✅</v>
      </c>
      <c r="K190" s="288" t="str">
        <f>IFERROR(__xludf.DUMMYFUNCTION("""COMPUTED_VALUE"""),"✅")</f>
        <v>✅</v>
      </c>
      <c r="L190" s="288" t="str">
        <f>IFERROR(__xludf.DUMMYFUNCTION("""COMPUTED_VALUE"""),"✅")</f>
        <v>✅</v>
      </c>
      <c r="M190" s="288" t="str">
        <f>IFERROR(__xludf.DUMMYFUNCTION("""COMPUTED_VALUE"""),"✅")</f>
        <v>✅</v>
      </c>
      <c r="N190" s="288" t="str">
        <f>IFERROR(__xludf.DUMMYFUNCTION("""COMPUTED_VALUE"""),"✅")</f>
        <v>✅</v>
      </c>
      <c r="O190" s="288" t="str">
        <f>IFERROR(__xludf.DUMMYFUNCTION("""COMPUTED_VALUE"""),"✅")</f>
        <v>✅</v>
      </c>
      <c r="P190" s="288" t="str">
        <f>IFERROR(__xludf.DUMMYFUNCTION("""COMPUTED_VALUE"""),"✅")</f>
        <v>✅</v>
      </c>
      <c r="Q190" s="288" t="str">
        <f>IFERROR(__xludf.DUMMYFUNCTION("""COMPUTED_VALUE"""),"✅")</f>
        <v>✅</v>
      </c>
      <c r="R190" s="257" t="str">
        <f>IFERROR(__xludf.DUMMYFUNCTION("""COMPUTED_VALUE"""),"   ✅")</f>
        <v>✅</v>
      </c>
      <c r="S190" s="258"/>
      <c r="T190" s="255" t="str">
        <f>IFERROR(__xludf.DUMMYFUNCTION("""COMPUTED_VALUE"""),"➖")</f>
        <v>➖</v>
      </c>
      <c r="U190" s="255" t="str">
        <f>IFERROR(__xludf.DUMMYFUNCTION("""COMPUTED_VALUE"""),"➖")</f>
        <v>➖</v>
      </c>
      <c r="V190" s="259"/>
      <c r="W190" s="286"/>
      <c r="X190" s="286"/>
      <c r="Y190" s="286"/>
    </row>
    <row r="191">
      <c r="A191" s="28"/>
      <c r="B191" s="128"/>
      <c r="C191" s="28"/>
      <c r="D191" s="250" t="str">
        <f>IFERROR(__xludf.DUMMYFUNCTION("""COMPUTED_VALUE"""),"   E")</f>
        <v>E</v>
      </c>
      <c r="E191" s="280" t="str">
        <f>IFERROR(__xludf.DUMMYFUNCTION("""COMPUTED_VALUE"""),"JAYLAH")</f>
        <v>JAYLAH</v>
      </c>
      <c r="F191" s="271" t="str">
        <f>IFERROR(__xludf.DUMMYFUNCTION("""COMPUTED_VALUE"""),"CM")</f>
        <v>CM</v>
      </c>
      <c r="G191" s="281" t="str">
        <f>IFERROR(__xludf.DUMMYFUNCTION("""COMPUTED_VALUE"""),"➖")</f>
        <v>➖</v>
      </c>
      <c r="H191" s="281" t="str">
        <f>IFERROR(__xludf.DUMMYFUNCTION("""COMPUTED_VALUE"""),"➖")</f>
        <v>➖</v>
      </c>
      <c r="I191" s="281" t="str">
        <f>IFERROR(__xludf.DUMMYFUNCTION("""COMPUTED_VALUE"""),"✴️")</f>
        <v>✴️</v>
      </c>
      <c r="J191" s="281" t="str">
        <f>IFERROR(__xludf.DUMMYFUNCTION("""COMPUTED_VALUE"""),"➖")</f>
        <v>➖</v>
      </c>
      <c r="K191" s="282" t="str">
        <f>IFERROR(__xludf.DUMMYFUNCTION("""COMPUTED_VALUE"""),"➖")</f>
        <v>➖</v>
      </c>
      <c r="L191" s="282" t="str">
        <f>IFERROR(__xludf.DUMMYFUNCTION("""COMPUTED_VALUE"""),"➖")</f>
        <v>➖</v>
      </c>
      <c r="M191" s="282" t="str">
        <f>IFERROR(__xludf.DUMMYFUNCTION("""COMPUTED_VALUE"""),"✴️")</f>
        <v>✴️</v>
      </c>
      <c r="N191" s="282" t="str">
        <f>IFERROR(__xludf.DUMMYFUNCTION("""COMPUTED_VALUE"""),"✴️")</f>
        <v>✴️</v>
      </c>
      <c r="O191" s="282" t="str">
        <f>IFERROR(__xludf.DUMMYFUNCTION("""COMPUTED_VALUE"""),"✴️")</f>
        <v>✴️</v>
      </c>
      <c r="P191" s="282" t="str">
        <f>IFERROR(__xludf.DUMMYFUNCTION("""COMPUTED_VALUE"""),"➖")</f>
        <v>➖</v>
      </c>
      <c r="Q191" s="282" t="str">
        <f>IFERROR(__xludf.DUMMYFUNCTION("""COMPUTED_VALUE"""),"✴️")</f>
        <v>✴️</v>
      </c>
      <c r="R191" s="283" t="str">
        <f>IFERROR(__xludf.DUMMYFUNCTION("""COMPUTED_VALUE"""),"   ✴️")</f>
        <v>✴️</v>
      </c>
      <c r="S191" s="284" t="str">
        <f>IFERROR(__xludf.DUMMYFUNCTION("""COMPUTED_VALUE"""),"CombatPveRewards (on USS-Franklin(-A))")</f>
        <v>CombatPveRewards (on USS-Franklin(-A))</v>
      </c>
      <c r="T191" s="285" t="str">
        <f>IFERROR(__xludf.DUMMYFUNCTION("""COMPUTED_VALUE"""),"✅")</f>
        <v>✅</v>
      </c>
      <c r="U191" s="285" t="str">
        <f>IFERROR(__xludf.DUMMYFUNCTION("""COMPUTED_VALUE"""),"➖")</f>
        <v>➖</v>
      </c>
      <c r="V191" s="259"/>
      <c r="W191" s="286"/>
      <c r="X191" s="286"/>
      <c r="Y191" s="286"/>
    </row>
    <row r="192">
      <c r="A192" s="28"/>
      <c r="B192" s="132"/>
      <c r="C192" s="28"/>
      <c r="D192" s="260" t="str">
        <f>IFERROR(__xludf.DUMMYFUNCTION("""COMPUTED_VALUE"""),"   E")</f>
        <v>E</v>
      </c>
      <c r="E192" s="287" t="str">
        <f>IFERROR(__xludf.DUMMYFUNCTION("""COMPUTED_VALUE"""),"JAYLAH")</f>
        <v>JAYLAH</v>
      </c>
      <c r="F192" s="270" t="str">
        <f>IFERROR(__xludf.DUMMYFUNCTION("""COMPUTED_VALUE"""),"OA")</f>
        <v>OA</v>
      </c>
      <c r="G192" s="231" t="str">
        <f>IFERROR(__xludf.DUMMYFUNCTION("""COMPUTED_VALUE"""),"➖")</f>
        <v>➖</v>
      </c>
      <c r="H192" s="231" t="str">
        <f>IFERROR(__xludf.DUMMYFUNCTION("""COMPUTED_VALUE"""),"➖")</f>
        <v>➖</v>
      </c>
      <c r="I192" s="231" t="str">
        <f>IFERROR(__xludf.DUMMYFUNCTION("""COMPUTED_VALUE"""),"✴️")</f>
        <v>✴️</v>
      </c>
      <c r="J192" s="231" t="str">
        <f>IFERROR(__xludf.DUMMYFUNCTION("""COMPUTED_VALUE"""),"✴️")</f>
        <v>✴️</v>
      </c>
      <c r="K192" s="288" t="str">
        <f>IFERROR(__xludf.DUMMYFUNCTION("""COMPUTED_VALUE"""),"✴️")</f>
        <v>✴️</v>
      </c>
      <c r="L192" s="288" t="str">
        <f>IFERROR(__xludf.DUMMYFUNCTION("""COMPUTED_VALUE"""),"✴️")</f>
        <v>✴️</v>
      </c>
      <c r="M192" s="288" t="str">
        <f>IFERROR(__xludf.DUMMYFUNCTION("""COMPUTED_VALUE"""),"✴️")</f>
        <v>✴️</v>
      </c>
      <c r="N192" s="288" t="str">
        <f>IFERROR(__xludf.DUMMYFUNCTION("""COMPUTED_VALUE"""),"✴️")</f>
        <v>✴️</v>
      </c>
      <c r="O192" s="288" t="str">
        <f>IFERROR(__xludf.DUMMYFUNCTION("""COMPUTED_VALUE"""),"➖")</f>
        <v>➖</v>
      </c>
      <c r="P192" s="288" t="str">
        <f>IFERROR(__xludf.DUMMYFUNCTION("""COMPUTED_VALUE"""),"✴️")</f>
        <v>✴️</v>
      </c>
      <c r="Q192" s="288" t="str">
        <f>IFERROR(__xludf.DUMMYFUNCTION("""COMPUTED_VALUE"""),"➖")</f>
        <v>➖</v>
      </c>
      <c r="R192" s="257" t="str">
        <f>IFERROR(__xludf.DUMMYFUNCTION("""COMPUTED_VALUE"""),"   ➖")</f>
        <v>➖</v>
      </c>
      <c r="S192" s="258" t="str">
        <f>IFERROR(__xludf.DUMMYFUNCTION("""COMPUTED_VALUE"""),"EnemyHullFaction, SelfHullFranklins")</f>
        <v>EnemyHullFaction, SelfHullFranklins</v>
      </c>
      <c r="T192" s="255" t="str">
        <f>IFERROR(__xludf.DUMMYFUNCTION("""COMPUTED_VALUE"""),"➖")</f>
        <v>➖</v>
      </c>
      <c r="U192" s="255" t="str">
        <f>IFERROR(__xludf.DUMMYFUNCTION("""COMPUTED_VALUE"""),"➖")</f>
        <v>➖</v>
      </c>
      <c r="V192" s="259"/>
      <c r="W192" s="286"/>
      <c r="X192" s="286"/>
      <c r="Y192" s="286"/>
    </row>
    <row r="193">
      <c r="A193" s="28"/>
      <c r="B193" s="128"/>
      <c r="C193" s="28"/>
      <c r="D193" s="250" t="str">
        <f>IFERROR(__xludf.DUMMYFUNCTION("""COMPUTED_VALUE"""),"   R")</f>
        <v>R</v>
      </c>
      <c r="E193" s="280" t="str">
        <f>IFERROR(__xludf.DUMMYFUNCTION("""COMPUTED_VALUE"""),"ONE OF ELEVEN")</f>
        <v>ONE OF ELEVEN</v>
      </c>
      <c r="F193" s="271" t="str">
        <f>IFERROR(__xludf.DUMMYFUNCTION("""COMPUTED_VALUE"""),"CM")</f>
        <v>CM</v>
      </c>
      <c r="G193" s="281" t="str">
        <f>IFERROR(__xludf.DUMMYFUNCTION("""COMPUTED_VALUE"""),"✅")</f>
        <v>✅</v>
      </c>
      <c r="H193" s="281" t="str">
        <f>IFERROR(__xludf.DUMMYFUNCTION("""COMPUTED_VALUE"""),"✅")</f>
        <v>✅</v>
      </c>
      <c r="I193" s="281" t="str">
        <f>IFERROR(__xludf.DUMMYFUNCTION("""COMPUTED_VALUE"""),"✅")</f>
        <v>✅</v>
      </c>
      <c r="J193" s="281" t="str">
        <f>IFERROR(__xludf.DUMMYFUNCTION("""COMPUTED_VALUE"""),"✅")</f>
        <v>✅</v>
      </c>
      <c r="K193" s="282" t="str">
        <f>IFERROR(__xludf.DUMMYFUNCTION("""COMPUTED_VALUE"""),"✅")</f>
        <v>✅</v>
      </c>
      <c r="L193" s="282" t="str">
        <f>IFERROR(__xludf.DUMMYFUNCTION("""COMPUTED_VALUE"""),"✅")</f>
        <v>✅</v>
      </c>
      <c r="M193" s="282" t="str">
        <f>IFERROR(__xludf.DUMMYFUNCTION("""COMPUTED_VALUE"""),"✅")</f>
        <v>✅</v>
      </c>
      <c r="N193" s="282" t="str">
        <f>IFERROR(__xludf.DUMMYFUNCTION("""COMPUTED_VALUE"""),"✅")</f>
        <v>✅</v>
      </c>
      <c r="O193" s="282" t="str">
        <f>IFERROR(__xludf.DUMMYFUNCTION("""COMPUTED_VALUE"""),"✅")</f>
        <v>✅</v>
      </c>
      <c r="P193" s="282" t="str">
        <f>IFERROR(__xludf.DUMMYFUNCTION("""COMPUTED_VALUE"""),"✅")</f>
        <v>✅</v>
      </c>
      <c r="Q193" s="282" t="str">
        <f>IFERROR(__xludf.DUMMYFUNCTION("""COMPUTED_VALUE"""),"✅")</f>
        <v>✅</v>
      </c>
      <c r="R193" s="283" t="str">
        <f>IFERROR(__xludf.DUMMYFUNCTION("""COMPUTED_VALUE"""),"   ✅")</f>
        <v>✅</v>
      </c>
      <c r="S193" s="284"/>
      <c r="T193" s="285" t="str">
        <f>IFERROR(__xludf.DUMMYFUNCTION("""COMPUTED_VALUE"""),"➖")</f>
        <v>➖</v>
      </c>
      <c r="U193" s="285" t="str">
        <f>IFERROR(__xludf.DUMMYFUNCTION("""COMPUTED_VALUE"""),"➖")</f>
        <v>➖</v>
      </c>
      <c r="V193" s="259"/>
      <c r="W193" s="286"/>
      <c r="X193" s="286"/>
      <c r="Y193" s="286"/>
    </row>
    <row r="194">
      <c r="A194" s="28"/>
      <c r="B194" s="132"/>
      <c r="C194" s="28"/>
      <c r="D194" s="260" t="str">
        <f>IFERROR(__xludf.DUMMYFUNCTION("""COMPUTED_VALUE"""),"   R")</f>
        <v>R</v>
      </c>
      <c r="E194" s="287" t="str">
        <f>IFERROR(__xludf.DUMMYFUNCTION("""COMPUTED_VALUE"""),"ONE OF ELEVEN")</f>
        <v>ONE OF ELEVEN</v>
      </c>
      <c r="F194" s="270" t="str">
        <f>IFERROR(__xludf.DUMMYFUNCTION("""COMPUTED_VALUE"""),"OA")</f>
        <v>OA</v>
      </c>
      <c r="G194" s="231" t="str">
        <f>IFERROR(__xludf.DUMMYFUNCTION("""COMPUTED_VALUE"""),"➖")</f>
        <v>➖</v>
      </c>
      <c r="H194" s="231" t="str">
        <f>IFERROR(__xludf.DUMMYFUNCTION("""COMPUTED_VALUE"""),"➖")</f>
        <v>➖</v>
      </c>
      <c r="I194" s="231" t="str">
        <f>IFERROR(__xludf.DUMMYFUNCTION("""COMPUTED_VALUE"""),"➖")</f>
        <v>➖</v>
      </c>
      <c r="J194" s="231" t="str">
        <f>IFERROR(__xludf.DUMMYFUNCTION("""COMPUTED_VALUE"""),"➖")</f>
        <v>➖</v>
      </c>
      <c r="K194" s="288" t="str">
        <f>IFERROR(__xludf.DUMMYFUNCTION("""COMPUTED_VALUE"""),"➖")</f>
        <v>➖</v>
      </c>
      <c r="L194" s="288" t="str">
        <f>IFERROR(__xludf.DUMMYFUNCTION("""COMPUTED_VALUE"""),"➖")</f>
        <v>➖</v>
      </c>
      <c r="M194" s="288" t="str">
        <f>IFERROR(__xludf.DUMMYFUNCTION("""COMPUTED_VALUE"""),"➖")</f>
        <v>➖</v>
      </c>
      <c r="N194" s="288" t="str">
        <f>IFERROR(__xludf.DUMMYFUNCTION("""COMPUTED_VALUE"""),"➖")</f>
        <v>➖</v>
      </c>
      <c r="O194" s="288" t="str">
        <f>IFERROR(__xludf.DUMMYFUNCTION("""COMPUTED_VALUE"""),"➖")</f>
        <v>➖</v>
      </c>
      <c r="P194" s="288" t="str">
        <f>IFERROR(__xludf.DUMMYFUNCTION("""COMPUTED_VALUE"""),"➖")</f>
        <v>➖</v>
      </c>
      <c r="Q194" s="288" t="str">
        <f>IFERROR(__xludf.DUMMYFUNCTION("""COMPUTED_VALUE"""),"➖")</f>
        <v>➖</v>
      </c>
      <c r="R194" s="257" t="str">
        <f>IFERROR(__xludf.DUMMYFUNCTION("""COMPUTED_VALUE"""),"   ➖")</f>
        <v>➖</v>
      </c>
      <c r="S194" s="258"/>
      <c r="T194" s="255" t="str">
        <f>IFERROR(__xludf.DUMMYFUNCTION("""COMPUTED_VALUE"""),"➖")</f>
        <v>➖</v>
      </c>
      <c r="U194" s="255" t="str">
        <f>IFERROR(__xludf.DUMMYFUNCTION("""COMPUTED_VALUE"""),"✅")</f>
        <v>✅</v>
      </c>
      <c r="V194" s="259"/>
      <c r="W194" s="286"/>
      <c r="X194" s="286"/>
      <c r="Y194" s="286"/>
    </row>
    <row r="195">
      <c r="A195" s="28"/>
      <c r="B195" s="128"/>
      <c r="C195" s="28"/>
      <c r="D195" s="250" t="str">
        <f>IFERROR(__xludf.DUMMYFUNCTION("""COMPUTED_VALUE"""),"   R")</f>
        <v>R</v>
      </c>
      <c r="E195" s="280" t="str">
        <f>IFERROR(__xludf.DUMMYFUNCTION("""COMPUTED_VALUE"""),"TWO OF ELEVEN")</f>
        <v>TWO OF ELEVEN</v>
      </c>
      <c r="F195" s="271" t="str">
        <f>IFERROR(__xludf.DUMMYFUNCTION("""COMPUTED_VALUE"""),"CM")</f>
        <v>CM</v>
      </c>
      <c r="G195" s="281" t="str">
        <f>IFERROR(__xludf.DUMMYFUNCTION("""COMPUTED_VALUE"""),"➖")</f>
        <v>➖</v>
      </c>
      <c r="H195" s="281" t="str">
        <f>IFERROR(__xludf.DUMMYFUNCTION("""COMPUTED_VALUE"""),"➖")</f>
        <v>➖</v>
      </c>
      <c r="I195" s="281" t="str">
        <f>IFERROR(__xludf.DUMMYFUNCTION("""COMPUTED_VALUE"""),"➖")</f>
        <v>➖</v>
      </c>
      <c r="J195" s="281" t="str">
        <f>IFERROR(__xludf.DUMMYFUNCTION("""COMPUTED_VALUE"""),"➖")</f>
        <v>➖</v>
      </c>
      <c r="K195" s="282" t="str">
        <f>IFERROR(__xludf.DUMMYFUNCTION("""COMPUTED_VALUE"""),"➖")</f>
        <v>➖</v>
      </c>
      <c r="L195" s="282" t="str">
        <f>IFERROR(__xludf.DUMMYFUNCTION("""COMPUTED_VALUE"""),"➖")</f>
        <v>➖</v>
      </c>
      <c r="M195" s="282" t="str">
        <f>IFERROR(__xludf.DUMMYFUNCTION("""COMPUTED_VALUE"""),"➖")</f>
        <v>➖</v>
      </c>
      <c r="N195" s="282" t="str">
        <f>IFERROR(__xludf.DUMMYFUNCTION("""COMPUTED_VALUE"""),"➖")</f>
        <v>➖</v>
      </c>
      <c r="O195" s="282" t="str">
        <f>IFERROR(__xludf.DUMMYFUNCTION("""COMPUTED_VALUE"""),"➖")</f>
        <v>➖</v>
      </c>
      <c r="P195" s="282" t="str">
        <f>IFERROR(__xludf.DUMMYFUNCTION("""COMPUTED_VALUE"""),"➖")</f>
        <v>➖</v>
      </c>
      <c r="Q195" s="282" t="str">
        <f>IFERROR(__xludf.DUMMYFUNCTION("""COMPUTED_VALUE"""),"➖")</f>
        <v>➖</v>
      </c>
      <c r="R195" s="283" t="str">
        <f>IFERROR(__xludf.DUMMYFUNCTION("""COMPUTED_VALUE"""),"   ➖")</f>
        <v>➖</v>
      </c>
      <c r="S195" s="284"/>
      <c r="T195" s="285" t="str">
        <f>IFERROR(__xludf.DUMMYFUNCTION("""COMPUTED_VALUE"""),"➖")</f>
        <v>➖</v>
      </c>
      <c r="U195" s="285" t="str">
        <f>IFERROR(__xludf.DUMMYFUNCTION("""COMPUTED_VALUE"""),"✅")</f>
        <v>✅</v>
      </c>
      <c r="V195" s="259"/>
      <c r="W195" s="286"/>
      <c r="X195" s="286"/>
      <c r="Y195" s="286"/>
    </row>
    <row r="196">
      <c r="A196" s="28"/>
      <c r="B196" s="132"/>
      <c r="C196" s="28"/>
      <c r="D196" s="260" t="str">
        <f>IFERROR(__xludf.DUMMYFUNCTION("""COMPUTED_VALUE"""),"   R")</f>
        <v>R</v>
      </c>
      <c r="E196" s="287" t="str">
        <f>IFERROR(__xludf.DUMMYFUNCTION("""COMPUTED_VALUE"""),"TWO OF ELEVEN")</f>
        <v>TWO OF ELEVEN</v>
      </c>
      <c r="F196" s="270" t="str">
        <f>IFERROR(__xludf.DUMMYFUNCTION("""COMPUTED_VALUE"""),"OA")</f>
        <v>OA</v>
      </c>
      <c r="G196" s="231" t="str">
        <f>IFERROR(__xludf.DUMMYFUNCTION("""COMPUTED_VALUE"""),"➖")</f>
        <v>➖</v>
      </c>
      <c r="H196" s="231" t="str">
        <f>IFERROR(__xludf.DUMMYFUNCTION("""COMPUTED_VALUE"""),"➖")</f>
        <v>➖</v>
      </c>
      <c r="I196" s="231" t="str">
        <f>IFERROR(__xludf.DUMMYFUNCTION("""COMPUTED_VALUE"""),"➖")</f>
        <v>➖</v>
      </c>
      <c r="J196" s="231" t="str">
        <f>IFERROR(__xludf.DUMMYFUNCTION("""COMPUTED_VALUE"""),"➖")</f>
        <v>➖</v>
      </c>
      <c r="K196" s="288" t="str">
        <f>IFERROR(__xludf.DUMMYFUNCTION("""COMPUTED_VALUE"""),"➖")</f>
        <v>➖</v>
      </c>
      <c r="L196" s="288" t="str">
        <f>IFERROR(__xludf.DUMMYFUNCTION("""COMPUTED_VALUE"""),"➖")</f>
        <v>➖</v>
      </c>
      <c r="M196" s="288" t="str">
        <f>IFERROR(__xludf.DUMMYFUNCTION("""COMPUTED_VALUE"""),"➖")</f>
        <v>➖</v>
      </c>
      <c r="N196" s="288" t="str">
        <f>IFERROR(__xludf.DUMMYFUNCTION("""COMPUTED_VALUE"""),"➖")</f>
        <v>➖</v>
      </c>
      <c r="O196" s="288" t="str">
        <f>IFERROR(__xludf.DUMMYFUNCTION("""COMPUTED_VALUE"""),"➖")</f>
        <v>➖</v>
      </c>
      <c r="P196" s="288" t="str">
        <f>IFERROR(__xludf.DUMMYFUNCTION("""COMPUTED_VALUE"""),"➖")</f>
        <v>➖</v>
      </c>
      <c r="Q196" s="288" t="str">
        <f>IFERROR(__xludf.DUMMYFUNCTION("""COMPUTED_VALUE"""),"➖")</f>
        <v>➖</v>
      </c>
      <c r="R196" s="257" t="str">
        <f>IFERROR(__xludf.DUMMYFUNCTION("""COMPUTED_VALUE"""),"   ➖")</f>
        <v>➖</v>
      </c>
      <c r="S196" s="258"/>
      <c r="T196" s="255" t="str">
        <f>IFERROR(__xludf.DUMMYFUNCTION("""COMPUTED_VALUE"""),"➖")</f>
        <v>➖</v>
      </c>
      <c r="U196" s="255" t="str">
        <f>IFERROR(__xludf.DUMMYFUNCTION("""COMPUTED_VALUE"""),"✅")</f>
        <v>✅</v>
      </c>
      <c r="V196" s="259"/>
      <c r="W196" s="286"/>
      <c r="X196" s="286"/>
      <c r="Y196" s="286"/>
    </row>
    <row r="197">
      <c r="A197" s="28"/>
      <c r="B197" s="128"/>
      <c r="C197" s="28"/>
      <c r="D197" s="250" t="str">
        <f>IFERROR(__xludf.DUMMYFUNCTION("""COMPUTED_VALUE"""),"   E")</f>
        <v>E</v>
      </c>
      <c r="E197" s="280" t="str">
        <f>IFERROR(__xludf.DUMMYFUNCTION("""COMPUTED_VALUE"""),"THREE OF ELEVEN")</f>
        <v>THREE OF ELEVEN</v>
      </c>
      <c r="F197" s="271" t="str">
        <f>IFERROR(__xludf.DUMMYFUNCTION("""COMPUTED_VALUE"""),"CM")</f>
        <v>CM</v>
      </c>
      <c r="G197" s="281" t="str">
        <f>IFERROR(__xludf.DUMMYFUNCTION("""COMPUTED_VALUE"""),"➖")</f>
        <v>➖</v>
      </c>
      <c r="H197" s="281" t="str">
        <f>IFERROR(__xludf.DUMMYFUNCTION("""COMPUTED_VALUE"""),"➖")</f>
        <v>➖</v>
      </c>
      <c r="I197" s="281" t="str">
        <f>IFERROR(__xludf.DUMMYFUNCTION("""COMPUTED_VALUE"""),"➖")</f>
        <v>➖</v>
      </c>
      <c r="J197" s="281" t="str">
        <f>IFERROR(__xludf.DUMMYFUNCTION("""COMPUTED_VALUE"""),"➖")</f>
        <v>➖</v>
      </c>
      <c r="K197" s="282" t="str">
        <f>IFERROR(__xludf.DUMMYFUNCTION("""COMPUTED_VALUE"""),"➖")</f>
        <v>➖</v>
      </c>
      <c r="L197" s="282" t="str">
        <f>IFERROR(__xludf.DUMMYFUNCTION("""COMPUTED_VALUE"""),"➖")</f>
        <v>➖</v>
      </c>
      <c r="M197" s="282" t="str">
        <f>IFERROR(__xludf.DUMMYFUNCTION("""COMPUTED_VALUE"""),"➖")</f>
        <v>➖</v>
      </c>
      <c r="N197" s="282" t="str">
        <f>IFERROR(__xludf.DUMMYFUNCTION("""COMPUTED_VALUE"""),"➖")</f>
        <v>➖</v>
      </c>
      <c r="O197" s="282" t="str">
        <f>IFERROR(__xludf.DUMMYFUNCTION("""COMPUTED_VALUE"""),"➖")</f>
        <v>➖</v>
      </c>
      <c r="P197" s="282" t="str">
        <f>IFERROR(__xludf.DUMMYFUNCTION("""COMPUTED_VALUE"""),"➖")</f>
        <v>➖</v>
      </c>
      <c r="Q197" s="282" t="str">
        <f>IFERROR(__xludf.DUMMYFUNCTION("""COMPUTED_VALUE"""),"➖")</f>
        <v>➖</v>
      </c>
      <c r="R197" s="283" t="str">
        <f>IFERROR(__xludf.DUMMYFUNCTION("""COMPUTED_VALUE"""),"   ➖")</f>
        <v>➖</v>
      </c>
      <c r="S197" s="284"/>
      <c r="T197" s="285" t="str">
        <f>IFERROR(__xludf.DUMMYFUNCTION("""COMPUTED_VALUE"""),"➖")</f>
        <v>➖</v>
      </c>
      <c r="U197" s="285" t="str">
        <f>IFERROR(__xludf.DUMMYFUNCTION("""COMPUTED_VALUE"""),"✅")</f>
        <v>✅</v>
      </c>
      <c r="V197" s="259"/>
      <c r="W197" s="286"/>
      <c r="X197" s="286"/>
      <c r="Y197" s="286"/>
    </row>
    <row r="198">
      <c r="A198" s="28"/>
      <c r="B198" s="132"/>
      <c r="C198" s="28"/>
      <c r="D198" s="260" t="str">
        <f>IFERROR(__xludf.DUMMYFUNCTION("""COMPUTED_VALUE"""),"   E")</f>
        <v>E</v>
      </c>
      <c r="E198" s="287" t="str">
        <f>IFERROR(__xludf.DUMMYFUNCTION("""COMPUTED_VALUE"""),"THREE OF ELEVEN")</f>
        <v>THREE OF ELEVEN</v>
      </c>
      <c r="F198" s="270" t="str">
        <f>IFERROR(__xludf.DUMMYFUNCTION("""COMPUTED_VALUE"""),"OA")</f>
        <v>OA</v>
      </c>
      <c r="G198" s="231" t="str">
        <f>IFERROR(__xludf.DUMMYFUNCTION("""COMPUTED_VALUE"""),"➖")</f>
        <v>➖</v>
      </c>
      <c r="H198" s="231" t="str">
        <f>IFERROR(__xludf.DUMMYFUNCTION("""COMPUTED_VALUE"""),"➖")</f>
        <v>➖</v>
      </c>
      <c r="I198" s="231" t="str">
        <f>IFERROR(__xludf.DUMMYFUNCTION("""COMPUTED_VALUE"""),"➖")</f>
        <v>➖</v>
      </c>
      <c r="J198" s="231" t="str">
        <f>IFERROR(__xludf.DUMMYFUNCTION("""COMPUTED_VALUE"""),"➖")</f>
        <v>➖</v>
      </c>
      <c r="K198" s="288" t="str">
        <f>IFERROR(__xludf.DUMMYFUNCTION("""COMPUTED_VALUE"""),"➖")</f>
        <v>➖</v>
      </c>
      <c r="L198" s="288" t="str">
        <f>IFERROR(__xludf.DUMMYFUNCTION("""COMPUTED_VALUE"""),"➖")</f>
        <v>➖</v>
      </c>
      <c r="M198" s="288" t="str">
        <f>IFERROR(__xludf.DUMMYFUNCTION("""COMPUTED_VALUE"""),"➖")</f>
        <v>➖</v>
      </c>
      <c r="N198" s="288" t="str">
        <f>IFERROR(__xludf.DUMMYFUNCTION("""COMPUTED_VALUE"""),"➖")</f>
        <v>➖</v>
      </c>
      <c r="O198" s="288" t="str">
        <f>IFERROR(__xludf.DUMMYFUNCTION("""COMPUTED_VALUE"""),"➖")</f>
        <v>➖</v>
      </c>
      <c r="P198" s="288" t="str">
        <f>IFERROR(__xludf.DUMMYFUNCTION("""COMPUTED_VALUE"""),"➖")</f>
        <v>➖</v>
      </c>
      <c r="Q198" s="288" t="str">
        <f>IFERROR(__xludf.DUMMYFUNCTION("""COMPUTED_VALUE"""),"➖")</f>
        <v>➖</v>
      </c>
      <c r="R198" s="257" t="str">
        <f>IFERROR(__xludf.DUMMYFUNCTION("""COMPUTED_VALUE"""),"   ➖")</f>
        <v>➖</v>
      </c>
      <c r="S198" s="258"/>
      <c r="T198" s="255" t="str">
        <f>IFERROR(__xludf.DUMMYFUNCTION("""COMPUTED_VALUE"""),"➖")</f>
        <v>➖</v>
      </c>
      <c r="U198" s="255" t="str">
        <f>IFERROR(__xludf.DUMMYFUNCTION("""COMPUTED_VALUE"""),"✅")</f>
        <v>✅</v>
      </c>
      <c r="V198" s="259"/>
      <c r="W198" s="286"/>
      <c r="X198" s="286"/>
      <c r="Y198" s="286"/>
    </row>
    <row r="199">
      <c r="A199" s="28"/>
      <c r="B199" s="128"/>
      <c r="C199" s="28"/>
      <c r="D199" s="250" t="str">
        <f>IFERROR(__xludf.DUMMYFUNCTION("""COMPUTED_VALUE"""),"   E")</f>
        <v>E</v>
      </c>
      <c r="E199" s="280" t="str">
        <f>IFERROR(__xludf.DUMMYFUNCTION("""COMPUTED_VALUE"""),"FOUR OF ELEVEN")</f>
        <v>FOUR OF ELEVEN</v>
      </c>
      <c r="F199" s="271" t="str">
        <f>IFERROR(__xludf.DUMMYFUNCTION("""COMPUTED_VALUE"""),"CM")</f>
        <v>CM</v>
      </c>
      <c r="G199" s="281" t="str">
        <f>IFERROR(__xludf.DUMMYFUNCTION("""COMPUTED_VALUE"""),"➖")</f>
        <v>➖</v>
      </c>
      <c r="H199" s="281" t="str">
        <f>IFERROR(__xludf.DUMMYFUNCTION("""COMPUTED_VALUE"""),"➖")</f>
        <v>➖</v>
      </c>
      <c r="I199" s="281" t="str">
        <f>IFERROR(__xludf.DUMMYFUNCTION("""COMPUTED_VALUE"""),"➖")</f>
        <v>➖</v>
      </c>
      <c r="J199" s="281" t="str">
        <f>IFERROR(__xludf.DUMMYFUNCTION("""COMPUTED_VALUE"""),"➖")</f>
        <v>➖</v>
      </c>
      <c r="K199" s="282" t="str">
        <f>IFERROR(__xludf.DUMMYFUNCTION("""COMPUTED_VALUE"""),"➖")</f>
        <v>➖</v>
      </c>
      <c r="L199" s="282" t="str">
        <f>IFERROR(__xludf.DUMMYFUNCTION("""COMPUTED_VALUE"""),"➖")</f>
        <v>➖</v>
      </c>
      <c r="M199" s="282" t="str">
        <f>IFERROR(__xludf.DUMMYFUNCTION("""COMPUTED_VALUE"""),"➖")</f>
        <v>➖</v>
      </c>
      <c r="N199" s="282" t="str">
        <f>IFERROR(__xludf.DUMMYFUNCTION("""COMPUTED_VALUE"""),"➖")</f>
        <v>➖</v>
      </c>
      <c r="O199" s="282" t="str">
        <f>IFERROR(__xludf.DUMMYFUNCTION("""COMPUTED_VALUE"""),"➖")</f>
        <v>➖</v>
      </c>
      <c r="P199" s="282" t="str">
        <f>IFERROR(__xludf.DUMMYFUNCTION("""COMPUTED_VALUE"""),"➖")</f>
        <v>➖</v>
      </c>
      <c r="Q199" s="282" t="str">
        <f>IFERROR(__xludf.DUMMYFUNCTION("""COMPUTED_VALUE"""),"➖")</f>
        <v>➖</v>
      </c>
      <c r="R199" s="283" t="str">
        <f>IFERROR(__xludf.DUMMYFUNCTION("""COMPUTED_VALUE"""),"   ➖")</f>
        <v>➖</v>
      </c>
      <c r="S199" s="284"/>
      <c r="T199" s="285" t="str">
        <f>IFERROR(__xludf.DUMMYFUNCTION("""COMPUTED_VALUE"""),"➖")</f>
        <v>➖</v>
      </c>
      <c r="U199" s="285" t="str">
        <f>IFERROR(__xludf.DUMMYFUNCTION("""COMPUTED_VALUE"""),"✅")</f>
        <v>✅</v>
      </c>
      <c r="V199" s="259"/>
      <c r="W199" s="286"/>
      <c r="X199" s="286"/>
      <c r="Y199" s="286"/>
    </row>
    <row r="200">
      <c r="A200" s="28"/>
      <c r="B200" s="132"/>
      <c r="C200" s="28"/>
      <c r="D200" s="260" t="str">
        <f>IFERROR(__xludf.DUMMYFUNCTION("""COMPUTED_VALUE"""),"   E")</f>
        <v>E</v>
      </c>
      <c r="E200" s="287" t="str">
        <f>IFERROR(__xludf.DUMMYFUNCTION("""COMPUTED_VALUE"""),"FOUR OF ELEVEN")</f>
        <v>FOUR OF ELEVEN</v>
      </c>
      <c r="F200" s="270" t="str">
        <f>IFERROR(__xludf.DUMMYFUNCTION("""COMPUTED_VALUE"""),"OA")</f>
        <v>OA</v>
      </c>
      <c r="G200" s="231" t="str">
        <f>IFERROR(__xludf.DUMMYFUNCTION("""COMPUTED_VALUE"""),"➖")</f>
        <v>➖</v>
      </c>
      <c r="H200" s="231" t="str">
        <f>IFERROR(__xludf.DUMMYFUNCTION("""COMPUTED_VALUE"""),"➖")</f>
        <v>➖</v>
      </c>
      <c r="I200" s="231" t="str">
        <f>IFERROR(__xludf.DUMMYFUNCTION("""COMPUTED_VALUE"""),"➖")</f>
        <v>➖</v>
      </c>
      <c r="J200" s="231" t="str">
        <f>IFERROR(__xludf.DUMMYFUNCTION("""COMPUTED_VALUE"""),"➖")</f>
        <v>➖</v>
      </c>
      <c r="K200" s="288" t="str">
        <f>IFERROR(__xludf.DUMMYFUNCTION("""COMPUTED_VALUE"""),"➖")</f>
        <v>➖</v>
      </c>
      <c r="L200" s="288" t="str">
        <f>IFERROR(__xludf.DUMMYFUNCTION("""COMPUTED_VALUE"""),"➖")</f>
        <v>➖</v>
      </c>
      <c r="M200" s="288" t="str">
        <f>IFERROR(__xludf.DUMMYFUNCTION("""COMPUTED_VALUE"""),"➖")</f>
        <v>➖</v>
      </c>
      <c r="N200" s="288" t="str">
        <f>IFERROR(__xludf.DUMMYFUNCTION("""COMPUTED_VALUE"""),"➖")</f>
        <v>➖</v>
      </c>
      <c r="O200" s="288" t="str">
        <f>IFERROR(__xludf.DUMMYFUNCTION("""COMPUTED_VALUE"""),"➖")</f>
        <v>➖</v>
      </c>
      <c r="P200" s="288" t="str">
        <f>IFERROR(__xludf.DUMMYFUNCTION("""COMPUTED_VALUE"""),"➖")</f>
        <v>➖</v>
      </c>
      <c r="Q200" s="288" t="str">
        <f>IFERROR(__xludf.DUMMYFUNCTION("""COMPUTED_VALUE"""),"➖")</f>
        <v>➖</v>
      </c>
      <c r="R200" s="257" t="str">
        <f>IFERROR(__xludf.DUMMYFUNCTION("""COMPUTED_VALUE"""),"   ➖")</f>
        <v>➖</v>
      </c>
      <c r="S200" s="258"/>
      <c r="T200" s="255" t="str">
        <f>IFERROR(__xludf.DUMMYFUNCTION("""COMPUTED_VALUE"""),"➖")</f>
        <v>➖</v>
      </c>
      <c r="U200" s="255" t="str">
        <f>IFERROR(__xludf.DUMMYFUNCTION("""COMPUTED_VALUE"""),"✅")</f>
        <v>✅</v>
      </c>
      <c r="V200" s="259"/>
      <c r="W200" s="286"/>
      <c r="X200" s="286"/>
      <c r="Y200" s="286"/>
    </row>
    <row r="201">
      <c r="A201" s="28"/>
      <c r="B201" s="128"/>
      <c r="C201" s="28"/>
      <c r="D201" s="250" t="str">
        <f>IFERROR(__xludf.DUMMYFUNCTION("""COMPUTED_VALUE"""),"   E")</f>
        <v>E</v>
      </c>
      <c r="E201" s="280" t="str">
        <f>IFERROR(__xludf.DUMMYFUNCTION("""COMPUTED_VALUE"""),"FIVE OF ELEVEN")</f>
        <v>FIVE OF ELEVEN</v>
      </c>
      <c r="F201" s="271" t="str">
        <f>IFERROR(__xludf.DUMMYFUNCTION("""COMPUTED_VALUE"""),"CM")</f>
        <v>CM</v>
      </c>
      <c r="G201" s="281" t="str">
        <f>IFERROR(__xludf.DUMMYFUNCTION("""COMPUTED_VALUE"""),"✅")</f>
        <v>✅</v>
      </c>
      <c r="H201" s="281" t="str">
        <f>IFERROR(__xludf.DUMMYFUNCTION("""COMPUTED_VALUE"""),"✅")</f>
        <v>✅</v>
      </c>
      <c r="I201" s="281" t="str">
        <f>IFERROR(__xludf.DUMMYFUNCTION("""COMPUTED_VALUE"""),"✅")</f>
        <v>✅</v>
      </c>
      <c r="J201" s="281" t="str">
        <f>IFERROR(__xludf.DUMMYFUNCTION("""COMPUTED_VALUE"""),"✅")</f>
        <v>✅</v>
      </c>
      <c r="K201" s="282" t="str">
        <f>IFERROR(__xludf.DUMMYFUNCTION("""COMPUTED_VALUE"""),"✅")</f>
        <v>✅</v>
      </c>
      <c r="L201" s="282" t="str">
        <f>IFERROR(__xludf.DUMMYFUNCTION("""COMPUTED_VALUE"""),"✅")</f>
        <v>✅</v>
      </c>
      <c r="M201" s="282" t="str">
        <f>IFERROR(__xludf.DUMMYFUNCTION("""COMPUTED_VALUE"""),"✅")</f>
        <v>✅</v>
      </c>
      <c r="N201" s="282" t="str">
        <f>IFERROR(__xludf.DUMMYFUNCTION("""COMPUTED_VALUE"""),"✅")</f>
        <v>✅</v>
      </c>
      <c r="O201" s="282" t="str">
        <f>IFERROR(__xludf.DUMMYFUNCTION("""COMPUTED_VALUE"""),"✅")</f>
        <v>✅</v>
      </c>
      <c r="P201" s="282" t="str">
        <f>IFERROR(__xludf.DUMMYFUNCTION("""COMPUTED_VALUE"""),"✅")</f>
        <v>✅</v>
      </c>
      <c r="Q201" s="282" t="str">
        <f>IFERROR(__xludf.DUMMYFUNCTION("""COMPUTED_VALUE"""),"✅")</f>
        <v>✅</v>
      </c>
      <c r="R201" s="283" t="str">
        <f>IFERROR(__xludf.DUMMYFUNCTION("""COMPUTED_VALUE"""),"   ✅")</f>
        <v>✅</v>
      </c>
      <c r="S201" s="284"/>
      <c r="T201" s="285" t="str">
        <f>IFERROR(__xludf.DUMMYFUNCTION("""COMPUTED_VALUE"""),"➖")</f>
        <v>➖</v>
      </c>
      <c r="U201" s="285" t="str">
        <f>IFERROR(__xludf.DUMMYFUNCTION("""COMPUTED_VALUE"""),"➖")</f>
        <v>➖</v>
      </c>
      <c r="V201" s="259"/>
      <c r="W201" s="286"/>
      <c r="X201" s="286"/>
      <c r="Y201" s="286"/>
    </row>
    <row r="202">
      <c r="A202" s="28"/>
      <c r="B202" s="132"/>
      <c r="C202" s="28"/>
      <c r="D202" s="260" t="str">
        <f>IFERROR(__xludf.DUMMYFUNCTION("""COMPUTED_VALUE"""),"   E")</f>
        <v>E</v>
      </c>
      <c r="E202" s="287" t="str">
        <f>IFERROR(__xludf.DUMMYFUNCTION("""COMPUTED_VALUE"""),"FIVE OF ELEVEN")</f>
        <v>FIVE OF ELEVEN</v>
      </c>
      <c r="F202" s="270" t="str">
        <f>IFERROR(__xludf.DUMMYFUNCTION("""COMPUTED_VALUE"""),"OA")</f>
        <v>OA</v>
      </c>
      <c r="G202" s="231" t="str">
        <f>IFERROR(__xludf.DUMMYFUNCTION("""COMPUTED_VALUE"""),"➖")</f>
        <v>➖</v>
      </c>
      <c r="H202" s="231" t="str">
        <f>IFERROR(__xludf.DUMMYFUNCTION("""COMPUTED_VALUE"""),"➖")</f>
        <v>➖</v>
      </c>
      <c r="I202" s="231" t="str">
        <f>IFERROR(__xludf.DUMMYFUNCTION("""COMPUTED_VALUE"""),"✅")</f>
        <v>✅</v>
      </c>
      <c r="J202" s="231" t="str">
        <f>IFERROR(__xludf.DUMMYFUNCTION("""COMPUTED_VALUE"""),"➖")</f>
        <v>➖</v>
      </c>
      <c r="K202" s="288" t="str">
        <f>IFERROR(__xludf.DUMMYFUNCTION("""COMPUTED_VALUE"""),"➖")</f>
        <v>➖</v>
      </c>
      <c r="L202" s="288" t="str">
        <f>IFERROR(__xludf.DUMMYFUNCTION("""COMPUTED_VALUE"""),"➖")</f>
        <v>➖</v>
      </c>
      <c r="M202" s="288" t="str">
        <f>IFERROR(__xludf.DUMMYFUNCTION("""COMPUTED_VALUE"""),"✅")</f>
        <v>✅</v>
      </c>
      <c r="N202" s="288" t="str">
        <f>IFERROR(__xludf.DUMMYFUNCTION("""COMPUTED_VALUE"""),"✅")</f>
        <v>✅</v>
      </c>
      <c r="O202" s="288" t="str">
        <f>IFERROR(__xludf.DUMMYFUNCTION("""COMPUTED_VALUE"""),"✅")</f>
        <v>✅</v>
      </c>
      <c r="P202" s="288" t="str">
        <f>IFERROR(__xludf.DUMMYFUNCTION("""COMPUTED_VALUE"""),"➖")</f>
        <v>➖</v>
      </c>
      <c r="Q202" s="288" t="str">
        <f>IFERROR(__xludf.DUMMYFUNCTION("""COMPUTED_VALUE"""),"✅")</f>
        <v>✅</v>
      </c>
      <c r="R202" s="257" t="str">
        <f>IFERROR(__xludf.DUMMYFUNCTION("""COMPUTED_VALUE"""),"   ✅")</f>
        <v>✅</v>
      </c>
      <c r="S202" s="258"/>
      <c r="T202" s="255" t="str">
        <f>IFERROR(__xludf.DUMMYFUNCTION("""COMPUTED_VALUE"""),"✅")</f>
        <v>✅</v>
      </c>
      <c r="U202" s="255" t="str">
        <f>IFERROR(__xludf.DUMMYFUNCTION("""COMPUTED_VALUE"""),"➖")</f>
        <v>➖</v>
      </c>
      <c r="V202" s="259"/>
      <c r="W202" s="286"/>
      <c r="X202" s="286"/>
      <c r="Y202" s="286"/>
    </row>
    <row r="203">
      <c r="A203" s="28"/>
      <c r="B203" s="128"/>
      <c r="C203" s="28"/>
      <c r="D203" s="250" t="str">
        <f>IFERROR(__xludf.DUMMYFUNCTION("""COMPUTED_VALUE"""),"   E")</f>
        <v>E</v>
      </c>
      <c r="E203" s="280" t="str">
        <f>IFERROR(__xludf.DUMMYFUNCTION("""COMPUTED_VALUE"""),"SIX OF ELEVEN")</f>
        <v>SIX OF ELEVEN</v>
      </c>
      <c r="F203" s="271" t="str">
        <f>IFERROR(__xludf.DUMMYFUNCTION("""COMPUTED_VALUE"""),"CM")</f>
        <v>CM</v>
      </c>
      <c r="G203" s="281" t="str">
        <f>IFERROR(__xludf.DUMMYFUNCTION("""COMPUTED_VALUE"""),"✅")</f>
        <v>✅</v>
      </c>
      <c r="H203" s="281" t="str">
        <f>IFERROR(__xludf.DUMMYFUNCTION("""COMPUTED_VALUE"""),"✅")</f>
        <v>✅</v>
      </c>
      <c r="I203" s="281" t="str">
        <f>IFERROR(__xludf.DUMMYFUNCTION("""COMPUTED_VALUE"""),"✅")</f>
        <v>✅</v>
      </c>
      <c r="J203" s="281" t="str">
        <f>IFERROR(__xludf.DUMMYFUNCTION("""COMPUTED_VALUE"""),"✅")</f>
        <v>✅</v>
      </c>
      <c r="K203" s="282" t="str">
        <f>IFERROR(__xludf.DUMMYFUNCTION("""COMPUTED_VALUE"""),"✅")</f>
        <v>✅</v>
      </c>
      <c r="L203" s="282" t="str">
        <f>IFERROR(__xludf.DUMMYFUNCTION("""COMPUTED_VALUE"""),"✅")</f>
        <v>✅</v>
      </c>
      <c r="M203" s="282" t="str">
        <f>IFERROR(__xludf.DUMMYFUNCTION("""COMPUTED_VALUE"""),"✅")</f>
        <v>✅</v>
      </c>
      <c r="N203" s="282" t="str">
        <f>IFERROR(__xludf.DUMMYFUNCTION("""COMPUTED_VALUE"""),"✅")</f>
        <v>✅</v>
      </c>
      <c r="O203" s="282" t="str">
        <f>IFERROR(__xludf.DUMMYFUNCTION("""COMPUTED_VALUE"""),"✅")</f>
        <v>✅</v>
      </c>
      <c r="P203" s="282" t="str">
        <f>IFERROR(__xludf.DUMMYFUNCTION("""COMPUTED_VALUE"""),"✅")</f>
        <v>✅</v>
      </c>
      <c r="Q203" s="282" t="str">
        <f>IFERROR(__xludf.DUMMYFUNCTION("""COMPUTED_VALUE"""),"✅")</f>
        <v>✅</v>
      </c>
      <c r="R203" s="283" t="str">
        <f>IFERROR(__xludf.DUMMYFUNCTION("""COMPUTED_VALUE"""),"   ✅")</f>
        <v>✅</v>
      </c>
      <c r="S203" s="284"/>
      <c r="T203" s="285" t="str">
        <f>IFERROR(__xludf.DUMMYFUNCTION("""COMPUTED_VALUE"""),"➖")</f>
        <v>➖</v>
      </c>
      <c r="U203" s="285" t="str">
        <f>IFERROR(__xludf.DUMMYFUNCTION("""COMPUTED_VALUE"""),"➖")</f>
        <v>➖</v>
      </c>
      <c r="V203" s="259"/>
      <c r="W203" s="286"/>
      <c r="X203" s="286"/>
      <c r="Y203" s="286"/>
    </row>
    <row r="204">
      <c r="A204" s="28"/>
      <c r="B204" s="132"/>
      <c r="C204" s="28"/>
      <c r="D204" s="260" t="str">
        <f>IFERROR(__xludf.DUMMYFUNCTION("""COMPUTED_VALUE"""),"   E")</f>
        <v>E</v>
      </c>
      <c r="E204" s="287" t="str">
        <f>IFERROR(__xludf.DUMMYFUNCTION("""COMPUTED_VALUE"""),"SIX OF ELEVEN")</f>
        <v>SIX OF ELEVEN</v>
      </c>
      <c r="F204" s="270" t="str">
        <f>IFERROR(__xludf.DUMMYFUNCTION("""COMPUTED_VALUE"""),"OA")</f>
        <v>OA</v>
      </c>
      <c r="G204" s="231" t="str">
        <f>IFERROR(__xludf.DUMMYFUNCTION("""COMPUTED_VALUE"""),"➖")</f>
        <v>➖</v>
      </c>
      <c r="H204" s="231" t="str">
        <f>IFERROR(__xludf.DUMMYFUNCTION("""COMPUTED_VALUE"""),"➖")</f>
        <v>➖</v>
      </c>
      <c r="I204" s="231" t="str">
        <f>IFERROR(__xludf.DUMMYFUNCTION("""COMPUTED_VALUE"""),"➖")</f>
        <v>➖</v>
      </c>
      <c r="J204" s="231" t="str">
        <f>IFERROR(__xludf.DUMMYFUNCTION("""COMPUTED_VALUE"""),"➖")</f>
        <v>➖</v>
      </c>
      <c r="K204" s="288" t="str">
        <f>IFERROR(__xludf.DUMMYFUNCTION("""COMPUTED_VALUE"""),"➖")</f>
        <v>➖</v>
      </c>
      <c r="L204" s="288" t="str">
        <f>IFERROR(__xludf.DUMMYFUNCTION("""COMPUTED_VALUE"""),"➖")</f>
        <v>➖</v>
      </c>
      <c r="M204" s="288" t="str">
        <f>IFERROR(__xludf.DUMMYFUNCTION("""COMPUTED_VALUE"""),"✅")</f>
        <v>✅</v>
      </c>
      <c r="N204" s="288" t="str">
        <f>IFERROR(__xludf.DUMMYFUNCTION("""COMPUTED_VALUE"""),"✅")</f>
        <v>✅</v>
      </c>
      <c r="O204" s="288" t="str">
        <f>IFERROR(__xludf.DUMMYFUNCTION("""COMPUTED_VALUE"""),"➖")</f>
        <v>➖</v>
      </c>
      <c r="P204" s="288" t="str">
        <f>IFERROR(__xludf.DUMMYFUNCTION("""COMPUTED_VALUE"""),"➖")</f>
        <v>➖</v>
      </c>
      <c r="Q204" s="288" t="str">
        <f>IFERROR(__xludf.DUMMYFUNCTION("""COMPUTED_VALUE"""),"➖")</f>
        <v>➖</v>
      </c>
      <c r="R204" s="257" t="str">
        <f>IFERROR(__xludf.DUMMYFUNCTION("""COMPUTED_VALUE"""),"   ➖")</f>
        <v>➖</v>
      </c>
      <c r="S204" s="258"/>
      <c r="T204" s="255" t="str">
        <f>IFERROR(__xludf.DUMMYFUNCTION("""COMPUTED_VALUE"""),"➖")</f>
        <v>➖</v>
      </c>
      <c r="U204" s="255" t="str">
        <f>IFERROR(__xludf.DUMMYFUNCTION("""COMPUTED_VALUE"""),"➖")</f>
        <v>➖</v>
      </c>
      <c r="V204" s="259"/>
      <c r="W204" s="286"/>
      <c r="X204" s="286"/>
      <c r="Y204" s="286"/>
    </row>
    <row r="205">
      <c r="A205" s="28"/>
      <c r="B205" s="128"/>
      <c r="C205" s="28"/>
      <c r="D205" s="250" t="str">
        <f>IFERROR(__xludf.DUMMYFUNCTION("""COMPUTED_VALUE"""),"   R")</f>
        <v>R</v>
      </c>
      <c r="E205" s="280" t="str">
        <f>IFERROR(__xludf.DUMMYFUNCTION("""COMPUTED_VALUE"""),"SEVEN OF ELEVEN")</f>
        <v>SEVEN OF ELEVEN</v>
      </c>
      <c r="F205" s="271" t="str">
        <f>IFERROR(__xludf.DUMMYFUNCTION("""COMPUTED_VALUE"""),"CM")</f>
        <v>CM</v>
      </c>
      <c r="G205" s="281" t="str">
        <f>IFERROR(__xludf.DUMMYFUNCTION("""COMPUTED_VALUE"""),"➖")</f>
        <v>➖</v>
      </c>
      <c r="H205" s="281" t="str">
        <f>IFERROR(__xludf.DUMMYFUNCTION("""COMPUTED_VALUE"""),"➖")</f>
        <v>➖</v>
      </c>
      <c r="I205" s="281" t="str">
        <f>IFERROR(__xludf.DUMMYFUNCTION("""COMPUTED_VALUE"""),"✴️")</f>
        <v>✴️</v>
      </c>
      <c r="J205" s="281" t="str">
        <f>IFERROR(__xludf.DUMMYFUNCTION("""COMPUTED_VALUE"""),"✴️")</f>
        <v>✴️</v>
      </c>
      <c r="K205" s="282" t="str">
        <f>IFERROR(__xludf.DUMMYFUNCTION("""COMPUTED_VALUE"""),"✴️")</f>
        <v>✴️</v>
      </c>
      <c r="L205" s="282" t="str">
        <f>IFERROR(__xludf.DUMMYFUNCTION("""COMPUTED_VALUE"""),"✴️")</f>
        <v>✴️</v>
      </c>
      <c r="M205" s="282" t="str">
        <f>IFERROR(__xludf.DUMMYFUNCTION("""COMPUTED_VALUE"""),"➖")</f>
        <v>➖</v>
      </c>
      <c r="N205" s="282" t="str">
        <f>IFERROR(__xludf.DUMMYFUNCTION("""COMPUTED_VALUE"""),"➖")</f>
        <v>➖</v>
      </c>
      <c r="O205" s="282" t="str">
        <f>IFERROR(__xludf.DUMMYFUNCTION("""COMPUTED_VALUE"""),"➖")</f>
        <v>➖</v>
      </c>
      <c r="P205" s="282" t="str">
        <f>IFERROR(__xludf.DUMMYFUNCTION("""COMPUTED_VALUE"""),"✴️")</f>
        <v>✴️</v>
      </c>
      <c r="Q205" s="282" t="str">
        <f>IFERROR(__xludf.DUMMYFUNCTION("""COMPUTED_VALUE"""),"➖")</f>
        <v>➖</v>
      </c>
      <c r="R205" s="283" t="str">
        <f>IFERROR(__xludf.DUMMYFUNCTION("""COMPUTED_VALUE"""),"   ➖")</f>
        <v>➖</v>
      </c>
      <c r="S205" s="284" t="str">
        <f>IFERROR(__xludf.DUMMYFUNCTION("""COMPUTED_VALUE"""),"Borg")</f>
        <v>Borg</v>
      </c>
      <c r="T205" s="285" t="str">
        <f>IFERROR(__xludf.DUMMYFUNCTION("""COMPUTED_VALUE"""),"➖")</f>
        <v>➖</v>
      </c>
      <c r="U205" s="285" t="str">
        <f>IFERROR(__xludf.DUMMYFUNCTION("""COMPUTED_VALUE"""),"➖")</f>
        <v>➖</v>
      </c>
      <c r="V205" s="259"/>
      <c r="W205" s="286"/>
      <c r="X205" s="286"/>
      <c r="Y205" s="286"/>
    </row>
    <row r="206">
      <c r="A206" s="28"/>
      <c r="B206" s="132"/>
      <c r="C206" s="28"/>
      <c r="D206" s="260" t="str">
        <f>IFERROR(__xludf.DUMMYFUNCTION("""COMPUTED_VALUE"""),"   R")</f>
        <v>R</v>
      </c>
      <c r="E206" s="287" t="str">
        <f>IFERROR(__xludf.DUMMYFUNCTION("""COMPUTED_VALUE"""),"SEVEN OF ELEVEN")</f>
        <v>SEVEN OF ELEVEN</v>
      </c>
      <c r="F206" s="270" t="str">
        <f>IFERROR(__xludf.DUMMYFUNCTION("""COMPUTED_VALUE"""),"OA")</f>
        <v>OA</v>
      </c>
      <c r="G206" s="231" t="str">
        <f>IFERROR(__xludf.DUMMYFUNCTION("""COMPUTED_VALUE"""),"✅")</f>
        <v>✅</v>
      </c>
      <c r="H206" s="231" t="str">
        <f>IFERROR(__xludf.DUMMYFUNCTION("""COMPUTED_VALUE"""),"✅")</f>
        <v>✅</v>
      </c>
      <c r="I206" s="231" t="str">
        <f>IFERROR(__xludf.DUMMYFUNCTION("""COMPUTED_VALUE"""),"✅")</f>
        <v>✅</v>
      </c>
      <c r="J206" s="231" t="str">
        <f>IFERROR(__xludf.DUMMYFUNCTION("""COMPUTED_VALUE"""),"✅")</f>
        <v>✅</v>
      </c>
      <c r="K206" s="288" t="str">
        <f>IFERROR(__xludf.DUMMYFUNCTION("""COMPUTED_VALUE"""),"✅")</f>
        <v>✅</v>
      </c>
      <c r="L206" s="288" t="str">
        <f>IFERROR(__xludf.DUMMYFUNCTION("""COMPUTED_VALUE"""),"✅")</f>
        <v>✅</v>
      </c>
      <c r="M206" s="288" t="str">
        <f>IFERROR(__xludf.DUMMYFUNCTION("""COMPUTED_VALUE"""),"✅")</f>
        <v>✅</v>
      </c>
      <c r="N206" s="288" t="str">
        <f>IFERROR(__xludf.DUMMYFUNCTION("""COMPUTED_VALUE"""),"✅")</f>
        <v>✅</v>
      </c>
      <c r="O206" s="288" t="str">
        <f>IFERROR(__xludf.DUMMYFUNCTION("""COMPUTED_VALUE"""),"✅")</f>
        <v>✅</v>
      </c>
      <c r="P206" s="288" t="str">
        <f>IFERROR(__xludf.DUMMYFUNCTION("""COMPUTED_VALUE"""),"✅")</f>
        <v>✅</v>
      </c>
      <c r="Q206" s="288" t="str">
        <f>IFERROR(__xludf.DUMMYFUNCTION("""COMPUTED_VALUE"""),"✅")</f>
        <v>✅</v>
      </c>
      <c r="R206" s="257" t="str">
        <f>IFERROR(__xludf.DUMMYFUNCTION("""COMPUTED_VALUE"""),"   ✅")</f>
        <v>✅</v>
      </c>
      <c r="S206" s="258"/>
      <c r="T206" s="255" t="str">
        <f>IFERROR(__xludf.DUMMYFUNCTION("""COMPUTED_VALUE"""),"➖")</f>
        <v>➖</v>
      </c>
      <c r="U206" s="255" t="str">
        <f>IFERROR(__xludf.DUMMYFUNCTION("""COMPUTED_VALUE"""),"➖")</f>
        <v>➖</v>
      </c>
      <c r="V206" s="259"/>
      <c r="W206" s="286"/>
      <c r="X206" s="286"/>
      <c r="Y206" s="286"/>
    </row>
    <row r="207">
      <c r="A207" s="28"/>
      <c r="B207" s="128"/>
      <c r="C207" s="28"/>
      <c r="D207" s="250" t="str">
        <f>IFERROR(__xludf.DUMMYFUNCTION("""COMPUTED_VALUE"""),"   U")</f>
        <v>U</v>
      </c>
      <c r="E207" s="280" t="str">
        <f>IFERROR(__xludf.DUMMYFUNCTION("""COMPUTED_VALUE"""),"EIGHT OF ELEVEN")</f>
        <v>EIGHT OF ELEVEN</v>
      </c>
      <c r="F207" s="271" t="str">
        <f>IFERROR(__xludf.DUMMYFUNCTION("""COMPUTED_VALUE"""),"CM")</f>
        <v>CM</v>
      </c>
      <c r="G207" s="281" t="str">
        <f>IFERROR(__xludf.DUMMYFUNCTION("""COMPUTED_VALUE"""),"➖")</f>
        <v>➖</v>
      </c>
      <c r="H207" s="281" t="str">
        <f>IFERROR(__xludf.DUMMYFUNCTION("""COMPUTED_VALUE"""),"➖")</f>
        <v>➖</v>
      </c>
      <c r="I207" s="281" t="str">
        <f>IFERROR(__xludf.DUMMYFUNCTION("""COMPUTED_VALUE"""),"✴️")</f>
        <v>✴️</v>
      </c>
      <c r="J207" s="281" t="str">
        <f>IFERROR(__xludf.DUMMYFUNCTION("""COMPUTED_VALUE"""),"✴️")</f>
        <v>✴️</v>
      </c>
      <c r="K207" s="282" t="str">
        <f>IFERROR(__xludf.DUMMYFUNCTION("""COMPUTED_VALUE"""),"✴️")</f>
        <v>✴️</v>
      </c>
      <c r="L207" s="282" t="str">
        <f>IFERROR(__xludf.DUMMYFUNCTION("""COMPUTED_VALUE"""),"✴️")</f>
        <v>✴️</v>
      </c>
      <c r="M207" s="282" t="str">
        <f>IFERROR(__xludf.DUMMYFUNCTION("""COMPUTED_VALUE"""),"✴️")</f>
        <v>✴️</v>
      </c>
      <c r="N207" s="282" t="str">
        <f>IFERROR(__xludf.DUMMYFUNCTION("""COMPUTED_VALUE"""),"✴️")</f>
        <v>✴️</v>
      </c>
      <c r="O207" s="282" t="str">
        <f>IFERROR(__xludf.DUMMYFUNCTION("""COMPUTED_VALUE"""),"➖")</f>
        <v>➖</v>
      </c>
      <c r="P207" s="282" t="str">
        <f>IFERROR(__xludf.DUMMYFUNCTION("""COMPUTED_VALUE"""),"✴️")</f>
        <v>✴️</v>
      </c>
      <c r="Q207" s="282" t="str">
        <f>IFERROR(__xludf.DUMMYFUNCTION("""COMPUTED_VALUE"""),"➖")</f>
        <v>➖</v>
      </c>
      <c r="R207" s="283" t="str">
        <f>IFERROR(__xludf.DUMMYFUNCTION("""COMPUTED_VALUE"""),"   ➖")</f>
        <v>➖</v>
      </c>
      <c r="S207" s="284" t="str">
        <f>IFERROR(__xludf.DUMMYFUNCTION("""COMPUTED_VALUE"""),"Borg")</f>
        <v>Borg</v>
      </c>
      <c r="T207" s="285" t="str">
        <f>IFERROR(__xludf.DUMMYFUNCTION("""COMPUTED_VALUE"""),"➖")</f>
        <v>➖</v>
      </c>
      <c r="U207" s="285" t="str">
        <f>IFERROR(__xludf.DUMMYFUNCTION("""COMPUTED_VALUE"""),"➖")</f>
        <v>➖</v>
      </c>
      <c r="V207" s="259"/>
      <c r="W207" s="286"/>
      <c r="X207" s="286"/>
      <c r="Y207" s="286"/>
    </row>
    <row r="208">
      <c r="A208" s="28"/>
      <c r="B208" s="132"/>
      <c r="C208" s="28"/>
      <c r="D208" s="260" t="str">
        <f>IFERROR(__xludf.DUMMYFUNCTION("""COMPUTED_VALUE"""),"   U")</f>
        <v>U</v>
      </c>
      <c r="E208" s="287" t="str">
        <f>IFERROR(__xludf.DUMMYFUNCTION("""COMPUTED_VALUE"""),"EIGHT OF ELEVEN")</f>
        <v>EIGHT OF ELEVEN</v>
      </c>
      <c r="F208" s="270" t="str">
        <f>IFERROR(__xludf.DUMMYFUNCTION("""COMPUTED_VALUE"""),"OA")</f>
        <v>OA</v>
      </c>
      <c r="G208" s="231" t="str">
        <f>IFERROR(__xludf.DUMMYFUNCTION("""COMPUTED_VALUE"""),"✅")</f>
        <v>✅</v>
      </c>
      <c r="H208" s="231" t="str">
        <f>IFERROR(__xludf.DUMMYFUNCTION("""COMPUTED_VALUE"""),"✅")</f>
        <v>✅</v>
      </c>
      <c r="I208" s="231" t="str">
        <f>IFERROR(__xludf.DUMMYFUNCTION("""COMPUTED_VALUE"""),"✅")</f>
        <v>✅</v>
      </c>
      <c r="J208" s="231" t="str">
        <f>IFERROR(__xludf.DUMMYFUNCTION("""COMPUTED_VALUE"""),"✅")</f>
        <v>✅</v>
      </c>
      <c r="K208" s="288" t="str">
        <f>IFERROR(__xludf.DUMMYFUNCTION("""COMPUTED_VALUE"""),"✅")</f>
        <v>✅</v>
      </c>
      <c r="L208" s="288" t="str">
        <f>IFERROR(__xludf.DUMMYFUNCTION("""COMPUTED_VALUE"""),"✅")</f>
        <v>✅</v>
      </c>
      <c r="M208" s="288" t="str">
        <f>IFERROR(__xludf.DUMMYFUNCTION("""COMPUTED_VALUE"""),"✅")</f>
        <v>✅</v>
      </c>
      <c r="N208" s="288" t="str">
        <f>IFERROR(__xludf.DUMMYFUNCTION("""COMPUTED_VALUE"""),"✅")</f>
        <v>✅</v>
      </c>
      <c r="O208" s="288" t="str">
        <f>IFERROR(__xludf.DUMMYFUNCTION("""COMPUTED_VALUE"""),"✅")</f>
        <v>✅</v>
      </c>
      <c r="P208" s="288" t="str">
        <f>IFERROR(__xludf.DUMMYFUNCTION("""COMPUTED_VALUE"""),"✅")</f>
        <v>✅</v>
      </c>
      <c r="Q208" s="288" t="str">
        <f>IFERROR(__xludf.DUMMYFUNCTION("""COMPUTED_VALUE"""),"✅")</f>
        <v>✅</v>
      </c>
      <c r="R208" s="257" t="str">
        <f>IFERROR(__xludf.DUMMYFUNCTION("""COMPUTED_VALUE"""),"   ✅")</f>
        <v>✅</v>
      </c>
      <c r="S208" s="258"/>
      <c r="T208" s="255" t="str">
        <f>IFERROR(__xludf.DUMMYFUNCTION("""COMPUTED_VALUE"""),"➖")</f>
        <v>➖</v>
      </c>
      <c r="U208" s="255" t="str">
        <f>IFERROR(__xludf.DUMMYFUNCTION("""COMPUTED_VALUE"""),"➖")</f>
        <v>➖</v>
      </c>
      <c r="V208" s="259"/>
      <c r="W208" s="286"/>
      <c r="X208" s="286"/>
      <c r="Y208" s="286"/>
    </row>
    <row r="209">
      <c r="A209" s="28"/>
      <c r="B209" s="128"/>
      <c r="C209" s="28"/>
      <c r="D209" s="250" t="str">
        <f>IFERROR(__xludf.DUMMYFUNCTION("""COMPUTED_VALUE"""),"   U")</f>
        <v>U</v>
      </c>
      <c r="E209" s="280" t="str">
        <f>IFERROR(__xludf.DUMMYFUNCTION("""COMPUTED_VALUE"""),"NINE OF ELEVEN")</f>
        <v>NINE OF ELEVEN</v>
      </c>
      <c r="F209" s="271" t="str">
        <f>IFERROR(__xludf.DUMMYFUNCTION("""COMPUTED_VALUE"""),"CM")</f>
        <v>CM</v>
      </c>
      <c r="G209" s="281" t="str">
        <f>IFERROR(__xludf.DUMMYFUNCTION("""COMPUTED_VALUE"""),"➖")</f>
        <v>➖</v>
      </c>
      <c r="H209" s="281" t="str">
        <f>IFERROR(__xludf.DUMMYFUNCTION("""COMPUTED_VALUE"""),"➖")</f>
        <v>➖</v>
      </c>
      <c r="I209" s="281" t="str">
        <f>IFERROR(__xludf.DUMMYFUNCTION("""COMPUTED_VALUE"""),"✴️")</f>
        <v>✴️</v>
      </c>
      <c r="J209" s="281" t="str">
        <f>IFERROR(__xludf.DUMMYFUNCTION("""COMPUTED_VALUE"""),"✴️")</f>
        <v>✴️</v>
      </c>
      <c r="K209" s="282" t="str">
        <f>IFERROR(__xludf.DUMMYFUNCTION("""COMPUTED_VALUE"""),"✴️")</f>
        <v>✴️</v>
      </c>
      <c r="L209" s="282" t="str">
        <f>IFERROR(__xludf.DUMMYFUNCTION("""COMPUTED_VALUE"""),"✴️")</f>
        <v>✴️</v>
      </c>
      <c r="M209" s="282" t="str">
        <f>IFERROR(__xludf.DUMMYFUNCTION("""COMPUTED_VALUE"""),"✴️")</f>
        <v>✴️</v>
      </c>
      <c r="N209" s="282" t="str">
        <f>IFERROR(__xludf.DUMMYFUNCTION("""COMPUTED_VALUE"""),"✴️")</f>
        <v>✴️</v>
      </c>
      <c r="O209" s="282" t="str">
        <f>IFERROR(__xludf.DUMMYFUNCTION("""COMPUTED_VALUE"""),"➖")</f>
        <v>➖</v>
      </c>
      <c r="P209" s="282" t="str">
        <f>IFERROR(__xludf.DUMMYFUNCTION("""COMPUTED_VALUE"""),"✴️")</f>
        <v>✴️</v>
      </c>
      <c r="Q209" s="282" t="str">
        <f>IFERROR(__xludf.DUMMYFUNCTION("""COMPUTED_VALUE"""),"➖")</f>
        <v>➖</v>
      </c>
      <c r="R209" s="283" t="str">
        <f>IFERROR(__xludf.DUMMYFUNCTION("""COMPUTED_VALUE"""),"   ➖")</f>
        <v>➖</v>
      </c>
      <c r="S209" s="284" t="str">
        <f>IFERROR(__xludf.DUMMYFUNCTION("""COMPUTED_VALUE"""),"Borg")</f>
        <v>Borg</v>
      </c>
      <c r="T209" s="285" t="str">
        <f>IFERROR(__xludf.DUMMYFUNCTION("""COMPUTED_VALUE"""),"➖")</f>
        <v>➖</v>
      </c>
      <c r="U209" s="285" t="str">
        <f>IFERROR(__xludf.DUMMYFUNCTION("""COMPUTED_VALUE"""),"➖")</f>
        <v>➖</v>
      </c>
      <c r="V209" s="259"/>
      <c r="W209" s="286"/>
      <c r="X209" s="286"/>
      <c r="Y209" s="286"/>
    </row>
    <row r="210">
      <c r="A210" s="28"/>
      <c r="B210" s="132"/>
      <c r="C210" s="28"/>
      <c r="D210" s="260" t="str">
        <f>IFERROR(__xludf.DUMMYFUNCTION("""COMPUTED_VALUE"""),"   U")</f>
        <v>U</v>
      </c>
      <c r="E210" s="287" t="str">
        <f>IFERROR(__xludf.DUMMYFUNCTION("""COMPUTED_VALUE"""),"NINE OF ELEVEN")</f>
        <v>NINE OF ELEVEN</v>
      </c>
      <c r="F210" s="270" t="str">
        <f>IFERROR(__xludf.DUMMYFUNCTION("""COMPUTED_VALUE"""),"OA")</f>
        <v>OA</v>
      </c>
      <c r="G210" s="231" t="str">
        <f>IFERROR(__xludf.DUMMYFUNCTION("""COMPUTED_VALUE"""),"✅")</f>
        <v>✅</v>
      </c>
      <c r="H210" s="231" t="str">
        <f>IFERROR(__xludf.DUMMYFUNCTION("""COMPUTED_VALUE"""),"✅")</f>
        <v>✅</v>
      </c>
      <c r="I210" s="231" t="str">
        <f>IFERROR(__xludf.DUMMYFUNCTION("""COMPUTED_VALUE"""),"✅")</f>
        <v>✅</v>
      </c>
      <c r="J210" s="231" t="str">
        <f>IFERROR(__xludf.DUMMYFUNCTION("""COMPUTED_VALUE"""),"✅")</f>
        <v>✅</v>
      </c>
      <c r="K210" s="288" t="str">
        <f>IFERROR(__xludf.DUMMYFUNCTION("""COMPUTED_VALUE"""),"✅")</f>
        <v>✅</v>
      </c>
      <c r="L210" s="288" t="str">
        <f>IFERROR(__xludf.DUMMYFUNCTION("""COMPUTED_VALUE"""),"✅")</f>
        <v>✅</v>
      </c>
      <c r="M210" s="288" t="str">
        <f>IFERROR(__xludf.DUMMYFUNCTION("""COMPUTED_VALUE"""),"✅")</f>
        <v>✅</v>
      </c>
      <c r="N210" s="288" t="str">
        <f>IFERROR(__xludf.DUMMYFUNCTION("""COMPUTED_VALUE"""),"✅")</f>
        <v>✅</v>
      </c>
      <c r="O210" s="288" t="str">
        <f>IFERROR(__xludf.DUMMYFUNCTION("""COMPUTED_VALUE"""),"✅")</f>
        <v>✅</v>
      </c>
      <c r="P210" s="288" t="str">
        <f>IFERROR(__xludf.DUMMYFUNCTION("""COMPUTED_VALUE"""),"✅")</f>
        <v>✅</v>
      </c>
      <c r="Q210" s="288" t="str">
        <f>IFERROR(__xludf.DUMMYFUNCTION("""COMPUTED_VALUE"""),"✅")</f>
        <v>✅</v>
      </c>
      <c r="R210" s="257" t="str">
        <f>IFERROR(__xludf.DUMMYFUNCTION("""COMPUTED_VALUE"""),"   ✅")</f>
        <v>✅</v>
      </c>
      <c r="S210" s="258"/>
      <c r="T210" s="255" t="str">
        <f>IFERROR(__xludf.DUMMYFUNCTION("""COMPUTED_VALUE"""),"➖")</f>
        <v>➖</v>
      </c>
      <c r="U210" s="255" t="str">
        <f>IFERROR(__xludf.DUMMYFUNCTION("""COMPUTED_VALUE"""),"➖")</f>
        <v>➖</v>
      </c>
      <c r="V210" s="259"/>
      <c r="W210" s="286"/>
      <c r="X210" s="286"/>
      <c r="Y210" s="286"/>
    </row>
    <row r="211">
      <c r="A211" s="28"/>
      <c r="B211" s="128"/>
      <c r="C211" s="28"/>
      <c r="D211" s="250" t="str">
        <f>IFERROR(__xludf.DUMMYFUNCTION("""COMPUTED_VALUE"""),"   E")</f>
        <v>E</v>
      </c>
      <c r="E211" s="280" t="str">
        <f>IFERROR(__xludf.DUMMYFUNCTION("""COMPUTED_VALUE"""),"TEN OF ELEVEN")</f>
        <v>TEN OF ELEVEN</v>
      </c>
      <c r="F211" s="271" t="str">
        <f>IFERROR(__xludf.DUMMYFUNCTION("""COMPUTED_VALUE"""),"CM")</f>
        <v>CM</v>
      </c>
      <c r="G211" s="281" t="str">
        <f>IFERROR(__xludf.DUMMYFUNCTION("""COMPUTED_VALUE"""),"➖")</f>
        <v>➖</v>
      </c>
      <c r="H211" s="281" t="str">
        <f>IFERROR(__xludf.DUMMYFUNCTION("""COMPUTED_VALUE"""),"➖")</f>
        <v>➖</v>
      </c>
      <c r="I211" s="281" t="str">
        <f>IFERROR(__xludf.DUMMYFUNCTION("""COMPUTED_VALUE"""),"➖")</f>
        <v>➖</v>
      </c>
      <c r="J211" s="281" t="str">
        <f>IFERROR(__xludf.DUMMYFUNCTION("""COMPUTED_VALUE"""),"➖")</f>
        <v>➖</v>
      </c>
      <c r="K211" s="282" t="str">
        <f>IFERROR(__xludf.DUMMYFUNCTION("""COMPUTED_VALUE"""),"➖")</f>
        <v>➖</v>
      </c>
      <c r="L211" s="282" t="str">
        <f>IFERROR(__xludf.DUMMYFUNCTION("""COMPUTED_VALUE"""),"➖")</f>
        <v>➖</v>
      </c>
      <c r="M211" s="282" t="str">
        <f>IFERROR(__xludf.DUMMYFUNCTION("""COMPUTED_VALUE"""),"➖")</f>
        <v>➖</v>
      </c>
      <c r="N211" s="282" t="str">
        <f>IFERROR(__xludf.DUMMYFUNCTION("""COMPUTED_VALUE"""),"➖")</f>
        <v>➖</v>
      </c>
      <c r="O211" s="282" t="str">
        <f>IFERROR(__xludf.DUMMYFUNCTION("""COMPUTED_VALUE"""),"➖")</f>
        <v>➖</v>
      </c>
      <c r="P211" s="282" t="str">
        <f>IFERROR(__xludf.DUMMYFUNCTION("""COMPUTED_VALUE"""),"➖")</f>
        <v>➖</v>
      </c>
      <c r="Q211" s="282" t="str">
        <f>IFERROR(__xludf.DUMMYFUNCTION("""COMPUTED_VALUE"""),"➖")</f>
        <v>➖</v>
      </c>
      <c r="R211" s="283" t="str">
        <f>IFERROR(__xludf.DUMMYFUNCTION("""COMPUTED_VALUE"""),"   ➖")</f>
        <v>➖</v>
      </c>
      <c r="S211" s="284"/>
      <c r="T211" s="285" t="str">
        <f>IFERROR(__xludf.DUMMYFUNCTION("""COMPUTED_VALUE"""),"➖")</f>
        <v>➖</v>
      </c>
      <c r="U211" s="285" t="str">
        <f>IFERROR(__xludf.DUMMYFUNCTION("""COMPUTED_VALUE"""),"✅")</f>
        <v>✅</v>
      </c>
      <c r="V211" s="259"/>
      <c r="W211" s="286"/>
      <c r="X211" s="286"/>
      <c r="Y211" s="286"/>
    </row>
    <row r="212">
      <c r="A212" s="28"/>
      <c r="B212" s="132"/>
      <c r="C212" s="28"/>
      <c r="D212" s="260" t="str">
        <f>IFERROR(__xludf.DUMMYFUNCTION("""COMPUTED_VALUE"""),"   E")</f>
        <v>E</v>
      </c>
      <c r="E212" s="287" t="str">
        <f>IFERROR(__xludf.DUMMYFUNCTION("""COMPUTED_VALUE"""),"TEN OF ELEVEN")</f>
        <v>TEN OF ELEVEN</v>
      </c>
      <c r="F212" s="270" t="str">
        <f>IFERROR(__xludf.DUMMYFUNCTION("""COMPUTED_VALUE"""),"OA")</f>
        <v>OA</v>
      </c>
      <c r="G212" s="231" t="str">
        <f>IFERROR(__xludf.DUMMYFUNCTION("""COMPUTED_VALUE"""),"➖")</f>
        <v>➖</v>
      </c>
      <c r="H212" s="231" t="str">
        <f>IFERROR(__xludf.DUMMYFUNCTION("""COMPUTED_VALUE"""),"➖")</f>
        <v>➖</v>
      </c>
      <c r="I212" s="231" t="str">
        <f>IFERROR(__xludf.DUMMYFUNCTION("""COMPUTED_VALUE"""),"➖")</f>
        <v>➖</v>
      </c>
      <c r="J212" s="231" t="str">
        <f>IFERROR(__xludf.DUMMYFUNCTION("""COMPUTED_VALUE"""),"➖")</f>
        <v>➖</v>
      </c>
      <c r="K212" s="288" t="str">
        <f>IFERROR(__xludf.DUMMYFUNCTION("""COMPUTED_VALUE"""),"➖")</f>
        <v>➖</v>
      </c>
      <c r="L212" s="288" t="str">
        <f>IFERROR(__xludf.DUMMYFUNCTION("""COMPUTED_VALUE"""),"➖")</f>
        <v>➖</v>
      </c>
      <c r="M212" s="288" t="str">
        <f>IFERROR(__xludf.DUMMYFUNCTION("""COMPUTED_VALUE"""),"➖")</f>
        <v>➖</v>
      </c>
      <c r="N212" s="288" t="str">
        <f>IFERROR(__xludf.DUMMYFUNCTION("""COMPUTED_VALUE"""),"➖")</f>
        <v>➖</v>
      </c>
      <c r="O212" s="288" t="str">
        <f>IFERROR(__xludf.DUMMYFUNCTION("""COMPUTED_VALUE"""),"➖")</f>
        <v>➖</v>
      </c>
      <c r="P212" s="288" t="str">
        <f>IFERROR(__xludf.DUMMYFUNCTION("""COMPUTED_VALUE"""),"➖")</f>
        <v>➖</v>
      </c>
      <c r="Q212" s="288" t="str">
        <f>IFERROR(__xludf.DUMMYFUNCTION("""COMPUTED_VALUE"""),"➖")</f>
        <v>➖</v>
      </c>
      <c r="R212" s="257" t="str">
        <f>IFERROR(__xludf.DUMMYFUNCTION("""COMPUTED_VALUE"""),"   ➖")</f>
        <v>➖</v>
      </c>
      <c r="S212" s="258"/>
      <c r="T212" s="255" t="str">
        <f>IFERROR(__xludf.DUMMYFUNCTION("""COMPUTED_VALUE"""),"➖")</f>
        <v>➖</v>
      </c>
      <c r="U212" s="255" t="str">
        <f>IFERROR(__xludf.DUMMYFUNCTION("""COMPUTED_VALUE"""),"✅")</f>
        <v>✅</v>
      </c>
      <c r="V212" s="259"/>
      <c r="W212" s="286"/>
      <c r="X212" s="286"/>
      <c r="Y212" s="286"/>
    </row>
    <row r="213">
      <c r="A213" s="28"/>
      <c r="B213" s="128"/>
      <c r="C213" s="28"/>
      <c r="D213" s="250" t="str">
        <f>IFERROR(__xludf.DUMMYFUNCTION("""COMPUTED_VALUE"""),"   U")</f>
        <v>U</v>
      </c>
      <c r="E213" s="280" t="str">
        <f>IFERROR(__xludf.DUMMYFUNCTION("""COMPUTED_VALUE"""),"ORIGINS BURNHAM")</f>
        <v>ORIGINS BURNHAM</v>
      </c>
      <c r="F213" s="271" t="str">
        <f>IFERROR(__xludf.DUMMYFUNCTION("""COMPUTED_VALUE"""),"CM")</f>
        <v>CM</v>
      </c>
      <c r="G213" s="281" t="str">
        <f>IFERROR(__xludf.DUMMYFUNCTION("""COMPUTED_VALUE"""),"✅")</f>
        <v>✅</v>
      </c>
      <c r="H213" s="281" t="str">
        <f>IFERROR(__xludf.DUMMYFUNCTION("""COMPUTED_VALUE"""),"✅")</f>
        <v>✅</v>
      </c>
      <c r="I213" s="281" t="str">
        <f>IFERROR(__xludf.DUMMYFUNCTION("""COMPUTED_VALUE"""),"✅")</f>
        <v>✅</v>
      </c>
      <c r="J213" s="281" t="str">
        <f>IFERROR(__xludf.DUMMYFUNCTION("""COMPUTED_VALUE"""),"✅")</f>
        <v>✅</v>
      </c>
      <c r="K213" s="282" t="str">
        <f>IFERROR(__xludf.DUMMYFUNCTION("""COMPUTED_VALUE"""),"✅")</f>
        <v>✅</v>
      </c>
      <c r="L213" s="282" t="str">
        <f>IFERROR(__xludf.DUMMYFUNCTION("""COMPUTED_VALUE"""),"✅")</f>
        <v>✅</v>
      </c>
      <c r="M213" s="282" t="str">
        <f>IFERROR(__xludf.DUMMYFUNCTION("""COMPUTED_VALUE"""),"✅")</f>
        <v>✅</v>
      </c>
      <c r="N213" s="282" t="str">
        <f>IFERROR(__xludf.DUMMYFUNCTION("""COMPUTED_VALUE"""),"✅")</f>
        <v>✅</v>
      </c>
      <c r="O213" s="282" t="str">
        <f>IFERROR(__xludf.DUMMYFUNCTION("""COMPUTED_VALUE"""),"✅")</f>
        <v>✅</v>
      </c>
      <c r="P213" s="282" t="str">
        <f>IFERROR(__xludf.DUMMYFUNCTION("""COMPUTED_VALUE"""),"✅")</f>
        <v>✅</v>
      </c>
      <c r="Q213" s="282" t="str">
        <f>IFERROR(__xludf.DUMMYFUNCTION("""COMPUTED_VALUE"""),"✅")</f>
        <v>✅</v>
      </c>
      <c r="R213" s="283" t="str">
        <f>IFERROR(__xludf.DUMMYFUNCTION("""COMPUTED_VALUE"""),"   ✅")</f>
        <v>✅</v>
      </c>
      <c r="S213" s="284"/>
      <c r="T213" s="285" t="str">
        <f>IFERROR(__xludf.DUMMYFUNCTION("""COMPUTED_VALUE"""),"➖")</f>
        <v>➖</v>
      </c>
      <c r="U213" s="285" t="str">
        <f>IFERROR(__xludf.DUMMYFUNCTION("""COMPUTED_VALUE"""),"➖")</f>
        <v>➖</v>
      </c>
      <c r="V213" s="259"/>
      <c r="W213" s="286"/>
      <c r="X213" s="286"/>
      <c r="Y213" s="286"/>
    </row>
    <row r="214">
      <c r="A214" s="28"/>
      <c r="B214" s="132"/>
      <c r="C214" s="28"/>
      <c r="D214" s="260" t="str">
        <f>IFERROR(__xludf.DUMMYFUNCTION("""COMPUTED_VALUE"""),"   U")</f>
        <v>U</v>
      </c>
      <c r="E214" s="287" t="str">
        <f>IFERROR(__xludf.DUMMYFUNCTION("""COMPUTED_VALUE"""),"ORIGINS BURNHAM")</f>
        <v>ORIGINS BURNHAM</v>
      </c>
      <c r="F214" s="270" t="str">
        <f>IFERROR(__xludf.DUMMYFUNCTION("""COMPUTED_VALUE"""),"OA")</f>
        <v>OA</v>
      </c>
      <c r="G214" s="231" t="str">
        <f>IFERROR(__xludf.DUMMYFUNCTION("""COMPUTED_VALUE"""),"✅")</f>
        <v>✅</v>
      </c>
      <c r="H214" s="231" t="str">
        <f>IFERROR(__xludf.DUMMYFUNCTION("""COMPUTED_VALUE"""),"✅")</f>
        <v>✅</v>
      </c>
      <c r="I214" s="231" t="str">
        <f>IFERROR(__xludf.DUMMYFUNCTION("""COMPUTED_VALUE"""),"✅")</f>
        <v>✅</v>
      </c>
      <c r="J214" s="231" t="str">
        <f>IFERROR(__xludf.DUMMYFUNCTION("""COMPUTED_VALUE"""),"✅")</f>
        <v>✅</v>
      </c>
      <c r="K214" s="288" t="str">
        <f>IFERROR(__xludf.DUMMYFUNCTION("""COMPUTED_VALUE"""),"✅")</f>
        <v>✅</v>
      </c>
      <c r="L214" s="288" t="str">
        <f>IFERROR(__xludf.DUMMYFUNCTION("""COMPUTED_VALUE"""),"✅")</f>
        <v>✅</v>
      </c>
      <c r="M214" s="288" t="str">
        <f>IFERROR(__xludf.DUMMYFUNCTION("""COMPUTED_VALUE"""),"✅")</f>
        <v>✅</v>
      </c>
      <c r="N214" s="288" t="str">
        <f>IFERROR(__xludf.DUMMYFUNCTION("""COMPUTED_VALUE"""),"✅")</f>
        <v>✅</v>
      </c>
      <c r="O214" s="288" t="str">
        <f>IFERROR(__xludf.DUMMYFUNCTION("""COMPUTED_VALUE"""),"✅")</f>
        <v>✅</v>
      </c>
      <c r="P214" s="288" t="str">
        <f>IFERROR(__xludf.DUMMYFUNCTION("""COMPUTED_VALUE"""),"✅")</f>
        <v>✅</v>
      </c>
      <c r="Q214" s="288" t="str">
        <f>IFERROR(__xludf.DUMMYFUNCTION("""COMPUTED_VALUE"""),"✅")</f>
        <v>✅</v>
      </c>
      <c r="R214" s="257" t="str">
        <f>IFERROR(__xludf.DUMMYFUNCTION("""COMPUTED_VALUE"""),"   ✅")</f>
        <v>✅</v>
      </c>
      <c r="S214" s="258"/>
      <c r="T214" s="255" t="str">
        <f>IFERROR(__xludf.DUMMYFUNCTION("""COMPUTED_VALUE"""),"➖")</f>
        <v>➖</v>
      </c>
      <c r="U214" s="255" t="str">
        <f>IFERROR(__xludf.DUMMYFUNCTION("""COMPUTED_VALUE"""),"➖")</f>
        <v>➖</v>
      </c>
      <c r="V214" s="259"/>
      <c r="W214" s="286"/>
      <c r="X214" s="286"/>
      <c r="Y214" s="286"/>
    </row>
    <row r="215">
      <c r="A215" s="28"/>
      <c r="B215" s="128"/>
      <c r="C215" s="28"/>
      <c r="D215" s="250" t="str">
        <f>IFERROR(__xludf.DUMMYFUNCTION("""COMPUTED_VALUE"""),"   C")</f>
        <v>C</v>
      </c>
      <c r="E215" s="280" t="str">
        <f>IFERROR(__xludf.DUMMYFUNCTION("""COMPUTED_VALUE"""),"ORIGINS SARU")</f>
        <v>ORIGINS SARU</v>
      </c>
      <c r="F215" s="271" t="str">
        <f>IFERROR(__xludf.DUMMYFUNCTION("""COMPUTED_VALUE"""),"CM")</f>
        <v>CM</v>
      </c>
      <c r="G215" s="281" t="str">
        <f>IFERROR(__xludf.DUMMYFUNCTION("""COMPUTED_VALUE"""),"✅")</f>
        <v>✅</v>
      </c>
      <c r="H215" s="281" t="str">
        <f>IFERROR(__xludf.DUMMYFUNCTION("""COMPUTED_VALUE"""),"✅")</f>
        <v>✅</v>
      </c>
      <c r="I215" s="281" t="str">
        <f>IFERROR(__xludf.DUMMYFUNCTION("""COMPUTED_VALUE"""),"✅")</f>
        <v>✅</v>
      </c>
      <c r="J215" s="281" t="str">
        <f>IFERROR(__xludf.DUMMYFUNCTION("""COMPUTED_VALUE"""),"✅")</f>
        <v>✅</v>
      </c>
      <c r="K215" s="282" t="str">
        <f>IFERROR(__xludf.DUMMYFUNCTION("""COMPUTED_VALUE"""),"✅")</f>
        <v>✅</v>
      </c>
      <c r="L215" s="282" t="str">
        <f>IFERROR(__xludf.DUMMYFUNCTION("""COMPUTED_VALUE"""),"✅")</f>
        <v>✅</v>
      </c>
      <c r="M215" s="282" t="str">
        <f>IFERROR(__xludf.DUMMYFUNCTION("""COMPUTED_VALUE"""),"✅")</f>
        <v>✅</v>
      </c>
      <c r="N215" s="282" t="str">
        <f>IFERROR(__xludf.DUMMYFUNCTION("""COMPUTED_VALUE"""),"✅")</f>
        <v>✅</v>
      </c>
      <c r="O215" s="282" t="str">
        <f>IFERROR(__xludf.DUMMYFUNCTION("""COMPUTED_VALUE"""),"✅")</f>
        <v>✅</v>
      </c>
      <c r="P215" s="282" t="str">
        <f>IFERROR(__xludf.DUMMYFUNCTION("""COMPUTED_VALUE"""),"✅")</f>
        <v>✅</v>
      </c>
      <c r="Q215" s="282" t="str">
        <f>IFERROR(__xludf.DUMMYFUNCTION("""COMPUTED_VALUE"""),"✅")</f>
        <v>✅</v>
      </c>
      <c r="R215" s="283" t="str">
        <f>IFERROR(__xludf.DUMMYFUNCTION("""COMPUTED_VALUE"""),"   ✅")</f>
        <v>✅</v>
      </c>
      <c r="S215" s="284"/>
      <c r="T215" s="285" t="str">
        <f>IFERROR(__xludf.DUMMYFUNCTION("""COMPUTED_VALUE"""),"➖")</f>
        <v>➖</v>
      </c>
      <c r="U215" s="285" t="str">
        <f>IFERROR(__xludf.DUMMYFUNCTION("""COMPUTED_VALUE"""),"➖")</f>
        <v>➖</v>
      </c>
      <c r="V215" s="259"/>
      <c r="W215" s="286"/>
      <c r="X215" s="286"/>
      <c r="Y215" s="286"/>
    </row>
    <row r="216">
      <c r="A216" s="28"/>
      <c r="B216" s="132"/>
      <c r="C216" s="28"/>
      <c r="D216" s="260" t="str">
        <f>IFERROR(__xludf.DUMMYFUNCTION("""COMPUTED_VALUE"""),"   C")</f>
        <v>C</v>
      </c>
      <c r="E216" s="287" t="str">
        <f>IFERROR(__xludf.DUMMYFUNCTION("""COMPUTED_VALUE"""),"ORIGINS SARU")</f>
        <v>ORIGINS SARU</v>
      </c>
      <c r="F216" s="270" t="str">
        <f>IFERROR(__xludf.DUMMYFUNCTION("""COMPUTED_VALUE"""),"OA")</f>
        <v>OA</v>
      </c>
      <c r="G216" s="231" t="str">
        <f>IFERROR(__xludf.DUMMYFUNCTION("""COMPUTED_VALUE"""),"✅")</f>
        <v>✅</v>
      </c>
      <c r="H216" s="231" t="str">
        <f>IFERROR(__xludf.DUMMYFUNCTION("""COMPUTED_VALUE"""),"✅")</f>
        <v>✅</v>
      </c>
      <c r="I216" s="231" t="str">
        <f>IFERROR(__xludf.DUMMYFUNCTION("""COMPUTED_VALUE"""),"✅")</f>
        <v>✅</v>
      </c>
      <c r="J216" s="231" t="str">
        <f>IFERROR(__xludf.DUMMYFUNCTION("""COMPUTED_VALUE"""),"✅")</f>
        <v>✅</v>
      </c>
      <c r="K216" s="288" t="str">
        <f>IFERROR(__xludf.DUMMYFUNCTION("""COMPUTED_VALUE"""),"✅")</f>
        <v>✅</v>
      </c>
      <c r="L216" s="288" t="str">
        <f>IFERROR(__xludf.DUMMYFUNCTION("""COMPUTED_VALUE"""),"✅")</f>
        <v>✅</v>
      </c>
      <c r="M216" s="288" t="str">
        <f>IFERROR(__xludf.DUMMYFUNCTION("""COMPUTED_VALUE"""),"✅")</f>
        <v>✅</v>
      </c>
      <c r="N216" s="288" t="str">
        <f>IFERROR(__xludf.DUMMYFUNCTION("""COMPUTED_VALUE"""),"✅")</f>
        <v>✅</v>
      </c>
      <c r="O216" s="288" t="str">
        <f>IFERROR(__xludf.DUMMYFUNCTION("""COMPUTED_VALUE"""),"✅")</f>
        <v>✅</v>
      </c>
      <c r="P216" s="288" t="str">
        <f>IFERROR(__xludf.DUMMYFUNCTION("""COMPUTED_VALUE"""),"✅")</f>
        <v>✅</v>
      </c>
      <c r="Q216" s="288" t="str">
        <f>IFERROR(__xludf.DUMMYFUNCTION("""COMPUTED_VALUE"""),"✅")</f>
        <v>✅</v>
      </c>
      <c r="R216" s="257" t="str">
        <f>IFERROR(__xludf.DUMMYFUNCTION("""COMPUTED_VALUE"""),"   ✅")</f>
        <v>✅</v>
      </c>
      <c r="S216" s="258"/>
      <c r="T216" s="255" t="str">
        <f>IFERROR(__xludf.DUMMYFUNCTION("""COMPUTED_VALUE"""),"➖")</f>
        <v>➖</v>
      </c>
      <c r="U216" s="255" t="str">
        <f>IFERROR(__xludf.DUMMYFUNCTION("""COMPUTED_VALUE"""),"➖")</f>
        <v>➖</v>
      </c>
      <c r="V216" s="259"/>
      <c r="W216" s="286"/>
      <c r="X216" s="286"/>
      <c r="Y216" s="286"/>
    </row>
    <row r="217">
      <c r="A217" s="28"/>
      <c r="B217" s="128"/>
      <c r="C217" s="28"/>
      <c r="D217" s="250" t="str">
        <f>IFERROR(__xludf.DUMMYFUNCTION("""COMPUTED_VALUE"""),"   C")</f>
        <v>C</v>
      </c>
      <c r="E217" s="280" t="str">
        <f>IFERROR(__xludf.DUMMYFUNCTION("""COMPUTED_VALUE"""),"ORIGINS STAMETS")</f>
        <v>ORIGINS STAMETS</v>
      </c>
      <c r="F217" s="271" t="str">
        <f>IFERROR(__xludf.DUMMYFUNCTION("""COMPUTED_VALUE"""),"CM")</f>
        <v>CM</v>
      </c>
      <c r="G217" s="281" t="str">
        <f>IFERROR(__xludf.DUMMYFUNCTION("""COMPUTED_VALUE"""),"✅")</f>
        <v>✅</v>
      </c>
      <c r="H217" s="281" t="str">
        <f>IFERROR(__xludf.DUMMYFUNCTION("""COMPUTED_VALUE"""),"✅")</f>
        <v>✅</v>
      </c>
      <c r="I217" s="281" t="str">
        <f>IFERROR(__xludf.DUMMYFUNCTION("""COMPUTED_VALUE"""),"✅")</f>
        <v>✅</v>
      </c>
      <c r="J217" s="281" t="str">
        <f>IFERROR(__xludf.DUMMYFUNCTION("""COMPUTED_VALUE"""),"✅")</f>
        <v>✅</v>
      </c>
      <c r="K217" s="282" t="str">
        <f>IFERROR(__xludf.DUMMYFUNCTION("""COMPUTED_VALUE"""),"✅")</f>
        <v>✅</v>
      </c>
      <c r="L217" s="282" t="str">
        <f>IFERROR(__xludf.DUMMYFUNCTION("""COMPUTED_VALUE"""),"✅")</f>
        <v>✅</v>
      </c>
      <c r="M217" s="282" t="str">
        <f>IFERROR(__xludf.DUMMYFUNCTION("""COMPUTED_VALUE"""),"✅")</f>
        <v>✅</v>
      </c>
      <c r="N217" s="282" t="str">
        <f>IFERROR(__xludf.DUMMYFUNCTION("""COMPUTED_VALUE"""),"✅")</f>
        <v>✅</v>
      </c>
      <c r="O217" s="282" t="str">
        <f>IFERROR(__xludf.DUMMYFUNCTION("""COMPUTED_VALUE"""),"✅")</f>
        <v>✅</v>
      </c>
      <c r="P217" s="282" t="str">
        <f>IFERROR(__xludf.DUMMYFUNCTION("""COMPUTED_VALUE"""),"✅")</f>
        <v>✅</v>
      </c>
      <c r="Q217" s="282" t="str">
        <f>IFERROR(__xludf.DUMMYFUNCTION("""COMPUTED_VALUE"""),"✅")</f>
        <v>✅</v>
      </c>
      <c r="R217" s="283" t="str">
        <f>IFERROR(__xludf.DUMMYFUNCTION("""COMPUTED_VALUE"""),"   ✅")</f>
        <v>✅</v>
      </c>
      <c r="S217" s="284"/>
      <c r="T217" s="285" t="str">
        <f>IFERROR(__xludf.DUMMYFUNCTION("""COMPUTED_VALUE"""),"➖")</f>
        <v>➖</v>
      </c>
      <c r="U217" s="285" t="str">
        <f>IFERROR(__xludf.DUMMYFUNCTION("""COMPUTED_VALUE"""),"➖")</f>
        <v>➖</v>
      </c>
      <c r="V217" s="259"/>
      <c r="W217" s="286"/>
      <c r="X217" s="286"/>
      <c r="Y217" s="286"/>
    </row>
    <row r="218">
      <c r="A218" s="28"/>
      <c r="B218" s="132"/>
      <c r="C218" s="28"/>
      <c r="D218" s="260" t="str">
        <f>IFERROR(__xludf.DUMMYFUNCTION("""COMPUTED_VALUE"""),"   C")</f>
        <v>C</v>
      </c>
      <c r="E218" s="287" t="str">
        <f>IFERROR(__xludf.DUMMYFUNCTION("""COMPUTED_VALUE"""),"ORIGINS STAMETS")</f>
        <v>ORIGINS STAMETS</v>
      </c>
      <c r="F218" s="270" t="str">
        <f>IFERROR(__xludf.DUMMYFUNCTION("""COMPUTED_VALUE"""),"OA")</f>
        <v>OA</v>
      </c>
      <c r="G218" s="231" t="str">
        <f>IFERROR(__xludf.DUMMYFUNCTION("""COMPUTED_VALUE"""),"➖")</f>
        <v>➖</v>
      </c>
      <c r="H218" s="231" t="str">
        <f>IFERROR(__xludf.DUMMYFUNCTION("""COMPUTED_VALUE"""),"➖")</f>
        <v>➖</v>
      </c>
      <c r="I218" s="231" t="str">
        <f>IFERROR(__xludf.DUMMYFUNCTION("""COMPUTED_VALUE"""),"➖")</f>
        <v>➖</v>
      </c>
      <c r="J218" s="231" t="str">
        <f>IFERROR(__xludf.DUMMYFUNCTION("""COMPUTED_VALUE"""),"➖")</f>
        <v>➖</v>
      </c>
      <c r="K218" s="288" t="str">
        <f>IFERROR(__xludf.DUMMYFUNCTION("""COMPUTED_VALUE"""),"➖")</f>
        <v>➖</v>
      </c>
      <c r="L218" s="288" t="str">
        <f>IFERROR(__xludf.DUMMYFUNCTION("""COMPUTED_VALUE"""),"➖")</f>
        <v>➖</v>
      </c>
      <c r="M218" s="288" t="str">
        <f>IFERROR(__xludf.DUMMYFUNCTION("""COMPUTED_VALUE"""),"➖")</f>
        <v>➖</v>
      </c>
      <c r="N218" s="288" t="str">
        <f>IFERROR(__xludf.DUMMYFUNCTION("""COMPUTED_VALUE"""),"➖")</f>
        <v>➖</v>
      </c>
      <c r="O218" s="288" t="str">
        <f>IFERROR(__xludf.DUMMYFUNCTION("""COMPUTED_VALUE"""),"➖")</f>
        <v>➖</v>
      </c>
      <c r="P218" s="288" t="str">
        <f>IFERROR(__xludf.DUMMYFUNCTION("""COMPUTED_VALUE"""),"➖")</f>
        <v>➖</v>
      </c>
      <c r="Q218" s="288" t="str">
        <f>IFERROR(__xludf.DUMMYFUNCTION("""COMPUTED_VALUE"""),"➖")</f>
        <v>➖</v>
      </c>
      <c r="R218" s="257" t="str">
        <f>IFERROR(__xludf.DUMMYFUNCTION("""COMPUTED_VALUE"""),"   ➖")</f>
        <v>➖</v>
      </c>
      <c r="S218" s="258"/>
      <c r="T218" s="255" t="str">
        <f>IFERROR(__xludf.DUMMYFUNCTION("""COMPUTED_VALUE"""),"➖")</f>
        <v>➖</v>
      </c>
      <c r="U218" s="255" t="str">
        <f>IFERROR(__xludf.DUMMYFUNCTION("""COMPUTED_VALUE"""),"✅")</f>
        <v>✅</v>
      </c>
      <c r="V218" s="259"/>
      <c r="W218" s="286"/>
      <c r="X218" s="286"/>
      <c r="Y218" s="286"/>
    </row>
    <row r="219">
      <c r="A219" s="28"/>
      <c r="B219" s="128"/>
      <c r="C219" s="28"/>
      <c r="D219" s="250" t="str">
        <f>IFERROR(__xludf.DUMMYFUNCTION("""COMPUTED_VALUE"""),"   E")</f>
        <v>E</v>
      </c>
      <c r="E219" s="280" t="str">
        <f>IFERROR(__xludf.DUMMYFUNCTION("""COMPUTED_VALUE"""),"MICHAEL BURNHAM")</f>
        <v>MICHAEL BURNHAM</v>
      </c>
      <c r="F219" s="271" t="str">
        <f>IFERROR(__xludf.DUMMYFUNCTION("""COMPUTED_VALUE"""),"CM")</f>
        <v>CM</v>
      </c>
      <c r="G219" s="281" t="str">
        <f>IFERROR(__xludf.DUMMYFUNCTION("""COMPUTED_VALUE"""),"➖")</f>
        <v>➖</v>
      </c>
      <c r="H219" s="281" t="str">
        <f>IFERROR(__xludf.DUMMYFUNCTION("""COMPUTED_VALUE"""),"➖")</f>
        <v>➖</v>
      </c>
      <c r="I219" s="281" t="str">
        <f>IFERROR(__xludf.DUMMYFUNCTION("""COMPUTED_VALUE"""),"➖")</f>
        <v>➖</v>
      </c>
      <c r="J219" s="281" t="str">
        <f>IFERROR(__xludf.DUMMYFUNCTION("""COMPUTED_VALUE"""),"➖")</f>
        <v>➖</v>
      </c>
      <c r="K219" s="282" t="str">
        <f>IFERROR(__xludf.DUMMYFUNCTION("""COMPUTED_VALUE"""),"➖")</f>
        <v>➖</v>
      </c>
      <c r="L219" s="282" t="str">
        <f>IFERROR(__xludf.DUMMYFUNCTION("""COMPUTED_VALUE"""),"➖")</f>
        <v>➖</v>
      </c>
      <c r="M219" s="282" t="str">
        <f>IFERROR(__xludf.DUMMYFUNCTION("""COMPUTED_VALUE"""),"➖")</f>
        <v>➖</v>
      </c>
      <c r="N219" s="282" t="str">
        <f>IFERROR(__xludf.DUMMYFUNCTION("""COMPUTED_VALUE"""),"➖")</f>
        <v>➖</v>
      </c>
      <c r="O219" s="282" t="str">
        <f>IFERROR(__xludf.DUMMYFUNCTION("""COMPUTED_VALUE"""),"➖")</f>
        <v>➖</v>
      </c>
      <c r="P219" s="282" t="str">
        <f>IFERROR(__xludf.DUMMYFUNCTION("""COMPUTED_VALUE"""),"➖")</f>
        <v>➖</v>
      </c>
      <c r="Q219" s="282" t="str">
        <f>IFERROR(__xludf.DUMMYFUNCTION("""COMPUTED_VALUE"""),"➖")</f>
        <v>➖</v>
      </c>
      <c r="R219" s="283" t="str">
        <f>IFERROR(__xludf.DUMMYFUNCTION("""COMPUTED_VALUE"""),"   ➖")</f>
        <v>➖</v>
      </c>
      <c r="S219" s="284"/>
      <c r="T219" s="285" t="str">
        <f>IFERROR(__xludf.DUMMYFUNCTION("""COMPUTED_VALUE"""),"➖")</f>
        <v>➖</v>
      </c>
      <c r="U219" s="285" t="str">
        <f>IFERROR(__xludf.DUMMYFUNCTION("""COMPUTED_VALUE"""),"✅")</f>
        <v>✅</v>
      </c>
      <c r="V219" s="259"/>
      <c r="W219" s="286"/>
      <c r="X219" s="286"/>
      <c r="Y219" s="286"/>
    </row>
    <row r="220">
      <c r="A220" s="28"/>
      <c r="B220" s="132"/>
      <c r="C220" s="28"/>
      <c r="D220" s="260" t="str">
        <f>IFERROR(__xludf.DUMMYFUNCTION("""COMPUTED_VALUE"""),"   E")</f>
        <v>E</v>
      </c>
      <c r="E220" s="287" t="str">
        <f>IFERROR(__xludf.DUMMYFUNCTION("""COMPUTED_VALUE"""),"MICHAEL BURNHAM")</f>
        <v>MICHAEL BURNHAM</v>
      </c>
      <c r="F220" s="270" t="str">
        <f>IFERROR(__xludf.DUMMYFUNCTION("""COMPUTED_VALUE"""),"OA")</f>
        <v>OA</v>
      </c>
      <c r="G220" s="231" t="str">
        <f>IFERROR(__xludf.DUMMYFUNCTION("""COMPUTED_VALUE"""),"✅")</f>
        <v>✅</v>
      </c>
      <c r="H220" s="231" t="str">
        <f>IFERROR(__xludf.DUMMYFUNCTION("""COMPUTED_VALUE"""),"✅")</f>
        <v>✅</v>
      </c>
      <c r="I220" s="231" t="str">
        <f>IFERROR(__xludf.DUMMYFUNCTION("""COMPUTED_VALUE"""),"➖")</f>
        <v>➖</v>
      </c>
      <c r="J220" s="231" t="str">
        <f>IFERROR(__xludf.DUMMYFUNCTION("""COMPUTED_VALUE"""),"➖")</f>
        <v>➖</v>
      </c>
      <c r="K220" s="288" t="str">
        <f>IFERROR(__xludf.DUMMYFUNCTION("""COMPUTED_VALUE"""),"➖")</f>
        <v>➖</v>
      </c>
      <c r="L220" s="288" t="str">
        <f>IFERROR(__xludf.DUMMYFUNCTION("""COMPUTED_VALUE"""),"➖")</f>
        <v>➖</v>
      </c>
      <c r="M220" s="288" t="str">
        <f>IFERROR(__xludf.DUMMYFUNCTION("""COMPUTED_VALUE"""),"➖")</f>
        <v>➖</v>
      </c>
      <c r="N220" s="288" t="str">
        <f>IFERROR(__xludf.DUMMYFUNCTION("""COMPUTED_VALUE"""),"➖")</f>
        <v>➖</v>
      </c>
      <c r="O220" s="288" t="str">
        <f>IFERROR(__xludf.DUMMYFUNCTION("""COMPUTED_VALUE"""),"➖")</f>
        <v>➖</v>
      </c>
      <c r="P220" s="288" t="str">
        <f>IFERROR(__xludf.DUMMYFUNCTION("""COMPUTED_VALUE"""),"➖")</f>
        <v>➖</v>
      </c>
      <c r="Q220" s="288" t="str">
        <f>IFERROR(__xludf.DUMMYFUNCTION("""COMPUTED_VALUE"""),"➖")</f>
        <v>➖</v>
      </c>
      <c r="R220" s="257" t="str">
        <f>IFERROR(__xludf.DUMMYFUNCTION("""COMPUTED_VALUE"""),"   ➖")</f>
        <v>➖</v>
      </c>
      <c r="S220" s="258"/>
      <c r="T220" s="255" t="str">
        <f>IFERROR(__xludf.DUMMYFUNCTION("""COMPUTED_VALUE"""),"➖")</f>
        <v>➖</v>
      </c>
      <c r="U220" s="255" t="str">
        <f>IFERROR(__xludf.DUMMYFUNCTION("""COMPUTED_VALUE"""),"➖")</f>
        <v>➖</v>
      </c>
      <c r="V220" s="259"/>
      <c r="W220" s="286"/>
      <c r="X220" s="286"/>
      <c r="Y220" s="286"/>
    </row>
    <row r="221">
      <c r="A221" s="28"/>
      <c r="B221" s="128"/>
      <c r="C221" s="28"/>
      <c r="D221" s="250" t="str">
        <f>IFERROR(__xludf.DUMMYFUNCTION("""COMPUTED_VALUE"""),"   R")</f>
        <v>R</v>
      </c>
      <c r="E221" s="280" t="str">
        <f>IFERROR(__xludf.DUMMYFUNCTION("""COMPUTED_VALUE"""),"SARU")</f>
        <v>SARU</v>
      </c>
      <c r="F221" s="271" t="str">
        <f>IFERROR(__xludf.DUMMYFUNCTION("""COMPUTED_VALUE"""),"CM")</f>
        <v>CM</v>
      </c>
      <c r="G221" s="281" t="str">
        <f>IFERROR(__xludf.DUMMYFUNCTION("""COMPUTED_VALUE"""),"✅")</f>
        <v>✅</v>
      </c>
      <c r="H221" s="281" t="str">
        <f>IFERROR(__xludf.DUMMYFUNCTION("""COMPUTED_VALUE"""),"✅")</f>
        <v>✅</v>
      </c>
      <c r="I221" s="281" t="str">
        <f>IFERROR(__xludf.DUMMYFUNCTION("""COMPUTED_VALUE"""),"➖")</f>
        <v>➖</v>
      </c>
      <c r="J221" s="281" t="str">
        <f>IFERROR(__xludf.DUMMYFUNCTION("""COMPUTED_VALUE"""),"➖")</f>
        <v>➖</v>
      </c>
      <c r="K221" s="282" t="str">
        <f>IFERROR(__xludf.DUMMYFUNCTION("""COMPUTED_VALUE"""),"➖")</f>
        <v>➖</v>
      </c>
      <c r="L221" s="282" t="str">
        <f>IFERROR(__xludf.DUMMYFUNCTION("""COMPUTED_VALUE"""),"➖")</f>
        <v>➖</v>
      </c>
      <c r="M221" s="282" t="str">
        <f>IFERROR(__xludf.DUMMYFUNCTION("""COMPUTED_VALUE"""),"➖")</f>
        <v>➖</v>
      </c>
      <c r="N221" s="282" t="str">
        <f>IFERROR(__xludf.DUMMYFUNCTION("""COMPUTED_VALUE"""),"➖")</f>
        <v>➖</v>
      </c>
      <c r="O221" s="282" t="str">
        <f>IFERROR(__xludf.DUMMYFUNCTION("""COMPUTED_VALUE"""),"➖")</f>
        <v>➖</v>
      </c>
      <c r="P221" s="282" t="str">
        <f>IFERROR(__xludf.DUMMYFUNCTION("""COMPUTED_VALUE"""),"➖")</f>
        <v>➖</v>
      </c>
      <c r="Q221" s="282" t="str">
        <f>IFERROR(__xludf.DUMMYFUNCTION("""COMPUTED_VALUE"""),"➖")</f>
        <v>➖</v>
      </c>
      <c r="R221" s="283" t="str">
        <f>IFERROR(__xludf.DUMMYFUNCTION("""COMPUTED_VALUE"""),"   ➖")</f>
        <v>➖</v>
      </c>
      <c r="S221" s="284"/>
      <c r="T221" s="285" t="str">
        <f>IFERROR(__xludf.DUMMYFUNCTION("""COMPUTED_VALUE"""),"➖")</f>
        <v>➖</v>
      </c>
      <c r="U221" s="285" t="str">
        <f>IFERROR(__xludf.DUMMYFUNCTION("""COMPUTED_VALUE"""),"➖")</f>
        <v>➖</v>
      </c>
      <c r="V221" s="259"/>
      <c r="W221" s="286"/>
      <c r="X221" s="286"/>
      <c r="Y221" s="286"/>
    </row>
    <row r="222">
      <c r="A222" s="28"/>
      <c r="B222" s="132"/>
      <c r="C222" s="28"/>
      <c r="D222" s="260" t="str">
        <f>IFERROR(__xludf.DUMMYFUNCTION("""COMPUTED_VALUE"""),"   R")</f>
        <v>R</v>
      </c>
      <c r="E222" s="287" t="str">
        <f>IFERROR(__xludf.DUMMYFUNCTION("""COMPUTED_VALUE"""),"SARU")</f>
        <v>SARU</v>
      </c>
      <c r="F222" s="270" t="str">
        <f>IFERROR(__xludf.DUMMYFUNCTION("""COMPUTED_VALUE"""),"OA")</f>
        <v>OA</v>
      </c>
      <c r="G222" s="231" t="str">
        <f>IFERROR(__xludf.DUMMYFUNCTION("""COMPUTED_VALUE"""),"✅")</f>
        <v>✅</v>
      </c>
      <c r="H222" s="231" t="str">
        <f>IFERROR(__xludf.DUMMYFUNCTION("""COMPUTED_VALUE"""),"✅")</f>
        <v>✅</v>
      </c>
      <c r="I222" s="231" t="str">
        <f>IFERROR(__xludf.DUMMYFUNCTION("""COMPUTED_VALUE"""),"➖")</f>
        <v>➖</v>
      </c>
      <c r="J222" s="231" t="str">
        <f>IFERROR(__xludf.DUMMYFUNCTION("""COMPUTED_VALUE"""),"➖")</f>
        <v>➖</v>
      </c>
      <c r="K222" s="288" t="str">
        <f>IFERROR(__xludf.DUMMYFUNCTION("""COMPUTED_VALUE"""),"➖")</f>
        <v>➖</v>
      </c>
      <c r="L222" s="288" t="str">
        <f>IFERROR(__xludf.DUMMYFUNCTION("""COMPUTED_VALUE"""),"➖")</f>
        <v>➖</v>
      </c>
      <c r="M222" s="288" t="str">
        <f>IFERROR(__xludf.DUMMYFUNCTION("""COMPUTED_VALUE"""),"➖")</f>
        <v>➖</v>
      </c>
      <c r="N222" s="288" t="str">
        <f>IFERROR(__xludf.DUMMYFUNCTION("""COMPUTED_VALUE"""),"➖")</f>
        <v>➖</v>
      </c>
      <c r="O222" s="288" t="str">
        <f>IFERROR(__xludf.DUMMYFUNCTION("""COMPUTED_VALUE"""),"➖")</f>
        <v>➖</v>
      </c>
      <c r="P222" s="288" t="str">
        <f>IFERROR(__xludf.DUMMYFUNCTION("""COMPUTED_VALUE"""),"➖")</f>
        <v>➖</v>
      </c>
      <c r="Q222" s="288" t="str">
        <f>IFERROR(__xludf.DUMMYFUNCTION("""COMPUTED_VALUE"""),"➖")</f>
        <v>➖</v>
      </c>
      <c r="R222" s="257" t="str">
        <f>IFERROR(__xludf.DUMMYFUNCTION("""COMPUTED_VALUE"""),"   ➖")</f>
        <v>➖</v>
      </c>
      <c r="S222" s="258"/>
      <c r="T222" s="255" t="str">
        <f>IFERROR(__xludf.DUMMYFUNCTION("""COMPUTED_VALUE"""),"➖")</f>
        <v>➖</v>
      </c>
      <c r="U222" s="255" t="str">
        <f>IFERROR(__xludf.DUMMYFUNCTION("""COMPUTED_VALUE"""),"➖")</f>
        <v>➖</v>
      </c>
      <c r="V222" s="259"/>
      <c r="W222" s="286"/>
      <c r="X222" s="286"/>
      <c r="Y222" s="286"/>
    </row>
    <row r="223">
      <c r="A223" s="28"/>
      <c r="B223" s="128"/>
      <c r="C223" s="28"/>
      <c r="D223" s="250" t="str">
        <f>IFERROR(__xludf.DUMMYFUNCTION("""COMPUTED_VALUE"""),"   R")</f>
        <v>R</v>
      </c>
      <c r="E223" s="280" t="str">
        <f>IFERROR(__xludf.DUMMYFUNCTION("""COMPUTED_VALUE"""),"PAUL STAMETS")</f>
        <v>PAUL STAMETS</v>
      </c>
      <c r="F223" s="271" t="str">
        <f>IFERROR(__xludf.DUMMYFUNCTION("""COMPUTED_VALUE"""),"CM")</f>
        <v>CM</v>
      </c>
      <c r="G223" s="281" t="str">
        <f>IFERROR(__xludf.DUMMYFUNCTION("""COMPUTED_VALUE"""),"➖")</f>
        <v>➖</v>
      </c>
      <c r="H223" s="281" t="str">
        <f>IFERROR(__xludf.DUMMYFUNCTION("""COMPUTED_VALUE"""),"➖")</f>
        <v>➖</v>
      </c>
      <c r="I223" s="281" t="str">
        <f>IFERROR(__xludf.DUMMYFUNCTION("""COMPUTED_VALUE"""),"➖")</f>
        <v>➖</v>
      </c>
      <c r="J223" s="281" t="str">
        <f>IFERROR(__xludf.DUMMYFUNCTION("""COMPUTED_VALUE"""),"➖")</f>
        <v>➖</v>
      </c>
      <c r="K223" s="282" t="str">
        <f>IFERROR(__xludf.DUMMYFUNCTION("""COMPUTED_VALUE"""),"➖")</f>
        <v>➖</v>
      </c>
      <c r="L223" s="282" t="str">
        <f>IFERROR(__xludf.DUMMYFUNCTION("""COMPUTED_VALUE"""),"➖")</f>
        <v>➖</v>
      </c>
      <c r="M223" s="282" t="str">
        <f>IFERROR(__xludf.DUMMYFUNCTION("""COMPUTED_VALUE"""),"➖")</f>
        <v>➖</v>
      </c>
      <c r="N223" s="282" t="str">
        <f>IFERROR(__xludf.DUMMYFUNCTION("""COMPUTED_VALUE"""),"➖")</f>
        <v>➖</v>
      </c>
      <c r="O223" s="282" t="str">
        <f>IFERROR(__xludf.DUMMYFUNCTION("""COMPUTED_VALUE"""),"➖")</f>
        <v>➖</v>
      </c>
      <c r="P223" s="282" t="str">
        <f>IFERROR(__xludf.DUMMYFUNCTION("""COMPUTED_VALUE"""),"➖")</f>
        <v>➖</v>
      </c>
      <c r="Q223" s="282" t="str">
        <f>IFERROR(__xludf.DUMMYFUNCTION("""COMPUTED_VALUE"""),"➖")</f>
        <v>➖</v>
      </c>
      <c r="R223" s="283" t="str">
        <f>IFERROR(__xludf.DUMMYFUNCTION("""COMPUTED_VALUE"""),"   ➖")</f>
        <v>➖</v>
      </c>
      <c r="S223" s="284"/>
      <c r="T223" s="285" t="str">
        <f>IFERROR(__xludf.DUMMYFUNCTION("""COMPUTED_VALUE"""),"➖")</f>
        <v>➖</v>
      </c>
      <c r="U223" s="285" t="str">
        <f>IFERROR(__xludf.DUMMYFUNCTION("""COMPUTED_VALUE"""),"✅")</f>
        <v>✅</v>
      </c>
      <c r="V223" s="259"/>
      <c r="W223" s="286"/>
      <c r="X223" s="286"/>
      <c r="Y223" s="286"/>
    </row>
    <row r="224">
      <c r="A224" s="28"/>
      <c r="B224" s="132"/>
      <c r="C224" s="28"/>
      <c r="D224" s="260" t="str">
        <f>IFERROR(__xludf.DUMMYFUNCTION("""COMPUTED_VALUE"""),"   R")</f>
        <v>R</v>
      </c>
      <c r="E224" s="287" t="str">
        <f>IFERROR(__xludf.DUMMYFUNCTION("""COMPUTED_VALUE"""),"PAUL STAMETS")</f>
        <v>PAUL STAMETS</v>
      </c>
      <c r="F224" s="270" t="str">
        <f>IFERROR(__xludf.DUMMYFUNCTION("""COMPUTED_VALUE"""),"OA")</f>
        <v>OA</v>
      </c>
      <c r="G224" s="231" t="str">
        <f>IFERROR(__xludf.DUMMYFUNCTION("""COMPUTED_VALUE"""),"✅")</f>
        <v>✅</v>
      </c>
      <c r="H224" s="231" t="str">
        <f>IFERROR(__xludf.DUMMYFUNCTION("""COMPUTED_VALUE"""),"✅")</f>
        <v>✅</v>
      </c>
      <c r="I224" s="231" t="str">
        <f>IFERROR(__xludf.DUMMYFUNCTION("""COMPUTED_VALUE"""),"➖")</f>
        <v>➖</v>
      </c>
      <c r="J224" s="231" t="str">
        <f>IFERROR(__xludf.DUMMYFUNCTION("""COMPUTED_VALUE"""),"➖")</f>
        <v>➖</v>
      </c>
      <c r="K224" s="288" t="str">
        <f>IFERROR(__xludf.DUMMYFUNCTION("""COMPUTED_VALUE"""),"➖")</f>
        <v>➖</v>
      </c>
      <c r="L224" s="288" t="str">
        <f>IFERROR(__xludf.DUMMYFUNCTION("""COMPUTED_VALUE"""),"➖")</f>
        <v>➖</v>
      </c>
      <c r="M224" s="288" t="str">
        <f>IFERROR(__xludf.DUMMYFUNCTION("""COMPUTED_VALUE"""),"➖")</f>
        <v>➖</v>
      </c>
      <c r="N224" s="288" t="str">
        <f>IFERROR(__xludf.DUMMYFUNCTION("""COMPUTED_VALUE"""),"➖")</f>
        <v>➖</v>
      </c>
      <c r="O224" s="288" t="str">
        <f>IFERROR(__xludf.DUMMYFUNCTION("""COMPUTED_VALUE"""),"➖")</f>
        <v>➖</v>
      </c>
      <c r="P224" s="288" t="str">
        <f>IFERROR(__xludf.DUMMYFUNCTION("""COMPUTED_VALUE"""),"➖")</f>
        <v>➖</v>
      </c>
      <c r="Q224" s="288" t="str">
        <f>IFERROR(__xludf.DUMMYFUNCTION("""COMPUTED_VALUE"""),"➖")</f>
        <v>➖</v>
      </c>
      <c r="R224" s="257" t="str">
        <f>IFERROR(__xludf.DUMMYFUNCTION("""COMPUTED_VALUE"""),"   ➖")</f>
        <v>➖</v>
      </c>
      <c r="S224" s="258"/>
      <c r="T224" s="255" t="str">
        <f>IFERROR(__xludf.DUMMYFUNCTION("""COMPUTED_VALUE"""),"➖")</f>
        <v>➖</v>
      </c>
      <c r="U224" s="255" t="str">
        <f>IFERROR(__xludf.DUMMYFUNCTION("""COMPUTED_VALUE"""),"➖")</f>
        <v>➖</v>
      </c>
      <c r="V224" s="259"/>
      <c r="W224" s="286"/>
      <c r="X224" s="286"/>
      <c r="Y224" s="286"/>
    </row>
    <row r="225">
      <c r="A225" s="28"/>
      <c r="B225" s="128"/>
      <c r="C225" s="28"/>
      <c r="D225" s="250" t="str">
        <f>IFERROR(__xludf.DUMMYFUNCTION("""COMPUTED_VALUE"""),"   E")</f>
        <v>E</v>
      </c>
      <c r="E225" s="280" t="str">
        <f>IFERROR(__xludf.DUMMYFUNCTION("""COMPUTED_VALUE"""),"GEORGIOU")</f>
        <v>GEORGIOU</v>
      </c>
      <c r="F225" s="271" t="str">
        <f>IFERROR(__xludf.DUMMYFUNCTION("""COMPUTED_VALUE"""),"CM")</f>
        <v>CM</v>
      </c>
      <c r="G225" s="281" t="str">
        <f>IFERROR(__xludf.DUMMYFUNCTION("""COMPUTED_VALUE"""),"✴️")</f>
        <v>✴️</v>
      </c>
      <c r="H225" s="281" t="str">
        <f>IFERROR(__xludf.DUMMYFUNCTION("""COMPUTED_VALUE"""),"✴️")</f>
        <v>✴️</v>
      </c>
      <c r="I225" s="281" t="str">
        <f>IFERROR(__xludf.DUMMYFUNCTION("""COMPUTED_VALUE"""),"✴️")</f>
        <v>✴️</v>
      </c>
      <c r="J225" s="281" t="str">
        <f>IFERROR(__xludf.DUMMYFUNCTION("""COMPUTED_VALUE"""),"✴️")</f>
        <v>✴️</v>
      </c>
      <c r="K225" s="282" t="str">
        <f>IFERROR(__xludf.DUMMYFUNCTION("""COMPUTED_VALUE"""),"✴️")</f>
        <v>✴️</v>
      </c>
      <c r="L225" s="282" t="str">
        <f>IFERROR(__xludf.DUMMYFUNCTION("""COMPUTED_VALUE"""),"✴️")</f>
        <v>✴️</v>
      </c>
      <c r="M225" s="282" t="str">
        <f>IFERROR(__xludf.DUMMYFUNCTION("""COMPUTED_VALUE"""),"✴️")</f>
        <v>✴️</v>
      </c>
      <c r="N225" s="282" t="str">
        <f>IFERROR(__xludf.DUMMYFUNCTION("""COMPUTED_VALUE"""),"✴️")</f>
        <v>✴️</v>
      </c>
      <c r="O225" s="282" t="str">
        <f>IFERROR(__xludf.DUMMYFUNCTION("""COMPUTED_VALUE"""),"✴️")</f>
        <v>✴️</v>
      </c>
      <c r="P225" s="282" t="str">
        <f>IFERROR(__xludf.DUMMYFUNCTION("""COMPUTED_VALUE"""),"✴️")</f>
        <v>✴️</v>
      </c>
      <c r="Q225" s="282" t="str">
        <f>IFERROR(__xludf.DUMMYFUNCTION("""COMPUTED_VALUE"""),"✴️")</f>
        <v>✴️</v>
      </c>
      <c r="R225" s="283" t="str">
        <f>IFERROR(__xludf.DUMMYFUNCTION("""COMPUTED_VALUE"""),"   ✴️")</f>
        <v>✴️</v>
      </c>
      <c r="S225" s="284" t="str">
        <f>IFERROR(__xludf.DUMMYFUNCTION("""COMPUTED_VALUE"""),"TargetHasBurning")</f>
        <v>TargetHasBurning</v>
      </c>
      <c r="T225" s="285" t="str">
        <f>IFERROR(__xludf.DUMMYFUNCTION("""COMPUTED_VALUE"""),"➖")</f>
        <v>➖</v>
      </c>
      <c r="U225" s="285" t="str">
        <f>IFERROR(__xludf.DUMMYFUNCTION("""COMPUTED_VALUE"""),"➖")</f>
        <v>➖</v>
      </c>
      <c r="V225" s="259"/>
      <c r="W225" s="286"/>
      <c r="X225" s="286"/>
      <c r="Y225" s="286"/>
    </row>
    <row r="226">
      <c r="A226" s="28"/>
      <c r="B226" s="132"/>
      <c r="C226" s="28"/>
      <c r="D226" s="260" t="str">
        <f>IFERROR(__xludf.DUMMYFUNCTION("""COMPUTED_VALUE"""),"   E")</f>
        <v>E</v>
      </c>
      <c r="E226" s="287" t="str">
        <f>IFERROR(__xludf.DUMMYFUNCTION("""COMPUTED_VALUE"""),"GEORGIOU")</f>
        <v>GEORGIOU</v>
      </c>
      <c r="F226" s="270" t="str">
        <f>IFERROR(__xludf.DUMMYFUNCTION("""COMPUTED_VALUE"""),"OA")</f>
        <v>OA</v>
      </c>
      <c r="G226" s="231" t="str">
        <f>IFERROR(__xludf.DUMMYFUNCTION("""COMPUTED_VALUE"""),"✅")</f>
        <v>✅</v>
      </c>
      <c r="H226" s="231" t="str">
        <f>IFERROR(__xludf.DUMMYFUNCTION("""COMPUTED_VALUE"""),"✅")</f>
        <v>✅</v>
      </c>
      <c r="I226" s="231" t="str">
        <f>IFERROR(__xludf.DUMMYFUNCTION("""COMPUTED_VALUE"""),"✅")</f>
        <v>✅</v>
      </c>
      <c r="J226" s="231" t="str">
        <f>IFERROR(__xludf.DUMMYFUNCTION("""COMPUTED_VALUE"""),"✅")</f>
        <v>✅</v>
      </c>
      <c r="K226" s="288" t="str">
        <f>IFERROR(__xludf.DUMMYFUNCTION("""COMPUTED_VALUE"""),"✅")</f>
        <v>✅</v>
      </c>
      <c r="L226" s="288" t="str">
        <f>IFERROR(__xludf.DUMMYFUNCTION("""COMPUTED_VALUE"""),"✅")</f>
        <v>✅</v>
      </c>
      <c r="M226" s="288" t="str">
        <f>IFERROR(__xludf.DUMMYFUNCTION("""COMPUTED_VALUE"""),"✅")</f>
        <v>✅</v>
      </c>
      <c r="N226" s="288" t="str">
        <f>IFERROR(__xludf.DUMMYFUNCTION("""COMPUTED_VALUE"""),"✅")</f>
        <v>✅</v>
      </c>
      <c r="O226" s="288" t="str">
        <f>IFERROR(__xludf.DUMMYFUNCTION("""COMPUTED_VALUE"""),"✅")</f>
        <v>✅</v>
      </c>
      <c r="P226" s="288" t="str">
        <f>IFERROR(__xludf.DUMMYFUNCTION("""COMPUTED_VALUE"""),"✅")</f>
        <v>✅</v>
      </c>
      <c r="Q226" s="288" t="str">
        <f>IFERROR(__xludf.DUMMYFUNCTION("""COMPUTED_VALUE"""),"✅")</f>
        <v>✅</v>
      </c>
      <c r="R226" s="257" t="str">
        <f>IFERROR(__xludf.DUMMYFUNCTION("""COMPUTED_VALUE"""),"   ✅")</f>
        <v>✅</v>
      </c>
      <c r="S226" s="258"/>
      <c r="T226" s="255" t="str">
        <f>IFERROR(__xludf.DUMMYFUNCTION("""COMPUTED_VALUE"""),"➖")</f>
        <v>➖</v>
      </c>
      <c r="U226" s="255" t="str">
        <f>IFERROR(__xludf.DUMMYFUNCTION("""COMPUTED_VALUE"""),"➖")</f>
        <v>➖</v>
      </c>
      <c r="V226" s="259"/>
      <c r="W226" s="286"/>
      <c r="X226" s="286"/>
      <c r="Y226" s="286"/>
    </row>
    <row r="227">
      <c r="A227" s="28"/>
      <c r="B227" s="128"/>
      <c r="C227" s="28"/>
      <c r="D227" s="250" t="str">
        <f>IFERROR(__xludf.DUMMYFUNCTION("""COMPUTED_VALUE"""),"   U")</f>
        <v>U</v>
      </c>
      <c r="E227" s="280" t="str">
        <f>IFERROR(__xludf.DUMMYFUNCTION("""COMPUTED_VALUE"""),"TILLY")</f>
        <v>TILLY</v>
      </c>
      <c r="F227" s="271" t="str">
        <f>IFERROR(__xludf.DUMMYFUNCTION("""COMPUTED_VALUE"""),"CM")</f>
        <v>CM</v>
      </c>
      <c r="G227" s="281" t="str">
        <f>IFERROR(__xludf.DUMMYFUNCTION("""COMPUTED_VALUE"""),"✅")</f>
        <v>✅</v>
      </c>
      <c r="H227" s="281" t="str">
        <f>IFERROR(__xludf.DUMMYFUNCTION("""COMPUTED_VALUE"""),"✅")</f>
        <v>✅</v>
      </c>
      <c r="I227" s="281" t="str">
        <f>IFERROR(__xludf.DUMMYFUNCTION("""COMPUTED_VALUE"""),"➖")</f>
        <v>➖</v>
      </c>
      <c r="J227" s="281" t="str">
        <f>IFERROR(__xludf.DUMMYFUNCTION("""COMPUTED_VALUE"""),"➖")</f>
        <v>➖</v>
      </c>
      <c r="K227" s="282" t="str">
        <f>IFERROR(__xludf.DUMMYFUNCTION("""COMPUTED_VALUE"""),"➖")</f>
        <v>➖</v>
      </c>
      <c r="L227" s="282" t="str">
        <f>IFERROR(__xludf.DUMMYFUNCTION("""COMPUTED_VALUE"""),"➖")</f>
        <v>➖</v>
      </c>
      <c r="M227" s="282" t="str">
        <f>IFERROR(__xludf.DUMMYFUNCTION("""COMPUTED_VALUE"""),"➖")</f>
        <v>➖</v>
      </c>
      <c r="N227" s="282" t="str">
        <f>IFERROR(__xludf.DUMMYFUNCTION("""COMPUTED_VALUE"""),"➖")</f>
        <v>➖</v>
      </c>
      <c r="O227" s="282" t="str">
        <f>IFERROR(__xludf.DUMMYFUNCTION("""COMPUTED_VALUE"""),"➖")</f>
        <v>➖</v>
      </c>
      <c r="P227" s="282" t="str">
        <f>IFERROR(__xludf.DUMMYFUNCTION("""COMPUTED_VALUE"""),"➖")</f>
        <v>➖</v>
      </c>
      <c r="Q227" s="282" t="str">
        <f>IFERROR(__xludf.DUMMYFUNCTION("""COMPUTED_VALUE"""),"➖")</f>
        <v>➖</v>
      </c>
      <c r="R227" s="283" t="str">
        <f>IFERROR(__xludf.DUMMYFUNCTION("""COMPUTED_VALUE"""),"   ➖")</f>
        <v>➖</v>
      </c>
      <c r="S227" s="284"/>
      <c r="T227" s="285" t="str">
        <f>IFERROR(__xludf.DUMMYFUNCTION("""COMPUTED_VALUE"""),"➖")</f>
        <v>➖</v>
      </c>
      <c r="U227" s="285" t="str">
        <f>IFERROR(__xludf.DUMMYFUNCTION("""COMPUTED_VALUE"""),"➖")</f>
        <v>➖</v>
      </c>
      <c r="V227" s="259"/>
      <c r="W227" s="286"/>
      <c r="X227" s="286"/>
      <c r="Y227" s="286"/>
    </row>
    <row r="228">
      <c r="A228" s="28"/>
      <c r="B228" s="132"/>
      <c r="C228" s="28"/>
      <c r="D228" s="260" t="str">
        <f>IFERROR(__xludf.DUMMYFUNCTION("""COMPUTED_VALUE"""),"   U")</f>
        <v>U</v>
      </c>
      <c r="E228" s="287" t="str">
        <f>IFERROR(__xludf.DUMMYFUNCTION("""COMPUTED_VALUE"""),"TILLY")</f>
        <v>TILLY</v>
      </c>
      <c r="F228" s="270" t="str">
        <f>IFERROR(__xludf.DUMMYFUNCTION("""COMPUTED_VALUE"""),"OA")</f>
        <v>OA</v>
      </c>
      <c r="G228" s="231" t="str">
        <f>IFERROR(__xludf.DUMMYFUNCTION("""COMPUTED_VALUE"""),"✅")</f>
        <v>✅</v>
      </c>
      <c r="H228" s="231" t="str">
        <f>IFERROR(__xludf.DUMMYFUNCTION("""COMPUTED_VALUE"""),"✅")</f>
        <v>✅</v>
      </c>
      <c r="I228" s="231" t="str">
        <f>IFERROR(__xludf.DUMMYFUNCTION("""COMPUTED_VALUE"""),"✅")</f>
        <v>✅</v>
      </c>
      <c r="J228" s="231" t="str">
        <f>IFERROR(__xludf.DUMMYFUNCTION("""COMPUTED_VALUE"""),"✅")</f>
        <v>✅</v>
      </c>
      <c r="K228" s="288" t="str">
        <f>IFERROR(__xludf.DUMMYFUNCTION("""COMPUTED_VALUE"""),"✅")</f>
        <v>✅</v>
      </c>
      <c r="L228" s="288" t="str">
        <f>IFERROR(__xludf.DUMMYFUNCTION("""COMPUTED_VALUE"""),"✅")</f>
        <v>✅</v>
      </c>
      <c r="M228" s="288" t="str">
        <f>IFERROR(__xludf.DUMMYFUNCTION("""COMPUTED_VALUE"""),"✅")</f>
        <v>✅</v>
      </c>
      <c r="N228" s="288" t="str">
        <f>IFERROR(__xludf.DUMMYFUNCTION("""COMPUTED_VALUE"""),"✅")</f>
        <v>✅</v>
      </c>
      <c r="O228" s="288" t="str">
        <f>IFERROR(__xludf.DUMMYFUNCTION("""COMPUTED_VALUE"""),"✅")</f>
        <v>✅</v>
      </c>
      <c r="P228" s="288" t="str">
        <f>IFERROR(__xludf.DUMMYFUNCTION("""COMPUTED_VALUE"""),"✅")</f>
        <v>✅</v>
      </c>
      <c r="Q228" s="288" t="str">
        <f>IFERROR(__xludf.DUMMYFUNCTION("""COMPUTED_VALUE"""),"✅")</f>
        <v>✅</v>
      </c>
      <c r="R228" s="257" t="str">
        <f>IFERROR(__xludf.DUMMYFUNCTION("""COMPUTED_VALUE"""),"   ✅")</f>
        <v>✅</v>
      </c>
      <c r="S228" s="258"/>
      <c r="T228" s="255" t="str">
        <f>IFERROR(__xludf.DUMMYFUNCTION("""COMPUTED_VALUE"""),"➖")</f>
        <v>➖</v>
      </c>
      <c r="U228" s="255" t="str">
        <f>IFERROR(__xludf.DUMMYFUNCTION("""COMPUTED_VALUE"""),"➖")</f>
        <v>➖</v>
      </c>
      <c r="V228" s="259"/>
      <c r="W228" s="286"/>
      <c r="X228" s="286"/>
      <c r="Y228" s="286"/>
    </row>
    <row r="229">
      <c r="A229" s="28"/>
      <c r="B229" s="128"/>
      <c r="C229" s="28"/>
      <c r="D229" s="250" t="str">
        <f>IFERROR(__xludf.DUMMYFUNCTION("""COMPUTED_VALUE"""),"   R")</f>
        <v>R</v>
      </c>
      <c r="E229" s="280" t="str">
        <f>IFERROR(__xludf.DUMMYFUNCTION("""COMPUTED_VALUE"""),"TYLER")</f>
        <v>TYLER</v>
      </c>
      <c r="F229" s="271" t="str">
        <f>IFERROR(__xludf.DUMMYFUNCTION("""COMPUTED_VALUE"""),"CM")</f>
        <v>CM</v>
      </c>
      <c r="G229" s="281" t="str">
        <f>IFERROR(__xludf.DUMMYFUNCTION("""COMPUTED_VALUE"""),"✴️")</f>
        <v>✴️</v>
      </c>
      <c r="H229" s="281" t="str">
        <f>IFERROR(__xludf.DUMMYFUNCTION("""COMPUTED_VALUE"""),"➖")</f>
        <v>➖</v>
      </c>
      <c r="I229" s="281" t="str">
        <f>IFERROR(__xludf.DUMMYFUNCTION("""COMPUTED_VALUE"""),"➖")</f>
        <v>➖</v>
      </c>
      <c r="J229" s="281" t="str">
        <f>IFERROR(__xludf.DUMMYFUNCTION("""COMPUTED_VALUE"""),"➖")</f>
        <v>➖</v>
      </c>
      <c r="K229" s="282" t="str">
        <f>IFERROR(__xludf.DUMMYFUNCTION("""COMPUTED_VALUE"""),"➖")</f>
        <v>➖</v>
      </c>
      <c r="L229" s="282" t="str">
        <f>IFERROR(__xludf.DUMMYFUNCTION("""COMPUTED_VALUE"""),"➖")</f>
        <v>➖</v>
      </c>
      <c r="M229" s="282" t="str">
        <f>IFERROR(__xludf.DUMMYFUNCTION("""COMPUTED_VALUE"""),"➖")</f>
        <v>➖</v>
      </c>
      <c r="N229" s="282" t="str">
        <f>IFERROR(__xludf.DUMMYFUNCTION("""COMPUTED_VALUE"""),"➖")</f>
        <v>➖</v>
      </c>
      <c r="O229" s="282" t="str">
        <f>IFERROR(__xludf.DUMMYFUNCTION("""COMPUTED_VALUE"""),"➖")</f>
        <v>➖</v>
      </c>
      <c r="P229" s="282" t="str">
        <f>IFERROR(__xludf.DUMMYFUNCTION("""COMPUTED_VALUE"""),"➖")</f>
        <v>➖</v>
      </c>
      <c r="Q229" s="282" t="str">
        <f>IFERROR(__xludf.DUMMYFUNCTION("""COMPUTED_VALUE"""),"➖")</f>
        <v>➖</v>
      </c>
      <c r="R229" s="283" t="str">
        <f>IFERROR(__xludf.DUMMYFUNCTION("""COMPUTED_VALUE"""),"   ➖")</f>
        <v>➖</v>
      </c>
      <c r="S229" s="284" t="str">
        <f>IFERROR(__xludf.DUMMYFUNCTION("""COMPUTED_VALUE"""),"docked on a node, on a Capture Node")</f>
        <v>docked on a node, on a Capture Node</v>
      </c>
      <c r="T229" s="285" t="str">
        <f>IFERROR(__xludf.DUMMYFUNCTION("""COMPUTED_VALUE"""),"➖")</f>
        <v>➖</v>
      </c>
      <c r="U229" s="285" t="str">
        <f>IFERROR(__xludf.DUMMYFUNCTION("""COMPUTED_VALUE"""),"➖")</f>
        <v>➖</v>
      </c>
      <c r="V229" s="259"/>
      <c r="W229" s="286"/>
      <c r="X229" s="286"/>
      <c r="Y229" s="286"/>
    </row>
    <row r="230">
      <c r="A230" s="28"/>
      <c r="B230" s="132"/>
      <c r="C230" s="28"/>
      <c r="D230" s="260" t="str">
        <f>IFERROR(__xludf.DUMMYFUNCTION("""COMPUTED_VALUE"""),"   R")</f>
        <v>R</v>
      </c>
      <c r="E230" s="287" t="str">
        <f>IFERROR(__xludf.DUMMYFUNCTION("""COMPUTED_VALUE"""),"TYLER")</f>
        <v>TYLER</v>
      </c>
      <c r="F230" s="270" t="str">
        <f>IFERROR(__xludf.DUMMYFUNCTION("""COMPUTED_VALUE"""),"OA")</f>
        <v>OA</v>
      </c>
      <c r="G230" s="231" t="str">
        <f>IFERROR(__xludf.DUMMYFUNCTION("""COMPUTED_VALUE"""),"✴️")</f>
        <v>✴️</v>
      </c>
      <c r="H230" s="231" t="str">
        <f>IFERROR(__xludf.DUMMYFUNCTION("""COMPUTED_VALUE"""),"✴️")</f>
        <v>✴️</v>
      </c>
      <c r="I230" s="231" t="str">
        <f>IFERROR(__xludf.DUMMYFUNCTION("""COMPUTED_VALUE"""),"✴️")</f>
        <v>✴️</v>
      </c>
      <c r="J230" s="231" t="str">
        <f>IFERROR(__xludf.DUMMYFUNCTION("""COMPUTED_VALUE"""),"✴️")</f>
        <v>✴️</v>
      </c>
      <c r="K230" s="288" t="str">
        <f>IFERROR(__xludf.DUMMYFUNCTION("""COMPUTED_VALUE"""),"✴️")</f>
        <v>✴️</v>
      </c>
      <c r="L230" s="288" t="str">
        <f>IFERROR(__xludf.DUMMYFUNCTION("""COMPUTED_VALUE"""),"✴️")</f>
        <v>✴️</v>
      </c>
      <c r="M230" s="288" t="str">
        <f>IFERROR(__xludf.DUMMYFUNCTION("""COMPUTED_VALUE"""),"✴️")</f>
        <v>✴️</v>
      </c>
      <c r="N230" s="288" t="str">
        <f>IFERROR(__xludf.DUMMYFUNCTION("""COMPUTED_VALUE"""),"✴️")</f>
        <v>✴️</v>
      </c>
      <c r="O230" s="288" t="str">
        <f>IFERROR(__xludf.DUMMYFUNCTION("""COMPUTED_VALUE"""),"✴️")</f>
        <v>✴️</v>
      </c>
      <c r="P230" s="288" t="str">
        <f>IFERROR(__xludf.DUMMYFUNCTION("""COMPUTED_VALUE"""),"✴️")</f>
        <v>✴️</v>
      </c>
      <c r="Q230" s="288" t="str">
        <f>IFERROR(__xludf.DUMMYFUNCTION("""COMPUTED_VALUE"""),"✴️")</f>
        <v>✴️</v>
      </c>
      <c r="R230" s="257" t="str">
        <f>IFERROR(__xludf.DUMMYFUNCTION("""COMPUTED_VALUE"""),"   ✴️")</f>
        <v>✴️</v>
      </c>
      <c r="S230" s="258" t="str">
        <f>IFERROR(__xludf.DUMMYFUNCTION("""COMPUTED_VALUE"""),"TargetHasBurning")</f>
        <v>TargetHasBurning</v>
      </c>
      <c r="T230" s="255" t="str">
        <f>IFERROR(__xludf.DUMMYFUNCTION("""COMPUTED_VALUE"""),"➖")</f>
        <v>➖</v>
      </c>
      <c r="U230" s="255" t="str">
        <f>IFERROR(__xludf.DUMMYFUNCTION("""COMPUTED_VALUE"""),"➖")</f>
        <v>➖</v>
      </c>
      <c r="V230" s="259"/>
      <c r="W230" s="286"/>
      <c r="X230" s="286"/>
      <c r="Y230" s="286"/>
    </row>
    <row r="231">
      <c r="A231" s="28"/>
      <c r="B231" s="128"/>
      <c r="C231" s="28"/>
      <c r="D231" s="250" t="str">
        <f>IFERROR(__xludf.DUMMYFUNCTION("""COMPUTED_VALUE"""),"   U")</f>
        <v>U</v>
      </c>
      <c r="E231" s="280" t="str">
        <f>IFERROR(__xludf.DUMMYFUNCTION("""COMPUTED_VALUE"""),"CULBER")</f>
        <v>CULBER</v>
      </c>
      <c r="F231" s="271" t="str">
        <f>IFERROR(__xludf.DUMMYFUNCTION("""COMPUTED_VALUE"""),"CM")</f>
        <v>CM</v>
      </c>
      <c r="G231" s="281" t="str">
        <f>IFERROR(__xludf.DUMMYFUNCTION("""COMPUTED_VALUE"""),"✴️")</f>
        <v>✴️</v>
      </c>
      <c r="H231" s="281" t="str">
        <f>IFERROR(__xludf.DUMMYFUNCTION("""COMPUTED_VALUE"""),"➖")</f>
        <v>➖</v>
      </c>
      <c r="I231" s="281" t="str">
        <f>IFERROR(__xludf.DUMMYFUNCTION("""COMPUTED_VALUE"""),"➖")</f>
        <v>➖</v>
      </c>
      <c r="J231" s="281" t="str">
        <f>IFERROR(__xludf.DUMMYFUNCTION("""COMPUTED_VALUE"""),"➖")</f>
        <v>➖</v>
      </c>
      <c r="K231" s="282" t="str">
        <f>IFERROR(__xludf.DUMMYFUNCTION("""COMPUTED_VALUE"""),"➖")</f>
        <v>➖</v>
      </c>
      <c r="L231" s="282" t="str">
        <f>IFERROR(__xludf.DUMMYFUNCTION("""COMPUTED_VALUE"""),"➖")</f>
        <v>➖</v>
      </c>
      <c r="M231" s="282" t="str">
        <f>IFERROR(__xludf.DUMMYFUNCTION("""COMPUTED_VALUE"""),"➖")</f>
        <v>➖</v>
      </c>
      <c r="N231" s="282" t="str">
        <f>IFERROR(__xludf.DUMMYFUNCTION("""COMPUTED_VALUE"""),"➖")</f>
        <v>➖</v>
      </c>
      <c r="O231" s="282" t="str">
        <f>IFERROR(__xludf.DUMMYFUNCTION("""COMPUTED_VALUE"""),"➖")</f>
        <v>➖</v>
      </c>
      <c r="P231" s="282" t="str">
        <f>IFERROR(__xludf.DUMMYFUNCTION("""COMPUTED_VALUE"""),"➖")</f>
        <v>➖</v>
      </c>
      <c r="Q231" s="282" t="str">
        <f>IFERROR(__xludf.DUMMYFUNCTION("""COMPUTED_VALUE"""),"➖")</f>
        <v>➖</v>
      </c>
      <c r="R231" s="283" t="str">
        <f>IFERROR(__xludf.DUMMYFUNCTION("""COMPUTED_VALUE"""),"   ➖")</f>
        <v>➖</v>
      </c>
      <c r="S231" s="284" t="str">
        <f>IFERROR(__xludf.DUMMYFUNCTION("""COMPUTED_VALUE"""),"docked on a node, on a Capture Node")</f>
        <v>docked on a node, on a Capture Node</v>
      </c>
      <c r="T231" s="285" t="str">
        <f>IFERROR(__xludf.DUMMYFUNCTION("""COMPUTED_VALUE"""),"➖")</f>
        <v>➖</v>
      </c>
      <c r="U231" s="285" t="str">
        <f>IFERROR(__xludf.DUMMYFUNCTION("""COMPUTED_VALUE"""),"➖")</f>
        <v>➖</v>
      </c>
      <c r="V231" s="259"/>
      <c r="W231" s="286"/>
      <c r="X231" s="286"/>
      <c r="Y231" s="286"/>
    </row>
    <row r="232">
      <c r="A232" s="28"/>
      <c r="B232" s="132"/>
      <c r="C232" s="28"/>
      <c r="D232" s="260" t="str">
        <f>IFERROR(__xludf.DUMMYFUNCTION("""COMPUTED_VALUE"""),"   U")</f>
        <v>U</v>
      </c>
      <c r="E232" s="287" t="str">
        <f>IFERROR(__xludf.DUMMYFUNCTION("""COMPUTED_VALUE"""),"CULBER")</f>
        <v>CULBER</v>
      </c>
      <c r="F232" s="270" t="str">
        <f>IFERROR(__xludf.DUMMYFUNCTION("""COMPUTED_VALUE"""),"OA")</f>
        <v>OA</v>
      </c>
      <c r="G232" s="231" t="str">
        <f>IFERROR(__xludf.DUMMYFUNCTION("""COMPUTED_VALUE"""),"➖")</f>
        <v>➖</v>
      </c>
      <c r="H232" s="231" t="str">
        <f>IFERROR(__xludf.DUMMYFUNCTION("""COMPUTED_VALUE"""),"➖")</f>
        <v>➖</v>
      </c>
      <c r="I232" s="231" t="str">
        <f>IFERROR(__xludf.DUMMYFUNCTION("""COMPUTED_VALUE"""),"➖")</f>
        <v>➖</v>
      </c>
      <c r="J232" s="231" t="str">
        <f>IFERROR(__xludf.DUMMYFUNCTION("""COMPUTED_VALUE"""),"➖")</f>
        <v>➖</v>
      </c>
      <c r="K232" s="288" t="str">
        <f>IFERROR(__xludf.DUMMYFUNCTION("""COMPUTED_VALUE"""),"➖")</f>
        <v>➖</v>
      </c>
      <c r="L232" s="288" t="str">
        <f>IFERROR(__xludf.DUMMYFUNCTION("""COMPUTED_VALUE"""),"➖")</f>
        <v>➖</v>
      </c>
      <c r="M232" s="288" t="str">
        <f>IFERROR(__xludf.DUMMYFUNCTION("""COMPUTED_VALUE"""),"➖")</f>
        <v>➖</v>
      </c>
      <c r="N232" s="288" t="str">
        <f>IFERROR(__xludf.DUMMYFUNCTION("""COMPUTED_VALUE"""),"➖")</f>
        <v>➖</v>
      </c>
      <c r="O232" s="288" t="str">
        <f>IFERROR(__xludf.DUMMYFUNCTION("""COMPUTED_VALUE"""),"➖")</f>
        <v>➖</v>
      </c>
      <c r="P232" s="288" t="str">
        <f>IFERROR(__xludf.DUMMYFUNCTION("""COMPUTED_VALUE"""),"➖")</f>
        <v>➖</v>
      </c>
      <c r="Q232" s="288" t="str">
        <f>IFERROR(__xludf.DUMMYFUNCTION("""COMPUTED_VALUE"""),"➖")</f>
        <v>➖</v>
      </c>
      <c r="R232" s="257" t="str">
        <f>IFERROR(__xludf.DUMMYFUNCTION("""COMPUTED_VALUE"""),"   ➖")</f>
        <v>➖</v>
      </c>
      <c r="S232" s="258"/>
      <c r="T232" s="255" t="str">
        <f>IFERROR(__xludf.DUMMYFUNCTION("""COMPUTED_VALUE"""),"➖")</f>
        <v>➖</v>
      </c>
      <c r="U232" s="255" t="str">
        <f>IFERROR(__xludf.DUMMYFUNCTION("""COMPUTED_VALUE"""),"✅")</f>
        <v>✅</v>
      </c>
      <c r="V232" s="259"/>
      <c r="W232" s="286"/>
      <c r="X232" s="286"/>
      <c r="Y232" s="286"/>
    </row>
    <row r="233">
      <c r="A233" s="28"/>
      <c r="B233" s="128"/>
      <c r="C233" s="28"/>
      <c r="D233" s="250" t="str">
        <f>IFERROR(__xludf.DUMMYFUNCTION("""COMPUTED_VALUE"""),"   U")</f>
        <v>U</v>
      </c>
      <c r="E233" s="280" t="str">
        <f>IFERROR(__xludf.DUMMYFUNCTION("""COMPUTED_VALUE"""),"AIRIAM")</f>
        <v>AIRIAM</v>
      </c>
      <c r="F233" s="271" t="str">
        <f>IFERROR(__xludf.DUMMYFUNCTION("""COMPUTED_VALUE"""),"CM")</f>
        <v>CM</v>
      </c>
      <c r="G233" s="281" t="str">
        <f>IFERROR(__xludf.DUMMYFUNCTION("""COMPUTED_VALUE"""),"➖")</f>
        <v>➖</v>
      </c>
      <c r="H233" s="281" t="str">
        <f>IFERROR(__xludf.DUMMYFUNCTION("""COMPUTED_VALUE"""),"➖")</f>
        <v>➖</v>
      </c>
      <c r="I233" s="281" t="str">
        <f>IFERROR(__xludf.DUMMYFUNCTION("""COMPUTED_VALUE"""),"➖")</f>
        <v>➖</v>
      </c>
      <c r="J233" s="281" t="str">
        <f>IFERROR(__xludf.DUMMYFUNCTION("""COMPUTED_VALUE"""),"➖")</f>
        <v>➖</v>
      </c>
      <c r="K233" s="282" t="str">
        <f>IFERROR(__xludf.DUMMYFUNCTION("""COMPUTED_VALUE"""),"➖")</f>
        <v>➖</v>
      </c>
      <c r="L233" s="282" t="str">
        <f>IFERROR(__xludf.DUMMYFUNCTION("""COMPUTED_VALUE"""),"➖")</f>
        <v>➖</v>
      </c>
      <c r="M233" s="282" t="str">
        <f>IFERROR(__xludf.DUMMYFUNCTION("""COMPUTED_VALUE"""),"➖")</f>
        <v>➖</v>
      </c>
      <c r="N233" s="282" t="str">
        <f>IFERROR(__xludf.DUMMYFUNCTION("""COMPUTED_VALUE"""),"➖")</f>
        <v>➖</v>
      </c>
      <c r="O233" s="282" t="str">
        <f>IFERROR(__xludf.DUMMYFUNCTION("""COMPUTED_VALUE"""),"➖")</f>
        <v>➖</v>
      </c>
      <c r="P233" s="282" t="str">
        <f>IFERROR(__xludf.DUMMYFUNCTION("""COMPUTED_VALUE"""),"➖")</f>
        <v>➖</v>
      </c>
      <c r="Q233" s="282" t="str">
        <f>IFERROR(__xludf.DUMMYFUNCTION("""COMPUTED_VALUE"""),"➖")</f>
        <v>➖</v>
      </c>
      <c r="R233" s="283" t="str">
        <f>IFERROR(__xludf.DUMMYFUNCTION("""COMPUTED_VALUE"""),"   ➖")</f>
        <v>➖</v>
      </c>
      <c r="S233" s="284"/>
      <c r="T233" s="285" t="str">
        <f>IFERROR(__xludf.DUMMYFUNCTION("""COMPUTED_VALUE"""),"➖")</f>
        <v>➖</v>
      </c>
      <c r="U233" s="285" t="str">
        <f>IFERROR(__xludf.DUMMYFUNCTION("""COMPUTED_VALUE"""),"✅")</f>
        <v>✅</v>
      </c>
      <c r="V233" s="259"/>
      <c r="W233" s="286"/>
      <c r="X233" s="286"/>
      <c r="Y233" s="286"/>
    </row>
    <row r="234">
      <c r="A234" s="28"/>
      <c r="B234" s="132"/>
      <c r="C234" s="28"/>
      <c r="D234" s="260" t="str">
        <f>IFERROR(__xludf.DUMMYFUNCTION("""COMPUTED_VALUE"""),"   U")</f>
        <v>U</v>
      </c>
      <c r="E234" s="287" t="str">
        <f>IFERROR(__xludf.DUMMYFUNCTION("""COMPUTED_VALUE"""),"AIRIAM")</f>
        <v>AIRIAM</v>
      </c>
      <c r="F234" s="270" t="str">
        <f>IFERROR(__xludf.DUMMYFUNCTION("""COMPUTED_VALUE"""),"OA")</f>
        <v>OA</v>
      </c>
      <c r="G234" s="231" t="str">
        <f>IFERROR(__xludf.DUMMYFUNCTION("""COMPUTED_VALUE"""),"✴️")</f>
        <v>✴️</v>
      </c>
      <c r="H234" s="231" t="str">
        <f>IFERROR(__xludf.DUMMYFUNCTION("""COMPUTED_VALUE"""),"➖")</f>
        <v>➖</v>
      </c>
      <c r="I234" s="231" t="str">
        <f>IFERROR(__xludf.DUMMYFUNCTION("""COMPUTED_VALUE"""),"➖")</f>
        <v>➖</v>
      </c>
      <c r="J234" s="231" t="str">
        <f>IFERROR(__xludf.DUMMYFUNCTION("""COMPUTED_VALUE"""),"➖")</f>
        <v>➖</v>
      </c>
      <c r="K234" s="288" t="str">
        <f>IFERROR(__xludf.DUMMYFUNCTION("""COMPUTED_VALUE"""),"➖")</f>
        <v>➖</v>
      </c>
      <c r="L234" s="288" t="str">
        <f>IFERROR(__xludf.DUMMYFUNCTION("""COMPUTED_VALUE"""),"➖")</f>
        <v>➖</v>
      </c>
      <c r="M234" s="288" t="str">
        <f>IFERROR(__xludf.DUMMYFUNCTION("""COMPUTED_VALUE"""),"➖")</f>
        <v>➖</v>
      </c>
      <c r="N234" s="288" t="str">
        <f>IFERROR(__xludf.DUMMYFUNCTION("""COMPUTED_VALUE"""),"➖")</f>
        <v>➖</v>
      </c>
      <c r="O234" s="288" t="str">
        <f>IFERROR(__xludf.DUMMYFUNCTION("""COMPUTED_VALUE"""),"➖")</f>
        <v>➖</v>
      </c>
      <c r="P234" s="288" t="str">
        <f>IFERROR(__xludf.DUMMYFUNCTION("""COMPUTED_VALUE"""),"➖")</f>
        <v>➖</v>
      </c>
      <c r="Q234" s="288" t="str">
        <f>IFERROR(__xludf.DUMMYFUNCTION("""COMPUTED_VALUE"""),"➖")</f>
        <v>➖</v>
      </c>
      <c r="R234" s="257" t="str">
        <f>IFERROR(__xludf.DUMMYFUNCTION("""COMPUTED_VALUE"""),"   ➖")</f>
        <v>➖</v>
      </c>
      <c r="S234" s="258" t="str">
        <f>IFERROR(__xludf.DUMMYFUNCTION("""COMPUTED_VALUE"""),"docked on a node, on a Capture Node")</f>
        <v>docked on a node, on a Capture Node</v>
      </c>
      <c r="T234" s="255" t="str">
        <f>IFERROR(__xludf.DUMMYFUNCTION("""COMPUTED_VALUE"""),"➖")</f>
        <v>➖</v>
      </c>
      <c r="U234" s="255" t="str">
        <f>IFERROR(__xludf.DUMMYFUNCTION("""COMPUTED_VALUE"""),"➖")</f>
        <v>➖</v>
      </c>
      <c r="V234" s="259"/>
      <c r="W234" s="286"/>
      <c r="X234" s="286"/>
      <c r="Y234" s="286"/>
    </row>
    <row r="235">
      <c r="A235" s="28"/>
      <c r="B235" s="128"/>
      <c r="C235" s="28"/>
      <c r="D235" s="250" t="str">
        <f>IFERROR(__xludf.DUMMYFUNCTION("""COMPUTED_VALUE"""),"   R")</f>
        <v>R</v>
      </c>
      <c r="E235" s="280" t="str">
        <f>IFERROR(__xludf.DUMMYFUNCTION("""COMPUTED_VALUE"""),"EMP. GEORGIOU")</f>
        <v>EMP. GEORGIOU</v>
      </c>
      <c r="F235" s="271" t="str">
        <f>IFERROR(__xludf.DUMMYFUNCTION("""COMPUTED_VALUE"""),"CM")</f>
        <v>CM</v>
      </c>
      <c r="G235" s="281" t="str">
        <f>IFERROR(__xludf.DUMMYFUNCTION("""COMPUTED_VALUE"""),"✴️")</f>
        <v>✴️</v>
      </c>
      <c r="H235" s="281" t="str">
        <f>IFERROR(__xludf.DUMMYFUNCTION("""COMPUTED_VALUE"""),"➖")</f>
        <v>➖</v>
      </c>
      <c r="I235" s="281" t="str">
        <f>IFERROR(__xludf.DUMMYFUNCTION("""COMPUTED_VALUE"""),"➖")</f>
        <v>➖</v>
      </c>
      <c r="J235" s="281" t="str">
        <f>IFERROR(__xludf.DUMMYFUNCTION("""COMPUTED_VALUE"""),"➖")</f>
        <v>➖</v>
      </c>
      <c r="K235" s="282" t="str">
        <f>IFERROR(__xludf.DUMMYFUNCTION("""COMPUTED_VALUE"""),"➖")</f>
        <v>➖</v>
      </c>
      <c r="L235" s="282" t="str">
        <f>IFERROR(__xludf.DUMMYFUNCTION("""COMPUTED_VALUE"""),"➖")</f>
        <v>➖</v>
      </c>
      <c r="M235" s="282" t="str">
        <f>IFERROR(__xludf.DUMMYFUNCTION("""COMPUTED_VALUE"""),"➖")</f>
        <v>➖</v>
      </c>
      <c r="N235" s="282" t="str">
        <f>IFERROR(__xludf.DUMMYFUNCTION("""COMPUTED_VALUE"""),"➖")</f>
        <v>➖</v>
      </c>
      <c r="O235" s="282" t="str">
        <f>IFERROR(__xludf.DUMMYFUNCTION("""COMPUTED_VALUE"""),"➖")</f>
        <v>➖</v>
      </c>
      <c r="P235" s="282" t="str">
        <f>IFERROR(__xludf.DUMMYFUNCTION("""COMPUTED_VALUE"""),"➖")</f>
        <v>➖</v>
      </c>
      <c r="Q235" s="282" t="str">
        <f>IFERROR(__xludf.DUMMYFUNCTION("""COMPUTED_VALUE"""),"➖")</f>
        <v>➖</v>
      </c>
      <c r="R235" s="283" t="str">
        <f>IFERROR(__xludf.DUMMYFUNCTION("""COMPUTED_VALUE"""),"   ➖")</f>
        <v>➖</v>
      </c>
      <c r="S235" s="284" t="str">
        <f>IFERROR(__xludf.DUMMYFUNCTION("""COMPUTED_VALUE"""),"during Takeover")</f>
        <v>during Takeover</v>
      </c>
      <c r="T235" s="285" t="str">
        <f>IFERROR(__xludf.DUMMYFUNCTION("""COMPUTED_VALUE"""),"➖")</f>
        <v>➖</v>
      </c>
      <c r="U235" s="285" t="str">
        <f>IFERROR(__xludf.DUMMYFUNCTION("""COMPUTED_VALUE"""),"➖")</f>
        <v>➖</v>
      </c>
      <c r="V235" s="259"/>
      <c r="W235" s="286"/>
      <c r="X235" s="286"/>
      <c r="Y235" s="286"/>
    </row>
    <row r="236">
      <c r="A236" s="28"/>
      <c r="B236" s="132"/>
      <c r="C236" s="28"/>
      <c r="D236" s="260" t="str">
        <f>IFERROR(__xludf.DUMMYFUNCTION("""COMPUTED_VALUE"""),"   R")</f>
        <v>R</v>
      </c>
      <c r="E236" s="287" t="str">
        <f>IFERROR(__xludf.DUMMYFUNCTION("""COMPUTED_VALUE"""),"EMP. GEORGIOU")</f>
        <v>EMP. GEORGIOU</v>
      </c>
      <c r="F236" s="270" t="str">
        <f>IFERROR(__xludf.DUMMYFUNCTION("""COMPUTED_VALUE"""),"OA")</f>
        <v>OA</v>
      </c>
      <c r="G236" s="231" t="str">
        <f>IFERROR(__xludf.DUMMYFUNCTION("""COMPUTED_VALUE"""),"✴️")</f>
        <v>✴️</v>
      </c>
      <c r="H236" s="231" t="str">
        <f>IFERROR(__xludf.DUMMYFUNCTION("""COMPUTED_VALUE"""),"➖")</f>
        <v>➖</v>
      </c>
      <c r="I236" s="231" t="str">
        <f>IFERROR(__xludf.DUMMYFUNCTION("""COMPUTED_VALUE"""),"➖")</f>
        <v>➖</v>
      </c>
      <c r="J236" s="231" t="str">
        <f>IFERROR(__xludf.DUMMYFUNCTION("""COMPUTED_VALUE"""),"➖")</f>
        <v>➖</v>
      </c>
      <c r="K236" s="288" t="str">
        <f>IFERROR(__xludf.DUMMYFUNCTION("""COMPUTED_VALUE"""),"➖")</f>
        <v>➖</v>
      </c>
      <c r="L236" s="288" t="str">
        <f>IFERROR(__xludf.DUMMYFUNCTION("""COMPUTED_VALUE"""),"➖")</f>
        <v>➖</v>
      </c>
      <c r="M236" s="288" t="str">
        <f>IFERROR(__xludf.DUMMYFUNCTION("""COMPUTED_VALUE"""),"➖")</f>
        <v>➖</v>
      </c>
      <c r="N236" s="288" t="str">
        <f>IFERROR(__xludf.DUMMYFUNCTION("""COMPUTED_VALUE"""),"➖")</f>
        <v>➖</v>
      </c>
      <c r="O236" s="288" t="str">
        <f>IFERROR(__xludf.DUMMYFUNCTION("""COMPUTED_VALUE"""),"➖")</f>
        <v>➖</v>
      </c>
      <c r="P236" s="288" t="str">
        <f>IFERROR(__xludf.DUMMYFUNCTION("""COMPUTED_VALUE"""),"➖")</f>
        <v>➖</v>
      </c>
      <c r="Q236" s="288" t="str">
        <f>IFERROR(__xludf.DUMMYFUNCTION("""COMPUTED_VALUE"""),"➖")</f>
        <v>➖</v>
      </c>
      <c r="R236" s="257" t="str">
        <f>IFERROR(__xludf.DUMMYFUNCTION("""COMPUTED_VALUE"""),"   ➖")</f>
        <v>➖</v>
      </c>
      <c r="S236" s="258" t="str">
        <f>IFERROR(__xludf.DUMMYFUNCTION("""COMPUTED_VALUE"""),"docked on a node, on a Capture Node")</f>
        <v>docked on a node, on a Capture Node</v>
      </c>
      <c r="T236" s="255" t="str">
        <f>IFERROR(__xludf.DUMMYFUNCTION("""COMPUTED_VALUE"""),"➖")</f>
        <v>➖</v>
      </c>
      <c r="U236" s="255" t="str">
        <f>IFERROR(__xludf.DUMMYFUNCTION("""COMPUTED_VALUE"""),"➖")</f>
        <v>➖</v>
      </c>
      <c r="V236" s="259"/>
      <c r="W236" s="286"/>
      <c r="X236" s="286"/>
      <c r="Y236" s="286"/>
    </row>
    <row r="237">
      <c r="A237" s="28"/>
      <c r="B237" s="128"/>
      <c r="C237" s="28"/>
      <c r="D237" s="250" t="str">
        <f>IFERROR(__xludf.DUMMYFUNCTION("""COMPUTED_VALUE"""),"   R")</f>
        <v>R</v>
      </c>
      <c r="E237" s="280" t="str">
        <f>IFERROR(__xludf.DUMMYFUNCTION("""COMPUTED_VALUE"""),"CAP. TILLY")</f>
        <v>CAP. TILLY</v>
      </c>
      <c r="F237" s="271" t="str">
        <f>IFERROR(__xludf.DUMMYFUNCTION("""COMPUTED_VALUE"""),"CM")</f>
        <v>CM</v>
      </c>
      <c r="G237" s="281" t="str">
        <f>IFERROR(__xludf.DUMMYFUNCTION("""COMPUTED_VALUE"""),"✴️")</f>
        <v>✴️</v>
      </c>
      <c r="H237" s="281" t="str">
        <f>IFERROR(__xludf.DUMMYFUNCTION("""COMPUTED_VALUE"""),"➖")</f>
        <v>➖</v>
      </c>
      <c r="I237" s="281" t="str">
        <f>IFERROR(__xludf.DUMMYFUNCTION("""COMPUTED_VALUE"""),"➖")</f>
        <v>➖</v>
      </c>
      <c r="J237" s="281" t="str">
        <f>IFERROR(__xludf.DUMMYFUNCTION("""COMPUTED_VALUE"""),"➖")</f>
        <v>➖</v>
      </c>
      <c r="K237" s="282" t="str">
        <f>IFERROR(__xludf.DUMMYFUNCTION("""COMPUTED_VALUE"""),"➖")</f>
        <v>➖</v>
      </c>
      <c r="L237" s="282" t="str">
        <f>IFERROR(__xludf.DUMMYFUNCTION("""COMPUTED_VALUE"""),"➖")</f>
        <v>➖</v>
      </c>
      <c r="M237" s="282" t="str">
        <f>IFERROR(__xludf.DUMMYFUNCTION("""COMPUTED_VALUE"""),"➖")</f>
        <v>➖</v>
      </c>
      <c r="N237" s="282" t="str">
        <f>IFERROR(__xludf.DUMMYFUNCTION("""COMPUTED_VALUE"""),"➖")</f>
        <v>➖</v>
      </c>
      <c r="O237" s="282" t="str">
        <f>IFERROR(__xludf.DUMMYFUNCTION("""COMPUTED_VALUE"""),"➖")</f>
        <v>➖</v>
      </c>
      <c r="P237" s="282" t="str">
        <f>IFERROR(__xludf.DUMMYFUNCTION("""COMPUTED_VALUE"""),"➖")</f>
        <v>➖</v>
      </c>
      <c r="Q237" s="282" t="str">
        <f>IFERROR(__xludf.DUMMYFUNCTION("""COMPUTED_VALUE"""),"➖")</f>
        <v>➖</v>
      </c>
      <c r="R237" s="283" t="str">
        <f>IFERROR(__xludf.DUMMYFUNCTION("""COMPUTED_VALUE"""),"   ➖")</f>
        <v>➖</v>
      </c>
      <c r="S237" s="284" t="str">
        <f>IFERROR(__xludf.DUMMYFUNCTION("""COMPUTED_VALUE"""),"CombatBattleType, CombatGameContext, TargetHasHullBreach")</f>
        <v>CombatBattleType, CombatGameContext, TargetHasHullBreach</v>
      </c>
      <c r="T237" s="285" t="str">
        <f>IFERROR(__xludf.DUMMYFUNCTION("""COMPUTED_VALUE"""),"➖")</f>
        <v>➖</v>
      </c>
      <c r="U237" s="285" t="str">
        <f>IFERROR(__xludf.DUMMYFUNCTION("""COMPUTED_VALUE"""),"➖")</f>
        <v>➖</v>
      </c>
      <c r="V237" s="259"/>
      <c r="W237" s="286"/>
      <c r="X237" s="286"/>
      <c r="Y237" s="286"/>
    </row>
    <row r="238">
      <c r="A238" s="28"/>
      <c r="B238" s="132"/>
      <c r="C238" s="28"/>
      <c r="D238" s="260" t="str">
        <f>IFERROR(__xludf.DUMMYFUNCTION("""COMPUTED_VALUE"""),"   R")</f>
        <v>R</v>
      </c>
      <c r="E238" s="287" t="str">
        <f>IFERROR(__xludf.DUMMYFUNCTION("""COMPUTED_VALUE"""),"CAP. TILLY")</f>
        <v>CAP. TILLY</v>
      </c>
      <c r="F238" s="270" t="str">
        <f>IFERROR(__xludf.DUMMYFUNCTION("""COMPUTED_VALUE"""),"OA")</f>
        <v>OA</v>
      </c>
      <c r="G238" s="231" t="str">
        <f>IFERROR(__xludf.DUMMYFUNCTION("""COMPUTED_VALUE"""),"✴️")</f>
        <v>✴️</v>
      </c>
      <c r="H238" s="231" t="str">
        <f>IFERROR(__xludf.DUMMYFUNCTION("""COMPUTED_VALUE"""),"✴️")</f>
        <v>✴️</v>
      </c>
      <c r="I238" s="231" t="str">
        <f>IFERROR(__xludf.DUMMYFUNCTION("""COMPUTED_VALUE"""),"✴️")</f>
        <v>✴️</v>
      </c>
      <c r="J238" s="231" t="str">
        <f>IFERROR(__xludf.DUMMYFUNCTION("""COMPUTED_VALUE"""),"✴️")</f>
        <v>✴️</v>
      </c>
      <c r="K238" s="288" t="str">
        <f>IFERROR(__xludf.DUMMYFUNCTION("""COMPUTED_VALUE"""),"✴️")</f>
        <v>✴️</v>
      </c>
      <c r="L238" s="288" t="str">
        <f>IFERROR(__xludf.DUMMYFUNCTION("""COMPUTED_VALUE"""),"✴️")</f>
        <v>✴️</v>
      </c>
      <c r="M238" s="288" t="str">
        <f>IFERROR(__xludf.DUMMYFUNCTION("""COMPUTED_VALUE"""),"✴️")</f>
        <v>✴️</v>
      </c>
      <c r="N238" s="288" t="str">
        <f>IFERROR(__xludf.DUMMYFUNCTION("""COMPUTED_VALUE"""),"✴️")</f>
        <v>✴️</v>
      </c>
      <c r="O238" s="288" t="str">
        <f>IFERROR(__xludf.DUMMYFUNCTION("""COMPUTED_VALUE"""),"✴️")</f>
        <v>✴️</v>
      </c>
      <c r="P238" s="288" t="str">
        <f>IFERROR(__xludf.DUMMYFUNCTION("""COMPUTED_VALUE"""),"✴️")</f>
        <v>✴️</v>
      </c>
      <c r="Q238" s="288" t="str">
        <f>IFERROR(__xludf.DUMMYFUNCTION("""COMPUTED_VALUE"""),"✴️")</f>
        <v>✴️</v>
      </c>
      <c r="R238" s="257" t="str">
        <f>IFERROR(__xludf.DUMMYFUNCTION("""COMPUTED_VALUE"""),"   ✴️")</f>
        <v>✴️</v>
      </c>
      <c r="S238" s="258" t="str">
        <f>IFERROR(__xludf.DUMMYFUNCTION("""COMPUTED_VALUE"""),"TargetHasHullBreach")</f>
        <v>TargetHasHullBreach</v>
      </c>
      <c r="T238" s="255" t="str">
        <f>IFERROR(__xludf.DUMMYFUNCTION("""COMPUTED_VALUE"""),"➖")</f>
        <v>➖</v>
      </c>
      <c r="U238" s="255" t="str">
        <f>IFERROR(__xludf.DUMMYFUNCTION("""COMPUTED_VALUE"""),"➖")</f>
        <v>➖</v>
      </c>
      <c r="V238" s="259"/>
      <c r="W238" s="286"/>
      <c r="X238" s="286"/>
      <c r="Y238" s="286"/>
    </row>
    <row r="239">
      <c r="A239" s="28"/>
      <c r="B239" s="128"/>
      <c r="C239" s="28"/>
      <c r="D239" s="250" t="str">
        <f>IFERROR(__xludf.DUMMYFUNCTION("""COMPUTED_VALUE"""),"   E")</f>
        <v>E</v>
      </c>
      <c r="E239" s="280" t="str">
        <f>IFERROR(__xludf.DUMMYFUNCTION("""COMPUTED_VALUE"""),"LORCA")</f>
        <v>LORCA</v>
      </c>
      <c r="F239" s="271" t="str">
        <f>IFERROR(__xludf.DUMMYFUNCTION("""COMPUTED_VALUE"""),"CM")</f>
        <v>CM</v>
      </c>
      <c r="G239" s="281" t="str">
        <f>IFERROR(__xludf.DUMMYFUNCTION("""COMPUTED_VALUE"""),"✴️")</f>
        <v>✴️</v>
      </c>
      <c r="H239" s="281" t="str">
        <f>IFERROR(__xludf.DUMMYFUNCTION("""COMPUTED_VALUE"""),"✴️")</f>
        <v>✴️</v>
      </c>
      <c r="I239" s="281" t="str">
        <f>IFERROR(__xludf.DUMMYFUNCTION("""COMPUTED_VALUE"""),"➖")</f>
        <v>➖</v>
      </c>
      <c r="J239" s="281" t="str">
        <f>IFERROR(__xludf.DUMMYFUNCTION("""COMPUTED_VALUE"""),"➖")</f>
        <v>➖</v>
      </c>
      <c r="K239" s="282" t="str">
        <f>IFERROR(__xludf.DUMMYFUNCTION("""COMPUTED_VALUE"""),"➖")</f>
        <v>➖</v>
      </c>
      <c r="L239" s="282" t="str">
        <f>IFERROR(__xludf.DUMMYFUNCTION("""COMPUTED_VALUE"""),"➖")</f>
        <v>➖</v>
      </c>
      <c r="M239" s="282" t="str">
        <f>IFERROR(__xludf.DUMMYFUNCTION("""COMPUTED_VALUE"""),"➖")</f>
        <v>➖</v>
      </c>
      <c r="N239" s="282" t="str">
        <f>IFERROR(__xludf.DUMMYFUNCTION("""COMPUTED_VALUE"""),"➖")</f>
        <v>➖</v>
      </c>
      <c r="O239" s="282" t="str">
        <f>IFERROR(__xludf.DUMMYFUNCTION("""COMPUTED_VALUE"""),"➖")</f>
        <v>➖</v>
      </c>
      <c r="P239" s="282" t="str">
        <f>IFERROR(__xludf.DUMMYFUNCTION("""COMPUTED_VALUE"""),"➖")</f>
        <v>➖</v>
      </c>
      <c r="Q239" s="282" t="str">
        <f>IFERROR(__xludf.DUMMYFUNCTION("""COMPUTED_VALUE"""),"➖")</f>
        <v>➖</v>
      </c>
      <c r="R239" s="283" t="str">
        <f>IFERROR(__xludf.DUMMYFUNCTION("""COMPUTED_VALUE"""),"   ➖")</f>
        <v>➖</v>
      </c>
      <c r="S239" s="284" t="str">
        <f>IFERROR(__xludf.DUMMYFUNCTION("""COMPUTED_VALUE"""),"TargetHasHullBreach")</f>
        <v>TargetHasHullBreach</v>
      </c>
      <c r="T239" s="285" t="str">
        <f>IFERROR(__xludf.DUMMYFUNCTION("""COMPUTED_VALUE"""),"➖")</f>
        <v>➖</v>
      </c>
      <c r="U239" s="285" t="str">
        <f>IFERROR(__xludf.DUMMYFUNCTION("""COMPUTED_VALUE"""),"➖")</f>
        <v>➖</v>
      </c>
      <c r="V239" s="259"/>
      <c r="W239" s="286"/>
      <c r="X239" s="286"/>
      <c r="Y239" s="286"/>
    </row>
    <row r="240">
      <c r="A240" s="28"/>
      <c r="B240" s="132"/>
      <c r="C240" s="28"/>
      <c r="D240" s="260" t="str">
        <f>IFERROR(__xludf.DUMMYFUNCTION("""COMPUTED_VALUE"""),"   E")</f>
        <v>E</v>
      </c>
      <c r="E240" s="287" t="str">
        <f>IFERROR(__xludf.DUMMYFUNCTION("""COMPUTED_VALUE"""),"LORCA")</f>
        <v>LORCA</v>
      </c>
      <c r="F240" s="270" t="str">
        <f>IFERROR(__xludf.DUMMYFUNCTION("""COMPUTED_VALUE"""),"OA")</f>
        <v>OA</v>
      </c>
      <c r="G240" s="231" t="str">
        <f>IFERROR(__xludf.DUMMYFUNCTION("""COMPUTED_VALUE"""),"✅")</f>
        <v>✅</v>
      </c>
      <c r="H240" s="231" t="str">
        <f>IFERROR(__xludf.DUMMYFUNCTION("""COMPUTED_VALUE"""),"✅")</f>
        <v>✅</v>
      </c>
      <c r="I240" s="231" t="str">
        <f>IFERROR(__xludf.DUMMYFUNCTION("""COMPUTED_VALUE"""),"✅")</f>
        <v>✅</v>
      </c>
      <c r="J240" s="231" t="str">
        <f>IFERROR(__xludf.DUMMYFUNCTION("""COMPUTED_VALUE"""),"✅")</f>
        <v>✅</v>
      </c>
      <c r="K240" s="288" t="str">
        <f>IFERROR(__xludf.DUMMYFUNCTION("""COMPUTED_VALUE"""),"✅")</f>
        <v>✅</v>
      </c>
      <c r="L240" s="288" t="str">
        <f>IFERROR(__xludf.DUMMYFUNCTION("""COMPUTED_VALUE"""),"✅")</f>
        <v>✅</v>
      </c>
      <c r="M240" s="288" t="str">
        <f>IFERROR(__xludf.DUMMYFUNCTION("""COMPUTED_VALUE"""),"✅")</f>
        <v>✅</v>
      </c>
      <c r="N240" s="288" t="str">
        <f>IFERROR(__xludf.DUMMYFUNCTION("""COMPUTED_VALUE"""),"✅")</f>
        <v>✅</v>
      </c>
      <c r="O240" s="288" t="str">
        <f>IFERROR(__xludf.DUMMYFUNCTION("""COMPUTED_VALUE"""),"✅")</f>
        <v>✅</v>
      </c>
      <c r="P240" s="288" t="str">
        <f>IFERROR(__xludf.DUMMYFUNCTION("""COMPUTED_VALUE"""),"✅")</f>
        <v>✅</v>
      </c>
      <c r="Q240" s="288" t="str">
        <f>IFERROR(__xludf.DUMMYFUNCTION("""COMPUTED_VALUE"""),"✅")</f>
        <v>✅</v>
      </c>
      <c r="R240" s="257" t="str">
        <f>IFERROR(__xludf.DUMMYFUNCTION("""COMPUTED_VALUE"""),"   ✅")</f>
        <v>✅</v>
      </c>
      <c r="S240" s="258"/>
      <c r="T240" s="255" t="str">
        <f>IFERROR(__xludf.DUMMYFUNCTION("""COMPUTED_VALUE"""),"➖")</f>
        <v>➖</v>
      </c>
      <c r="U240" s="255" t="str">
        <f>IFERROR(__xludf.DUMMYFUNCTION("""COMPUTED_VALUE"""),"➖")</f>
        <v>➖</v>
      </c>
      <c r="V240" s="259"/>
      <c r="W240" s="286"/>
      <c r="X240" s="286"/>
      <c r="Y240" s="286"/>
    </row>
    <row r="241">
      <c r="A241" s="28"/>
      <c r="B241" s="128"/>
      <c r="C241" s="28"/>
      <c r="D241" s="250" t="str">
        <f>IFERROR(__xludf.DUMMYFUNCTION("""COMPUTED_VALUE"""),"   E")</f>
        <v>E</v>
      </c>
      <c r="E241" s="280" t="str">
        <f>IFERROR(__xludf.DUMMYFUNCTION("""COMPUTED_VALUE"""),"TOS KIRK")</f>
        <v>TOS KIRK</v>
      </c>
      <c r="F241" s="271" t="str">
        <f>IFERROR(__xludf.DUMMYFUNCTION("""COMPUTED_VALUE"""),"CM")</f>
        <v>CM</v>
      </c>
      <c r="G241" s="281" t="str">
        <f>IFERROR(__xludf.DUMMYFUNCTION("""COMPUTED_VALUE"""),"✴️")</f>
        <v>✴️</v>
      </c>
      <c r="H241" s="281" t="str">
        <f>IFERROR(__xludf.DUMMYFUNCTION("""COMPUTED_VALUE"""),"✴️")</f>
        <v>✴️</v>
      </c>
      <c r="I241" s="281" t="str">
        <f>IFERROR(__xludf.DUMMYFUNCTION("""COMPUTED_VALUE"""),"➖")</f>
        <v>➖</v>
      </c>
      <c r="J241" s="281" t="str">
        <f>IFERROR(__xludf.DUMMYFUNCTION("""COMPUTED_VALUE"""),"➖")</f>
        <v>➖</v>
      </c>
      <c r="K241" s="282" t="str">
        <f>IFERROR(__xludf.DUMMYFUNCTION("""COMPUTED_VALUE"""),"➖")</f>
        <v>➖</v>
      </c>
      <c r="L241" s="282" t="str">
        <f>IFERROR(__xludf.DUMMYFUNCTION("""COMPUTED_VALUE"""),"➖")</f>
        <v>➖</v>
      </c>
      <c r="M241" s="282" t="str">
        <f>IFERROR(__xludf.DUMMYFUNCTION("""COMPUTED_VALUE"""),"➖")</f>
        <v>➖</v>
      </c>
      <c r="N241" s="282" t="str">
        <f>IFERROR(__xludf.DUMMYFUNCTION("""COMPUTED_VALUE"""),"➖")</f>
        <v>➖</v>
      </c>
      <c r="O241" s="282" t="str">
        <f>IFERROR(__xludf.DUMMYFUNCTION("""COMPUTED_VALUE"""),"➖")</f>
        <v>➖</v>
      </c>
      <c r="P241" s="282" t="str">
        <f>IFERROR(__xludf.DUMMYFUNCTION("""COMPUTED_VALUE"""),"➖")</f>
        <v>➖</v>
      </c>
      <c r="Q241" s="282" t="str">
        <f>IFERROR(__xludf.DUMMYFUNCTION("""COMPUTED_VALUE"""),"➖")</f>
        <v>➖</v>
      </c>
      <c r="R241" s="283" t="str">
        <f>IFERROR(__xludf.DUMMYFUNCTION("""COMPUTED_VALUE"""),"   ➖")</f>
        <v>➖</v>
      </c>
      <c r="S241" s="284" t="str">
        <f>IFERROR(__xludf.DUMMYFUNCTION("""COMPUTED_VALUE"""),"SelfHasMorale, ModuleEnergy")</f>
        <v>SelfHasMorale, ModuleEnergy</v>
      </c>
      <c r="T241" s="285" t="str">
        <f>IFERROR(__xludf.DUMMYFUNCTION("""COMPUTED_VALUE"""),"➖")</f>
        <v>➖</v>
      </c>
      <c r="U241" s="285" t="str">
        <f>IFERROR(__xludf.DUMMYFUNCTION("""COMPUTED_VALUE"""),"➖")</f>
        <v>➖</v>
      </c>
      <c r="V241" s="259"/>
      <c r="W241" s="286"/>
      <c r="X241" s="286"/>
      <c r="Y241" s="286"/>
    </row>
    <row r="242">
      <c r="A242" s="28"/>
      <c r="B242" s="132"/>
      <c r="C242" s="28"/>
      <c r="D242" s="260" t="str">
        <f>IFERROR(__xludf.DUMMYFUNCTION("""COMPUTED_VALUE"""),"   E")</f>
        <v>E</v>
      </c>
      <c r="E242" s="287" t="str">
        <f>IFERROR(__xludf.DUMMYFUNCTION("""COMPUTED_VALUE"""),"TOS KIRK")</f>
        <v>TOS KIRK</v>
      </c>
      <c r="F242" s="270" t="str">
        <f>IFERROR(__xludf.DUMMYFUNCTION("""COMPUTED_VALUE"""),"OA")</f>
        <v>OA</v>
      </c>
      <c r="G242" s="231" t="str">
        <f>IFERROR(__xludf.DUMMYFUNCTION("""COMPUTED_VALUE"""),"✴️")</f>
        <v>✴️</v>
      </c>
      <c r="H242" s="231" t="str">
        <f>IFERROR(__xludf.DUMMYFUNCTION("""COMPUTED_VALUE"""),"✴️")</f>
        <v>✴️</v>
      </c>
      <c r="I242" s="231" t="str">
        <f>IFERROR(__xludf.DUMMYFUNCTION("""COMPUTED_VALUE"""),"✴️")</f>
        <v>✴️</v>
      </c>
      <c r="J242" s="231" t="str">
        <f>IFERROR(__xludf.DUMMYFUNCTION("""COMPUTED_VALUE"""),"✴️")</f>
        <v>✴️</v>
      </c>
      <c r="K242" s="288" t="str">
        <f>IFERROR(__xludf.DUMMYFUNCTION("""COMPUTED_VALUE"""),"✴️")</f>
        <v>✴️</v>
      </c>
      <c r="L242" s="288" t="str">
        <f>IFERROR(__xludf.DUMMYFUNCTION("""COMPUTED_VALUE"""),"✴️")</f>
        <v>✴️</v>
      </c>
      <c r="M242" s="288" t="str">
        <f>IFERROR(__xludf.DUMMYFUNCTION("""COMPUTED_VALUE"""),"✴️")</f>
        <v>✴️</v>
      </c>
      <c r="N242" s="288" t="str">
        <f>IFERROR(__xludf.DUMMYFUNCTION("""COMPUTED_VALUE"""),"✴️")</f>
        <v>✴️</v>
      </c>
      <c r="O242" s="288" t="str">
        <f>IFERROR(__xludf.DUMMYFUNCTION("""COMPUTED_VALUE"""),"✴️")</f>
        <v>✴️</v>
      </c>
      <c r="P242" s="288" t="str">
        <f>IFERROR(__xludf.DUMMYFUNCTION("""COMPUTED_VALUE"""),"✴️")</f>
        <v>✴️</v>
      </c>
      <c r="Q242" s="288" t="str">
        <f>IFERROR(__xludf.DUMMYFUNCTION("""COMPUTED_VALUE"""),"✴️")</f>
        <v>✴️</v>
      </c>
      <c r="R242" s="257" t="str">
        <f>IFERROR(__xludf.DUMMYFUNCTION("""COMPUTED_VALUE"""),"   ✴️")</f>
        <v>✴️</v>
      </c>
      <c r="S242" s="258" t="str">
        <f>IFERROR(__xludf.DUMMYFUNCTION("""COMPUTED_VALUE"""),"HullHealthAbove")</f>
        <v>HullHealthAbove</v>
      </c>
      <c r="T242" s="255" t="str">
        <f>IFERROR(__xludf.DUMMYFUNCTION("""COMPUTED_VALUE"""),"➖")</f>
        <v>➖</v>
      </c>
      <c r="U242" s="255" t="str">
        <f>IFERROR(__xludf.DUMMYFUNCTION("""COMPUTED_VALUE"""),"➖")</f>
        <v>➖</v>
      </c>
      <c r="V242" s="259"/>
      <c r="W242" s="286"/>
      <c r="X242" s="286"/>
      <c r="Y242" s="286"/>
    </row>
    <row r="243">
      <c r="A243" s="28"/>
      <c r="B243" s="128"/>
      <c r="C243" s="28"/>
      <c r="D243" s="250" t="str">
        <f>IFERROR(__xludf.DUMMYFUNCTION("""COMPUTED_VALUE"""),"   E")</f>
        <v>E</v>
      </c>
      <c r="E243" s="280" t="str">
        <f>IFERROR(__xludf.DUMMYFUNCTION("""COMPUTED_VALUE"""),"TOS SPOCK")</f>
        <v>TOS SPOCK</v>
      </c>
      <c r="F243" s="271" t="str">
        <f>IFERROR(__xludf.DUMMYFUNCTION("""COMPUTED_VALUE"""),"CM")</f>
        <v>CM</v>
      </c>
      <c r="G243" s="281" t="str">
        <f>IFERROR(__xludf.DUMMYFUNCTION("""COMPUTED_VALUE"""),"✅")</f>
        <v>✅</v>
      </c>
      <c r="H243" s="281" t="str">
        <f>IFERROR(__xludf.DUMMYFUNCTION("""COMPUTED_VALUE"""),"✅")</f>
        <v>✅</v>
      </c>
      <c r="I243" s="281" t="str">
        <f>IFERROR(__xludf.DUMMYFUNCTION("""COMPUTED_VALUE"""),"➖")</f>
        <v>➖</v>
      </c>
      <c r="J243" s="281" t="str">
        <f>IFERROR(__xludf.DUMMYFUNCTION("""COMPUTED_VALUE"""),"➖")</f>
        <v>➖</v>
      </c>
      <c r="K243" s="282" t="str">
        <f>IFERROR(__xludf.DUMMYFUNCTION("""COMPUTED_VALUE"""),"➖")</f>
        <v>➖</v>
      </c>
      <c r="L243" s="282" t="str">
        <f>IFERROR(__xludf.DUMMYFUNCTION("""COMPUTED_VALUE"""),"➖")</f>
        <v>➖</v>
      </c>
      <c r="M243" s="282" t="str">
        <f>IFERROR(__xludf.DUMMYFUNCTION("""COMPUTED_VALUE"""),"➖")</f>
        <v>➖</v>
      </c>
      <c r="N243" s="282" t="str">
        <f>IFERROR(__xludf.DUMMYFUNCTION("""COMPUTED_VALUE"""),"➖")</f>
        <v>➖</v>
      </c>
      <c r="O243" s="282" t="str">
        <f>IFERROR(__xludf.DUMMYFUNCTION("""COMPUTED_VALUE"""),"➖")</f>
        <v>➖</v>
      </c>
      <c r="P243" s="282" t="str">
        <f>IFERROR(__xludf.DUMMYFUNCTION("""COMPUTED_VALUE"""),"➖")</f>
        <v>➖</v>
      </c>
      <c r="Q243" s="282" t="str">
        <f>IFERROR(__xludf.DUMMYFUNCTION("""COMPUTED_VALUE"""),"➖")</f>
        <v>➖</v>
      </c>
      <c r="R243" s="283" t="str">
        <f>IFERROR(__xludf.DUMMYFUNCTION("""COMPUTED_VALUE"""),"   ➖")</f>
        <v>➖</v>
      </c>
      <c r="S243" s="284"/>
      <c r="T243" s="285" t="str">
        <f>IFERROR(__xludf.DUMMYFUNCTION("""COMPUTED_VALUE"""),"➖")</f>
        <v>➖</v>
      </c>
      <c r="U243" s="285" t="str">
        <f>IFERROR(__xludf.DUMMYFUNCTION("""COMPUTED_VALUE"""),"➖")</f>
        <v>➖</v>
      </c>
      <c r="V243" s="259"/>
      <c r="W243" s="286"/>
      <c r="X243" s="286"/>
      <c r="Y243" s="286"/>
    </row>
    <row r="244">
      <c r="A244" s="28"/>
      <c r="B244" s="132"/>
      <c r="C244" s="28"/>
      <c r="D244" s="260" t="str">
        <f>IFERROR(__xludf.DUMMYFUNCTION("""COMPUTED_VALUE"""),"   E")</f>
        <v>E</v>
      </c>
      <c r="E244" s="287" t="str">
        <f>IFERROR(__xludf.DUMMYFUNCTION("""COMPUTED_VALUE"""),"TOS SPOCK")</f>
        <v>TOS SPOCK</v>
      </c>
      <c r="F244" s="270" t="str">
        <f>IFERROR(__xludf.DUMMYFUNCTION("""COMPUTED_VALUE"""),"OA")</f>
        <v>OA</v>
      </c>
      <c r="G244" s="231" t="str">
        <f>IFERROR(__xludf.DUMMYFUNCTION("""COMPUTED_VALUE"""),"✴️")</f>
        <v>✴️</v>
      </c>
      <c r="H244" s="231" t="str">
        <f>IFERROR(__xludf.DUMMYFUNCTION("""COMPUTED_VALUE"""),"✴️")</f>
        <v>✴️</v>
      </c>
      <c r="I244" s="231" t="str">
        <f>IFERROR(__xludf.DUMMYFUNCTION("""COMPUTED_VALUE"""),"➖")</f>
        <v>➖</v>
      </c>
      <c r="J244" s="231" t="str">
        <f>IFERROR(__xludf.DUMMYFUNCTION("""COMPUTED_VALUE"""),"➖")</f>
        <v>➖</v>
      </c>
      <c r="K244" s="288" t="str">
        <f>IFERROR(__xludf.DUMMYFUNCTION("""COMPUTED_VALUE"""),"➖")</f>
        <v>➖</v>
      </c>
      <c r="L244" s="288" t="str">
        <f>IFERROR(__xludf.DUMMYFUNCTION("""COMPUTED_VALUE"""),"➖")</f>
        <v>➖</v>
      </c>
      <c r="M244" s="288" t="str">
        <f>IFERROR(__xludf.DUMMYFUNCTION("""COMPUTED_VALUE"""),"➖")</f>
        <v>➖</v>
      </c>
      <c r="N244" s="288" t="str">
        <f>IFERROR(__xludf.DUMMYFUNCTION("""COMPUTED_VALUE"""),"➖")</f>
        <v>➖</v>
      </c>
      <c r="O244" s="288" t="str">
        <f>IFERROR(__xludf.DUMMYFUNCTION("""COMPUTED_VALUE"""),"➖")</f>
        <v>➖</v>
      </c>
      <c r="P244" s="288" t="str">
        <f>IFERROR(__xludf.DUMMYFUNCTION("""COMPUTED_VALUE"""),"➖")</f>
        <v>➖</v>
      </c>
      <c r="Q244" s="288" t="str">
        <f>IFERROR(__xludf.DUMMYFUNCTION("""COMPUTED_VALUE"""),"➖")</f>
        <v>➖</v>
      </c>
      <c r="R244" s="257" t="str">
        <f>IFERROR(__xludf.DUMMYFUNCTION("""COMPUTED_VALUE"""),"   ➖")</f>
        <v>➖</v>
      </c>
      <c r="S244" s="258" t="str">
        <f>IFERROR(__xludf.DUMMYFUNCTION("""COMPUTED_VALUE"""),"SelfHasMorale")</f>
        <v>SelfHasMorale</v>
      </c>
      <c r="T244" s="255" t="str">
        <f>IFERROR(__xludf.DUMMYFUNCTION("""COMPUTED_VALUE"""),"➖")</f>
        <v>➖</v>
      </c>
      <c r="U244" s="255" t="str">
        <f>IFERROR(__xludf.DUMMYFUNCTION("""COMPUTED_VALUE"""),"➖")</f>
        <v>➖</v>
      </c>
      <c r="V244" s="259"/>
      <c r="W244" s="286"/>
      <c r="X244" s="286"/>
      <c r="Y244" s="286"/>
    </row>
    <row r="245">
      <c r="A245" s="28"/>
      <c r="B245" s="128"/>
      <c r="C245" s="28"/>
      <c r="D245" s="250" t="str">
        <f>IFERROR(__xludf.DUMMYFUNCTION("""COMPUTED_VALUE"""),"   R")</f>
        <v>R</v>
      </c>
      <c r="E245" s="280" t="str">
        <f>IFERROR(__xludf.DUMMYFUNCTION("""COMPUTED_VALUE"""),"TOS UHURA")</f>
        <v>TOS UHURA</v>
      </c>
      <c r="F245" s="271" t="str">
        <f>IFERROR(__xludf.DUMMYFUNCTION("""COMPUTED_VALUE"""),"CM")</f>
        <v>CM</v>
      </c>
      <c r="G245" s="281" t="str">
        <f>IFERROR(__xludf.DUMMYFUNCTION("""COMPUTED_VALUE"""),"✴️")</f>
        <v>✴️</v>
      </c>
      <c r="H245" s="281" t="str">
        <f>IFERROR(__xludf.DUMMYFUNCTION("""COMPUTED_VALUE"""),"✴️")</f>
        <v>✴️</v>
      </c>
      <c r="I245" s="281" t="str">
        <f>IFERROR(__xludf.DUMMYFUNCTION("""COMPUTED_VALUE"""),"➖")</f>
        <v>➖</v>
      </c>
      <c r="J245" s="281" t="str">
        <f>IFERROR(__xludf.DUMMYFUNCTION("""COMPUTED_VALUE"""),"➖")</f>
        <v>➖</v>
      </c>
      <c r="K245" s="282" t="str">
        <f>IFERROR(__xludf.DUMMYFUNCTION("""COMPUTED_VALUE"""),"➖")</f>
        <v>➖</v>
      </c>
      <c r="L245" s="282" t="str">
        <f>IFERROR(__xludf.DUMMYFUNCTION("""COMPUTED_VALUE"""),"➖")</f>
        <v>➖</v>
      </c>
      <c r="M245" s="282" t="str">
        <f>IFERROR(__xludf.DUMMYFUNCTION("""COMPUTED_VALUE"""),"➖")</f>
        <v>➖</v>
      </c>
      <c r="N245" s="282" t="str">
        <f>IFERROR(__xludf.DUMMYFUNCTION("""COMPUTED_VALUE"""),"➖")</f>
        <v>➖</v>
      </c>
      <c r="O245" s="282" t="str">
        <f>IFERROR(__xludf.DUMMYFUNCTION("""COMPUTED_VALUE"""),"➖")</f>
        <v>➖</v>
      </c>
      <c r="P245" s="282" t="str">
        <f>IFERROR(__xludf.DUMMYFUNCTION("""COMPUTED_VALUE"""),"➖")</f>
        <v>➖</v>
      </c>
      <c r="Q245" s="282" t="str">
        <f>IFERROR(__xludf.DUMMYFUNCTION("""COMPUTED_VALUE"""),"➖")</f>
        <v>➖</v>
      </c>
      <c r="R245" s="283" t="str">
        <f>IFERROR(__xludf.DUMMYFUNCTION("""COMPUTED_VALUE"""),"   ➖")</f>
        <v>➖</v>
      </c>
      <c r="S245" s="284" t="str">
        <f>IFERROR(__xludf.DUMMYFUNCTION("""COMPUTED_VALUE"""),"SelfHasMorale")</f>
        <v>SelfHasMorale</v>
      </c>
      <c r="T245" s="285" t="str">
        <f>IFERROR(__xludf.DUMMYFUNCTION("""COMPUTED_VALUE"""),"➖")</f>
        <v>➖</v>
      </c>
      <c r="U245" s="285" t="str">
        <f>IFERROR(__xludf.DUMMYFUNCTION("""COMPUTED_VALUE"""),"➖")</f>
        <v>➖</v>
      </c>
      <c r="V245" s="259"/>
      <c r="W245" s="286"/>
      <c r="X245" s="286"/>
      <c r="Y245" s="286"/>
    </row>
    <row r="246">
      <c r="A246" s="28"/>
      <c r="B246" s="132"/>
      <c r="C246" s="28"/>
      <c r="D246" s="260" t="str">
        <f>IFERROR(__xludf.DUMMYFUNCTION("""COMPUTED_VALUE"""),"   R")</f>
        <v>R</v>
      </c>
      <c r="E246" s="287" t="str">
        <f>IFERROR(__xludf.DUMMYFUNCTION("""COMPUTED_VALUE"""),"TOS UHURA")</f>
        <v>TOS UHURA</v>
      </c>
      <c r="F246" s="270" t="str">
        <f>IFERROR(__xludf.DUMMYFUNCTION("""COMPUTED_VALUE"""),"OA")</f>
        <v>OA</v>
      </c>
      <c r="G246" s="231" t="str">
        <f>IFERROR(__xludf.DUMMYFUNCTION("""COMPUTED_VALUE"""),"✴️")</f>
        <v>✴️</v>
      </c>
      <c r="H246" s="231" t="str">
        <f>IFERROR(__xludf.DUMMYFUNCTION("""COMPUTED_VALUE"""),"✴️")</f>
        <v>✴️</v>
      </c>
      <c r="I246" s="231" t="str">
        <f>IFERROR(__xludf.DUMMYFUNCTION("""COMPUTED_VALUE"""),"➖")</f>
        <v>➖</v>
      </c>
      <c r="J246" s="231" t="str">
        <f>IFERROR(__xludf.DUMMYFUNCTION("""COMPUTED_VALUE"""),"➖")</f>
        <v>➖</v>
      </c>
      <c r="K246" s="288" t="str">
        <f>IFERROR(__xludf.DUMMYFUNCTION("""COMPUTED_VALUE"""),"➖")</f>
        <v>➖</v>
      </c>
      <c r="L246" s="288" t="str">
        <f>IFERROR(__xludf.DUMMYFUNCTION("""COMPUTED_VALUE"""),"➖")</f>
        <v>➖</v>
      </c>
      <c r="M246" s="288" t="str">
        <f>IFERROR(__xludf.DUMMYFUNCTION("""COMPUTED_VALUE"""),"➖")</f>
        <v>➖</v>
      </c>
      <c r="N246" s="288" t="str">
        <f>IFERROR(__xludf.DUMMYFUNCTION("""COMPUTED_VALUE"""),"➖")</f>
        <v>➖</v>
      </c>
      <c r="O246" s="288" t="str">
        <f>IFERROR(__xludf.DUMMYFUNCTION("""COMPUTED_VALUE"""),"➖")</f>
        <v>➖</v>
      </c>
      <c r="P246" s="288" t="str">
        <f>IFERROR(__xludf.DUMMYFUNCTION("""COMPUTED_VALUE"""),"➖")</f>
        <v>➖</v>
      </c>
      <c r="Q246" s="288" t="str">
        <f>IFERROR(__xludf.DUMMYFUNCTION("""COMPUTED_VALUE"""),"➖")</f>
        <v>➖</v>
      </c>
      <c r="R246" s="257" t="str">
        <f>IFERROR(__xludf.DUMMYFUNCTION("""COMPUTED_VALUE"""),"   ➖")</f>
        <v>➖</v>
      </c>
      <c r="S246" s="258" t="str">
        <f>IFERROR(__xludf.DUMMYFUNCTION("""COMPUTED_VALUE"""),"SelfHasMorale")</f>
        <v>SelfHasMorale</v>
      </c>
      <c r="T246" s="255" t="str">
        <f>IFERROR(__xludf.DUMMYFUNCTION("""COMPUTED_VALUE"""),"➖")</f>
        <v>➖</v>
      </c>
      <c r="U246" s="255" t="str">
        <f>IFERROR(__xludf.DUMMYFUNCTION("""COMPUTED_VALUE"""),"➖")</f>
        <v>➖</v>
      </c>
      <c r="V246" s="259"/>
      <c r="W246" s="286"/>
      <c r="X246" s="286"/>
      <c r="Y246" s="286"/>
    </row>
    <row r="247">
      <c r="A247" s="28"/>
      <c r="B247" s="128"/>
      <c r="C247" s="28"/>
      <c r="D247" s="250" t="str">
        <f>IFERROR(__xludf.DUMMYFUNCTION("""COMPUTED_VALUE"""),"   R")</f>
        <v>R</v>
      </c>
      <c r="E247" s="280" t="str">
        <f>IFERROR(__xludf.DUMMYFUNCTION("""COMPUTED_VALUE"""),"TOS MCCOY")</f>
        <v>TOS MCCOY</v>
      </c>
      <c r="F247" s="271" t="str">
        <f>IFERROR(__xludf.DUMMYFUNCTION("""COMPUTED_VALUE"""),"CM")</f>
        <v>CM</v>
      </c>
      <c r="G247" s="281" t="str">
        <f>IFERROR(__xludf.DUMMYFUNCTION("""COMPUTED_VALUE"""),"✅")</f>
        <v>✅</v>
      </c>
      <c r="H247" s="281" t="str">
        <f>IFERROR(__xludf.DUMMYFUNCTION("""COMPUTED_VALUE"""),"✅")</f>
        <v>✅</v>
      </c>
      <c r="I247" s="281" t="str">
        <f>IFERROR(__xludf.DUMMYFUNCTION("""COMPUTED_VALUE"""),"➖")</f>
        <v>➖</v>
      </c>
      <c r="J247" s="281" t="str">
        <f>IFERROR(__xludf.DUMMYFUNCTION("""COMPUTED_VALUE"""),"➖")</f>
        <v>➖</v>
      </c>
      <c r="K247" s="282" t="str">
        <f>IFERROR(__xludf.DUMMYFUNCTION("""COMPUTED_VALUE"""),"➖")</f>
        <v>➖</v>
      </c>
      <c r="L247" s="282" t="str">
        <f>IFERROR(__xludf.DUMMYFUNCTION("""COMPUTED_VALUE"""),"➖")</f>
        <v>➖</v>
      </c>
      <c r="M247" s="282" t="str">
        <f>IFERROR(__xludf.DUMMYFUNCTION("""COMPUTED_VALUE"""),"➖")</f>
        <v>➖</v>
      </c>
      <c r="N247" s="282" t="str">
        <f>IFERROR(__xludf.DUMMYFUNCTION("""COMPUTED_VALUE"""),"➖")</f>
        <v>➖</v>
      </c>
      <c r="O247" s="282" t="str">
        <f>IFERROR(__xludf.DUMMYFUNCTION("""COMPUTED_VALUE"""),"➖")</f>
        <v>➖</v>
      </c>
      <c r="P247" s="282" t="str">
        <f>IFERROR(__xludf.DUMMYFUNCTION("""COMPUTED_VALUE"""),"➖")</f>
        <v>➖</v>
      </c>
      <c r="Q247" s="282" t="str">
        <f>IFERROR(__xludf.DUMMYFUNCTION("""COMPUTED_VALUE"""),"➖")</f>
        <v>➖</v>
      </c>
      <c r="R247" s="283" t="str">
        <f>IFERROR(__xludf.DUMMYFUNCTION("""COMPUTED_VALUE"""),"   ➖")</f>
        <v>➖</v>
      </c>
      <c r="S247" s="284"/>
      <c r="T247" s="285" t="str">
        <f>IFERROR(__xludf.DUMMYFUNCTION("""COMPUTED_VALUE"""),"➖")</f>
        <v>➖</v>
      </c>
      <c r="U247" s="285" t="str">
        <f>IFERROR(__xludf.DUMMYFUNCTION("""COMPUTED_VALUE"""),"➖")</f>
        <v>➖</v>
      </c>
      <c r="V247" s="259"/>
      <c r="W247" s="286"/>
      <c r="X247" s="286"/>
      <c r="Y247" s="286"/>
    </row>
    <row r="248">
      <c r="A248" s="28"/>
      <c r="B248" s="132"/>
      <c r="C248" s="28"/>
      <c r="D248" s="260" t="str">
        <f>IFERROR(__xludf.DUMMYFUNCTION("""COMPUTED_VALUE"""),"   R")</f>
        <v>R</v>
      </c>
      <c r="E248" s="287" t="str">
        <f>IFERROR(__xludf.DUMMYFUNCTION("""COMPUTED_VALUE"""),"TOS MCCOY")</f>
        <v>TOS MCCOY</v>
      </c>
      <c r="F248" s="270" t="str">
        <f>IFERROR(__xludf.DUMMYFUNCTION("""COMPUTED_VALUE"""),"OA")</f>
        <v>OA</v>
      </c>
      <c r="G248" s="231" t="str">
        <f>IFERROR(__xludf.DUMMYFUNCTION("""COMPUTED_VALUE"""),"✴️")</f>
        <v>✴️</v>
      </c>
      <c r="H248" s="231" t="str">
        <f>IFERROR(__xludf.DUMMYFUNCTION("""COMPUTED_VALUE"""),"✴️")</f>
        <v>✴️</v>
      </c>
      <c r="I248" s="231" t="str">
        <f>IFERROR(__xludf.DUMMYFUNCTION("""COMPUTED_VALUE"""),"✴️")</f>
        <v>✴️</v>
      </c>
      <c r="J248" s="231" t="str">
        <f>IFERROR(__xludf.DUMMYFUNCTION("""COMPUTED_VALUE"""),"✴️")</f>
        <v>✴️</v>
      </c>
      <c r="K248" s="288" t="str">
        <f>IFERROR(__xludf.DUMMYFUNCTION("""COMPUTED_VALUE"""),"✴️")</f>
        <v>✴️</v>
      </c>
      <c r="L248" s="288" t="str">
        <f>IFERROR(__xludf.DUMMYFUNCTION("""COMPUTED_VALUE"""),"✴️")</f>
        <v>✴️</v>
      </c>
      <c r="M248" s="288" t="str">
        <f>IFERROR(__xludf.DUMMYFUNCTION("""COMPUTED_VALUE"""),"✴️")</f>
        <v>✴️</v>
      </c>
      <c r="N248" s="288" t="str">
        <f>IFERROR(__xludf.DUMMYFUNCTION("""COMPUTED_VALUE"""),"✴️")</f>
        <v>✴️</v>
      </c>
      <c r="O248" s="288" t="str">
        <f>IFERROR(__xludf.DUMMYFUNCTION("""COMPUTED_VALUE"""),"✴️")</f>
        <v>✴️</v>
      </c>
      <c r="P248" s="288" t="str">
        <f>IFERROR(__xludf.DUMMYFUNCTION("""COMPUTED_VALUE"""),"✴️")</f>
        <v>✴️</v>
      </c>
      <c r="Q248" s="288" t="str">
        <f>IFERROR(__xludf.DUMMYFUNCTION("""COMPUTED_VALUE"""),"✴️")</f>
        <v>✴️</v>
      </c>
      <c r="R248" s="257" t="str">
        <f>IFERROR(__xludf.DUMMYFUNCTION("""COMPUTED_VALUE"""),"   ✴️")</f>
        <v>✴️</v>
      </c>
      <c r="S248" s="258" t="str">
        <f>IFERROR(__xludf.DUMMYFUNCTION("""COMPUTED_VALUE"""),"SelfExplorer")</f>
        <v>SelfExplorer</v>
      </c>
      <c r="T248" s="255" t="str">
        <f>IFERROR(__xludf.DUMMYFUNCTION("""COMPUTED_VALUE"""),"➖")</f>
        <v>➖</v>
      </c>
      <c r="U248" s="255" t="str">
        <f>IFERROR(__xludf.DUMMYFUNCTION("""COMPUTED_VALUE"""),"➖")</f>
        <v>➖</v>
      </c>
      <c r="V248" s="259"/>
      <c r="W248" s="286"/>
      <c r="X248" s="286"/>
      <c r="Y248" s="286"/>
    </row>
    <row r="249">
      <c r="A249" s="28"/>
      <c r="B249" s="128"/>
      <c r="C249" s="28"/>
      <c r="D249" s="250" t="str">
        <f>IFERROR(__xludf.DUMMYFUNCTION("""COMPUTED_VALUE"""),"   R")</f>
        <v>R</v>
      </c>
      <c r="E249" s="280" t="str">
        <f>IFERROR(__xludf.DUMMYFUNCTION("""COMPUTED_VALUE"""),"TOS SULU")</f>
        <v>TOS SULU</v>
      </c>
      <c r="F249" s="271" t="str">
        <f>IFERROR(__xludf.DUMMYFUNCTION("""COMPUTED_VALUE"""),"CM")</f>
        <v>CM</v>
      </c>
      <c r="G249" s="281" t="str">
        <f>IFERROR(__xludf.DUMMYFUNCTION("""COMPUTED_VALUE"""),"✅")</f>
        <v>✅</v>
      </c>
      <c r="H249" s="281" t="str">
        <f>IFERROR(__xludf.DUMMYFUNCTION("""COMPUTED_VALUE"""),"✅")</f>
        <v>✅</v>
      </c>
      <c r="I249" s="281" t="str">
        <f>IFERROR(__xludf.DUMMYFUNCTION("""COMPUTED_VALUE"""),"✅")</f>
        <v>✅</v>
      </c>
      <c r="J249" s="281" t="str">
        <f>IFERROR(__xludf.DUMMYFUNCTION("""COMPUTED_VALUE"""),"✅")</f>
        <v>✅</v>
      </c>
      <c r="K249" s="282" t="str">
        <f>IFERROR(__xludf.DUMMYFUNCTION("""COMPUTED_VALUE"""),"✅")</f>
        <v>✅</v>
      </c>
      <c r="L249" s="282" t="str">
        <f>IFERROR(__xludf.DUMMYFUNCTION("""COMPUTED_VALUE"""),"✅")</f>
        <v>✅</v>
      </c>
      <c r="M249" s="282" t="str">
        <f>IFERROR(__xludf.DUMMYFUNCTION("""COMPUTED_VALUE"""),"✅")</f>
        <v>✅</v>
      </c>
      <c r="N249" s="282" t="str">
        <f>IFERROR(__xludf.DUMMYFUNCTION("""COMPUTED_VALUE"""),"✅")</f>
        <v>✅</v>
      </c>
      <c r="O249" s="282" t="str">
        <f>IFERROR(__xludf.DUMMYFUNCTION("""COMPUTED_VALUE"""),"✅")</f>
        <v>✅</v>
      </c>
      <c r="P249" s="282" t="str">
        <f>IFERROR(__xludf.DUMMYFUNCTION("""COMPUTED_VALUE"""),"✅")</f>
        <v>✅</v>
      </c>
      <c r="Q249" s="282" t="str">
        <f>IFERROR(__xludf.DUMMYFUNCTION("""COMPUTED_VALUE"""),"✅")</f>
        <v>✅</v>
      </c>
      <c r="R249" s="283" t="str">
        <f>IFERROR(__xludf.DUMMYFUNCTION("""COMPUTED_VALUE"""),"   ✅")</f>
        <v>✅</v>
      </c>
      <c r="S249" s="284"/>
      <c r="T249" s="285" t="str">
        <f>IFERROR(__xludf.DUMMYFUNCTION("""COMPUTED_VALUE"""),"➖")</f>
        <v>➖</v>
      </c>
      <c r="U249" s="285" t="str">
        <f>IFERROR(__xludf.DUMMYFUNCTION("""COMPUTED_VALUE"""),"➖")</f>
        <v>➖</v>
      </c>
      <c r="V249" s="259"/>
      <c r="W249" s="286"/>
      <c r="X249" s="286"/>
      <c r="Y249" s="286"/>
    </row>
    <row r="250">
      <c r="A250" s="28"/>
      <c r="B250" s="132"/>
      <c r="C250" s="28"/>
      <c r="D250" s="260" t="str">
        <f>IFERROR(__xludf.DUMMYFUNCTION("""COMPUTED_VALUE"""),"   R")</f>
        <v>R</v>
      </c>
      <c r="E250" s="287" t="str">
        <f>IFERROR(__xludf.DUMMYFUNCTION("""COMPUTED_VALUE"""),"TOS SULU")</f>
        <v>TOS SULU</v>
      </c>
      <c r="F250" s="270" t="str">
        <f>IFERROR(__xludf.DUMMYFUNCTION("""COMPUTED_VALUE"""),"OA")</f>
        <v>OA</v>
      </c>
      <c r="G250" s="231" t="str">
        <f>IFERROR(__xludf.DUMMYFUNCTION("""COMPUTED_VALUE"""),"✴️")</f>
        <v>✴️</v>
      </c>
      <c r="H250" s="231" t="str">
        <f>IFERROR(__xludf.DUMMYFUNCTION("""COMPUTED_VALUE"""),"✴️")</f>
        <v>✴️</v>
      </c>
      <c r="I250" s="231" t="str">
        <f>IFERROR(__xludf.DUMMYFUNCTION("""COMPUTED_VALUE"""),"✴️")</f>
        <v>✴️</v>
      </c>
      <c r="J250" s="231" t="str">
        <f>IFERROR(__xludf.DUMMYFUNCTION("""COMPUTED_VALUE"""),"✴️")</f>
        <v>✴️</v>
      </c>
      <c r="K250" s="288" t="str">
        <f>IFERROR(__xludf.DUMMYFUNCTION("""COMPUTED_VALUE"""),"✴️")</f>
        <v>✴️</v>
      </c>
      <c r="L250" s="288" t="str">
        <f>IFERROR(__xludf.DUMMYFUNCTION("""COMPUTED_VALUE"""),"✴️")</f>
        <v>✴️</v>
      </c>
      <c r="M250" s="288" t="str">
        <f>IFERROR(__xludf.DUMMYFUNCTION("""COMPUTED_VALUE"""),"✴️")</f>
        <v>✴️</v>
      </c>
      <c r="N250" s="288" t="str">
        <f>IFERROR(__xludf.DUMMYFUNCTION("""COMPUTED_VALUE"""),"✴️")</f>
        <v>✴️</v>
      </c>
      <c r="O250" s="288" t="str">
        <f>IFERROR(__xludf.DUMMYFUNCTION("""COMPUTED_VALUE"""),"✴️")</f>
        <v>✴️</v>
      </c>
      <c r="P250" s="288" t="str">
        <f>IFERROR(__xludf.DUMMYFUNCTION("""COMPUTED_VALUE"""),"✴️")</f>
        <v>✴️</v>
      </c>
      <c r="Q250" s="288" t="str">
        <f>IFERROR(__xludf.DUMMYFUNCTION("""COMPUTED_VALUE"""),"✴️")</f>
        <v>✴️</v>
      </c>
      <c r="R250" s="257" t="str">
        <f>IFERROR(__xludf.DUMMYFUNCTION("""COMPUTED_VALUE"""),"   ✴️")</f>
        <v>✴️</v>
      </c>
      <c r="S250" s="258" t="str">
        <f>IFERROR(__xludf.DUMMYFUNCTION("""COMPUTED_VALUE"""),"SelfExplorer, SelfHasMorale")</f>
        <v>SelfExplorer, SelfHasMorale</v>
      </c>
      <c r="T250" s="255" t="str">
        <f>IFERROR(__xludf.DUMMYFUNCTION("""COMPUTED_VALUE"""),"➖")</f>
        <v>➖</v>
      </c>
      <c r="U250" s="255" t="str">
        <f>IFERROR(__xludf.DUMMYFUNCTION("""COMPUTED_VALUE"""),"➖")</f>
        <v>➖</v>
      </c>
      <c r="V250" s="259"/>
      <c r="W250" s="286"/>
      <c r="X250" s="286"/>
      <c r="Y250" s="286"/>
    </row>
    <row r="251">
      <c r="A251" s="28"/>
      <c r="B251" s="128"/>
      <c r="C251" s="28"/>
      <c r="D251" s="250" t="str">
        <f>IFERROR(__xludf.DUMMYFUNCTION("""COMPUTED_VALUE"""),"   R")</f>
        <v>R</v>
      </c>
      <c r="E251" s="280" t="str">
        <f>IFERROR(__xludf.DUMMYFUNCTION("""COMPUTED_VALUE"""),"TOS SCOTTY")</f>
        <v>TOS SCOTTY</v>
      </c>
      <c r="F251" s="271" t="str">
        <f>IFERROR(__xludf.DUMMYFUNCTION("""COMPUTED_VALUE"""),"CM")</f>
        <v>CM</v>
      </c>
      <c r="G251" s="281" t="str">
        <f>IFERROR(__xludf.DUMMYFUNCTION("""COMPUTED_VALUE"""),"➖")</f>
        <v>➖</v>
      </c>
      <c r="H251" s="281" t="str">
        <f>IFERROR(__xludf.DUMMYFUNCTION("""COMPUTED_VALUE"""),"➖")</f>
        <v>➖</v>
      </c>
      <c r="I251" s="281" t="str">
        <f>IFERROR(__xludf.DUMMYFUNCTION("""COMPUTED_VALUE"""),"➖")</f>
        <v>➖</v>
      </c>
      <c r="J251" s="281" t="str">
        <f>IFERROR(__xludf.DUMMYFUNCTION("""COMPUTED_VALUE"""),"➖")</f>
        <v>➖</v>
      </c>
      <c r="K251" s="282" t="str">
        <f>IFERROR(__xludf.DUMMYFUNCTION("""COMPUTED_VALUE"""),"➖")</f>
        <v>➖</v>
      </c>
      <c r="L251" s="282" t="str">
        <f>IFERROR(__xludf.DUMMYFUNCTION("""COMPUTED_VALUE"""),"➖")</f>
        <v>➖</v>
      </c>
      <c r="M251" s="282" t="str">
        <f>IFERROR(__xludf.DUMMYFUNCTION("""COMPUTED_VALUE"""),"➖")</f>
        <v>➖</v>
      </c>
      <c r="N251" s="282" t="str">
        <f>IFERROR(__xludf.DUMMYFUNCTION("""COMPUTED_VALUE"""),"➖")</f>
        <v>➖</v>
      </c>
      <c r="O251" s="282" t="str">
        <f>IFERROR(__xludf.DUMMYFUNCTION("""COMPUTED_VALUE"""),"➖")</f>
        <v>➖</v>
      </c>
      <c r="P251" s="282" t="str">
        <f>IFERROR(__xludf.DUMMYFUNCTION("""COMPUTED_VALUE"""),"➖")</f>
        <v>➖</v>
      </c>
      <c r="Q251" s="282" t="str">
        <f>IFERROR(__xludf.DUMMYFUNCTION("""COMPUTED_VALUE"""),"➖")</f>
        <v>➖</v>
      </c>
      <c r="R251" s="283" t="str">
        <f>IFERROR(__xludf.DUMMYFUNCTION("""COMPUTED_VALUE"""),"   ➖")</f>
        <v>➖</v>
      </c>
      <c r="S251" s="284"/>
      <c r="T251" s="285" t="str">
        <f>IFERROR(__xludf.DUMMYFUNCTION("""COMPUTED_VALUE"""),"➖")</f>
        <v>➖</v>
      </c>
      <c r="U251" s="285" t="str">
        <f>IFERROR(__xludf.DUMMYFUNCTION("""COMPUTED_VALUE"""),"✅")</f>
        <v>✅</v>
      </c>
      <c r="V251" s="259"/>
      <c r="W251" s="286"/>
      <c r="X251" s="286"/>
      <c r="Y251" s="286"/>
    </row>
    <row r="252">
      <c r="A252" s="28"/>
      <c r="B252" s="132"/>
      <c r="C252" s="28"/>
      <c r="D252" s="260" t="str">
        <f>IFERROR(__xludf.DUMMYFUNCTION("""COMPUTED_VALUE"""),"   R")</f>
        <v>R</v>
      </c>
      <c r="E252" s="287" t="str">
        <f>IFERROR(__xludf.DUMMYFUNCTION("""COMPUTED_VALUE"""),"TOS SCOTTY")</f>
        <v>TOS SCOTTY</v>
      </c>
      <c r="F252" s="270" t="str">
        <f>IFERROR(__xludf.DUMMYFUNCTION("""COMPUTED_VALUE"""),"OA")</f>
        <v>OA</v>
      </c>
      <c r="G252" s="231" t="str">
        <f>IFERROR(__xludf.DUMMYFUNCTION("""COMPUTED_VALUE"""),"➖")</f>
        <v>➖</v>
      </c>
      <c r="H252" s="231" t="str">
        <f>IFERROR(__xludf.DUMMYFUNCTION("""COMPUTED_VALUE"""),"➖")</f>
        <v>➖</v>
      </c>
      <c r="I252" s="231" t="str">
        <f>IFERROR(__xludf.DUMMYFUNCTION("""COMPUTED_VALUE"""),"➖")</f>
        <v>➖</v>
      </c>
      <c r="J252" s="231" t="str">
        <f>IFERROR(__xludf.DUMMYFUNCTION("""COMPUTED_VALUE"""),"➖")</f>
        <v>➖</v>
      </c>
      <c r="K252" s="288" t="str">
        <f>IFERROR(__xludf.DUMMYFUNCTION("""COMPUTED_VALUE"""),"➖")</f>
        <v>➖</v>
      </c>
      <c r="L252" s="288" t="str">
        <f>IFERROR(__xludf.DUMMYFUNCTION("""COMPUTED_VALUE"""),"➖")</f>
        <v>➖</v>
      </c>
      <c r="M252" s="288" t="str">
        <f>IFERROR(__xludf.DUMMYFUNCTION("""COMPUTED_VALUE"""),"➖")</f>
        <v>➖</v>
      </c>
      <c r="N252" s="288" t="str">
        <f>IFERROR(__xludf.DUMMYFUNCTION("""COMPUTED_VALUE"""),"➖")</f>
        <v>➖</v>
      </c>
      <c r="O252" s="288" t="str">
        <f>IFERROR(__xludf.DUMMYFUNCTION("""COMPUTED_VALUE"""),"➖")</f>
        <v>➖</v>
      </c>
      <c r="P252" s="288" t="str">
        <f>IFERROR(__xludf.DUMMYFUNCTION("""COMPUTED_VALUE"""),"➖")</f>
        <v>➖</v>
      </c>
      <c r="Q252" s="288" t="str">
        <f>IFERROR(__xludf.DUMMYFUNCTION("""COMPUTED_VALUE"""),"➖")</f>
        <v>➖</v>
      </c>
      <c r="R252" s="257" t="str">
        <f>IFERROR(__xludf.DUMMYFUNCTION("""COMPUTED_VALUE"""),"   ➖")</f>
        <v>➖</v>
      </c>
      <c r="S252" s="258"/>
      <c r="T252" s="255" t="str">
        <f>IFERROR(__xludf.DUMMYFUNCTION("""COMPUTED_VALUE"""),"➖")</f>
        <v>➖</v>
      </c>
      <c r="U252" s="255" t="str">
        <f>IFERROR(__xludf.DUMMYFUNCTION("""COMPUTED_VALUE"""),"✅")</f>
        <v>✅</v>
      </c>
      <c r="V252" s="259"/>
      <c r="W252" s="286"/>
      <c r="X252" s="286"/>
      <c r="Y252" s="286"/>
    </row>
    <row r="253">
      <c r="A253" s="28"/>
      <c r="B253" s="128"/>
      <c r="C253" s="28"/>
      <c r="D253" s="250" t="str">
        <f>IFERROR(__xludf.DUMMYFUNCTION("""COMPUTED_VALUE"""),"   R")</f>
        <v>R</v>
      </c>
      <c r="E253" s="280" t="str">
        <f>IFERROR(__xludf.DUMMYFUNCTION("""COMPUTED_VALUE"""),"TOS CHEKOV")</f>
        <v>TOS CHEKOV</v>
      </c>
      <c r="F253" s="271" t="str">
        <f>IFERROR(__xludf.DUMMYFUNCTION("""COMPUTED_VALUE"""),"CM")</f>
        <v>CM</v>
      </c>
      <c r="G253" s="281" t="str">
        <f>IFERROR(__xludf.DUMMYFUNCTION("""COMPUTED_VALUE"""),"➖")</f>
        <v>➖</v>
      </c>
      <c r="H253" s="281" t="str">
        <f>IFERROR(__xludf.DUMMYFUNCTION("""COMPUTED_VALUE"""),"➖")</f>
        <v>➖</v>
      </c>
      <c r="I253" s="281" t="str">
        <f>IFERROR(__xludf.DUMMYFUNCTION("""COMPUTED_VALUE"""),"➖")</f>
        <v>➖</v>
      </c>
      <c r="J253" s="281" t="str">
        <f>IFERROR(__xludf.DUMMYFUNCTION("""COMPUTED_VALUE"""),"➖")</f>
        <v>➖</v>
      </c>
      <c r="K253" s="282" t="str">
        <f>IFERROR(__xludf.DUMMYFUNCTION("""COMPUTED_VALUE"""),"➖")</f>
        <v>➖</v>
      </c>
      <c r="L253" s="282" t="str">
        <f>IFERROR(__xludf.DUMMYFUNCTION("""COMPUTED_VALUE"""),"➖")</f>
        <v>➖</v>
      </c>
      <c r="M253" s="282" t="str">
        <f>IFERROR(__xludf.DUMMYFUNCTION("""COMPUTED_VALUE"""),"➖")</f>
        <v>➖</v>
      </c>
      <c r="N253" s="282" t="str">
        <f>IFERROR(__xludf.DUMMYFUNCTION("""COMPUTED_VALUE"""),"➖")</f>
        <v>➖</v>
      </c>
      <c r="O253" s="282" t="str">
        <f>IFERROR(__xludf.DUMMYFUNCTION("""COMPUTED_VALUE"""),"➖")</f>
        <v>➖</v>
      </c>
      <c r="P253" s="282" t="str">
        <f>IFERROR(__xludf.DUMMYFUNCTION("""COMPUTED_VALUE"""),"➖")</f>
        <v>➖</v>
      </c>
      <c r="Q253" s="282" t="str">
        <f>IFERROR(__xludf.DUMMYFUNCTION("""COMPUTED_VALUE"""),"➖")</f>
        <v>➖</v>
      </c>
      <c r="R253" s="283" t="str">
        <f>IFERROR(__xludf.DUMMYFUNCTION("""COMPUTED_VALUE"""),"   ➖")</f>
        <v>➖</v>
      </c>
      <c r="S253" s="284"/>
      <c r="T253" s="285" t="str">
        <f>IFERROR(__xludf.DUMMYFUNCTION("""COMPUTED_VALUE"""),"➖")</f>
        <v>➖</v>
      </c>
      <c r="U253" s="285" t="str">
        <f>IFERROR(__xludf.DUMMYFUNCTION("""COMPUTED_VALUE"""),"✅")</f>
        <v>✅</v>
      </c>
      <c r="V253" s="259"/>
      <c r="W253" s="286"/>
      <c r="X253" s="286"/>
      <c r="Y253" s="286"/>
    </row>
    <row r="254">
      <c r="A254" s="28"/>
      <c r="B254" s="132"/>
      <c r="C254" s="28"/>
      <c r="D254" s="260" t="str">
        <f>IFERROR(__xludf.DUMMYFUNCTION("""COMPUTED_VALUE"""),"   R")</f>
        <v>R</v>
      </c>
      <c r="E254" s="287" t="str">
        <f>IFERROR(__xludf.DUMMYFUNCTION("""COMPUTED_VALUE"""),"TOS CHEKOV")</f>
        <v>TOS CHEKOV</v>
      </c>
      <c r="F254" s="270" t="str">
        <f>IFERROR(__xludf.DUMMYFUNCTION("""COMPUTED_VALUE"""),"OA")</f>
        <v>OA</v>
      </c>
      <c r="G254" s="231" t="str">
        <f>IFERROR(__xludf.DUMMYFUNCTION("""COMPUTED_VALUE"""),"✴️")</f>
        <v>✴️</v>
      </c>
      <c r="H254" s="231" t="str">
        <f>IFERROR(__xludf.DUMMYFUNCTION("""COMPUTED_VALUE"""),"➖")</f>
        <v>➖</v>
      </c>
      <c r="I254" s="231" t="str">
        <f>IFERROR(__xludf.DUMMYFUNCTION("""COMPUTED_VALUE"""),"➖")</f>
        <v>➖</v>
      </c>
      <c r="J254" s="231" t="str">
        <f>IFERROR(__xludf.DUMMYFUNCTION("""COMPUTED_VALUE"""),"➖")</f>
        <v>➖</v>
      </c>
      <c r="K254" s="288" t="str">
        <f>IFERROR(__xludf.DUMMYFUNCTION("""COMPUTED_VALUE"""),"➖")</f>
        <v>➖</v>
      </c>
      <c r="L254" s="288" t="str">
        <f>IFERROR(__xludf.DUMMYFUNCTION("""COMPUTED_VALUE"""),"➖")</f>
        <v>➖</v>
      </c>
      <c r="M254" s="288" t="str">
        <f>IFERROR(__xludf.DUMMYFUNCTION("""COMPUTED_VALUE"""),"➖")</f>
        <v>➖</v>
      </c>
      <c r="N254" s="288" t="str">
        <f>IFERROR(__xludf.DUMMYFUNCTION("""COMPUTED_VALUE"""),"➖")</f>
        <v>➖</v>
      </c>
      <c r="O254" s="288" t="str">
        <f>IFERROR(__xludf.DUMMYFUNCTION("""COMPUTED_VALUE"""),"➖")</f>
        <v>➖</v>
      </c>
      <c r="P254" s="288" t="str">
        <f>IFERROR(__xludf.DUMMYFUNCTION("""COMPUTED_VALUE"""),"➖")</f>
        <v>➖</v>
      </c>
      <c r="Q254" s="288" t="str">
        <f>IFERROR(__xludf.DUMMYFUNCTION("""COMPUTED_VALUE"""),"➖")</f>
        <v>➖</v>
      </c>
      <c r="R254" s="257" t="str">
        <f>IFERROR(__xludf.DUMMYFUNCTION("""COMPUTED_VALUE"""),"   ➖")</f>
        <v>➖</v>
      </c>
      <c r="S254" s="258" t="str">
        <f>IFERROR(__xludf.DUMMYFUNCTION("""COMPUTED_VALUE"""),"docked on a node")</f>
        <v>docked on a node</v>
      </c>
      <c r="T254" s="255" t="str">
        <f>IFERROR(__xludf.DUMMYFUNCTION("""COMPUTED_VALUE"""),"➖")</f>
        <v>➖</v>
      </c>
      <c r="U254" s="255" t="str">
        <f>IFERROR(__xludf.DUMMYFUNCTION("""COMPUTED_VALUE"""),"➖")</f>
        <v>➖</v>
      </c>
      <c r="V254" s="259"/>
      <c r="W254" s="286"/>
      <c r="X254" s="286"/>
      <c r="Y254" s="286"/>
    </row>
    <row r="255">
      <c r="A255" s="28"/>
      <c r="B255" s="128"/>
      <c r="C255" s="28"/>
      <c r="D255" s="250" t="str">
        <f>IFERROR(__xludf.DUMMYFUNCTION("""COMPUTED_VALUE"""),"   C")</f>
        <v>C</v>
      </c>
      <c r="E255" s="280" t="str">
        <f>IFERROR(__xludf.DUMMYFUNCTION("""COMPUTED_VALUE"""),"NEXT GEN DATA")</f>
        <v>NEXT GEN DATA</v>
      </c>
      <c r="F255" s="271" t="str">
        <f>IFERROR(__xludf.DUMMYFUNCTION("""COMPUTED_VALUE"""),"CM")</f>
        <v>CM</v>
      </c>
      <c r="G255" s="281" t="str">
        <f>IFERROR(__xludf.DUMMYFUNCTION("""COMPUTED_VALUE"""),"✅")</f>
        <v>✅</v>
      </c>
      <c r="H255" s="281" t="str">
        <f>IFERROR(__xludf.DUMMYFUNCTION("""COMPUTED_VALUE"""),"✅")</f>
        <v>✅</v>
      </c>
      <c r="I255" s="281" t="str">
        <f>IFERROR(__xludf.DUMMYFUNCTION("""COMPUTED_VALUE"""),"✅")</f>
        <v>✅</v>
      </c>
      <c r="J255" s="281" t="str">
        <f>IFERROR(__xludf.DUMMYFUNCTION("""COMPUTED_VALUE"""),"✅")</f>
        <v>✅</v>
      </c>
      <c r="K255" s="282" t="str">
        <f>IFERROR(__xludf.DUMMYFUNCTION("""COMPUTED_VALUE"""),"✅")</f>
        <v>✅</v>
      </c>
      <c r="L255" s="282" t="str">
        <f>IFERROR(__xludf.DUMMYFUNCTION("""COMPUTED_VALUE"""),"✅")</f>
        <v>✅</v>
      </c>
      <c r="M255" s="282" t="str">
        <f>IFERROR(__xludf.DUMMYFUNCTION("""COMPUTED_VALUE"""),"✅")</f>
        <v>✅</v>
      </c>
      <c r="N255" s="282" t="str">
        <f>IFERROR(__xludf.DUMMYFUNCTION("""COMPUTED_VALUE"""),"✅")</f>
        <v>✅</v>
      </c>
      <c r="O255" s="282" t="str">
        <f>IFERROR(__xludf.DUMMYFUNCTION("""COMPUTED_VALUE"""),"✅")</f>
        <v>✅</v>
      </c>
      <c r="P255" s="282" t="str">
        <f>IFERROR(__xludf.DUMMYFUNCTION("""COMPUTED_VALUE"""),"✅")</f>
        <v>✅</v>
      </c>
      <c r="Q255" s="282" t="str">
        <f>IFERROR(__xludf.DUMMYFUNCTION("""COMPUTED_VALUE"""),"✅")</f>
        <v>✅</v>
      </c>
      <c r="R255" s="283" t="str">
        <f>IFERROR(__xludf.DUMMYFUNCTION("""COMPUTED_VALUE"""),"   ✅")</f>
        <v>✅</v>
      </c>
      <c r="S255" s="284"/>
      <c r="T255" s="285" t="str">
        <f>IFERROR(__xludf.DUMMYFUNCTION("""COMPUTED_VALUE"""),"➖")</f>
        <v>➖</v>
      </c>
      <c r="U255" s="285" t="str">
        <f>IFERROR(__xludf.DUMMYFUNCTION("""COMPUTED_VALUE"""),"➖")</f>
        <v>➖</v>
      </c>
      <c r="V255" s="259"/>
      <c r="W255" s="286"/>
      <c r="X255" s="286"/>
      <c r="Y255" s="286"/>
    </row>
    <row r="256">
      <c r="A256" s="28"/>
      <c r="B256" s="132"/>
      <c r="C256" s="28"/>
      <c r="D256" s="260" t="str">
        <f>IFERROR(__xludf.DUMMYFUNCTION("""COMPUTED_VALUE"""),"   C")</f>
        <v>C</v>
      </c>
      <c r="E256" s="287" t="str">
        <f>IFERROR(__xludf.DUMMYFUNCTION("""COMPUTED_VALUE"""),"NEXT GEN DATA")</f>
        <v>NEXT GEN DATA</v>
      </c>
      <c r="F256" s="270" t="str">
        <f>IFERROR(__xludf.DUMMYFUNCTION("""COMPUTED_VALUE"""),"OA")</f>
        <v>OA</v>
      </c>
      <c r="G256" s="231" t="str">
        <f>IFERROR(__xludf.DUMMYFUNCTION("""COMPUTED_VALUE"""),"✅")</f>
        <v>✅</v>
      </c>
      <c r="H256" s="231" t="str">
        <f>IFERROR(__xludf.DUMMYFUNCTION("""COMPUTED_VALUE"""),"✅")</f>
        <v>✅</v>
      </c>
      <c r="I256" s="231" t="str">
        <f>IFERROR(__xludf.DUMMYFUNCTION("""COMPUTED_VALUE"""),"✅")</f>
        <v>✅</v>
      </c>
      <c r="J256" s="231" t="str">
        <f>IFERROR(__xludf.DUMMYFUNCTION("""COMPUTED_VALUE"""),"✅")</f>
        <v>✅</v>
      </c>
      <c r="K256" s="288" t="str">
        <f>IFERROR(__xludf.DUMMYFUNCTION("""COMPUTED_VALUE"""),"✅")</f>
        <v>✅</v>
      </c>
      <c r="L256" s="288" t="str">
        <f>IFERROR(__xludf.DUMMYFUNCTION("""COMPUTED_VALUE"""),"✅")</f>
        <v>✅</v>
      </c>
      <c r="M256" s="288" t="str">
        <f>IFERROR(__xludf.DUMMYFUNCTION("""COMPUTED_VALUE"""),"✅")</f>
        <v>✅</v>
      </c>
      <c r="N256" s="288" t="str">
        <f>IFERROR(__xludf.DUMMYFUNCTION("""COMPUTED_VALUE"""),"✅")</f>
        <v>✅</v>
      </c>
      <c r="O256" s="288" t="str">
        <f>IFERROR(__xludf.DUMMYFUNCTION("""COMPUTED_VALUE"""),"✅")</f>
        <v>✅</v>
      </c>
      <c r="P256" s="288" t="str">
        <f>IFERROR(__xludf.DUMMYFUNCTION("""COMPUTED_VALUE"""),"✅")</f>
        <v>✅</v>
      </c>
      <c r="Q256" s="288" t="str">
        <f>IFERROR(__xludf.DUMMYFUNCTION("""COMPUTED_VALUE"""),"✅")</f>
        <v>✅</v>
      </c>
      <c r="R256" s="257" t="str">
        <f>IFERROR(__xludf.DUMMYFUNCTION("""COMPUTED_VALUE"""),"   ✅")</f>
        <v>✅</v>
      </c>
      <c r="S256" s="258"/>
      <c r="T256" s="255" t="str">
        <f>IFERROR(__xludf.DUMMYFUNCTION("""COMPUTED_VALUE"""),"➖")</f>
        <v>➖</v>
      </c>
      <c r="U256" s="255" t="str">
        <f>IFERROR(__xludf.DUMMYFUNCTION("""COMPUTED_VALUE"""),"➖")</f>
        <v>➖</v>
      </c>
      <c r="V256" s="259"/>
      <c r="W256" s="286"/>
      <c r="X256" s="286"/>
      <c r="Y256" s="286"/>
    </row>
    <row r="257">
      <c r="A257" s="28"/>
      <c r="B257" s="128"/>
      <c r="C257" s="28"/>
      <c r="D257" s="250" t="str">
        <f>IFERROR(__xludf.DUMMYFUNCTION("""COMPUTED_VALUE"""),"   C")</f>
        <v>C</v>
      </c>
      <c r="E257" s="280" t="str">
        <f>IFERROR(__xludf.DUMMYFUNCTION("""COMPUTED_VALUE"""),"NEXT GEN TROI")</f>
        <v>NEXT GEN TROI</v>
      </c>
      <c r="F257" s="271" t="str">
        <f>IFERROR(__xludf.DUMMYFUNCTION("""COMPUTED_VALUE"""),"CM")</f>
        <v>CM</v>
      </c>
      <c r="G257" s="281" t="str">
        <f>IFERROR(__xludf.DUMMYFUNCTION("""COMPUTED_VALUE"""),"✅")</f>
        <v>✅</v>
      </c>
      <c r="H257" s="281" t="str">
        <f>IFERROR(__xludf.DUMMYFUNCTION("""COMPUTED_VALUE"""),"✅")</f>
        <v>✅</v>
      </c>
      <c r="I257" s="281" t="str">
        <f>IFERROR(__xludf.DUMMYFUNCTION("""COMPUTED_VALUE"""),"✅")</f>
        <v>✅</v>
      </c>
      <c r="J257" s="281" t="str">
        <f>IFERROR(__xludf.DUMMYFUNCTION("""COMPUTED_VALUE"""),"✅")</f>
        <v>✅</v>
      </c>
      <c r="K257" s="282" t="str">
        <f>IFERROR(__xludf.DUMMYFUNCTION("""COMPUTED_VALUE"""),"✅")</f>
        <v>✅</v>
      </c>
      <c r="L257" s="282" t="str">
        <f>IFERROR(__xludf.DUMMYFUNCTION("""COMPUTED_VALUE"""),"✅")</f>
        <v>✅</v>
      </c>
      <c r="M257" s="282" t="str">
        <f>IFERROR(__xludf.DUMMYFUNCTION("""COMPUTED_VALUE"""),"✅")</f>
        <v>✅</v>
      </c>
      <c r="N257" s="282" t="str">
        <f>IFERROR(__xludf.DUMMYFUNCTION("""COMPUTED_VALUE"""),"✅")</f>
        <v>✅</v>
      </c>
      <c r="O257" s="282" t="str">
        <f>IFERROR(__xludf.DUMMYFUNCTION("""COMPUTED_VALUE"""),"✅")</f>
        <v>✅</v>
      </c>
      <c r="P257" s="282" t="str">
        <f>IFERROR(__xludf.DUMMYFUNCTION("""COMPUTED_VALUE"""),"✅")</f>
        <v>✅</v>
      </c>
      <c r="Q257" s="282" t="str">
        <f>IFERROR(__xludf.DUMMYFUNCTION("""COMPUTED_VALUE"""),"✅")</f>
        <v>✅</v>
      </c>
      <c r="R257" s="283" t="str">
        <f>IFERROR(__xludf.DUMMYFUNCTION("""COMPUTED_VALUE"""),"   ✅")</f>
        <v>✅</v>
      </c>
      <c r="S257" s="284"/>
      <c r="T257" s="285" t="str">
        <f>IFERROR(__xludf.DUMMYFUNCTION("""COMPUTED_VALUE"""),"➖")</f>
        <v>➖</v>
      </c>
      <c r="U257" s="285" t="str">
        <f>IFERROR(__xludf.DUMMYFUNCTION("""COMPUTED_VALUE"""),"➖")</f>
        <v>➖</v>
      </c>
      <c r="V257" s="259"/>
      <c r="W257" s="286"/>
      <c r="X257" s="286"/>
      <c r="Y257" s="286"/>
    </row>
    <row r="258">
      <c r="A258" s="28"/>
      <c r="B258" s="132"/>
      <c r="C258" s="28"/>
      <c r="D258" s="260" t="str">
        <f>IFERROR(__xludf.DUMMYFUNCTION("""COMPUTED_VALUE"""),"   C")</f>
        <v>C</v>
      </c>
      <c r="E258" s="287" t="str">
        <f>IFERROR(__xludf.DUMMYFUNCTION("""COMPUTED_VALUE"""),"NEXT GEN TROI")</f>
        <v>NEXT GEN TROI</v>
      </c>
      <c r="F258" s="270" t="str">
        <f>IFERROR(__xludf.DUMMYFUNCTION("""COMPUTED_VALUE"""),"OA")</f>
        <v>OA</v>
      </c>
      <c r="G258" s="231" t="str">
        <f>IFERROR(__xludf.DUMMYFUNCTION("""COMPUTED_VALUE"""),"✅")</f>
        <v>✅</v>
      </c>
      <c r="H258" s="231" t="str">
        <f>IFERROR(__xludf.DUMMYFUNCTION("""COMPUTED_VALUE"""),"✅")</f>
        <v>✅</v>
      </c>
      <c r="I258" s="231" t="str">
        <f>IFERROR(__xludf.DUMMYFUNCTION("""COMPUTED_VALUE"""),"✅")</f>
        <v>✅</v>
      </c>
      <c r="J258" s="231" t="str">
        <f>IFERROR(__xludf.DUMMYFUNCTION("""COMPUTED_VALUE"""),"✅")</f>
        <v>✅</v>
      </c>
      <c r="K258" s="288" t="str">
        <f>IFERROR(__xludf.DUMMYFUNCTION("""COMPUTED_VALUE"""),"✅")</f>
        <v>✅</v>
      </c>
      <c r="L258" s="288" t="str">
        <f>IFERROR(__xludf.DUMMYFUNCTION("""COMPUTED_VALUE"""),"✅")</f>
        <v>✅</v>
      </c>
      <c r="M258" s="288" t="str">
        <f>IFERROR(__xludf.DUMMYFUNCTION("""COMPUTED_VALUE"""),"✅")</f>
        <v>✅</v>
      </c>
      <c r="N258" s="288" t="str">
        <f>IFERROR(__xludf.DUMMYFUNCTION("""COMPUTED_VALUE"""),"✅")</f>
        <v>✅</v>
      </c>
      <c r="O258" s="288" t="str">
        <f>IFERROR(__xludf.DUMMYFUNCTION("""COMPUTED_VALUE"""),"✅")</f>
        <v>✅</v>
      </c>
      <c r="P258" s="288" t="str">
        <f>IFERROR(__xludf.DUMMYFUNCTION("""COMPUTED_VALUE"""),"✅")</f>
        <v>✅</v>
      </c>
      <c r="Q258" s="288" t="str">
        <f>IFERROR(__xludf.DUMMYFUNCTION("""COMPUTED_VALUE"""),"✅")</f>
        <v>✅</v>
      </c>
      <c r="R258" s="257" t="str">
        <f>IFERROR(__xludf.DUMMYFUNCTION("""COMPUTED_VALUE"""),"   ✅")</f>
        <v>✅</v>
      </c>
      <c r="S258" s="258"/>
      <c r="T258" s="255" t="str">
        <f>IFERROR(__xludf.DUMMYFUNCTION("""COMPUTED_VALUE"""),"➖")</f>
        <v>➖</v>
      </c>
      <c r="U258" s="255" t="str">
        <f>IFERROR(__xludf.DUMMYFUNCTION("""COMPUTED_VALUE"""),"➖")</f>
        <v>➖</v>
      </c>
      <c r="V258" s="259"/>
      <c r="W258" s="286"/>
      <c r="X258" s="286"/>
      <c r="Y258" s="286"/>
    </row>
    <row r="259">
      <c r="A259" s="28"/>
      <c r="B259" s="128"/>
      <c r="C259" s="28"/>
      <c r="D259" s="250" t="str">
        <f>IFERROR(__xludf.DUMMYFUNCTION("""COMPUTED_VALUE"""),"   C")</f>
        <v>C</v>
      </c>
      <c r="E259" s="280" t="str">
        <f>IFERROR(__xludf.DUMMYFUNCTION("""COMPUTED_VALUE"""),"NEXT GEN CRUSHER")</f>
        <v>NEXT GEN CRUSHER</v>
      </c>
      <c r="F259" s="271" t="str">
        <f>IFERROR(__xludf.DUMMYFUNCTION("""COMPUTED_VALUE"""),"CM")</f>
        <v>CM</v>
      </c>
      <c r="G259" s="281" t="str">
        <f>IFERROR(__xludf.DUMMYFUNCTION("""COMPUTED_VALUE"""),"✅")</f>
        <v>✅</v>
      </c>
      <c r="H259" s="281" t="str">
        <f>IFERROR(__xludf.DUMMYFUNCTION("""COMPUTED_VALUE"""),"✅")</f>
        <v>✅</v>
      </c>
      <c r="I259" s="281" t="str">
        <f>IFERROR(__xludf.DUMMYFUNCTION("""COMPUTED_VALUE"""),"✅")</f>
        <v>✅</v>
      </c>
      <c r="J259" s="281" t="str">
        <f>IFERROR(__xludf.DUMMYFUNCTION("""COMPUTED_VALUE"""),"✅")</f>
        <v>✅</v>
      </c>
      <c r="K259" s="282" t="str">
        <f>IFERROR(__xludf.DUMMYFUNCTION("""COMPUTED_VALUE"""),"✅")</f>
        <v>✅</v>
      </c>
      <c r="L259" s="282" t="str">
        <f>IFERROR(__xludf.DUMMYFUNCTION("""COMPUTED_VALUE"""),"✅")</f>
        <v>✅</v>
      </c>
      <c r="M259" s="282" t="str">
        <f>IFERROR(__xludf.DUMMYFUNCTION("""COMPUTED_VALUE"""),"✅")</f>
        <v>✅</v>
      </c>
      <c r="N259" s="282" t="str">
        <f>IFERROR(__xludf.DUMMYFUNCTION("""COMPUTED_VALUE"""),"✅")</f>
        <v>✅</v>
      </c>
      <c r="O259" s="282" t="str">
        <f>IFERROR(__xludf.DUMMYFUNCTION("""COMPUTED_VALUE"""),"✅")</f>
        <v>✅</v>
      </c>
      <c r="P259" s="282" t="str">
        <f>IFERROR(__xludf.DUMMYFUNCTION("""COMPUTED_VALUE"""),"✅")</f>
        <v>✅</v>
      </c>
      <c r="Q259" s="282" t="str">
        <f>IFERROR(__xludf.DUMMYFUNCTION("""COMPUTED_VALUE"""),"✅")</f>
        <v>✅</v>
      </c>
      <c r="R259" s="283" t="str">
        <f>IFERROR(__xludf.DUMMYFUNCTION("""COMPUTED_VALUE"""),"   ✅")</f>
        <v>✅</v>
      </c>
      <c r="S259" s="284"/>
      <c r="T259" s="285" t="str">
        <f>IFERROR(__xludf.DUMMYFUNCTION("""COMPUTED_VALUE"""),"➖")</f>
        <v>➖</v>
      </c>
      <c r="U259" s="285" t="str">
        <f>IFERROR(__xludf.DUMMYFUNCTION("""COMPUTED_VALUE"""),"➖")</f>
        <v>➖</v>
      </c>
      <c r="V259" s="259"/>
      <c r="W259" s="286"/>
      <c r="X259" s="286"/>
      <c r="Y259" s="286"/>
    </row>
    <row r="260">
      <c r="A260" s="28"/>
      <c r="B260" s="132"/>
      <c r="C260" s="28"/>
      <c r="D260" s="260" t="str">
        <f>IFERROR(__xludf.DUMMYFUNCTION("""COMPUTED_VALUE"""),"   C")</f>
        <v>C</v>
      </c>
      <c r="E260" s="287" t="str">
        <f>IFERROR(__xludf.DUMMYFUNCTION("""COMPUTED_VALUE"""),"NEXT GEN CRUSHER")</f>
        <v>NEXT GEN CRUSHER</v>
      </c>
      <c r="F260" s="270" t="str">
        <f>IFERROR(__xludf.DUMMYFUNCTION("""COMPUTED_VALUE"""),"OA")</f>
        <v>OA</v>
      </c>
      <c r="G260" s="231" t="str">
        <f>IFERROR(__xludf.DUMMYFUNCTION("""COMPUTED_VALUE"""),"✅")</f>
        <v>✅</v>
      </c>
      <c r="H260" s="231" t="str">
        <f>IFERROR(__xludf.DUMMYFUNCTION("""COMPUTED_VALUE"""),"✅")</f>
        <v>✅</v>
      </c>
      <c r="I260" s="231" t="str">
        <f>IFERROR(__xludf.DUMMYFUNCTION("""COMPUTED_VALUE"""),"✅")</f>
        <v>✅</v>
      </c>
      <c r="J260" s="231" t="str">
        <f>IFERROR(__xludf.DUMMYFUNCTION("""COMPUTED_VALUE"""),"✅")</f>
        <v>✅</v>
      </c>
      <c r="K260" s="288" t="str">
        <f>IFERROR(__xludf.DUMMYFUNCTION("""COMPUTED_VALUE"""),"✅")</f>
        <v>✅</v>
      </c>
      <c r="L260" s="288" t="str">
        <f>IFERROR(__xludf.DUMMYFUNCTION("""COMPUTED_VALUE"""),"✅")</f>
        <v>✅</v>
      </c>
      <c r="M260" s="288" t="str">
        <f>IFERROR(__xludf.DUMMYFUNCTION("""COMPUTED_VALUE"""),"✅")</f>
        <v>✅</v>
      </c>
      <c r="N260" s="288" t="str">
        <f>IFERROR(__xludf.DUMMYFUNCTION("""COMPUTED_VALUE"""),"✅")</f>
        <v>✅</v>
      </c>
      <c r="O260" s="288" t="str">
        <f>IFERROR(__xludf.DUMMYFUNCTION("""COMPUTED_VALUE"""),"✅")</f>
        <v>✅</v>
      </c>
      <c r="P260" s="288" t="str">
        <f>IFERROR(__xludf.DUMMYFUNCTION("""COMPUTED_VALUE"""),"✅")</f>
        <v>✅</v>
      </c>
      <c r="Q260" s="288" t="str">
        <f>IFERROR(__xludf.DUMMYFUNCTION("""COMPUTED_VALUE"""),"✅")</f>
        <v>✅</v>
      </c>
      <c r="R260" s="257" t="str">
        <f>IFERROR(__xludf.DUMMYFUNCTION("""COMPUTED_VALUE"""),"   ✅")</f>
        <v>✅</v>
      </c>
      <c r="S260" s="258"/>
      <c r="T260" s="255" t="str">
        <f>IFERROR(__xludf.DUMMYFUNCTION("""COMPUTED_VALUE"""),"➖")</f>
        <v>➖</v>
      </c>
      <c r="U260" s="255" t="str">
        <f>IFERROR(__xludf.DUMMYFUNCTION("""COMPUTED_VALUE"""),"➖")</f>
        <v>➖</v>
      </c>
      <c r="V260" s="259"/>
      <c r="W260" s="286"/>
      <c r="X260" s="286"/>
      <c r="Y260" s="286"/>
    </row>
    <row r="261">
      <c r="A261" s="28"/>
      <c r="B261" s="128"/>
      <c r="C261" s="28"/>
      <c r="D261" s="250" t="str">
        <f>IFERROR(__xludf.DUMMYFUNCTION("""COMPUTED_VALUE"""),"   C")</f>
        <v>C</v>
      </c>
      <c r="E261" s="280" t="str">
        <f>IFERROR(__xludf.DUMMYFUNCTION("""COMPUTED_VALUE"""),"NEXT GEN LA FORGE")</f>
        <v>NEXT GEN LA FORGE</v>
      </c>
      <c r="F261" s="271" t="str">
        <f>IFERROR(__xludf.DUMMYFUNCTION("""COMPUTED_VALUE"""),"CM")</f>
        <v>CM</v>
      </c>
      <c r="G261" s="281" t="str">
        <f>IFERROR(__xludf.DUMMYFUNCTION("""COMPUTED_VALUE"""),"✅")</f>
        <v>✅</v>
      </c>
      <c r="H261" s="281" t="str">
        <f>IFERROR(__xludf.DUMMYFUNCTION("""COMPUTED_VALUE"""),"✅")</f>
        <v>✅</v>
      </c>
      <c r="I261" s="281" t="str">
        <f>IFERROR(__xludf.DUMMYFUNCTION("""COMPUTED_VALUE"""),"✅")</f>
        <v>✅</v>
      </c>
      <c r="J261" s="281" t="str">
        <f>IFERROR(__xludf.DUMMYFUNCTION("""COMPUTED_VALUE"""),"✅")</f>
        <v>✅</v>
      </c>
      <c r="K261" s="282" t="str">
        <f>IFERROR(__xludf.DUMMYFUNCTION("""COMPUTED_VALUE"""),"✅")</f>
        <v>✅</v>
      </c>
      <c r="L261" s="282" t="str">
        <f>IFERROR(__xludf.DUMMYFUNCTION("""COMPUTED_VALUE"""),"✅")</f>
        <v>✅</v>
      </c>
      <c r="M261" s="282" t="str">
        <f>IFERROR(__xludf.DUMMYFUNCTION("""COMPUTED_VALUE"""),"➖")</f>
        <v>➖</v>
      </c>
      <c r="N261" s="282" t="str">
        <f>IFERROR(__xludf.DUMMYFUNCTION("""COMPUTED_VALUE"""),"➖")</f>
        <v>➖</v>
      </c>
      <c r="O261" s="282" t="str">
        <f>IFERROR(__xludf.DUMMYFUNCTION("""COMPUTED_VALUE"""),"➖")</f>
        <v>➖</v>
      </c>
      <c r="P261" s="282" t="str">
        <f>IFERROR(__xludf.DUMMYFUNCTION("""COMPUTED_VALUE"""),"➖")</f>
        <v>➖</v>
      </c>
      <c r="Q261" s="282" t="str">
        <f>IFERROR(__xludf.DUMMYFUNCTION("""COMPUTED_VALUE"""),"✅")</f>
        <v>✅</v>
      </c>
      <c r="R261" s="283" t="str">
        <f>IFERROR(__xludf.DUMMYFUNCTION("""COMPUTED_VALUE"""),"   ✅")</f>
        <v>✅</v>
      </c>
      <c r="S261" s="284"/>
      <c r="T261" s="285" t="str">
        <f>IFERROR(__xludf.DUMMYFUNCTION("""COMPUTED_VALUE"""),"➖")</f>
        <v>➖</v>
      </c>
      <c r="U261" s="285" t="str">
        <f>IFERROR(__xludf.DUMMYFUNCTION("""COMPUTED_VALUE"""),"➖")</f>
        <v>➖</v>
      </c>
      <c r="V261" s="259"/>
      <c r="W261" s="286"/>
      <c r="X261" s="286"/>
      <c r="Y261" s="286"/>
    </row>
    <row r="262">
      <c r="A262" s="28"/>
      <c r="B262" s="132"/>
      <c r="C262" s="28"/>
      <c r="D262" s="260" t="str">
        <f>IFERROR(__xludf.DUMMYFUNCTION("""COMPUTED_VALUE"""),"   C")</f>
        <v>C</v>
      </c>
      <c r="E262" s="287" t="str">
        <f>IFERROR(__xludf.DUMMYFUNCTION("""COMPUTED_VALUE"""),"NEXT GEN LA FORGE")</f>
        <v>NEXT GEN LA FORGE</v>
      </c>
      <c r="F262" s="270" t="str">
        <f>IFERROR(__xludf.DUMMYFUNCTION("""COMPUTED_VALUE"""),"OA")</f>
        <v>OA</v>
      </c>
      <c r="G262" s="231" t="str">
        <f>IFERROR(__xludf.DUMMYFUNCTION("""COMPUTED_VALUE"""),"✅")</f>
        <v>✅</v>
      </c>
      <c r="H262" s="231" t="str">
        <f>IFERROR(__xludf.DUMMYFUNCTION("""COMPUTED_VALUE"""),"✅")</f>
        <v>✅</v>
      </c>
      <c r="I262" s="231" t="str">
        <f>IFERROR(__xludf.DUMMYFUNCTION("""COMPUTED_VALUE"""),"✅")</f>
        <v>✅</v>
      </c>
      <c r="J262" s="231" t="str">
        <f>IFERROR(__xludf.DUMMYFUNCTION("""COMPUTED_VALUE"""),"✅")</f>
        <v>✅</v>
      </c>
      <c r="K262" s="288" t="str">
        <f>IFERROR(__xludf.DUMMYFUNCTION("""COMPUTED_VALUE"""),"✅")</f>
        <v>✅</v>
      </c>
      <c r="L262" s="288" t="str">
        <f>IFERROR(__xludf.DUMMYFUNCTION("""COMPUTED_VALUE"""),"✅")</f>
        <v>✅</v>
      </c>
      <c r="M262" s="288" t="str">
        <f>IFERROR(__xludf.DUMMYFUNCTION("""COMPUTED_VALUE"""),"✅")</f>
        <v>✅</v>
      </c>
      <c r="N262" s="288" t="str">
        <f>IFERROR(__xludf.DUMMYFUNCTION("""COMPUTED_VALUE"""),"✅")</f>
        <v>✅</v>
      </c>
      <c r="O262" s="288" t="str">
        <f>IFERROR(__xludf.DUMMYFUNCTION("""COMPUTED_VALUE"""),"✅")</f>
        <v>✅</v>
      </c>
      <c r="P262" s="288" t="str">
        <f>IFERROR(__xludf.DUMMYFUNCTION("""COMPUTED_VALUE"""),"✅")</f>
        <v>✅</v>
      </c>
      <c r="Q262" s="288" t="str">
        <f>IFERROR(__xludf.DUMMYFUNCTION("""COMPUTED_VALUE"""),"✅")</f>
        <v>✅</v>
      </c>
      <c r="R262" s="257" t="str">
        <f>IFERROR(__xludf.DUMMYFUNCTION("""COMPUTED_VALUE"""),"   ✅")</f>
        <v>✅</v>
      </c>
      <c r="S262" s="258"/>
      <c r="T262" s="255" t="str">
        <f>IFERROR(__xludf.DUMMYFUNCTION("""COMPUTED_VALUE"""),"➖")</f>
        <v>➖</v>
      </c>
      <c r="U262" s="255" t="str">
        <f>IFERROR(__xludf.DUMMYFUNCTION("""COMPUTED_VALUE"""),"➖")</f>
        <v>➖</v>
      </c>
      <c r="V262" s="259"/>
      <c r="W262" s="286"/>
      <c r="X262" s="286"/>
      <c r="Y262" s="286"/>
    </row>
    <row r="263">
      <c r="A263" s="28"/>
      <c r="B263" s="128"/>
      <c r="C263" s="28"/>
      <c r="D263" s="250" t="str">
        <f>IFERROR(__xludf.DUMMYFUNCTION("""COMPUTED_VALUE"""),"   C")</f>
        <v>C</v>
      </c>
      <c r="E263" s="280" t="str">
        <f>IFERROR(__xludf.DUMMYFUNCTION("""COMPUTED_VALUE"""),"NEXT GEN RIKER")</f>
        <v>NEXT GEN RIKER</v>
      </c>
      <c r="F263" s="271" t="str">
        <f>IFERROR(__xludf.DUMMYFUNCTION("""COMPUTED_VALUE"""),"CM")</f>
        <v>CM</v>
      </c>
      <c r="G263" s="281" t="str">
        <f>IFERROR(__xludf.DUMMYFUNCTION("""COMPUTED_VALUE"""),"✅")</f>
        <v>✅</v>
      </c>
      <c r="H263" s="281" t="str">
        <f>IFERROR(__xludf.DUMMYFUNCTION("""COMPUTED_VALUE"""),"✅")</f>
        <v>✅</v>
      </c>
      <c r="I263" s="281" t="str">
        <f>IFERROR(__xludf.DUMMYFUNCTION("""COMPUTED_VALUE"""),"✅")</f>
        <v>✅</v>
      </c>
      <c r="J263" s="281" t="str">
        <f>IFERROR(__xludf.DUMMYFUNCTION("""COMPUTED_VALUE"""),"✅")</f>
        <v>✅</v>
      </c>
      <c r="K263" s="282" t="str">
        <f>IFERROR(__xludf.DUMMYFUNCTION("""COMPUTED_VALUE"""),"✅")</f>
        <v>✅</v>
      </c>
      <c r="L263" s="282" t="str">
        <f>IFERROR(__xludf.DUMMYFUNCTION("""COMPUTED_VALUE"""),"✅")</f>
        <v>✅</v>
      </c>
      <c r="M263" s="282" t="str">
        <f>IFERROR(__xludf.DUMMYFUNCTION("""COMPUTED_VALUE"""),"✅")</f>
        <v>✅</v>
      </c>
      <c r="N263" s="282" t="str">
        <f>IFERROR(__xludf.DUMMYFUNCTION("""COMPUTED_VALUE"""),"✅")</f>
        <v>✅</v>
      </c>
      <c r="O263" s="282" t="str">
        <f>IFERROR(__xludf.DUMMYFUNCTION("""COMPUTED_VALUE"""),"✅")</f>
        <v>✅</v>
      </c>
      <c r="P263" s="282" t="str">
        <f>IFERROR(__xludf.DUMMYFUNCTION("""COMPUTED_VALUE"""),"✅")</f>
        <v>✅</v>
      </c>
      <c r="Q263" s="282" t="str">
        <f>IFERROR(__xludf.DUMMYFUNCTION("""COMPUTED_VALUE"""),"✅")</f>
        <v>✅</v>
      </c>
      <c r="R263" s="283" t="str">
        <f>IFERROR(__xludf.DUMMYFUNCTION("""COMPUTED_VALUE"""),"   ✅")</f>
        <v>✅</v>
      </c>
      <c r="S263" s="284"/>
      <c r="T263" s="285" t="str">
        <f>IFERROR(__xludf.DUMMYFUNCTION("""COMPUTED_VALUE"""),"➖")</f>
        <v>➖</v>
      </c>
      <c r="U263" s="285" t="str">
        <f>IFERROR(__xludf.DUMMYFUNCTION("""COMPUTED_VALUE"""),"➖")</f>
        <v>➖</v>
      </c>
      <c r="V263" s="259"/>
      <c r="W263" s="286"/>
      <c r="X263" s="286"/>
      <c r="Y263" s="286"/>
    </row>
    <row r="264">
      <c r="A264" s="28"/>
      <c r="B264" s="132"/>
      <c r="C264" s="28"/>
      <c r="D264" s="260" t="str">
        <f>IFERROR(__xludf.DUMMYFUNCTION("""COMPUTED_VALUE"""),"   C")</f>
        <v>C</v>
      </c>
      <c r="E264" s="287" t="str">
        <f>IFERROR(__xludf.DUMMYFUNCTION("""COMPUTED_VALUE"""),"NEXT GEN RIKER")</f>
        <v>NEXT GEN RIKER</v>
      </c>
      <c r="F264" s="270" t="str">
        <f>IFERROR(__xludf.DUMMYFUNCTION("""COMPUTED_VALUE"""),"OA")</f>
        <v>OA</v>
      </c>
      <c r="G264" s="231" t="str">
        <f>IFERROR(__xludf.DUMMYFUNCTION("""COMPUTED_VALUE"""),"✅")</f>
        <v>✅</v>
      </c>
      <c r="H264" s="231" t="str">
        <f>IFERROR(__xludf.DUMMYFUNCTION("""COMPUTED_VALUE"""),"✅")</f>
        <v>✅</v>
      </c>
      <c r="I264" s="231" t="str">
        <f>IFERROR(__xludf.DUMMYFUNCTION("""COMPUTED_VALUE"""),"✅")</f>
        <v>✅</v>
      </c>
      <c r="J264" s="231" t="str">
        <f>IFERROR(__xludf.DUMMYFUNCTION("""COMPUTED_VALUE"""),"✅")</f>
        <v>✅</v>
      </c>
      <c r="K264" s="288" t="str">
        <f>IFERROR(__xludf.DUMMYFUNCTION("""COMPUTED_VALUE"""),"✅")</f>
        <v>✅</v>
      </c>
      <c r="L264" s="288" t="str">
        <f>IFERROR(__xludf.DUMMYFUNCTION("""COMPUTED_VALUE"""),"✅")</f>
        <v>✅</v>
      </c>
      <c r="M264" s="288" t="str">
        <f>IFERROR(__xludf.DUMMYFUNCTION("""COMPUTED_VALUE"""),"✅")</f>
        <v>✅</v>
      </c>
      <c r="N264" s="288" t="str">
        <f>IFERROR(__xludf.DUMMYFUNCTION("""COMPUTED_VALUE"""),"✅")</f>
        <v>✅</v>
      </c>
      <c r="O264" s="288" t="str">
        <f>IFERROR(__xludf.DUMMYFUNCTION("""COMPUTED_VALUE"""),"✅")</f>
        <v>✅</v>
      </c>
      <c r="P264" s="288" t="str">
        <f>IFERROR(__xludf.DUMMYFUNCTION("""COMPUTED_VALUE"""),"✅")</f>
        <v>✅</v>
      </c>
      <c r="Q264" s="288" t="str">
        <f>IFERROR(__xludf.DUMMYFUNCTION("""COMPUTED_VALUE"""),"✅")</f>
        <v>✅</v>
      </c>
      <c r="R264" s="257" t="str">
        <f>IFERROR(__xludf.DUMMYFUNCTION("""COMPUTED_VALUE"""),"   ✅")</f>
        <v>✅</v>
      </c>
      <c r="S264" s="258"/>
      <c r="T264" s="255" t="str">
        <f>IFERROR(__xludf.DUMMYFUNCTION("""COMPUTED_VALUE"""),"➖")</f>
        <v>➖</v>
      </c>
      <c r="U264" s="255" t="str">
        <f>IFERROR(__xludf.DUMMYFUNCTION("""COMPUTED_VALUE"""),"➖")</f>
        <v>➖</v>
      </c>
      <c r="V264" s="259"/>
      <c r="W264" s="286"/>
      <c r="X264" s="286"/>
      <c r="Y264" s="286"/>
    </row>
    <row r="265">
      <c r="A265" s="28"/>
      <c r="B265" s="128"/>
      <c r="C265" s="28"/>
      <c r="D265" s="250" t="str">
        <f>IFERROR(__xludf.DUMMYFUNCTION("""COMPUTED_VALUE"""),"   E")</f>
        <v>E</v>
      </c>
      <c r="E265" s="280" t="str">
        <f>IFERROR(__xludf.DUMMYFUNCTION("""COMPUTED_VALUE"""),"DATA")</f>
        <v>DATA</v>
      </c>
      <c r="F265" s="271" t="str">
        <f>IFERROR(__xludf.DUMMYFUNCTION("""COMPUTED_VALUE"""),"CM")</f>
        <v>CM</v>
      </c>
      <c r="G265" s="281" t="str">
        <f>IFERROR(__xludf.DUMMYFUNCTION("""COMPUTED_VALUE"""),"➖")</f>
        <v>➖</v>
      </c>
      <c r="H265" s="281" t="str">
        <f>IFERROR(__xludf.DUMMYFUNCTION("""COMPUTED_VALUE"""),"➖")</f>
        <v>➖</v>
      </c>
      <c r="I265" s="281" t="str">
        <f>IFERROR(__xludf.DUMMYFUNCTION("""COMPUTED_VALUE"""),"✅")</f>
        <v>✅</v>
      </c>
      <c r="J265" s="281" t="str">
        <f>IFERROR(__xludf.DUMMYFUNCTION("""COMPUTED_VALUE"""),"✅")</f>
        <v>✅</v>
      </c>
      <c r="K265" s="282" t="str">
        <f>IFERROR(__xludf.DUMMYFUNCTION("""COMPUTED_VALUE"""),"✅")</f>
        <v>✅</v>
      </c>
      <c r="L265" s="282" t="str">
        <f>IFERROR(__xludf.DUMMYFUNCTION("""COMPUTED_VALUE"""),"➖")</f>
        <v>➖</v>
      </c>
      <c r="M265" s="282" t="str">
        <f>IFERROR(__xludf.DUMMYFUNCTION("""COMPUTED_VALUE"""),"✅")</f>
        <v>✅</v>
      </c>
      <c r="N265" s="282" t="str">
        <f>IFERROR(__xludf.DUMMYFUNCTION("""COMPUTED_VALUE"""),"✅")</f>
        <v>✅</v>
      </c>
      <c r="O265" s="282" t="str">
        <f>IFERROR(__xludf.DUMMYFUNCTION("""COMPUTED_VALUE"""),"✅")</f>
        <v>✅</v>
      </c>
      <c r="P265" s="282" t="str">
        <f>IFERROR(__xludf.DUMMYFUNCTION("""COMPUTED_VALUE"""),"➖")</f>
        <v>➖</v>
      </c>
      <c r="Q265" s="282" t="str">
        <f>IFERROR(__xludf.DUMMYFUNCTION("""COMPUTED_VALUE"""),"➖")</f>
        <v>➖</v>
      </c>
      <c r="R265" s="283" t="str">
        <f>IFERROR(__xludf.DUMMYFUNCTION("""COMPUTED_VALUE"""),"   ➖")</f>
        <v>➖</v>
      </c>
      <c r="S265" s="284"/>
      <c r="T265" s="285" t="str">
        <f>IFERROR(__xludf.DUMMYFUNCTION("""COMPUTED_VALUE"""),"➖")</f>
        <v>➖</v>
      </c>
      <c r="U265" s="285" t="str">
        <f>IFERROR(__xludf.DUMMYFUNCTION("""COMPUTED_VALUE"""),"➖")</f>
        <v>➖</v>
      </c>
      <c r="V265" s="259"/>
      <c r="W265" s="286"/>
      <c r="X265" s="286"/>
      <c r="Y265" s="286"/>
    </row>
    <row r="266">
      <c r="A266" s="28"/>
      <c r="B266" s="132"/>
      <c r="C266" s="28"/>
      <c r="D266" s="260" t="str">
        <f>IFERROR(__xludf.DUMMYFUNCTION("""COMPUTED_VALUE"""),"   E")</f>
        <v>E</v>
      </c>
      <c r="E266" s="287" t="str">
        <f>IFERROR(__xludf.DUMMYFUNCTION("""COMPUTED_VALUE"""),"DATA")</f>
        <v>DATA</v>
      </c>
      <c r="F266" s="270" t="str">
        <f>IFERROR(__xludf.DUMMYFUNCTION("""COMPUTED_VALUE"""),"OA")</f>
        <v>OA</v>
      </c>
      <c r="G266" s="231" t="str">
        <f>IFERROR(__xludf.DUMMYFUNCTION("""COMPUTED_VALUE"""),"➖")</f>
        <v>➖</v>
      </c>
      <c r="H266" s="231" t="str">
        <f>IFERROR(__xludf.DUMMYFUNCTION("""COMPUTED_VALUE"""),"➖")</f>
        <v>➖</v>
      </c>
      <c r="I266" s="231" t="str">
        <f>IFERROR(__xludf.DUMMYFUNCTION("""COMPUTED_VALUE"""),"✅")</f>
        <v>✅</v>
      </c>
      <c r="J266" s="231" t="str">
        <f>IFERROR(__xludf.DUMMYFUNCTION("""COMPUTED_VALUE"""),"✅")</f>
        <v>✅</v>
      </c>
      <c r="K266" s="288" t="str">
        <f>IFERROR(__xludf.DUMMYFUNCTION("""COMPUTED_VALUE"""),"✅")</f>
        <v>✅</v>
      </c>
      <c r="L266" s="288" t="str">
        <f>IFERROR(__xludf.DUMMYFUNCTION("""COMPUTED_VALUE"""),"✅")</f>
        <v>✅</v>
      </c>
      <c r="M266" s="288" t="str">
        <f>IFERROR(__xludf.DUMMYFUNCTION("""COMPUTED_VALUE"""),"✅")</f>
        <v>✅</v>
      </c>
      <c r="N266" s="288" t="str">
        <f>IFERROR(__xludf.DUMMYFUNCTION("""COMPUTED_VALUE"""),"✅")</f>
        <v>✅</v>
      </c>
      <c r="O266" s="288" t="str">
        <f>IFERROR(__xludf.DUMMYFUNCTION("""COMPUTED_VALUE"""),"✅")</f>
        <v>✅</v>
      </c>
      <c r="P266" s="288" t="str">
        <f>IFERROR(__xludf.DUMMYFUNCTION("""COMPUTED_VALUE"""),"➖")</f>
        <v>➖</v>
      </c>
      <c r="Q266" s="288" t="str">
        <f>IFERROR(__xludf.DUMMYFUNCTION("""COMPUTED_VALUE"""),"➖")</f>
        <v>➖</v>
      </c>
      <c r="R266" s="257" t="str">
        <f>IFERROR(__xludf.DUMMYFUNCTION("""COMPUTED_VALUE"""),"   ➖")</f>
        <v>➖</v>
      </c>
      <c r="S266" s="258"/>
      <c r="T266" s="255" t="str">
        <f>IFERROR(__xludf.DUMMYFUNCTION("""COMPUTED_VALUE"""),"➖")</f>
        <v>➖</v>
      </c>
      <c r="U266" s="255" t="str">
        <f>IFERROR(__xludf.DUMMYFUNCTION("""COMPUTED_VALUE"""),"➖")</f>
        <v>➖</v>
      </c>
      <c r="V266" s="259"/>
      <c r="W266" s="286"/>
      <c r="X266" s="286"/>
      <c r="Y266" s="286"/>
    </row>
    <row r="267">
      <c r="A267" s="28"/>
      <c r="B267" s="128"/>
      <c r="C267" s="28"/>
      <c r="D267" s="250" t="str">
        <f>IFERROR(__xludf.DUMMYFUNCTION("""COMPUTED_VALUE"""),"   R")</f>
        <v>R</v>
      </c>
      <c r="E267" s="280" t="str">
        <f>IFERROR(__xludf.DUMMYFUNCTION("""COMPUTED_VALUE"""),"BEVERLY CRUSHER")</f>
        <v>BEVERLY CRUSHER</v>
      </c>
      <c r="F267" s="271" t="str">
        <f>IFERROR(__xludf.DUMMYFUNCTION("""COMPUTED_VALUE"""),"CM")</f>
        <v>CM</v>
      </c>
      <c r="G267" s="281" t="str">
        <f>IFERROR(__xludf.DUMMYFUNCTION("""COMPUTED_VALUE"""),"➖")</f>
        <v>➖</v>
      </c>
      <c r="H267" s="281" t="str">
        <f>IFERROR(__xludf.DUMMYFUNCTION("""COMPUTED_VALUE"""),"➖")</f>
        <v>➖</v>
      </c>
      <c r="I267" s="281" t="str">
        <f>IFERROR(__xludf.DUMMYFUNCTION("""COMPUTED_VALUE"""),"✅")</f>
        <v>✅</v>
      </c>
      <c r="J267" s="281" t="str">
        <f>IFERROR(__xludf.DUMMYFUNCTION("""COMPUTED_VALUE"""),"✅")</f>
        <v>✅</v>
      </c>
      <c r="K267" s="282" t="str">
        <f>IFERROR(__xludf.DUMMYFUNCTION("""COMPUTED_VALUE"""),"✅")</f>
        <v>✅</v>
      </c>
      <c r="L267" s="282" t="str">
        <f>IFERROR(__xludf.DUMMYFUNCTION("""COMPUTED_VALUE"""),"➖")</f>
        <v>➖</v>
      </c>
      <c r="M267" s="282" t="str">
        <f>IFERROR(__xludf.DUMMYFUNCTION("""COMPUTED_VALUE"""),"✅")</f>
        <v>✅</v>
      </c>
      <c r="N267" s="282" t="str">
        <f>IFERROR(__xludf.DUMMYFUNCTION("""COMPUTED_VALUE"""),"✅")</f>
        <v>✅</v>
      </c>
      <c r="O267" s="282" t="str">
        <f>IFERROR(__xludf.DUMMYFUNCTION("""COMPUTED_VALUE"""),"✅")</f>
        <v>✅</v>
      </c>
      <c r="P267" s="282" t="str">
        <f>IFERROR(__xludf.DUMMYFUNCTION("""COMPUTED_VALUE"""),"➖")</f>
        <v>➖</v>
      </c>
      <c r="Q267" s="282" t="str">
        <f>IFERROR(__xludf.DUMMYFUNCTION("""COMPUTED_VALUE"""),"➖")</f>
        <v>➖</v>
      </c>
      <c r="R267" s="283" t="str">
        <f>IFERROR(__xludf.DUMMYFUNCTION("""COMPUTED_VALUE"""),"   ➖")</f>
        <v>➖</v>
      </c>
      <c r="S267" s="284"/>
      <c r="T267" s="285" t="str">
        <f>IFERROR(__xludf.DUMMYFUNCTION("""COMPUTED_VALUE"""),"➖")</f>
        <v>➖</v>
      </c>
      <c r="U267" s="285" t="str">
        <f>IFERROR(__xludf.DUMMYFUNCTION("""COMPUTED_VALUE"""),"➖")</f>
        <v>➖</v>
      </c>
      <c r="V267" s="259"/>
      <c r="W267" s="286"/>
      <c r="X267" s="286"/>
      <c r="Y267" s="286"/>
    </row>
    <row r="268">
      <c r="A268" s="28"/>
      <c r="B268" s="132"/>
      <c r="C268" s="28"/>
      <c r="D268" s="260" t="str">
        <f>IFERROR(__xludf.DUMMYFUNCTION("""COMPUTED_VALUE"""),"   R")</f>
        <v>R</v>
      </c>
      <c r="E268" s="287" t="str">
        <f>IFERROR(__xludf.DUMMYFUNCTION("""COMPUTED_VALUE"""),"BEVERLY CRUSHER")</f>
        <v>BEVERLY CRUSHER</v>
      </c>
      <c r="F268" s="270" t="str">
        <f>IFERROR(__xludf.DUMMYFUNCTION("""COMPUTED_VALUE"""),"OA")</f>
        <v>OA</v>
      </c>
      <c r="G268" s="231" t="str">
        <f>IFERROR(__xludf.DUMMYFUNCTION("""COMPUTED_VALUE"""),"➖")</f>
        <v>➖</v>
      </c>
      <c r="H268" s="231" t="str">
        <f>IFERROR(__xludf.DUMMYFUNCTION("""COMPUTED_VALUE"""),"➖")</f>
        <v>➖</v>
      </c>
      <c r="I268" s="231" t="str">
        <f>IFERROR(__xludf.DUMMYFUNCTION("""COMPUTED_VALUE"""),"✅")</f>
        <v>✅</v>
      </c>
      <c r="J268" s="231" t="str">
        <f>IFERROR(__xludf.DUMMYFUNCTION("""COMPUTED_VALUE"""),"✅")</f>
        <v>✅</v>
      </c>
      <c r="K268" s="288" t="str">
        <f>IFERROR(__xludf.DUMMYFUNCTION("""COMPUTED_VALUE"""),"✅")</f>
        <v>✅</v>
      </c>
      <c r="L268" s="288" t="str">
        <f>IFERROR(__xludf.DUMMYFUNCTION("""COMPUTED_VALUE"""),"➖")</f>
        <v>➖</v>
      </c>
      <c r="M268" s="288" t="str">
        <f>IFERROR(__xludf.DUMMYFUNCTION("""COMPUTED_VALUE"""),"✅")</f>
        <v>✅</v>
      </c>
      <c r="N268" s="288" t="str">
        <f>IFERROR(__xludf.DUMMYFUNCTION("""COMPUTED_VALUE"""),"✅")</f>
        <v>✅</v>
      </c>
      <c r="O268" s="288" t="str">
        <f>IFERROR(__xludf.DUMMYFUNCTION("""COMPUTED_VALUE"""),"✅")</f>
        <v>✅</v>
      </c>
      <c r="P268" s="288" t="str">
        <f>IFERROR(__xludf.DUMMYFUNCTION("""COMPUTED_VALUE"""),"➖")</f>
        <v>➖</v>
      </c>
      <c r="Q268" s="288" t="str">
        <f>IFERROR(__xludf.DUMMYFUNCTION("""COMPUTED_VALUE"""),"➖")</f>
        <v>➖</v>
      </c>
      <c r="R268" s="257" t="str">
        <f>IFERROR(__xludf.DUMMYFUNCTION("""COMPUTED_VALUE"""),"   ➖")</f>
        <v>➖</v>
      </c>
      <c r="S268" s="258"/>
      <c r="T268" s="255" t="str">
        <f>IFERROR(__xludf.DUMMYFUNCTION("""COMPUTED_VALUE"""),"➖")</f>
        <v>➖</v>
      </c>
      <c r="U268" s="255" t="str">
        <f>IFERROR(__xludf.DUMMYFUNCTION("""COMPUTED_VALUE"""),"➖")</f>
        <v>➖</v>
      </c>
      <c r="V268" s="259"/>
      <c r="W268" s="286"/>
      <c r="X268" s="286"/>
      <c r="Y268" s="286"/>
    </row>
    <row r="269">
      <c r="A269" s="28"/>
      <c r="B269" s="128"/>
      <c r="C269" s="28"/>
      <c r="D269" s="250" t="str">
        <f>IFERROR(__xludf.DUMMYFUNCTION("""COMPUTED_VALUE"""),"   E")</f>
        <v>E</v>
      </c>
      <c r="E269" s="280" t="str">
        <f>IFERROR(__xludf.DUMMYFUNCTION("""COMPUTED_VALUE"""),"GEORDI LA FORGE")</f>
        <v>GEORDI LA FORGE</v>
      </c>
      <c r="F269" s="271" t="str">
        <f>IFERROR(__xludf.DUMMYFUNCTION("""COMPUTED_VALUE"""),"CM")</f>
        <v>CM</v>
      </c>
      <c r="G269" s="281" t="str">
        <f>IFERROR(__xludf.DUMMYFUNCTION("""COMPUTED_VALUE"""),"➖")</f>
        <v>➖</v>
      </c>
      <c r="H269" s="281" t="str">
        <f>IFERROR(__xludf.DUMMYFUNCTION("""COMPUTED_VALUE"""),"➖")</f>
        <v>➖</v>
      </c>
      <c r="I269" s="281" t="str">
        <f>IFERROR(__xludf.DUMMYFUNCTION("""COMPUTED_VALUE"""),"➖")</f>
        <v>➖</v>
      </c>
      <c r="J269" s="281" t="str">
        <f>IFERROR(__xludf.DUMMYFUNCTION("""COMPUTED_VALUE"""),"➖")</f>
        <v>➖</v>
      </c>
      <c r="K269" s="282" t="str">
        <f>IFERROR(__xludf.DUMMYFUNCTION("""COMPUTED_VALUE"""),"➖")</f>
        <v>➖</v>
      </c>
      <c r="L269" s="282" t="str">
        <f>IFERROR(__xludf.DUMMYFUNCTION("""COMPUTED_VALUE"""),"➖")</f>
        <v>➖</v>
      </c>
      <c r="M269" s="282" t="str">
        <f>IFERROR(__xludf.DUMMYFUNCTION("""COMPUTED_VALUE"""),"✅")</f>
        <v>✅</v>
      </c>
      <c r="N269" s="282" t="str">
        <f>IFERROR(__xludf.DUMMYFUNCTION("""COMPUTED_VALUE"""),"✅")</f>
        <v>✅</v>
      </c>
      <c r="O269" s="282" t="str">
        <f>IFERROR(__xludf.DUMMYFUNCTION("""COMPUTED_VALUE"""),"✅")</f>
        <v>✅</v>
      </c>
      <c r="P269" s="282" t="str">
        <f>IFERROR(__xludf.DUMMYFUNCTION("""COMPUTED_VALUE"""),"➖")</f>
        <v>➖</v>
      </c>
      <c r="Q269" s="282" t="str">
        <f>IFERROR(__xludf.DUMMYFUNCTION("""COMPUTED_VALUE"""),"✅")</f>
        <v>✅</v>
      </c>
      <c r="R269" s="283" t="str">
        <f>IFERROR(__xludf.DUMMYFUNCTION("""COMPUTED_VALUE"""),"   ➖")</f>
        <v>➖</v>
      </c>
      <c r="S269" s="284"/>
      <c r="T269" s="285" t="str">
        <f>IFERROR(__xludf.DUMMYFUNCTION("""COMPUTED_VALUE"""),"✅")</f>
        <v>✅</v>
      </c>
      <c r="U269" s="285" t="str">
        <f>IFERROR(__xludf.DUMMYFUNCTION("""COMPUTED_VALUE"""),"➖")</f>
        <v>➖</v>
      </c>
      <c r="V269" s="259"/>
      <c r="W269" s="286"/>
      <c r="X269" s="286"/>
      <c r="Y269" s="286"/>
    </row>
    <row r="270">
      <c r="A270" s="28"/>
      <c r="B270" s="132"/>
      <c r="C270" s="28"/>
      <c r="D270" s="260" t="str">
        <f>IFERROR(__xludf.DUMMYFUNCTION("""COMPUTED_VALUE"""),"   E")</f>
        <v>E</v>
      </c>
      <c r="E270" s="287" t="str">
        <f>IFERROR(__xludf.DUMMYFUNCTION("""COMPUTED_VALUE"""),"GEORDI LA FORGE")</f>
        <v>GEORDI LA FORGE</v>
      </c>
      <c r="F270" s="270" t="str">
        <f>IFERROR(__xludf.DUMMYFUNCTION("""COMPUTED_VALUE"""),"OA")</f>
        <v>OA</v>
      </c>
      <c r="G270" s="231" t="str">
        <f>IFERROR(__xludf.DUMMYFUNCTION("""COMPUTED_VALUE"""),"➖")</f>
        <v>➖</v>
      </c>
      <c r="H270" s="231" t="str">
        <f>IFERROR(__xludf.DUMMYFUNCTION("""COMPUTED_VALUE"""),"➖")</f>
        <v>➖</v>
      </c>
      <c r="I270" s="231" t="str">
        <f>IFERROR(__xludf.DUMMYFUNCTION("""COMPUTED_VALUE"""),"✴️")</f>
        <v>✴️</v>
      </c>
      <c r="J270" s="231" t="str">
        <f>IFERROR(__xludf.DUMMYFUNCTION("""COMPUTED_VALUE"""),"✴️")</f>
        <v>✴️</v>
      </c>
      <c r="K270" s="288" t="str">
        <f>IFERROR(__xludf.DUMMYFUNCTION("""COMPUTED_VALUE"""),"✴️")</f>
        <v>✴️</v>
      </c>
      <c r="L270" s="288" t="str">
        <f>IFERROR(__xludf.DUMMYFUNCTION("""COMPUTED_VALUE"""),"➖")</f>
        <v>➖</v>
      </c>
      <c r="M270" s="288" t="str">
        <f>IFERROR(__xludf.DUMMYFUNCTION("""COMPUTED_VALUE"""),"✴️")</f>
        <v>✴️</v>
      </c>
      <c r="N270" s="288" t="str">
        <f>IFERROR(__xludf.DUMMYFUNCTION("""COMPUTED_VALUE"""),"✴️")</f>
        <v>✴️</v>
      </c>
      <c r="O270" s="288" t="str">
        <f>IFERROR(__xludf.DUMMYFUNCTION("""COMPUTED_VALUE"""),"➖")</f>
        <v>➖</v>
      </c>
      <c r="P270" s="288" t="str">
        <f>IFERROR(__xludf.DUMMYFUNCTION("""COMPUTED_VALUE"""),"➖")</f>
        <v>➖</v>
      </c>
      <c r="Q270" s="288" t="str">
        <f>IFERROR(__xludf.DUMMYFUNCTION("""COMPUTED_VALUE"""),"➖")</f>
        <v>➖</v>
      </c>
      <c r="R270" s="257" t="str">
        <f>IFERROR(__xludf.DUMMYFUNCTION("""COMPUTED_VALUE"""),"   ➖")</f>
        <v>➖</v>
      </c>
      <c r="S270" s="258" t="str">
        <f>IFERROR(__xludf.DUMMYFUNCTION("""COMPUTED_VALUE"""),"Klingon")</f>
        <v>Klingon</v>
      </c>
      <c r="T270" s="255" t="str">
        <f>IFERROR(__xludf.DUMMYFUNCTION("""COMPUTED_VALUE"""),"➖")</f>
        <v>➖</v>
      </c>
      <c r="U270" s="255" t="str">
        <f>IFERROR(__xludf.DUMMYFUNCTION("""COMPUTED_VALUE"""),"➖")</f>
        <v>➖</v>
      </c>
      <c r="V270" s="259"/>
      <c r="W270" s="286"/>
      <c r="X270" s="286"/>
      <c r="Y270" s="286"/>
    </row>
    <row r="271">
      <c r="A271" s="28"/>
      <c r="B271" s="128"/>
      <c r="C271" s="28"/>
      <c r="D271" s="250" t="str">
        <f>IFERROR(__xludf.DUMMYFUNCTION("""COMPUTED_VALUE"""),"   E")</f>
        <v>E</v>
      </c>
      <c r="E271" s="280" t="str">
        <f>IFERROR(__xludf.DUMMYFUNCTION("""COMPUTED_VALUE"""),"JEAN-LUC PICARD")</f>
        <v>JEAN-LUC PICARD</v>
      </c>
      <c r="F271" s="271" t="str">
        <f>IFERROR(__xludf.DUMMYFUNCTION("""COMPUTED_VALUE"""),"CM")</f>
        <v>CM</v>
      </c>
      <c r="G271" s="281" t="str">
        <f>IFERROR(__xludf.DUMMYFUNCTION("""COMPUTED_VALUE"""),"✴️")</f>
        <v>✴️</v>
      </c>
      <c r="H271" s="281" t="str">
        <f>IFERROR(__xludf.DUMMYFUNCTION("""COMPUTED_VALUE"""),"✴️")</f>
        <v>✴️</v>
      </c>
      <c r="I271" s="281" t="str">
        <f>IFERROR(__xludf.DUMMYFUNCTION("""COMPUTED_VALUE"""),"✴️")</f>
        <v>✴️</v>
      </c>
      <c r="J271" s="281" t="str">
        <f>IFERROR(__xludf.DUMMYFUNCTION("""COMPUTED_VALUE"""),"✴️")</f>
        <v>✴️</v>
      </c>
      <c r="K271" s="282" t="str">
        <f>IFERROR(__xludf.DUMMYFUNCTION("""COMPUTED_VALUE"""),"✴️")</f>
        <v>✴️</v>
      </c>
      <c r="L271" s="282" t="str">
        <f>IFERROR(__xludf.DUMMYFUNCTION("""COMPUTED_VALUE"""),"✴️")</f>
        <v>✴️</v>
      </c>
      <c r="M271" s="282" t="str">
        <f>IFERROR(__xludf.DUMMYFUNCTION("""COMPUTED_VALUE"""),"✴️")</f>
        <v>✴️</v>
      </c>
      <c r="N271" s="282" t="str">
        <f>IFERROR(__xludf.DUMMYFUNCTION("""COMPUTED_VALUE"""),"✴️")</f>
        <v>✴️</v>
      </c>
      <c r="O271" s="282" t="str">
        <f>IFERROR(__xludf.DUMMYFUNCTION("""COMPUTED_VALUE"""),"✴️")</f>
        <v>✴️</v>
      </c>
      <c r="P271" s="282" t="str">
        <f>IFERROR(__xludf.DUMMYFUNCTION("""COMPUTED_VALUE"""),"✴️")</f>
        <v>✴️</v>
      </c>
      <c r="Q271" s="282" t="str">
        <f>IFERROR(__xludf.DUMMYFUNCTION("""COMPUTED_VALUE"""),"✴️")</f>
        <v>✴️</v>
      </c>
      <c r="R271" s="283" t="str">
        <f>IFERROR(__xludf.DUMMYFUNCTION("""COMPUTED_VALUE"""),"   ✴️")</f>
        <v>✴️</v>
      </c>
      <c r="S271" s="284" t="str">
        <f>IFERROR(__xludf.DUMMYFUNCTION("""COMPUTED_VALUE"""),"target level 70 or under")</f>
        <v>target level 70 or under</v>
      </c>
      <c r="T271" s="285" t="str">
        <f>IFERROR(__xludf.DUMMYFUNCTION("""COMPUTED_VALUE"""),"➖")</f>
        <v>➖</v>
      </c>
      <c r="U271" s="285" t="str">
        <f>IFERROR(__xludf.DUMMYFUNCTION("""COMPUTED_VALUE"""),"➖")</f>
        <v>➖</v>
      </c>
      <c r="V271" s="259"/>
      <c r="W271" s="286"/>
      <c r="X271" s="286"/>
      <c r="Y271" s="286"/>
    </row>
    <row r="272">
      <c r="A272" s="28"/>
      <c r="B272" s="132"/>
      <c r="C272" s="28"/>
      <c r="D272" s="260" t="str">
        <f>IFERROR(__xludf.DUMMYFUNCTION("""COMPUTED_VALUE"""),"   E")</f>
        <v>E</v>
      </c>
      <c r="E272" s="287" t="str">
        <f>IFERROR(__xludf.DUMMYFUNCTION("""COMPUTED_VALUE"""),"JEAN-LUC PICARD")</f>
        <v>JEAN-LUC PICARD</v>
      </c>
      <c r="F272" s="270" t="str">
        <f>IFERROR(__xludf.DUMMYFUNCTION("""COMPUTED_VALUE"""),"OA")</f>
        <v>OA</v>
      </c>
      <c r="G272" s="231" t="str">
        <f>IFERROR(__xludf.DUMMYFUNCTION("""COMPUTED_VALUE"""),"✅")</f>
        <v>✅</v>
      </c>
      <c r="H272" s="231" t="str">
        <f>IFERROR(__xludf.DUMMYFUNCTION("""COMPUTED_VALUE"""),"✅")</f>
        <v>✅</v>
      </c>
      <c r="I272" s="231" t="str">
        <f>IFERROR(__xludf.DUMMYFUNCTION("""COMPUTED_VALUE"""),"✅")</f>
        <v>✅</v>
      </c>
      <c r="J272" s="231" t="str">
        <f>IFERROR(__xludf.DUMMYFUNCTION("""COMPUTED_VALUE"""),"✅")</f>
        <v>✅</v>
      </c>
      <c r="K272" s="288" t="str">
        <f>IFERROR(__xludf.DUMMYFUNCTION("""COMPUTED_VALUE"""),"✅")</f>
        <v>✅</v>
      </c>
      <c r="L272" s="288" t="str">
        <f>IFERROR(__xludf.DUMMYFUNCTION("""COMPUTED_VALUE"""),"✅")</f>
        <v>✅</v>
      </c>
      <c r="M272" s="288" t="str">
        <f>IFERROR(__xludf.DUMMYFUNCTION("""COMPUTED_VALUE"""),"✅")</f>
        <v>✅</v>
      </c>
      <c r="N272" s="288" t="str">
        <f>IFERROR(__xludf.DUMMYFUNCTION("""COMPUTED_VALUE"""),"✅")</f>
        <v>✅</v>
      </c>
      <c r="O272" s="288" t="str">
        <f>IFERROR(__xludf.DUMMYFUNCTION("""COMPUTED_VALUE"""),"✅")</f>
        <v>✅</v>
      </c>
      <c r="P272" s="288" t="str">
        <f>IFERROR(__xludf.DUMMYFUNCTION("""COMPUTED_VALUE"""),"✅")</f>
        <v>✅</v>
      </c>
      <c r="Q272" s="288" t="str">
        <f>IFERROR(__xludf.DUMMYFUNCTION("""COMPUTED_VALUE"""),"✅")</f>
        <v>✅</v>
      </c>
      <c r="R272" s="257" t="str">
        <f>IFERROR(__xludf.DUMMYFUNCTION("""COMPUTED_VALUE"""),"   ✅")</f>
        <v>✅</v>
      </c>
      <c r="S272" s="258"/>
      <c r="T272" s="255" t="str">
        <f>IFERROR(__xludf.DUMMYFUNCTION("""COMPUTED_VALUE"""),"➖")</f>
        <v>➖</v>
      </c>
      <c r="U272" s="255" t="str">
        <f>IFERROR(__xludf.DUMMYFUNCTION("""COMPUTED_VALUE"""),"➖")</f>
        <v>➖</v>
      </c>
      <c r="V272" s="259"/>
      <c r="W272" s="286"/>
      <c r="X272" s="286"/>
      <c r="Y272" s="286"/>
    </row>
    <row r="273">
      <c r="A273" s="28"/>
      <c r="B273" s="128"/>
      <c r="C273" s="28"/>
      <c r="D273" s="250" t="str">
        <f>IFERROR(__xludf.DUMMYFUNCTION("""COMPUTED_VALUE"""),"   R")</f>
        <v>R</v>
      </c>
      <c r="E273" s="280" t="str">
        <f>IFERROR(__xludf.DUMMYFUNCTION("""COMPUTED_VALUE"""),"WESLEY CRUSHER")</f>
        <v>WESLEY CRUSHER</v>
      </c>
      <c r="F273" s="271" t="str">
        <f>IFERROR(__xludf.DUMMYFUNCTION("""COMPUTED_VALUE"""),"CM")</f>
        <v>CM</v>
      </c>
      <c r="G273" s="281" t="str">
        <f>IFERROR(__xludf.DUMMYFUNCTION("""COMPUTED_VALUE"""),"➖")</f>
        <v>➖</v>
      </c>
      <c r="H273" s="281" t="str">
        <f>IFERROR(__xludf.DUMMYFUNCTION("""COMPUTED_VALUE"""),"➖")</f>
        <v>➖</v>
      </c>
      <c r="I273" s="281" t="str">
        <f>IFERROR(__xludf.DUMMYFUNCTION("""COMPUTED_VALUE"""),"✅")</f>
        <v>✅</v>
      </c>
      <c r="J273" s="281" t="str">
        <f>IFERROR(__xludf.DUMMYFUNCTION("""COMPUTED_VALUE"""),"✅")</f>
        <v>✅</v>
      </c>
      <c r="K273" s="282" t="str">
        <f>IFERROR(__xludf.DUMMYFUNCTION("""COMPUTED_VALUE"""),"✅")</f>
        <v>✅</v>
      </c>
      <c r="L273" s="282" t="str">
        <f>IFERROR(__xludf.DUMMYFUNCTION("""COMPUTED_VALUE"""),"➖")</f>
        <v>➖</v>
      </c>
      <c r="M273" s="282" t="str">
        <f>IFERROR(__xludf.DUMMYFUNCTION("""COMPUTED_VALUE"""),"✅")</f>
        <v>✅</v>
      </c>
      <c r="N273" s="282" t="str">
        <f>IFERROR(__xludf.DUMMYFUNCTION("""COMPUTED_VALUE"""),"✅")</f>
        <v>✅</v>
      </c>
      <c r="O273" s="282" t="str">
        <f>IFERROR(__xludf.DUMMYFUNCTION("""COMPUTED_VALUE"""),"✅")</f>
        <v>✅</v>
      </c>
      <c r="P273" s="282" t="str">
        <f>IFERROR(__xludf.DUMMYFUNCTION("""COMPUTED_VALUE"""),"➖")</f>
        <v>➖</v>
      </c>
      <c r="Q273" s="282" t="str">
        <f>IFERROR(__xludf.DUMMYFUNCTION("""COMPUTED_VALUE"""),"➖")</f>
        <v>➖</v>
      </c>
      <c r="R273" s="283" t="str">
        <f>IFERROR(__xludf.DUMMYFUNCTION("""COMPUTED_VALUE"""),"   ➖")</f>
        <v>➖</v>
      </c>
      <c r="S273" s="284"/>
      <c r="T273" s="285" t="str">
        <f>IFERROR(__xludf.DUMMYFUNCTION("""COMPUTED_VALUE"""),"➖")</f>
        <v>➖</v>
      </c>
      <c r="U273" s="285" t="str">
        <f>IFERROR(__xludf.DUMMYFUNCTION("""COMPUTED_VALUE"""),"➖")</f>
        <v>➖</v>
      </c>
      <c r="V273" s="259"/>
      <c r="W273" s="286"/>
      <c r="X273" s="286"/>
      <c r="Y273" s="286"/>
    </row>
    <row r="274">
      <c r="A274" s="28"/>
      <c r="B274" s="132"/>
      <c r="C274" s="28"/>
      <c r="D274" s="260" t="str">
        <f>IFERROR(__xludf.DUMMYFUNCTION("""COMPUTED_VALUE"""),"   R")</f>
        <v>R</v>
      </c>
      <c r="E274" s="287" t="str">
        <f>IFERROR(__xludf.DUMMYFUNCTION("""COMPUTED_VALUE"""),"WESLEY CRUSHER")</f>
        <v>WESLEY CRUSHER</v>
      </c>
      <c r="F274" s="270" t="str">
        <f>IFERROR(__xludf.DUMMYFUNCTION("""COMPUTED_VALUE"""),"OA")</f>
        <v>OA</v>
      </c>
      <c r="G274" s="231" t="str">
        <f>IFERROR(__xludf.DUMMYFUNCTION("""COMPUTED_VALUE"""),"✅")</f>
        <v>✅</v>
      </c>
      <c r="H274" s="231" t="str">
        <f>IFERROR(__xludf.DUMMYFUNCTION("""COMPUTED_VALUE"""),"✅")</f>
        <v>✅</v>
      </c>
      <c r="I274" s="231" t="str">
        <f>IFERROR(__xludf.DUMMYFUNCTION("""COMPUTED_VALUE"""),"✅")</f>
        <v>✅</v>
      </c>
      <c r="J274" s="231" t="str">
        <f>IFERROR(__xludf.DUMMYFUNCTION("""COMPUTED_VALUE"""),"✅")</f>
        <v>✅</v>
      </c>
      <c r="K274" s="288" t="str">
        <f>IFERROR(__xludf.DUMMYFUNCTION("""COMPUTED_VALUE"""),"✅")</f>
        <v>✅</v>
      </c>
      <c r="L274" s="288" t="str">
        <f>IFERROR(__xludf.DUMMYFUNCTION("""COMPUTED_VALUE"""),"✅")</f>
        <v>✅</v>
      </c>
      <c r="M274" s="288" t="str">
        <f>IFERROR(__xludf.DUMMYFUNCTION("""COMPUTED_VALUE"""),"✅")</f>
        <v>✅</v>
      </c>
      <c r="N274" s="288" t="str">
        <f>IFERROR(__xludf.DUMMYFUNCTION("""COMPUTED_VALUE"""),"✅")</f>
        <v>✅</v>
      </c>
      <c r="O274" s="288" t="str">
        <f>IFERROR(__xludf.DUMMYFUNCTION("""COMPUTED_VALUE"""),"✅")</f>
        <v>✅</v>
      </c>
      <c r="P274" s="288" t="str">
        <f>IFERROR(__xludf.DUMMYFUNCTION("""COMPUTED_VALUE"""),"✅")</f>
        <v>✅</v>
      </c>
      <c r="Q274" s="288" t="str">
        <f>IFERROR(__xludf.DUMMYFUNCTION("""COMPUTED_VALUE"""),"✅")</f>
        <v>✅</v>
      </c>
      <c r="R274" s="257" t="str">
        <f>IFERROR(__xludf.DUMMYFUNCTION("""COMPUTED_VALUE"""),"   ✅")</f>
        <v>✅</v>
      </c>
      <c r="S274" s="258"/>
      <c r="T274" s="255" t="str">
        <f>IFERROR(__xludf.DUMMYFUNCTION("""COMPUTED_VALUE"""),"➖")</f>
        <v>➖</v>
      </c>
      <c r="U274" s="255" t="str">
        <f>IFERROR(__xludf.DUMMYFUNCTION("""COMPUTED_VALUE"""),"➖")</f>
        <v>➖</v>
      </c>
      <c r="V274" s="259"/>
      <c r="W274" s="286"/>
      <c r="X274" s="286"/>
      <c r="Y274" s="286"/>
    </row>
    <row r="275">
      <c r="A275" s="28"/>
      <c r="B275" s="128"/>
      <c r="C275" s="28"/>
      <c r="D275" s="250" t="str">
        <f>IFERROR(__xludf.DUMMYFUNCTION("""COMPUTED_VALUE"""),"   E")</f>
        <v>E</v>
      </c>
      <c r="E275" s="280" t="str">
        <f>IFERROR(__xludf.DUMMYFUNCTION("""COMPUTED_VALUE"""),"WILLIAM T. RIKER")</f>
        <v>WILLIAM T. RIKER</v>
      </c>
      <c r="F275" s="271" t="str">
        <f>IFERROR(__xludf.DUMMYFUNCTION("""COMPUTED_VALUE"""),"CM")</f>
        <v>CM</v>
      </c>
      <c r="G275" s="281" t="str">
        <f>IFERROR(__xludf.DUMMYFUNCTION("""COMPUTED_VALUE"""),"➖")</f>
        <v>➖</v>
      </c>
      <c r="H275" s="281" t="str">
        <f>IFERROR(__xludf.DUMMYFUNCTION("""COMPUTED_VALUE"""),"➖")</f>
        <v>➖</v>
      </c>
      <c r="I275" s="281" t="str">
        <f>IFERROR(__xludf.DUMMYFUNCTION("""COMPUTED_VALUE"""),"➖")</f>
        <v>➖</v>
      </c>
      <c r="J275" s="281" t="str">
        <f>IFERROR(__xludf.DUMMYFUNCTION("""COMPUTED_VALUE"""),"➖")</f>
        <v>➖</v>
      </c>
      <c r="K275" s="282" t="str">
        <f>IFERROR(__xludf.DUMMYFUNCTION("""COMPUTED_VALUE"""),"➖")</f>
        <v>➖</v>
      </c>
      <c r="L275" s="282" t="str">
        <f>IFERROR(__xludf.DUMMYFUNCTION("""COMPUTED_VALUE"""),"➖")</f>
        <v>➖</v>
      </c>
      <c r="M275" s="282" t="str">
        <f>IFERROR(__xludf.DUMMYFUNCTION("""COMPUTED_VALUE"""),"✅")</f>
        <v>✅</v>
      </c>
      <c r="N275" s="282" t="str">
        <f>IFERROR(__xludf.DUMMYFUNCTION("""COMPUTED_VALUE"""),"✅")</f>
        <v>✅</v>
      </c>
      <c r="O275" s="282" t="str">
        <f>IFERROR(__xludf.DUMMYFUNCTION("""COMPUTED_VALUE"""),"➖")</f>
        <v>➖</v>
      </c>
      <c r="P275" s="282" t="str">
        <f>IFERROR(__xludf.DUMMYFUNCTION("""COMPUTED_VALUE"""),"➖")</f>
        <v>➖</v>
      </c>
      <c r="Q275" s="282" t="str">
        <f>IFERROR(__xludf.DUMMYFUNCTION("""COMPUTED_VALUE"""),"➖")</f>
        <v>➖</v>
      </c>
      <c r="R275" s="283" t="str">
        <f>IFERROR(__xludf.DUMMYFUNCTION("""COMPUTED_VALUE"""),"   ➖")</f>
        <v>➖</v>
      </c>
      <c r="S275" s="284"/>
      <c r="T275" s="285" t="str">
        <f>IFERROR(__xludf.DUMMYFUNCTION("""COMPUTED_VALUE"""),"➖")</f>
        <v>➖</v>
      </c>
      <c r="U275" s="285" t="str">
        <f>IFERROR(__xludf.DUMMYFUNCTION("""COMPUTED_VALUE"""),"➖")</f>
        <v>➖</v>
      </c>
      <c r="V275" s="259"/>
      <c r="W275" s="286"/>
      <c r="X275" s="286"/>
      <c r="Y275" s="286"/>
    </row>
    <row r="276">
      <c r="A276" s="28"/>
      <c r="B276" s="132"/>
      <c r="C276" s="28"/>
      <c r="D276" s="260" t="str">
        <f>IFERROR(__xludf.DUMMYFUNCTION("""COMPUTED_VALUE"""),"   E")</f>
        <v>E</v>
      </c>
      <c r="E276" s="287" t="str">
        <f>IFERROR(__xludf.DUMMYFUNCTION("""COMPUTED_VALUE"""),"WILLIAM T. RIKER")</f>
        <v>WILLIAM T. RIKER</v>
      </c>
      <c r="F276" s="270" t="str">
        <f>IFERROR(__xludf.DUMMYFUNCTION("""COMPUTED_VALUE"""),"OA")</f>
        <v>OA</v>
      </c>
      <c r="G276" s="231" t="str">
        <f>IFERROR(__xludf.DUMMYFUNCTION("""COMPUTED_VALUE"""),"➖")</f>
        <v>➖</v>
      </c>
      <c r="H276" s="231" t="str">
        <f>IFERROR(__xludf.DUMMYFUNCTION("""COMPUTED_VALUE"""),"➖")</f>
        <v>➖</v>
      </c>
      <c r="I276" s="231" t="str">
        <f>IFERROR(__xludf.DUMMYFUNCTION("""COMPUTED_VALUE"""),"✴️")</f>
        <v>✴️</v>
      </c>
      <c r="J276" s="231" t="str">
        <f>IFERROR(__xludf.DUMMYFUNCTION("""COMPUTED_VALUE"""),"✴️")</f>
        <v>✴️</v>
      </c>
      <c r="K276" s="288" t="str">
        <f>IFERROR(__xludf.DUMMYFUNCTION("""COMPUTED_VALUE"""),"✴️")</f>
        <v>✴️</v>
      </c>
      <c r="L276" s="288" t="str">
        <f>IFERROR(__xludf.DUMMYFUNCTION("""COMPUTED_VALUE"""),"➖")</f>
        <v>➖</v>
      </c>
      <c r="M276" s="288" t="str">
        <f>IFERROR(__xludf.DUMMYFUNCTION("""COMPUTED_VALUE"""),"✴️")</f>
        <v>✴️</v>
      </c>
      <c r="N276" s="288" t="str">
        <f>IFERROR(__xludf.DUMMYFUNCTION("""COMPUTED_VALUE"""),"✴️")</f>
        <v>✴️</v>
      </c>
      <c r="O276" s="288" t="str">
        <f>IFERROR(__xludf.DUMMYFUNCTION("""COMPUTED_VALUE"""),"➖")</f>
        <v>➖</v>
      </c>
      <c r="P276" s="288" t="str">
        <f>IFERROR(__xludf.DUMMYFUNCTION("""COMPUTED_VALUE"""),"➖")</f>
        <v>➖</v>
      </c>
      <c r="Q276" s="288" t="str">
        <f>IFERROR(__xludf.DUMMYFUNCTION("""COMPUTED_VALUE"""),"➖")</f>
        <v>➖</v>
      </c>
      <c r="R276" s="257" t="str">
        <f>IFERROR(__xludf.DUMMYFUNCTION("""COMPUTED_VALUE"""),"   ➖")</f>
        <v>➖</v>
      </c>
      <c r="S276" s="258" t="str">
        <f>IFERROR(__xludf.DUMMYFUNCTION("""COMPUTED_VALUE"""),"Federation")</f>
        <v>Federation</v>
      </c>
      <c r="T276" s="255" t="str">
        <f>IFERROR(__xludf.DUMMYFUNCTION("""COMPUTED_VALUE"""),"➖")</f>
        <v>➖</v>
      </c>
      <c r="U276" s="255" t="str">
        <f>IFERROR(__xludf.DUMMYFUNCTION("""COMPUTED_VALUE"""),"➖")</f>
        <v>➖</v>
      </c>
      <c r="V276" s="259"/>
      <c r="W276" s="286"/>
      <c r="X276" s="286"/>
      <c r="Y276" s="286"/>
    </row>
    <row r="277">
      <c r="A277" s="28"/>
      <c r="B277" s="128"/>
      <c r="C277" s="28"/>
      <c r="D277" s="250" t="str">
        <f>IFERROR(__xludf.DUMMYFUNCTION("""COMPUTED_VALUE"""),"   E")</f>
        <v>E</v>
      </c>
      <c r="E277" s="280" t="str">
        <f>IFERROR(__xludf.DUMMYFUNCTION("""COMPUTED_VALUE"""),"DEANNA TROI")</f>
        <v>DEANNA TROI</v>
      </c>
      <c r="F277" s="271" t="str">
        <f>IFERROR(__xludf.DUMMYFUNCTION("""COMPUTED_VALUE"""),"CM")</f>
        <v>CM</v>
      </c>
      <c r="G277" s="281" t="str">
        <f>IFERROR(__xludf.DUMMYFUNCTION("""COMPUTED_VALUE"""),"➖")</f>
        <v>➖</v>
      </c>
      <c r="H277" s="281" t="str">
        <f>IFERROR(__xludf.DUMMYFUNCTION("""COMPUTED_VALUE"""),"➖")</f>
        <v>➖</v>
      </c>
      <c r="I277" s="281" t="str">
        <f>IFERROR(__xludf.DUMMYFUNCTION("""COMPUTED_VALUE"""),"➖")</f>
        <v>➖</v>
      </c>
      <c r="J277" s="281" t="str">
        <f>IFERROR(__xludf.DUMMYFUNCTION("""COMPUTED_VALUE"""),"➖")</f>
        <v>➖</v>
      </c>
      <c r="K277" s="282" t="str">
        <f>IFERROR(__xludf.DUMMYFUNCTION("""COMPUTED_VALUE"""),"➖")</f>
        <v>➖</v>
      </c>
      <c r="L277" s="282" t="str">
        <f>IFERROR(__xludf.DUMMYFUNCTION("""COMPUTED_VALUE"""),"➖")</f>
        <v>➖</v>
      </c>
      <c r="M277" s="282" t="str">
        <f>IFERROR(__xludf.DUMMYFUNCTION("""COMPUTED_VALUE"""),"✅")</f>
        <v>✅</v>
      </c>
      <c r="N277" s="282" t="str">
        <f>IFERROR(__xludf.DUMMYFUNCTION("""COMPUTED_VALUE"""),"✅")</f>
        <v>✅</v>
      </c>
      <c r="O277" s="282" t="str">
        <f>IFERROR(__xludf.DUMMYFUNCTION("""COMPUTED_VALUE"""),"➖")</f>
        <v>➖</v>
      </c>
      <c r="P277" s="282" t="str">
        <f>IFERROR(__xludf.DUMMYFUNCTION("""COMPUTED_VALUE"""),"➖")</f>
        <v>➖</v>
      </c>
      <c r="Q277" s="282" t="str">
        <f>IFERROR(__xludf.DUMMYFUNCTION("""COMPUTED_VALUE"""),"➖")</f>
        <v>➖</v>
      </c>
      <c r="R277" s="283" t="str">
        <f>IFERROR(__xludf.DUMMYFUNCTION("""COMPUTED_VALUE"""),"   ➖")</f>
        <v>➖</v>
      </c>
      <c r="S277" s="284"/>
      <c r="T277" s="285" t="str">
        <f>IFERROR(__xludf.DUMMYFUNCTION("""COMPUTED_VALUE"""),"➖")</f>
        <v>➖</v>
      </c>
      <c r="U277" s="285" t="str">
        <f>IFERROR(__xludf.DUMMYFUNCTION("""COMPUTED_VALUE"""),"➖")</f>
        <v>➖</v>
      </c>
      <c r="V277" s="259"/>
      <c r="W277" s="286"/>
      <c r="X277" s="286"/>
      <c r="Y277" s="286"/>
    </row>
    <row r="278">
      <c r="A278" s="28"/>
      <c r="B278" s="132"/>
      <c r="C278" s="28"/>
      <c r="D278" s="260" t="str">
        <f>IFERROR(__xludf.DUMMYFUNCTION("""COMPUTED_VALUE"""),"   E")</f>
        <v>E</v>
      </c>
      <c r="E278" s="287" t="str">
        <f>IFERROR(__xludf.DUMMYFUNCTION("""COMPUTED_VALUE"""),"DEANNA TROI")</f>
        <v>DEANNA TROI</v>
      </c>
      <c r="F278" s="270" t="str">
        <f>IFERROR(__xludf.DUMMYFUNCTION("""COMPUTED_VALUE"""),"OA")</f>
        <v>OA</v>
      </c>
      <c r="G278" s="231" t="str">
        <f>IFERROR(__xludf.DUMMYFUNCTION("""COMPUTED_VALUE"""),"➖")</f>
        <v>➖</v>
      </c>
      <c r="H278" s="231" t="str">
        <f>IFERROR(__xludf.DUMMYFUNCTION("""COMPUTED_VALUE"""),"➖")</f>
        <v>➖</v>
      </c>
      <c r="I278" s="231" t="str">
        <f>IFERROR(__xludf.DUMMYFUNCTION("""COMPUTED_VALUE"""),"✴️")</f>
        <v>✴️</v>
      </c>
      <c r="J278" s="231" t="str">
        <f>IFERROR(__xludf.DUMMYFUNCTION("""COMPUTED_VALUE"""),"✴️")</f>
        <v>✴️</v>
      </c>
      <c r="K278" s="288" t="str">
        <f>IFERROR(__xludf.DUMMYFUNCTION("""COMPUTED_VALUE"""),"✴️")</f>
        <v>✴️</v>
      </c>
      <c r="L278" s="288" t="str">
        <f>IFERROR(__xludf.DUMMYFUNCTION("""COMPUTED_VALUE"""),"➖")</f>
        <v>➖</v>
      </c>
      <c r="M278" s="288" t="str">
        <f>IFERROR(__xludf.DUMMYFUNCTION("""COMPUTED_VALUE"""),"✴️")</f>
        <v>✴️</v>
      </c>
      <c r="N278" s="288" t="str">
        <f>IFERROR(__xludf.DUMMYFUNCTION("""COMPUTED_VALUE"""),"✴️")</f>
        <v>✴️</v>
      </c>
      <c r="O278" s="288" t="str">
        <f>IFERROR(__xludf.DUMMYFUNCTION("""COMPUTED_VALUE"""),"➖")</f>
        <v>➖</v>
      </c>
      <c r="P278" s="288" t="str">
        <f>IFERROR(__xludf.DUMMYFUNCTION("""COMPUTED_VALUE"""),"➖")</f>
        <v>➖</v>
      </c>
      <c r="Q278" s="288" t="str">
        <f>IFERROR(__xludf.DUMMYFUNCTION("""COMPUTED_VALUE"""),"➖")</f>
        <v>➖</v>
      </c>
      <c r="R278" s="257" t="str">
        <f>IFERROR(__xludf.DUMMYFUNCTION("""COMPUTED_VALUE"""),"   ➖")</f>
        <v>➖</v>
      </c>
      <c r="S278" s="258" t="str">
        <f>IFERROR(__xludf.DUMMYFUNCTION("""COMPUTED_VALUE"""),"Romulan")</f>
        <v>Romulan</v>
      </c>
      <c r="T278" s="255" t="str">
        <f>IFERROR(__xludf.DUMMYFUNCTION("""COMPUTED_VALUE"""),"➖")</f>
        <v>➖</v>
      </c>
      <c r="U278" s="255" t="str">
        <f>IFERROR(__xludf.DUMMYFUNCTION("""COMPUTED_VALUE"""),"➖")</f>
        <v>➖</v>
      </c>
      <c r="V278" s="259"/>
      <c r="W278" s="286"/>
      <c r="X278" s="286"/>
      <c r="Y278" s="286"/>
    </row>
    <row r="279">
      <c r="A279" s="28"/>
      <c r="B279" s="128"/>
      <c r="C279" s="28"/>
      <c r="D279" s="250" t="str">
        <f>IFERROR(__xludf.DUMMYFUNCTION("""COMPUTED_VALUE"""),"   R")</f>
        <v>R</v>
      </c>
      <c r="E279" s="280" t="str">
        <f>IFERROR(__xludf.DUMMYFUNCTION("""COMPUTED_VALUE"""),"WORF")</f>
        <v>WORF</v>
      </c>
      <c r="F279" s="271" t="str">
        <f>IFERROR(__xludf.DUMMYFUNCTION("""COMPUTED_VALUE"""),"CM")</f>
        <v>CM</v>
      </c>
      <c r="G279" s="281" t="str">
        <f>IFERROR(__xludf.DUMMYFUNCTION("""COMPUTED_VALUE"""),"➖")</f>
        <v>➖</v>
      </c>
      <c r="H279" s="281" t="str">
        <f>IFERROR(__xludf.DUMMYFUNCTION("""COMPUTED_VALUE"""),"➖")</f>
        <v>➖</v>
      </c>
      <c r="I279" s="281" t="str">
        <f>IFERROR(__xludf.DUMMYFUNCTION("""COMPUTED_VALUE"""),"➖")</f>
        <v>➖</v>
      </c>
      <c r="J279" s="281" t="str">
        <f>IFERROR(__xludf.DUMMYFUNCTION("""COMPUTED_VALUE"""),"➖")</f>
        <v>➖</v>
      </c>
      <c r="K279" s="282" t="str">
        <f>IFERROR(__xludf.DUMMYFUNCTION("""COMPUTED_VALUE"""),"➖")</f>
        <v>➖</v>
      </c>
      <c r="L279" s="282" t="str">
        <f>IFERROR(__xludf.DUMMYFUNCTION("""COMPUTED_VALUE"""),"➖")</f>
        <v>➖</v>
      </c>
      <c r="M279" s="282" t="str">
        <f>IFERROR(__xludf.DUMMYFUNCTION("""COMPUTED_VALUE"""),"➖")</f>
        <v>➖</v>
      </c>
      <c r="N279" s="282" t="str">
        <f>IFERROR(__xludf.DUMMYFUNCTION("""COMPUTED_VALUE"""),"➖")</f>
        <v>➖</v>
      </c>
      <c r="O279" s="282" t="str">
        <f>IFERROR(__xludf.DUMMYFUNCTION("""COMPUTED_VALUE"""),"➖")</f>
        <v>➖</v>
      </c>
      <c r="P279" s="282" t="str">
        <f>IFERROR(__xludf.DUMMYFUNCTION("""COMPUTED_VALUE"""),"➖")</f>
        <v>➖</v>
      </c>
      <c r="Q279" s="282" t="str">
        <f>IFERROR(__xludf.DUMMYFUNCTION("""COMPUTED_VALUE"""),"➖")</f>
        <v>➖</v>
      </c>
      <c r="R279" s="283" t="str">
        <f>IFERROR(__xludf.DUMMYFUNCTION("""COMPUTED_VALUE"""),"   ➖")</f>
        <v>➖</v>
      </c>
      <c r="S279" s="284"/>
      <c r="T279" s="285" t="str">
        <f>IFERROR(__xludf.DUMMYFUNCTION("""COMPUTED_VALUE"""),"➖")</f>
        <v>➖</v>
      </c>
      <c r="U279" s="285" t="str">
        <f>IFERROR(__xludf.DUMMYFUNCTION("""COMPUTED_VALUE"""),"✅")</f>
        <v>✅</v>
      </c>
      <c r="V279" s="259"/>
      <c r="W279" s="286"/>
      <c r="X279" s="286"/>
      <c r="Y279" s="286"/>
    </row>
    <row r="280">
      <c r="A280" s="28"/>
      <c r="B280" s="132"/>
      <c r="C280" s="28"/>
      <c r="D280" s="260" t="str">
        <f>IFERROR(__xludf.DUMMYFUNCTION("""COMPUTED_VALUE"""),"   R")</f>
        <v>R</v>
      </c>
      <c r="E280" s="287" t="str">
        <f>IFERROR(__xludf.DUMMYFUNCTION("""COMPUTED_VALUE"""),"WORF")</f>
        <v>WORF</v>
      </c>
      <c r="F280" s="270" t="str">
        <f>IFERROR(__xludf.DUMMYFUNCTION("""COMPUTED_VALUE"""),"OA")</f>
        <v>OA</v>
      </c>
      <c r="G280" s="231" t="str">
        <f>IFERROR(__xludf.DUMMYFUNCTION("""COMPUTED_VALUE"""),"➖")</f>
        <v>➖</v>
      </c>
      <c r="H280" s="231" t="str">
        <f>IFERROR(__xludf.DUMMYFUNCTION("""COMPUTED_VALUE"""),"➖")</f>
        <v>➖</v>
      </c>
      <c r="I280" s="231" t="str">
        <f>IFERROR(__xludf.DUMMYFUNCTION("""COMPUTED_VALUE"""),"✅")</f>
        <v>✅</v>
      </c>
      <c r="J280" s="231" t="str">
        <f>IFERROR(__xludf.DUMMYFUNCTION("""COMPUTED_VALUE"""),"✅")</f>
        <v>✅</v>
      </c>
      <c r="K280" s="288" t="str">
        <f>IFERROR(__xludf.DUMMYFUNCTION("""COMPUTED_VALUE"""),"✅")</f>
        <v>✅</v>
      </c>
      <c r="L280" s="288" t="str">
        <f>IFERROR(__xludf.DUMMYFUNCTION("""COMPUTED_VALUE"""),"✅")</f>
        <v>✅</v>
      </c>
      <c r="M280" s="288" t="str">
        <f>IFERROR(__xludf.DUMMYFUNCTION("""COMPUTED_VALUE"""),"✅")</f>
        <v>✅</v>
      </c>
      <c r="N280" s="288" t="str">
        <f>IFERROR(__xludf.DUMMYFUNCTION("""COMPUTED_VALUE"""),"✅")</f>
        <v>✅</v>
      </c>
      <c r="O280" s="288" t="str">
        <f>IFERROR(__xludf.DUMMYFUNCTION("""COMPUTED_VALUE"""),"✅")</f>
        <v>✅</v>
      </c>
      <c r="P280" s="288" t="str">
        <f>IFERROR(__xludf.DUMMYFUNCTION("""COMPUTED_VALUE"""),"➖")</f>
        <v>➖</v>
      </c>
      <c r="Q280" s="288" t="str">
        <f>IFERROR(__xludf.DUMMYFUNCTION("""COMPUTED_VALUE"""),"➖")</f>
        <v>➖</v>
      </c>
      <c r="R280" s="257" t="str">
        <f>IFERROR(__xludf.DUMMYFUNCTION("""COMPUTED_VALUE"""),"   ➖")</f>
        <v>➖</v>
      </c>
      <c r="S280" s="258"/>
      <c r="T280" s="255" t="str">
        <f>IFERROR(__xludf.DUMMYFUNCTION("""COMPUTED_VALUE"""),"➖")</f>
        <v>➖</v>
      </c>
      <c r="U280" s="255" t="str">
        <f>IFERROR(__xludf.DUMMYFUNCTION("""COMPUTED_VALUE"""),"➖")</f>
        <v>➖</v>
      </c>
      <c r="V280" s="259"/>
      <c r="W280" s="286"/>
      <c r="X280" s="286"/>
      <c r="Y280" s="286"/>
    </row>
    <row r="281">
      <c r="A281" s="28"/>
      <c r="B281" s="128"/>
      <c r="C281" s="28"/>
      <c r="D281" s="250" t="str">
        <f>IFERROR(__xludf.DUMMYFUNCTION("""COMPUTED_VALUE"""),"   R")</f>
        <v>R</v>
      </c>
      <c r="E281" s="280" t="str">
        <f>IFERROR(__xludf.DUMMYFUNCTION("""COMPUTED_VALUE"""),"TASHA YAR")</f>
        <v>TASHA YAR</v>
      </c>
      <c r="F281" s="271" t="str">
        <f>IFERROR(__xludf.DUMMYFUNCTION("""COMPUTED_VALUE"""),"CM")</f>
        <v>CM</v>
      </c>
      <c r="G281" s="281" t="str">
        <f>IFERROR(__xludf.DUMMYFUNCTION("""COMPUTED_VALUE"""),"➖")</f>
        <v>➖</v>
      </c>
      <c r="H281" s="281" t="str">
        <f>IFERROR(__xludf.DUMMYFUNCTION("""COMPUTED_VALUE"""),"➖")</f>
        <v>➖</v>
      </c>
      <c r="I281" s="281" t="str">
        <f>IFERROR(__xludf.DUMMYFUNCTION("""COMPUTED_VALUE"""),"➖")</f>
        <v>➖</v>
      </c>
      <c r="J281" s="281" t="str">
        <f>IFERROR(__xludf.DUMMYFUNCTION("""COMPUTED_VALUE"""),"➖")</f>
        <v>➖</v>
      </c>
      <c r="K281" s="282" t="str">
        <f>IFERROR(__xludf.DUMMYFUNCTION("""COMPUTED_VALUE"""),"✅")</f>
        <v>✅</v>
      </c>
      <c r="L281" s="282" t="str">
        <f>IFERROR(__xludf.DUMMYFUNCTION("""COMPUTED_VALUE"""),"✅")</f>
        <v>✅</v>
      </c>
      <c r="M281" s="282" t="str">
        <f>IFERROR(__xludf.DUMMYFUNCTION("""COMPUTED_VALUE"""),"➖")</f>
        <v>➖</v>
      </c>
      <c r="N281" s="282" t="str">
        <f>IFERROR(__xludf.DUMMYFUNCTION("""COMPUTED_VALUE"""),"➖")</f>
        <v>➖</v>
      </c>
      <c r="O281" s="282" t="str">
        <f>IFERROR(__xludf.DUMMYFUNCTION("""COMPUTED_VALUE"""),"➖")</f>
        <v>➖</v>
      </c>
      <c r="P281" s="282" t="str">
        <f>IFERROR(__xludf.DUMMYFUNCTION("""COMPUTED_VALUE"""),"➖")</f>
        <v>➖</v>
      </c>
      <c r="Q281" s="282" t="str">
        <f>IFERROR(__xludf.DUMMYFUNCTION("""COMPUTED_VALUE"""),"➖")</f>
        <v>➖</v>
      </c>
      <c r="R281" s="283" t="str">
        <f>IFERROR(__xludf.DUMMYFUNCTION("""COMPUTED_VALUE"""),"   ➖")</f>
        <v>➖</v>
      </c>
      <c r="S281" s="284"/>
      <c r="T281" s="285" t="str">
        <f>IFERROR(__xludf.DUMMYFUNCTION("""COMPUTED_VALUE"""),"➖")</f>
        <v>➖</v>
      </c>
      <c r="U281" s="285" t="str">
        <f>IFERROR(__xludf.DUMMYFUNCTION("""COMPUTED_VALUE"""),"➖")</f>
        <v>➖</v>
      </c>
      <c r="V281" s="259"/>
      <c r="W281" s="286"/>
      <c r="X281" s="286"/>
      <c r="Y281" s="286"/>
    </row>
    <row r="282">
      <c r="A282" s="28"/>
      <c r="B282" s="132"/>
      <c r="C282" s="28"/>
      <c r="D282" s="260" t="str">
        <f>IFERROR(__xludf.DUMMYFUNCTION("""COMPUTED_VALUE"""),"   R")</f>
        <v>R</v>
      </c>
      <c r="E282" s="287" t="str">
        <f>IFERROR(__xludf.DUMMYFUNCTION("""COMPUTED_VALUE"""),"TASHA YAR")</f>
        <v>TASHA YAR</v>
      </c>
      <c r="F282" s="270" t="str">
        <f>IFERROR(__xludf.DUMMYFUNCTION("""COMPUTED_VALUE"""),"OA")</f>
        <v>OA</v>
      </c>
      <c r="G282" s="231" t="str">
        <f>IFERROR(__xludf.DUMMYFUNCTION("""COMPUTED_VALUE"""),"➖")</f>
        <v>➖</v>
      </c>
      <c r="H282" s="231" t="str">
        <f>IFERROR(__xludf.DUMMYFUNCTION("""COMPUTED_VALUE"""),"➖")</f>
        <v>➖</v>
      </c>
      <c r="I282" s="231" t="str">
        <f>IFERROR(__xludf.DUMMYFUNCTION("""COMPUTED_VALUE"""),"✅")</f>
        <v>✅</v>
      </c>
      <c r="J282" s="231" t="str">
        <f>IFERROR(__xludf.DUMMYFUNCTION("""COMPUTED_VALUE"""),"✅")</f>
        <v>✅</v>
      </c>
      <c r="K282" s="288" t="str">
        <f>IFERROR(__xludf.DUMMYFUNCTION("""COMPUTED_VALUE"""),"✅")</f>
        <v>✅</v>
      </c>
      <c r="L282" s="288" t="str">
        <f>IFERROR(__xludf.DUMMYFUNCTION("""COMPUTED_VALUE"""),"✅")</f>
        <v>✅</v>
      </c>
      <c r="M282" s="288" t="str">
        <f>IFERROR(__xludf.DUMMYFUNCTION("""COMPUTED_VALUE"""),"✅")</f>
        <v>✅</v>
      </c>
      <c r="N282" s="288" t="str">
        <f>IFERROR(__xludf.DUMMYFUNCTION("""COMPUTED_VALUE"""),"✅")</f>
        <v>✅</v>
      </c>
      <c r="O282" s="288" t="str">
        <f>IFERROR(__xludf.DUMMYFUNCTION("""COMPUTED_VALUE"""),"✅")</f>
        <v>✅</v>
      </c>
      <c r="P282" s="288" t="str">
        <f>IFERROR(__xludf.DUMMYFUNCTION("""COMPUTED_VALUE"""),"➖")</f>
        <v>➖</v>
      </c>
      <c r="Q282" s="288" t="str">
        <f>IFERROR(__xludf.DUMMYFUNCTION("""COMPUTED_VALUE"""),"➖")</f>
        <v>➖</v>
      </c>
      <c r="R282" s="257" t="str">
        <f>IFERROR(__xludf.DUMMYFUNCTION("""COMPUTED_VALUE"""),"   ➖")</f>
        <v>➖</v>
      </c>
      <c r="S282" s="258"/>
      <c r="T282" s="255" t="str">
        <f>IFERROR(__xludf.DUMMYFUNCTION("""COMPUTED_VALUE"""),"➖")</f>
        <v>➖</v>
      </c>
      <c r="U282" s="255" t="str">
        <f>IFERROR(__xludf.DUMMYFUNCTION("""COMPUTED_VALUE"""),"➖")</f>
        <v>➖</v>
      </c>
      <c r="V282" s="259"/>
      <c r="W282" s="286"/>
      <c r="X282" s="286"/>
      <c r="Y282" s="286"/>
    </row>
    <row r="283">
      <c r="A283" s="28"/>
      <c r="B283" s="128"/>
      <c r="C283" s="28"/>
      <c r="D283" s="250" t="str">
        <f>IFERROR(__xludf.DUMMYFUNCTION("""COMPUTED_VALUE"""),"   E")</f>
        <v>E</v>
      </c>
      <c r="E283" s="280" t="str">
        <f>IFERROR(__xludf.DUMMYFUNCTION("""COMPUTED_VALUE"""),"ELEVEN OF ELEVEN")</f>
        <v>ELEVEN OF ELEVEN</v>
      </c>
      <c r="F283" s="271" t="str">
        <f>IFERROR(__xludf.DUMMYFUNCTION("""COMPUTED_VALUE"""),"CM")</f>
        <v>CM</v>
      </c>
      <c r="G283" s="281" t="str">
        <f>IFERROR(__xludf.DUMMYFUNCTION("""COMPUTED_VALUE"""),"➖")</f>
        <v>➖</v>
      </c>
      <c r="H283" s="281" t="str">
        <f>IFERROR(__xludf.DUMMYFUNCTION("""COMPUTED_VALUE"""),"➖")</f>
        <v>➖</v>
      </c>
      <c r="I283" s="281" t="str">
        <f>IFERROR(__xludf.DUMMYFUNCTION("""COMPUTED_VALUE"""),"➖")</f>
        <v>➖</v>
      </c>
      <c r="J283" s="281" t="str">
        <f>IFERROR(__xludf.DUMMYFUNCTION("""COMPUTED_VALUE"""),"➖")</f>
        <v>➖</v>
      </c>
      <c r="K283" s="282" t="str">
        <f>IFERROR(__xludf.DUMMYFUNCTION("""COMPUTED_VALUE"""),"➖")</f>
        <v>➖</v>
      </c>
      <c r="L283" s="282" t="str">
        <f>IFERROR(__xludf.DUMMYFUNCTION("""COMPUTED_VALUE"""),"➖")</f>
        <v>➖</v>
      </c>
      <c r="M283" s="282" t="str">
        <f>IFERROR(__xludf.DUMMYFUNCTION("""COMPUTED_VALUE"""),"➖")</f>
        <v>➖</v>
      </c>
      <c r="N283" s="282" t="str">
        <f>IFERROR(__xludf.DUMMYFUNCTION("""COMPUTED_VALUE"""),"➖")</f>
        <v>➖</v>
      </c>
      <c r="O283" s="282" t="str">
        <f>IFERROR(__xludf.DUMMYFUNCTION("""COMPUTED_VALUE"""),"➖")</f>
        <v>➖</v>
      </c>
      <c r="P283" s="282" t="str">
        <f>IFERROR(__xludf.DUMMYFUNCTION("""COMPUTED_VALUE"""),"➖")</f>
        <v>➖</v>
      </c>
      <c r="Q283" s="282" t="str">
        <f>IFERROR(__xludf.DUMMYFUNCTION("""COMPUTED_VALUE"""),"➖")</f>
        <v>➖</v>
      </c>
      <c r="R283" s="283" t="str">
        <f>IFERROR(__xludf.DUMMYFUNCTION("""COMPUTED_VALUE"""),"   ➖")</f>
        <v>➖</v>
      </c>
      <c r="S283" s="284"/>
      <c r="T283" s="285" t="str">
        <f>IFERROR(__xludf.DUMMYFUNCTION("""COMPUTED_VALUE"""),"➖")</f>
        <v>➖</v>
      </c>
      <c r="U283" s="285" t="str">
        <f>IFERROR(__xludf.DUMMYFUNCTION("""COMPUTED_VALUE"""),"✅")</f>
        <v>✅</v>
      </c>
      <c r="V283" s="259"/>
      <c r="W283" s="286"/>
      <c r="X283" s="286"/>
      <c r="Y283" s="286"/>
    </row>
    <row r="284">
      <c r="A284" s="28"/>
      <c r="B284" s="132"/>
      <c r="C284" s="28"/>
      <c r="D284" s="260" t="str">
        <f>IFERROR(__xludf.DUMMYFUNCTION("""COMPUTED_VALUE"""),"   E")</f>
        <v>E</v>
      </c>
      <c r="E284" s="287" t="str">
        <f>IFERROR(__xludf.DUMMYFUNCTION("""COMPUTED_VALUE"""),"ELEVEN OF ELEVEN")</f>
        <v>ELEVEN OF ELEVEN</v>
      </c>
      <c r="F284" s="270" t="str">
        <f>IFERROR(__xludf.DUMMYFUNCTION("""COMPUTED_VALUE"""),"OA")</f>
        <v>OA</v>
      </c>
      <c r="G284" s="231" t="str">
        <f>IFERROR(__xludf.DUMMYFUNCTION("""COMPUTED_VALUE"""),"➖")</f>
        <v>➖</v>
      </c>
      <c r="H284" s="231" t="str">
        <f>IFERROR(__xludf.DUMMYFUNCTION("""COMPUTED_VALUE"""),"➖")</f>
        <v>➖</v>
      </c>
      <c r="I284" s="231" t="str">
        <f>IFERROR(__xludf.DUMMYFUNCTION("""COMPUTED_VALUE"""),"➖")</f>
        <v>➖</v>
      </c>
      <c r="J284" s="231" t="str">
        <f>IFERROR(__xludf.DUMMYFUNCTION("""COMPUTED_VALUE"""),"➖")</f>
        <v>➖</v>
      </c>
      <c r="K284" s="288" t="str">
        <f>IFERROR(__xludf.DUMMYFUNCTION("""COMPUTED_VALUE"""),"➖")</f>
        <v>➖</v>
      </c>
      <c r="L284" s="288" t="str">
        <f>IFERROR(__xludf.DUMMYFUNCTION("""COMPUTED_VALUE"""),"➖")</f>
        <v>➖</v>
      </c>
      <c r="M284" s="288" t="str">
        <f>IFERROR(__xludf.DUMMYFUNCTION("""COMPUTED_VALUE"""),"➖")</f>
        <v>➖</v>
      </c>
      <c r="N284" s="288" t="str">
        <f>IFERROR(__xludf.DUMMYFUNCTION("""COMPUTED_VALUE"""),"➖")</f>
        <v>➖</v>
      </c>
      <c r="O284" s="288" t="str">
        <f>IFERROR(__xludf.DUMMYFUNCTION("""COMPUTED_VALUE"""),"➖")</f>
        <v>➖</v>
      </c>
      <c r="P284" s="288" t="str">
        <f>IFERROR(__xludf.DUMMYFUNCTION("""COMPUTED_VALUE"""),"➖")</f>
        <v>➖</v>
      </c>
      <c r="Q284" s="288" t="str">
        <f>IFERROR(__xludf.DUMMYFUNCTION("""COMPUTED_VALUE"""),"➖")</f>
        <v>➖</v>
      </c>
      <c r="R284" s="257" t="str">
        <f>IFERROR(__xludf.DUMMYFUNCTION("""COMPUTED_VALUE"""),"   ➖")</f>
        <v>➖</v>
      </c>
      <c r="S284" s="258"/>
      <c r="T284" s="255" t="str">
        <f>IFERROR(__xludf.DUMMYFUNCTION("""COMPUTED_VALUE"""),"➖")</f>
        <v>➖</v>
      </c>
      <c r="U284" s="255" t="str">
        <f>IFERROR(__xludf.DUMMYFUNCTION("""COMPUTED_VALUE"""),"✅")</f>
        <v>✅</v>
      </c>
      <c r="V284" s="259"/>
      <c r="W284" s="286"/>
      <c r="X284" s="286"/>
      <c r="Y284" s="286"/>
    </row>
    <row r="285">
      <c r="A285" s="28"/>
      <c r="B285" s="128"/>
      <c r="C285" s="28"/>
      <c r="D285" s="250" t="str">
        <f>IFERROR(__xludf.DUMMYFUNCTION("""COMPUTED_VALUE"""),"   E")</f>
        <v>E</v>
      </c>
      <c r="E285" s="280" t="str">
        <f>IFERROR(__xludf.DUMMYFUNCTION("""COMPUTED_VALUE"""),"HONORGUARD WORF")</f>
        <v>HONORGUARD WORF</v>
      </c>
      <c r="F285" s="271" t="str">
        <f>IFERROR(__xludf.DUMMYFUNCTION("""COMPUTED_VALUE"""),"CM")</f>
        <v>CM</v>
      </c>
      <c r="G285" s="281" t="str">
        <f>IFERROR(__xludf.DUMMYFUNCTION("""COMPUTED_VALUE"""),"✅")</f>
        <v>✅</v>
      </c>
      <c r="H285" s="281" t="str">
        <f>IFERROR(__xludf.DUMMYFUNCTION("""COMPUTED_VALUE"""),"✅")</f>
        <v>✅</v>
      </c>
      <c r="I285" s="281" t="str">
        <f>IFERROR(__xludf.DUMMYFUNCTION("""COMPUTED_VALUE"""),"➖")</f>
        <v>➖</v>
      </c>
      <c r="J285" s="281" t="str">
        <f>IFERROR(__xludf.DUMMYFUNCTION("""COMPUTED_VALUE"""),"➖")</f>
        <v>➖</v>
      </c>
      <c r="K285" s="282" t="str">
        <f>IFERROR(__xludf.DUMMYFUNCTION("""COMPUTED_VALUE"""),"➖")</f>
        <v>➖</v>
      </c>
      <c r="L285" s="282" t="str">
        <f>IFERROR(__xludf.DUMMYFUNCTION("""COMPUTED_VALUE"""),"➖")</f>
        <v>➖</v>
      </c>
      <c r="M285" s="282" t="str">
        <f>IFERROR(__xludf.DUMMYFUNCTION("""COMPUTED_VALUE"""),"➖")</f>
        <v>➖</v>
      </c>
      <c r="N285" s="282" t="str">
        <f>IFERROR(__xludf.DUMMYFUNCTION("""COMPUTED_VALUE"""),"➖")</f>
        <v>➖</v>
      </c>
      <c r="O285" s="282" t="str">
        <f>IFERROR(__xludf.DUMMYFUNCTION("""COMPUTED_VALUE"""),"➖")</f>
        <v>➖</v>
      </c>
      <c r="P285" s="282" t="str">
        <f>IFERROR(__xludf.DUMMYFUNCTION("""COMPUTED_VALUE"""),"➖")</f>
        <v>➖</v>
      </c>
      <c r="Q285" s="282" t="str">
        <f>IFERROR(__xludf.DUMMYFUNCTION("""COMPUTED_VALUE"""),"➖")</f>
        <v>➖</v>
      </c>
      <c r="R285" s="283" t="str">
        <f>IFERROR(__xludf.DUMMYFUNCTION("""COMPUTED_VALUE"""),"   ➖")</f>
        <v>➖</v>
      </c>
      <c r="S285" s="284"/>
      <c r="T285" s="285" t="str">
        <f>IFERROR(__xludf.DUMMYFUNCTION("""COMPUTED_VALUE"""),"➖")</f>
        <v>➖</v>
      </c>
      <c r="U285" s="285" t="str">
        <f>IFERROR(__xludf.DUMMYFUNCTION("""COMPUTED_VALUE"""),"➖")</f>
        <v>➖</v>
      </c>
      <c r="V285" s="259"/>
      <c r="W285" s="286"/>
      <c r="X285" s="286"/>
      <c r="Y285" s="286"/>
    </row>
    <row r="286">
      <c r="A286" s="28"/>
      <c r="B286" s="132"/>
      <c r="C286" s="28"/>
      <c r="D286" s="260" t="str">
        <f>IFERROR(__xludf.DUMMYFUNCTION("""COMPUTED_VALUE"""),"   E")</f>
        <v>E</v>
      </c>
      <c r="E286" s="287" t="str">
        <f>IFERROR(__xludf.DUMMYFUNCTION("""COMPUTED_VALUE"""),"HONORGUARD WORF")</f>
        <v>HONORGUARD WORF</v>
      </c>
      <c r="F286" s="270" t="str">
        <f>IFERROR(__xludf.DUMMYFUNCTION("""COMPUTED_VALUE"""),"OA")</f>
        <v>OA</v>
      </c>
      <c r="G286" s="231" t="str">
        <f>IFERROR(__xludf.DUMMYFUNCTION("""COMPUTED_VALUE"""),"✅")</f>
        <v>✅</v>
      </c>
      <c r="H286" s="231" t="str">
        <f>IFERROR(__xludf.DUMMYFUNCTION("""COMPUTED_VALUE"""),"✅")</f>
        <v>✅</v>
      </c>
      <c r="I286" s="231" t="str">
        <f>IFERROR(__xludf.DUMMYFUNCTION("""COMPUTED_VALUE"""),"➖")</f>
        <v>➖</v>
      </c>
      <c r="J286" s="231" t="str">
        <f>IFERROR(__xludf.DUMMYFUNCTION("""COMPUTED_VALUE"""),"➖")</f>
        <v>➖</v>
      </c>
      <c r="K286" s="288" t="str">
        <f>IFERROR(__xludf.DUMMYFUNCTION("""COMPUTED_VALUE"""),"➖")</f>
        <v>➖</v>
      </c>
      <c r="L286" s="288" t="str">
        <f>IFERROR(__xludf.DUMMYFUNCTION("""COMPUTED_VALUE"""),"➖")</f>
        <v>➖</v>
      </c>
      <c r="M286" s="288" t="str">
        <f>IFERROR(__xludf.DUMMYFUNCTION("""COMPUTED_VALUE"""),"➖")</f>
        <v>➖</v>
      </c>
      <c r="N286" s="288" t="str">
        <f>IFERROR(__xludf.DUMMYFUNCTION("""COMPUTED_VALUE"""),"➖")</f>
        <v>➖</v>
      </c>
      <c r="O286" s="288" t="str">
        <f>IFERROR(__xludf.DUMMYFUNCTION("""COMPUTED_VALUE"""),"➖")</f>
        <v>➖</v>
      </c>
      <c r="P286" s="288" t="str">
        <f>IFERROR(__xludf.DUMMYFUNCTION("""COMPUTED_VALUE"""),"➖")</f>
        <v>➖</v>
      </c>
      <c r="Q286" s="288" t="str">
        <f>IFERROR(__xludf.DUMMYFUNCTION("""COMPUTED_VALUE"""),"➖")</f>
        <v>➖</v>
      </c>
      <c r="R286" s="257" t="str">
        <f>IFERROR(__xludf.DUMMYFUNCTION("""COMPUTED_VALUE"""),"   ➖")</f>
        <v>➖</v>
      </c>
      <c r="S286" s="258"/>
      <c r="T286" s="255" t="str">
        <f>IFERROR(__xludf.DUMMYFUNCTION("""COMPUTED_VALUE"""),"➖")</f>
        <v>➖</v>
      </c>
      <c r="U286" s="255" t="str">
        <f>IFERROR(__xludf.DUMMYFUNCTION("""COMPUTED_VALUE"""),"➖")</f>
        <v>➖</v>
      </c>
      <c r="V286" s="259"/>
      <c r="W286" s="286"/>
      <c r="X286" s="286"/>
      <c r="Y286" s="286"/>
    </row>
    <row r="287">
      <c r="A287" s="28"/>
      <c r="B287" s="128"/>
      <c r="C287" s="28"/>
      <c r="D287" s="250" t="str">
        <f>IFERROR(__xludf.DUMMYFUNCTION("""COMPUTED_VALUE"""),"   E")</f>
        <v>E</v>
      </c>
      <c r="E287" s="280" t="str">
        <f>IFERROR(__xludf.DUMMYFUNCTION("""COMPUTED_VALUE"""),"SELA")</f>
        <v>SELA</v>
      </c>
      <c r="F287" s="271" t="str">
        <f>IFERROR(__xludf.DUMMYFUNCTION("""COMPUTED_VALUE"""),"CM")</f>
        <v>CM</v>
      </c>
      <c r="G287" s="281" t="str">
        <f>IFERROR(__xludf.DUMMYFUNCTION("""COMPUTED_VALUE"""),"✅")</f>
        <v>✅</v>
      </c>
      <c r="H287" s="281" t="str">
        <f>IFERROR(__xludf.DUMMYFUNCTION("""COMPUTED_VALUE"""),"➖")</f>
        <v>➖</v>
      </c>
      <c r="I287" s="281" t="str">
        <f>IFERROR(__xludf.DUMMYFUNCTION("""COMPUTED_VALUE"""),"➖")</f>
        <v>➖</v>
      </c>
      <c r="J287" s="281" t="str">
        <f>IFERROR(__xludf.DUMMYFUNCTION("""COMPUTED_VALUE"""),"➖")</f>
        <v>➖</v>
      </c>
      <c r="K287" s="282" t="str">
        <f>IFERROR(__xludf.DUMMYFUNCTION("""COMPUTED_VALUE"""),"➖")</f>
        <v>➖</v>
      </c>
      <c r="L287" s="282" t="str">
        <f>IFERROR(__xludf.DUMMYFUNCTION("""COMPUTED_VALUE"""),"➖")</f>
        <v>➖</v>
      </c>
      <c r="M287" s="282" t="str">
        <f>IFERROR(__xludf.DUMMYFUNCTION("""COMPUTED_VALUE"""),"➖")</f>
        <v>➖</v>
      </c>
      <c r="N287" s="282" t="str">
        <f>IFERROR(__xludf.DUMMYFUNCTION("""COMPUTED_VALUE"""),"➖")</f>
        <v>➖</v>
      </c>
      <c r="O287" s="282" t="str">
        <f>IFERROR(__xludf.DUMMYFUNCTION("""COMPUTED_VALUE"""),"➖")</f>
        <v>➖</v>
      </c>
      <c r="P287" s="282" t="str">
        <f>IFERROR(__xludf.DUMMYFUNCTION("""COMPUTED_VALUE"""),"➖")</f>
        <v>➖</v>
      </c>
      <c r="Q287" s="282" t="str">
        <f>IFERROR(__xludf.DUMMYFUNCTION("""COMPUTED_VALUE"""),"➖")</f>
        <v>➖</v>
      </c>
      <c r="R287" s="283" t="str">
        <f>IFERROR(__xludf.DUMMYFUNCTION("""COMPUTED_VALUE"""),"   ➖")</f>
        <v>➖</v>
      </c>
      <c r="S287" s="284"/>
      <c r="T287" s="285" t="str">
        <f>IFERROR(__xludf.DUMMYFUNCTION("""COMPUTED_VALUE"""),"➖")</f>
        <v>➖</v>
      </c>
      <c r="U287" s="285" t="str">
        <f>IFERROR(__xludf.DUMMYFUNCTION("""COMPUTED_VALUE"""),"➖")</f>
        <v>➖</v>
      </c>
      <c r="V287" s="259"/>
      <c r="W287" s="286"/>
      <c r="X287" s="286"/>
      <c r="Y287" s="286"/>
    </row>
    <row r="288">
      <c r="A288" s="28"/>
      <c r="B288" s="132"/>
      <c r="C288" s="28"/>
      <c r="D288" s="260" t="str">
        <f>IFERROR(__xludf.DUMMYFUNCTION("""COMPUTED_VALUE"""),"   E")</f>
        <v>E</v>
      </c>
      <c r="E288" s="287" t="str">
        <f>IFERROR(__xludf.DUMMYFUNCTION("""COMPUTED_VALUE"""),"SELA")</f>
        <v>SELA</v>
      </c>
      <c r="F288" s="270" t="str">
        <f>IFERROR(__xludf.DUMMYFUNCTION("""COMPUTED_VALUE"""),"OA")</f>
        <v>OA</v>
      </c>
      <c r="G288" s="231" t="str">
        <f>IFERROR(__xludf.DUMMYFUNCTION("""COMPUTED_VALUE"""),"✅")</f>
        <v>✅</v>
      </c>
      <c r="H288" s="231" t="str">
        <f>IFERROR(__xludf.DUMMYFUNCTION("""COMPUTED_VALUE"""),"✅")</f>
        <v>✅</v>
      </c>
      <c r="I288" s="231" t="str">
        <f>IFERROR(__xludf.DUMMYFUNCTION("""COMPUTED_VALUE"""),"➖")</f>
        <v>➖</v>
      </c>
      <c r="J288" s="231" t="str">
        <f>IFERROR(__xludf.DUMMYFUNCTION("""COMPUTED_VALUE"""),"➖")</f>
        <v>➖</v>
      </c>
      <c r="K288" s="288" t="str">
        <f>IFERROR(__xludf.DUMMYFUNCTION("""COMPUTED_VALUE"""),"➖")</f>
        <v>➖</v>
      </c>
      <c r="L288" s="288" t="str">
        <f>IFERROR(__xludf.DUMMYFUNCTION("""COMPUTED_VALUE"""),"➖")</f>
        <v>➖</v>
      </c>
      <c r="M288" s="288" t="str">
        <f>IFERROR(__xludf.DUMMYFUNCTION("""COMPUTED_VALUE"""),"➖")</f>
        <v>➖</v>
      </c>
      <c r="N288" s="288" t="str">
        <f>IFERROR(__xludf.DUMMYFUNCTION("""COMPUTED_VALUE"""),"➖")</f>
        <v>➖</v>
      </c>
      <c r="O288" s="288" t="str">
        <f>IFERROR(__xludf.DUMMYFUNCTION("""COMPUTED_VALUE"""),"➖")</f>
        <v>➖</v>
      </c>
      <c r="P288" s="288" t="str">
        <f>IFERROR(__xludf.DUMMYFUNCTION("""COMPUTED_VALUE"""),"➖")</f>
        <v>➖</v>
      </c>
      <c r="Q288" s="288" t="str">
        <f>IFERROR(__xludf.DUMMYFUNCTION("""COMPUTED_VALUE"""),"➖")</f>
        <v>➖</v>
      </c>
      <c r="R288" s="257" t="str">
        <f>IFERROR(__xludf.DUMMYFUNCTION("""COMPUTED_VALUE"""),"   ➖")</f>
        <v>➖</v>
      </c>
      <c r="S288" s="258"/>
      <c r="T288" s="255" t="str">
        <f>IFERROR(__xludf.DUMMYFUNCTION("""COMPUTED_VALUE"""),"➖")</f>
        <v>➖</v>
      </c>
      <c r="U288" s="255" t="str">
        <f>IFERROR(__xludf.DUMMYFUNCTION("""COMPUTED_VALUE"""),"➖")</f>
        <v>➖</v>
      </c>
      <c r="V288" s="259"/>
      <c r="W288" s="286"/>
      <c r="X288" s="286"/>
      <c r="Y288" s="286"/>
    </row>
    <row r="289">
      <c r="A289" s="28"/>
      <c r="B289" s="128"/>
      <c r="C289" s="28"/>
      <c r="D289" s="250" t="str">
        <f>IFERROR(__xludf.DUMMYFUNCTION("""COMPUTED_VALUE"""),"   R")</f>
        <v>R</v>
      </c>
      <c r="E289" s="280" t="str">
        <f>IFERROR(__xludf.DUMMYFUNCTION("""COMPUTED_VALUE"""),"TOMALAK")</f>
        <v>TOMALAK</v>
      </c>
      <c r="F289" s="271" t="str">
        <f>IFERROR(__xludf.DUMMYFUNCTION("""COMPUTED_VALUE"""),"CM")</f>
        <v>CM</v>
      </c>
      <c r="G289" s="281" t="str">
        <f>IFERROR(__xludf.DUMMYFUNCTION("""COMPUTED_VALUE"""),"✅")</f>
        <v>✅</v>
      </c>
      <c r="H289" s="281" t="str">
        <f>IFERROR(__xludf.DUMMYFUNCTION("""COMPUTED_VALUE"""),"➖")</f>
        <v>➖</v>
      </c>
      <c r="I289" s="281" t="str">
        <f>IFERROR(__xludf.DUMMYFUNCTION("""COMPUTED_VALUE"""),"➖")</f>
        <v>➖</v>
      </c>
      <c r="J289" s="281" t="str">
        <f>IFERROR(__xludf.DUMMYFUNCTION("""COMPUTED_VALUE"""),"➖")</f>
        <v>➖</v>
      </c>
      <c r="K289" s="282" t="str">
        <f>IFERROR(__xludf.DUMMYFUNCTION("""COMPUTED_VALUE"""),"➖")</f>
        <v>➖</v>
      </c>
      <c r="L289" s="282" t="str">
        <f>IFERROR(__xludf.DUMMYFUNCTION("""COMPUTED_VALUE"""),"➖")</f>
        <v>➖</v>
      </c>
      <c r="M289" s="282" t="str">
        <f>IFERROR(__xludf.DUMMYFUNCTION("""COMPUTED_VALUE"""),"➖")</f>
        <v>➖</v>
      </c>
      <c r="N289" s="282" t="str">
        <f>IFERROR(__xludf.DUMMYFUNCTION("""COMPUTED_VALUE"""),"➖")</f>
        <v>➖</v>
      </c>
      <c r="O289" s="282" t="str">
        <f>IFERROR(__xludf.DUMMYFUNCTION("""COMPUTED_VALUE"""),"➖")</f>
        <v>➖</v>
      </c>
      <c r="P289" s="282" t="str">
        <f>IFERROR(__xludf.DUMMYFUNCTION("""COMPUTED_VALUE"""),"➖")</f>
        <v>➖</v>
      </c>
      <c r="Q289" s="282" t="str">
        <f>IFERROR(__xludf.DUMMYFUNCTION("""COMPUTED_VALUE"""),"➖")</f>
        <v>➖</v>
      </c>
      <c r="R289" s="283" t="str">
        <f>IFERROR(__xludf.DUMMYFUNCTION("""COMPUTED_VALUE"""),"   ➖")</f>
        <v>➖</v>
      </c>
      <c r="S289" s="284"/>
      <c r="T289" s="285" t="str">
        <f>IFERROR(__xludf.DUMMYFUNCTION("""COMPUTED_VALUE"""),"➖")</f>
        <v>➖</v>
      </c>
      <c r="U289" s="285" t="str">
        <f>IFERROR(__xludf.DUMMYFUNCTION("""COMPUTED_VALUE"""),"➖")</f>
        <v>➖</v>
      </c>
      <c r="V289" s="259"/>
      <c r="W289" s="286"/>
      <c r="X289" s="286"/>
      <c r="Y289" s="286"/>
    </row>
    <row r="290">
      <c r="A290" s="28"/>
      <c r="B290" s="132"/>
      <c r="C290" s="28"/>
      <c r="D290" s="260" t="str">
        <f>IFERROR(__xludf.DUMMYFUNCTION("""COMPUTED_VALUE"""),"   R")</f>
        <v>R</v>
      </c>
      <c r="E290" s="287" t="str">
        <f>IFERROR(__xludf.DUMMYFUNCTION("""COMPUTED_VALUE"""),"TOMALAK")</f>
        <v>TOMALAK</v>
      </c>
      <c r="F290" s="270" t="str">
        <f>IFERROR(__xludf.DUMMYFUNCTION("""COMPUTED_VALUE"""),"OA")</f>
        <v>OA</v>
      </c>
      <c r="G290" s="231" t="str">
        <f>IFERROR(__xludf.DUMMYFUNCTION("""COMPUTED_VALUE"""),"✴️")</f>
        <v>✴️</v>
      </c>
      <c r="H290" s="231" t="str">
        <f>IFERROR(__xludf.DUMMYFUNCTION("""COMPUTED_VALUE"""),"✴️")</f>
        <v>✴️</v>
      </c>
      <c r="I290" s="231" t="str">
        <f>IFERROR(__xludf.DUMMYFUNCTION("""COMPUTED_VALUE"""),"✴️")</f>
        <v>✴️</v>
      </c>
      <c r="J290" s="231" t="str">
        <f>IFERROR(__xludf.DUMMYFUNCTION("""COMPUTED_VALUE"""),"✴️")</f>
        <v>✴️</v>
      </c>
      <c r="K290" s="288" t="str">
        <f>IFERROR(__xludf.DUMMYFUNCTION("""COMPUTED_VALUE"""),"✴️")</f>
        <v>✴️</v>
      </c>
      <c r="L290" s="288" t="str">
        <f>IFERROR(__xludf.DUMMYFUNCTION("""COMPUTED_VALUE"""),"✴️")</f>
        <v>✴️</v>
      </c>
      <c r="M290" s="288" t="str">
        <f>IFERROR(__xludf.DUMMYFUNCTION("""COMPUTED_VALUE"""),"✴️")</f>
        <v>✴️</v>
      </c>
      <c r="N290" s="288" t="str">
        <f>IFERROR(__xludf.DUMMYFUNCTION("""COMPUTED_VALUE"""),"✴️")</f>
        <v>✴️</v>
      </c>
      <c r="O290" s="288" t="str">
        <f>IFERROR(__xludf.DUMMYFUNCTION("""COMPUTED_VALUE"""),"➖")</f>
        <v>➖</v>
      </c>
      <c r="P290" s="288" t="str">
        <f>IFERROR(__xludf.DUMMYFUNCTION("""COMPUTED_VALUE"""),"✴️")</f>
        <v>✴️</v>
      </c>
      <c r="Q290" s="288" t="str">
        <f>IFERROR(__xludf.DUMMYFUNCTION("""COMPUTED_VALUE"""),"➖")</f>
        <v>➖</v>
      </c>
      <c r="R290" s="257" t="str">
        <f>IFERROR(__xludf.DUMMYFUNCTION("""COMPUTED_VALUE"""),"   ➖")</f>
        <v>➖</v>
      </c>
      <c r="S290" s="258" t="str">
        <f>IFERROR(__xludf.DUMMYFUNCTION("""COMPUTED_VALUE"""),"Klingon")</f>
        <v>Klingon</v>
      </c>
      <c r="T290" s="255" t="str">
        <f>IFERROR(__xludf.DUMMYFUNCTION("""COMPUTED_VALUE"""),"➖")</f>
        <v>➖</v>
      </c>
      <c r="U290" s="255" t="str">
        <f>IFERROR(__xludf.DUMMYFUNCTION("""COMPUTED_VALUE"""),"➖")</f>
        <v>➖</v>
      </c>
      <c r="V290" s="259"/>
      <c r="W290" s="286"/>
      <c r="X290" s="286"/>
      <c r="Y290" s="286"/>
    </row>
    <row r="291">
      <c r="A291" s="28"/>
      <c r="B291" s="128"/>
      <c r="C291" s="28"/>
      <c r="D291" s="250" t="str">
        <f>IFERROR(__xludf.DUMMYFUNCTION("""COMPUTED_VALUE"""),"   R")</f>
        <v>R</v>
      </c>
      <c r="E291" s="280" t="str">
        <f>IFERROR(__xludf.DUMMYFUNCTION("""COMPUTED_VALUE"""),"GOWRON")</f>
        <v>GOWRON</v>
      </c>
      <c r="F291" s="271" t="str">
        <f>IFERROR(__xludf.DUMMYFUNCTION("""COMPUTED_VALUE"""),"CM")</f>
        <v>CM</v>
      </c>
      <c r="G291" s="281" t="str">
        <f>IFERROR(__xludf.DUMMYFUNCTION("""COMPUTED_VALUE"""),"✴️")</f>
        <v>✴️</v>
      </c>
      <c r="H291" s="281" t="str">
        <f>IFERROR(__xludf.DUMMYFUNCTION("""COMPUTED_VALUE"""),"✴️")</f>
        <v>✴️</v>
      </c>
      <c r="I291" s="281" t="str">
        <f>IFERROR(__xludf.DUMMYFUNCTION("""COMPUTED_VALUE"""),"✴️")</f>
        <v>✴️</v>
      </c>
      <c r="J291" s="281" t="str">
        <f>IFERROR(__xludf.DUMMYFUNCTION("""COMPUTED_VALUE"""),"✴️")</f>
        <v>✴️</v>
      </c>
      <c r="K291" s="282" t="str">
        <f>IFERROR(__xludf.DUMMYFUNCTION("""COMPUTED_VALUE"""),"✴️")</f>
        <v>✴️</v>
      </c>
      <c r="L291" s="282" t="str">
        <f>IFERROR(__xludf.DUMMYFUNCTION("""COMPUTED_VALUE"""),"✴️")</f>
        <v>✴️</v>
      </c>
      <c r="M291" s="282" t="str">
        <f>IFERROR(__xludf.DUMMYFUNCTION("""COMPUTED_VALUE"""),"✴️")</f>
        <v>✴️</v>
      </c>
      <c r="N291" s="282" t="str">
        <f>IFERROR(__xludf.DUMMYFUNCTION("""COMPUTED_VALUE"""),"✴️")</f>
        <v>✴️</v>
      </c>
      <c r="O291" s="282" t="str">
        <f>IFERROR(__xludf.DUMMYFUNCTION("""COMPUTED_VALUE"""),"✴️")</f>
        <v>✴️</v>
      </c>
      <c r="P291" s="282" t="str">
        <f>IFERROR(__xludf.DUMMYFUNCTION("""COMPUTED_VALUE"""),"✴️")</f>
        <v>✴️</v>
      </c>
      <c r="Q291" s="282" t="str">
        <f>IFERROR(__xludf.DUMMYFUNCTION("""COMPUTED_VALUE"""),"✴️")</f>
        <v>✴️</v>
      </c>
      <c r="R291" s="283" t="str">
        <f>IFERROR(__xludf.DUMMYFUNCTION("""COMPUTED_VALUE"""),"   ✴️")</f>
        <v>✴️</v>
      </c>
      <c r="S291" s="284" t="str">
        <f>IFERROR(__xludf.DUMMYFUNCTION("""COMPUTED_VALUE"""),"ModuleEnergy")</f>
        <v>ModuleEnergy</v>
      </c>
      <c r="T291" s="285" t="str">
        <f>IFERROR(__xludf.DUMMYFUNCTION("""COMPUTED_VALUE"""),"➖")</f>
        <v>➖</v>
      </c>
      <c r="U291" s="285" t="str">
        <f>IFERROR(__xludf.DUMMYFUNCTION("""COMPUTED_VALUE"""),"➖")</f>
        <v>➖</v>
      </c>
      <c r="V291" s="259"/>
      <c r="W291" s="286"/>
      <c r="X291" s="286"/>
      <c r="Y291" s="286"/>
    </row>
    <row r="292">
      <c r="A292" s="28"/>
      <c r="B292" s="132"/>
      <c r="C292" s="28"/>
      <c r="D292" s="260" t="str">
        <f>IFERROR(__xludf.DUMMYFUNCTION("""COMPUTED_VALUE"""),"   R")</f>
        <v>R</v>
      </c>
      <c r="E292" s="287" t="str">
        <f>IFERROR(__xludf.DUMMYFUNCTION("""COMPUTED_VALUE"""),"GOWRON")</f>
        <v>GOWRON</v>
      </c>
      <c r="F292" s="270" t="str">
        <f>IFERROR(__xludf.DUMMYFUNCTION("""COMPUTED_VALUE"""),"OA")</f>
        <v>OA</v>
      </c>
      <c r="G292" s="231" t="str">
        <f>IFERROR(__xludf.DUMMYFUNCTION("""COMPUTED_VALUE"""),"✅")</f>
        <v>✅</v>
      </c>
      <c r="H292" s="231" t="str">
        <f>IFERROR(__xludf.DUMMYFUNCTION("""COMPUTED_VALUE"""),"✅")</f>
        <v>✅</v>
      </c>
      <c r="I292" s="231" t="str">
        <f>IFERROR(__xludf.DUMMYFUNCTION("""COMPUTED_VALUE"""),"✅")</f>
        <v>✅</v>
      </c>
      <c r="J292" s="231" t="str">
        <f>IFERROR(__xludf.DUMMYFUNCTION("""COMPUTED_VALUE"""),"✅")</f>
        <v>✅</v>
      </c>
      <c r="K292" s="288" t="str">
        <f>IFERROR(__xludf.DUMMYFUNCTION("""COMPUTED_VALUE"""),"✅")</f>
        <v>✅</v>
      </c>
      <c r="L292" s="288" t="str">
        <f>IFERROR(__xludf.DUMMYFUNCTION("""COMPUTED_VALUE"""),"✅")</f>
        <v>✅</v>
      </c>
      <c r="M292" s="288" t="str">
        <f>IFERROR(__xludf.DUMMYFUNCTION("""COMPUTED_VALUE"""),"✅")</f>
        <v>✅</v>
      </c>
      <c r="N292" s="288" t="str">
        <f>IFERROR(__xludf.DUMMYFUNCTION("""COMPUTED_VALUE"""),"✅")</f>
        <v>✅</v>
      </c>
      <c r="O292" s="288" t="str">
        <f>IFERROR(__xludf.DUMMYFUNCTION("""COMPUTED_VALUE"""),"✅")</f>
        <v>✅</v>
      </c>
      <c r="P292" s="288" t="str">
        <f>IFERROR(__xludf.DUMMYFUNCTION("""COMPUTED_VALUE"""),"✅")</f>
        <v>✅</v>
      </c>
      <c r="Q292" s="288" t="str">
        <f>IFERROR(__xludf.DUMMYFUNCTION("""COMPUTED_VALUE"""),"✅")</f>
        <v>✅</v>
      </c>
      <c r="R292" s="257" t="str">
        <f>IFERROR(__xludf.DUMMYFUNCTION("""COMPUTED_VALUE"""),"   ✅")</f>
        <v>✅</v>
      </c>
      <c r="S292" s="258"/>
      <c r="T292" s="255" t="str">
        <f>IFERROR(__xludf.DUMMYFUNCTION("""COMPUTED_VALUE"""),"➖")</f>
        <v>➖</v>
      </c>
      <c r="U292" s="255" t="str">
        <f>IFERROR(__xludf.DUMMYFUNCTION("""COMPUTED_VALUE"""),"➖")</f>
        <v>➖</v>
      </c>
      <c r="V292" s="259"/>
      <c r="W292" s="286"/>
      <c r="X292" s="286"/>
      <c r="Y292" s="286"/>
    </row>
    <row r="293">
      <c r="A293" s="28"/>
      <c r="B293" s="128"/>
      <c r="C293" s="28"/>
      <c r="D293" s="250" t="str">
        <f>IFERROR(__xludf.DUMMYFUNCTION("""COMPUTED_VALUE"""),"   R")</f>
        <v>R</v>
      </c>
      <c r="E293" s="280" t="str">
        <f>IFERROR(__xludf.DUMMYFUNCTION("""COMPUTED_VALUE"""),"MARTOK")</f>
        <v>MARTOK</v>
      </c>
      <c r="F293" s="271" t="str">
        <f>IFERROR(__xludf.DUMMYFUNCTION("""COMPUTED_VALUE"""),"CM")</f>
        <v>CM</v>
      </c>
      <c r="G293" s="281" t="str">
        <f>IFERROR(__xludf.DUMMYFUNCTION("""COMPUTED_VALUE"""),"✴️")</f>
        <v>✴️</v>
      </c>
      <c r="H293" s="281" t="str">
        <f>IFERROR(__xludf.DUMMYFUNCTION("""COMPUTED_VALUE"""),"✴️")</f>
        <v>✴️</v>
      </c>
      <c r="I293" s="281" t="str">
        <f>IFERROR(__xludf.DUMMYFUNCTION("""COMPUTED_VALUE"""),"✴️")</f>
        <v>✴️</v>
      </c>
      <c r="J293" s="281" t="str">
        <f>IFERROR(__xludf.DUMMYFUNCTION("""COMPUTED_VALUE"""),"✴️")</f>
        <v>✴️</v>
      </c>
      <c r="K293" s="282" t="str">
        <f>IFERROR(__xludf.DUMMYFUNCTION("""COMPUTED_VALUE"""),"✴️")</f>
        <v>✴️</v>
      </c>
      <c r="L293" s="282" t="str">
        <f>IFERROR(__xludf.DUMMYFUNCTION("""COMPUTED_VALUE"""),"✴️")</f>
        <v>✴️</v>
      </c>
      <c r="M293" s="282" t="str">
        <f>IFERROR(__xludf.DUMMYFUNCTION("""COMPUTED_VALUE"""),"✴️")</f>
        <v>✴️</v>
      </c>
      <c r="N293" s="282" t="str">
        <f>IFERROR(__xludf.DUMMYFUNCTION("""COMPUTED_VALUE"""),"✴️")</f>
        <v>✴️</v>
      </c>
      <c r="O293" s="282" t="str">
        <f>IFERROR(__xludf.DUMMYFUNCTION("""COMPUTED_VALUE"""),"✴️")</f>
        <v>✴️</v>
      </c>
      <c r="P293" s="282" t="str">
        <f>IFERROR(__xludf.DUMMYFUNCTION("""COMPUTED_VALUE"""),"✴️")</f>
        <v>✴️</v>
      </c>
      <c r="Q293" s="282" t="str">
        <f>IFERROR(__xludf.DUMMYFUNCTION("""COMPUTED_VALUE"""),"✴️")</f>
        <v>✴️</v>
      </c>
      <c r="R293" s="283" t="str">
        <f>IFERROR(__xludf.DUMMYFUNCTION("""COMPUTED_VALUE"""),"   ✴️")</f>
        <v>✴️</v>
      </c>
      <c r="S293" s="284" t="str">
        <f>IFERROR(__xludf.DUMMYFUNCTION("""COMPUTED_VALUE"""),"ModuleKinetic")</f>
        <v>ModuleKinetic</v>
      </c>
      <c r="T293" s="285" t="str">
        <f>IFERROR(__xludf.DUMMYFUNCTION("""COMPUTED_VALUE"""),"➖")</f>
        <v>➖</v>
      </c>
      <c r="U293" s="285" t="str">
        <f>IFERROR(__xludf.DUMMYFUNCTION("""COMPUTED_VALUE"""),"➖")</f>
        <v>➖</v>
      </c>
      <c r="V293" s="259"/>
      <c r="W293" s="286"/>
      <c r="X293" s="286"/>
      <c r="Y293" s="286"/>
    </row>
    <row r="294">
      <c r="A294" s="28"/>
      <c r="B294" s="132"/>
      <c r="C294" s="28"/>
      <c r="D294" s="260" t="str">
        <f>IFERROR(__xludf.DUMMYFUNCTION("""COMPUTED_VALUE"""),"   R")</f>
        <v>R</v>
      </c>
      <c r="E294" s="287" t="str">
        <f>IFERROR(__xludf.DUMMYFUNCTION("""COMPUTED_VALUE"""),"MARTOK")</f>
        <v>MARTOK</v>
      </c>
      <c r="F294" s="270" t="str">
        <f>IFERROR(__xludf.DUMMYFUNCTION("""COMPUTED_VALUE"""),"OA")</f>
        <v>OA</v>
      </c>
      <c r="G294" s="231" t="str">
        <f>IFERROR(__xludf.DUMMYFUNCTION("""COMPUTED_VALUE"""),"✅")</f>
        <v>✅</v>
      </c>
      <c r="H294" s="231" t="str">
        <f>IFERROR(__xludf.DUMMYFUNCTION("""COMPUTED_VALUE"""),"✅")</f>
        <v>✅</v>
      </c>
      <c r="I294" s="231" t="str">
        <f>IFERROR(__xludf.DUMMYFUNCTION("""COMPUTED_VALUE"""),"✅")</f>
        <v>✅</v>
      </c>
      <c r="J294" s="231" t="str">
        <f>IFERROR(__xludf.DUMMYFUNCTION("""COMPUTED_VALUE"""),"✅")</f>
        <v>✅</v>
      </c>
      <c r="K294" s="288" t="str">
        <f>IFERROR(__xludf.DUMMYFUNCTION("""COMPUTED_VALUE"""),"✅")</f>
        <v>✅</v>
      </c>
      <c r="L294" s="288" t="str">
        <f>IFERROR(__xludf.DUMMYFUNCTION("""COMPUTED_VALUE"""),"✅")</f>
        <v>✅</v>
      </c>
      <c r="M294" s="288" t="str">
        <f>IFERROR(__xludf.DUMMYFUNCTION("""COMPUTED_VALUE"""),"✅")</f>
        <v>✅</v>
      </c>
      <c r="N294" s="288" t="str">
        <f>IFERROR(__xludf.DUMMYFUNCTION("""COMPUTED_VALUE"""),"✅")</f>
        <v>✅</v>
      </c>
      <c r="O294" s="288" t="str">
        <f>IFERROR(__xludf.DUMMYFUNCTION("""COMPUTED_VALUE"""),"✅")</f>
        <v>✅</v>
      </c>
      <c r="P294" s="288" t="str">
        <f>IFERROR(__xludf.DUMMYFUNCTION("""COMPUTED_VALUE"""),"✅")</f>
        <v>✅</v>
      </c>
      <c r="Q294" s="288" t="str">
        <f>IFERROR(__xludf.DUMMYFUNCTION("""COMPUTED_VALUE"""),"✅")</f>
        <v>✅</v>
      </c>
      <c r="R294" s="257" t="str">
        <f>IFERROR(__xludf.DUMMYFUNCTION("""COMPUTED_VALUE"""),"   ✅")</f>
        <v>✅</v>
      </c>
      <c r="S294" s="258"/>
      <c r="T294" s="255" t="str">
        <f>IFERROR(__xludf.DUMMYFUNCTION("""COMPUTED_VALUE"""),"➖")</f>
        <v>➖</v>
      </c>
      <c r="U294" s="255" t="str">
        <f>IFERROR(__xludf.DUMMYFUNCTION("""COMPUTED_VALUE"""),"➖")</f>
        <v>➖</v>
      </c>
      <c r="V294" s="259"/>
      <c r="W294" s="286"/>
      <c r="X294" s="286"/>
      <c r="Y294" s="286"/>
    </row>
    <row r="295">
      <c r="A295" s="28"/>
      <c r="B295" s="128"/>
      <c r="C295" s="28"/>
      <c r="D295" s="250" t="str">
        <f>IFERROR(__xludf.DUMMYFUNCTION("""COMPUTED_VALUE"""),"   E")</f>
        <v>E</v>
      </c>
      <c r="E295" s="280" t="str">
        <f>IFERROR(__xludf.DUMMYFUNCTION("""COMPUTED_VALUE"""),"GHRUSH")</f>
        <v>GHRUSH</v>
      </c>
      <c r="F295" s="271" t="str">
        <f>IFERROR(__xludf.DUMMYFUNCTION("""COMPUTED_VALUE"""),"CM")</f>
        <v>CM</v>
      </c>
      <c r="G295" s="281" t="str">
        <f>IFERROR(__xludf.DUMMYFUNCTION("""COMPUTED_VALUE"""),"➖")</f>
        <v>➖</v>
      </c>
      <c r="H295" s="281" t="str">
        <f>IFERROR(__xludf.DUMMYFUNCTION("""COMPUTED_VALUE"""),"➖")</f>
        <v>➖</v>
      </c>
      <c r="I295" s="281" t="str">
        <f>IFERROR(__xludf.DUMMYFUNCTION("""COMPUTED_VALUE"""),"➖")</f>
        <v>➖</v>
      </c>
      <c r="J295" s="281" t="str">
        <f>IFERROR(__xludf.DUMMYFUNCTION("""COMPUTED_VALUE"""),"➖")</f>
        <v>➖</v>
      </c>
      <c r="K295" s="282" t="str">
        <f>IFERROR(__xludf.DUMMYFUNCTION("""COMPUTED_VALUE"""),"➖")</f>
        <v>➖</v>
      </c>
      <c r="L295" s="282" t="str">
        <f>IFERROR(__xludf.DUMMYFUNCTION("""COMPUTED_VALUE"""),"➖")</f>
        <v>➖</v>
      </c>
      <c r="M295" s="282" t="str">
        <f>IFERROR(__xludf.DUMMYFUNCTION("""COMPUTED_VALUE"""),"➖")</f>
        <v>➖</v>
      </c>
      <c r="N295" s="282" t="str">
        <f>IFERROR(__xludf.DUMMYFUNCTION("""COMPUTED_VALUE"""),"➖")</f>
        <v>➖</v>
      </c>
      <c r="O295" s="282" t="str">
        <f>IFERROR(__xludf.DUMMYFUNCTION("""COMPUTED_VALUE"""),"➖")</f>
        <v>➖</v>
      </c>
      <c r="P295" s="282" t="str">
        <f>IFERROR(__xludf.DUMMYFUNCTION("""COMPUTED_VALUE"""),"➖")</f>
        <v>➖</v>
      </c>
      <c r="Q295" s="282" t="str">
        <f>IFERROR(__xludf.DUMMYFUNCTION("""COMPUTED_VALUE"""),"➖")</f>
        <v>➖</v>
      </c>
      <c r="R295" s="283" t="str">
        <f>IFERROR(__xludf.DUMMYFUNCTION("""COMPUTED_VALUE"""),"   ➖")</f>
        <v>➖</v>
      </c>
      <c r="S295" s="284"/>
      <c r="T295" s="285" t="str">
        <f>IFERROR(__xludf.DUMMYFUNCTION("""COMPUTED_VALUE"""),"➖")</f>
        <v>➖</v>
      </c>
      <c r="U295" s="285" t="str">
        <f>IFERROR(__xludf.DUMMYFUNCTION("""COMPUTED_VALUE"""),"✅")</f>
        <v>✅</v>
      </c>
      <c r="V295" s="259"/>
      <c r="W295" s="286"/>
      <c r="X295" s="286"/>
      <c r="Y295" s="286"/>
    </row>
    <row r="296">
      <c r="A296" s="28"/>
      <c r="B296" s="132"/>
      <c r="C296" s="28"/>
      <c r="D296" s="260" t="str">
        <f>IFERROR(__xludf.DUMMYFUNCTION("""COMPUTED_VALUE"""),"   E")</f>
        <v>E</v>
      </c>
      <c r="E296" s="287" t="str">
        <f>IFERROR(__xludf.DUMMYFUNCTION("""COMPUTED_VALUE"""),"GHRUSH")</f>
        <v>GHRUSH</v>
      </c>
      <c r="F296" s="270" t="str">
        <f>IFERROR(__xludf.DUMMYFUNCTION("""COMPUTED_VALUE"""),"OA")</f>
        <v>OA</v>
      </c>
      <c r="G296" s="231" t="str">
        <f>IFERROR(__xludf.DUMMYFUNCTION("""COMPUTED_VALUE"""),"➖")</f>
        <v>➖</v>
      </c>
      <c r="H296" s="231" t="str">
        <f>IFERROR(__xludf.DUMMYFUNCTION("""COMPUTED_VALUE"""),"➖")</f>
        <v>➖</v>
      </c>
      <c r="I296" s="231" t="str">
        <f>IFERROR(__xludf.DUMMYFUNCTION("""COMPUTED_VALUE"""),"➖")</f>
        <v>➖</v>
      </c>
      <c r="J296" s="231" t="str">
        <f>IFERROR(__xludf.DUMMYFUNCTION("""COMPUTED_VALUE"""),"➖")</f>
        <v>➖</v>
      </c>
      <c r="K296" s="288" t="str">
        <f>IFERROR(__xludf.DUMMYFUNCTION("""COMPUTED_VALUE"""),"➖")</f>
        <v>➖</v>
      </c>
      <c r="L296" s="288" t="str">
        <f>IFERROR(__xludf.DUMMYFUNCTION("""COMPUTED_VALUE"""),"➖")</f>
        <v>➖</v>
      </c>
      <c r="M296" s="288" t="str">
        <f>IFERROR(__xludf.DUMMYFUNCTION("""COMPUTED_VALUE"""),"➖")</f>
        <v>➖</v>
      </c>
      <c r="N296" s="288" t="str">
        <f>IFERROR(__xludf.DUMMYFUNCTION("""COMPUTED_VALUE"""),"➖")</f>
        <v>➖</v>
      </c>
      <c r="O296" s="288" t="str">
        <f>IFERROR(__xludf.DUMMYFUNCTION("""COMPUTED_VALUE"""),"➖")</f>
        <v>➖</v>
      </c>
      <c r="P296" s="288" t="str">
        <f>IFERROR(__xludf.DUMMYFUNCTION("""COMPUTED_VALUE"""),"➖")</f>
        <v>➖</v>
      </c>
      <c r="Q296" s="288" t="str">
        <f>IFERROR(__xludf.DUMMYFUNCTION("""COMPUTED_VALUE"""),"➖")</f>
        <v>➖</v>
      </c>
      <c r="R296" s="257" t="str">
        <f>IFERROR(__xludf.DUMMYFUNCTION("""COMPUTED_VALUE"""),"   ➖")</f>
        <v>➖</v>
      </c>
      <c r="S296" s="258"/>
      <c r="T296" s="255" t="str">
        <f>IFERROR(__xludf.DUMMYFUNCTION("""COMPUTED_VALUE"""),"➖")</f>
        <v>➖</v>
      </c>
      <c r="U296" s="255" t="str">
        <f>IFERROR(__xludf.DUMMYFUNCTION("""COMPUTED_VALUE"""),"✅")</f>
        <v>✅</v>
      </c>
      <c r="V296" s="259"/>
      <c r="W296" s="286"/>
      <c r="X296" s="286"/>
      <c r="Y296" s="286"/>
    </row>
    <row r="297">
      <c r="A297" s="28"/>
      <c r="B297" s="128"/>
      <c r="C297" s="28"/>
      <c r="D297" s="250" t="str">
        <f>IFERROR(__xludf.DUMMYFUNCTION("""COMPUTED_VALUE"""),"   R")</f>
        <v>R</v>
      </c>
      <c r="E297" s="280" t="str">
        <f>IFERROR(__xludf.DUMMYFUNCTION("""COMPUTED_VALUE"""),"BA'EL")</f>
        <v>BA'EL</v>
      </c>
      <c r="F297" s="271" t="str">
        <f>IFERROR(__xludf.DUMMYFUNCTION("""COMPUTED_VALUE"""),"CM")</f>
        <v>CM</v>
      </c>
      <c r="G297" s="281" t="str">
        <f>IFERROR(__xludf.DUMMYFUNCTION("""COMPUTED_VALUE"""),"✅")</f>
        <v>✅</v>
      </c>
      <c r="H297" s="281" t="str">
        <f>IFERROR(__xludf.DUMMYFUNCTION("""COMPUTED_VALUE"""),"✅")</f>
        <v>✅</v>
      </c>
      <c r="I297" s="281" t="str">
        <f>IFERROR(__xludf.DUMMYFUNCTION("""COMPUTED_VALUE"""),"✅")</f>
        <v>✅</v>
      </c>
      <c r="J297" s="281" t="str">
        <f>IFERROR(__xludf.DUMMYFUNCTION("""COMPUTED_VALUE"""),"✅")</f>
        <v>✅</v>
      </c>
      <c r="K297" s="282" t="str">
        <f>IFERROR(__xludf.DUMMYFUNCTION("""COMPUTED_VALUE"""),"✅")</f>
        <v>✅</v>
      </c>
      <c r="L297" s="282" t="str">
        <f>IFERROR(__xludf.DUMMYFUNCTION("""COMPUTED_VALUE"""),"✅")</f>
        <v>✅</v>
      </c>
      <c r="M297" s="282" t="str">
        <f>IFERROR(__xludf.DUMMYFUNCTION("""COMPUTED_VALUE"""),"✅")</f>
        <v>✅</v>
      </c>
      <c r="N297" s="282" t="str">
        <f>IFERROR(__xludf.DUMMYFUNCTION("""COMPUTED_VALUE"""),"✅")</f>
        <v>✅</v>
      </c>
      <c r="O297" s="282" t="str">
        <f>IFERROR(__xludf.DUMMYFUNCTION("""COMPUTED_VALUE"""),"✅")</f>
        <v>✅</v>
      </c>
      <c r="P297" s="282" t="str">
        <f>IFERROR(__xludf.DUMMYFUNCTION("""COMPUTED_VALUE"""),"✅")</f>
        <v>✅</v>
      </c>
      <c r="Q297" s="282" t="str">
        <f>IFERROR(__xludf.DUMMYFUNCTION("""COMPUTED_VALUE"""),"✅")</f>
        <v>✅</v>
      </c>
      <c r="R297" s="283" t="str">
        <f>IFERROR(__xludf.DUMMYFUNCTION("""COMPUTED_VALUE"""),"   ✅")</f>
        <v>✅</v>
      </c>
      <c r="S297" s="284"/>
      <c r="T297" s="285" t="str">
        <f>IFERROR(__xludf.DUMMYFUNCTION("""COMPUTED_VALUE"""),"➖")</f>
        <v>➖</v>
      </c>
      <c r="U297" s="285" t="str">
        <f>IFERROR(__xludf.DUMMYFUNCTION("""COMPUTED_VALUE"""),"➖")</f>
        <v>➖</v>
      </c>
      <c r="V297" s="259"/>
      <c r="W297" s="286"/>
      <c r="X297" s="286"/>
      <c r="Y297" s="286"/>
    </row>
    <row r="298">
      <c r="A298" s="28"/>
      <c r="B298" s="132"/>
      <c r="C298" s="28"/>
      <c r="D298" s="260" t="str">
        <f>IFERROR(__xludf.DUMMYFUNCTION("""COMPUTED_VALUE"""),"   R")</f>
        <v>R</v>
      </c>
      <c r="E298" s="287" t="str">
        <f>IFERROR(__xludf.DUMMYFUNCTION("""COMPUTED_VALUE"""),"BA'EL")</f>
        <v>BA'EL</v>
      </c>
      <c r="F298" s="270" t="str">
        <f>IFERROR(__xludf.DUMMYFUNCTION("""COMPUTED_VALUE"""),"OA")</f>
        <v>OA</v>
      </c>
      <c r="G298" s="231" t="str">
        <f>IFERROR(__xludf.DUMMYFUNCTION("""COMPUTED_VALUE"""),"✅")</f>
        <v>✅</v>
      </c>
      <c r="H298" s="231" t="str">
        <f>IFERROR(__xludf.DUMMYFUNCTION("""COMPUTED_VALUE"""),"✅")</f>
        <v>✅</v>
      </c>
      <c r="I298" s="231" t="str">
        <f>IFERROR(__xludf.DUMMYFUNCTION("""COMPUTED_VALUE"""),"✅")</f>
        <v>✅</v>
      </c>
      <c r="J298" s="231" t="str">
        <f>IFERROR(__xludf.DUMMYFUNCTION("""COMPUTED_VALUE"""),"✅")</f>
        <v>✅</v>
      </c>
      <c r="K298" s="288" t="str">
        <f>IFERROR(__xludf.DUMMYFUNCTION("""COMPUTED_VALUE"""),"✅")</f>
        <v>✅</v>
      </c>
      <c r="L298" s="288" t="str">
        <f>IFERROR(__xludf.DUMMYFUNCTION("""COMPUTED_VALUE"""),"✅")</f>
        <v>✅</v>
      </c>
      <c r="M298" s="288" t="str">
        <f>IFERROR(__xludf.DUMMYFUNCTION("""COMPUTED_VALUE"""),"✅")</f>
        <v>✅</v>
      </c>
      <c r="N298" s="288" t="str">
        <f>IFERROR(__xludf.DUMMYFUNCTION("""COMPUTED_VALUE"""),"✅")</f>
        <v>✅</v>
      </c>
      <c r="O298" s="288" t="str">
        <f>IFERROR(__xludf.DUMMYFUNCTION("""COMPUTED_VALUE"""),"✅")</f>
        <v>✅</v>
      </c>
      <c r="P298" s="288" t="str">
        <f>IFERROR(__xludf.DUMMYFUNCTION("""COMPUTED_VALUE"""),"✅")</f>
        <v>✅</v>
      </c>
      <c r="Q298" s="288" t="str">
        <f>IFERROR(__xludf.DUMMYFUNCTION("""COMPUTED_VALUE"""),"✅")</f>
        <v>✅</v>
      </c>
      <c r="R298" s="257" t="str">
        <f>IFERROR(__xludf.DUMMYFUNCTION("""COMPUTED_VALUE"""),"   ✅")</f>
        <v>✅</v>
      </c>
      <c r="S298" s="258"/>
      <c r="T298" s="255" t="str">
        <f>IFERROR(__xludf.DUMMYFUNCTION("""COMPUTED_VALUE"""),"➖")</f>
        <v>➖</v>
      </c>
      <c r="U298" s="255" t="str">
        <f>IFERROR(__xludf.DUMMYFUNCTION("""COMPUTED_VALUE"""),"➖")</f>
        <v>➖</v>
      </c>
      <c r="V298" s="259"/>
      <c r="W298" s="286"/>
      <c r="X298" s="286"/>
      <c r="Y298" s="286"/>
    </row>
    <row r="299">
      <c r="A299" s="28"/>
      <c r="B299" s="128"/>
      <c r="C299" s="28"/>
      <c r="D299" s="250" t="str">
        <f>IFERROR(__xludf.DUMMYFUNCTION("""COMPUTED_VALUE"""),"   R")</f>
        <v>R</v>
      </c>
      <c r="E299" s="280" t="str">
        <f>IFERROR(__xludf.DUMMYFUNCTION("""COMPUTED_VALUE"""),"B'ETOR")</f>
        <v>B'ETOR</v>
      </c>
      <c r="F299" s="271" t="str">
        <f>IFERROR(__xludf.DUMMYFUNCTION("""COMPUTED_VALUE"""),"CM")</f>
        <v>CM</v>
      </c>
      <c r="G299" s="281" t="str">
        <f>IFERROR(__xludf.DUMMYFUNCTION("""COMPUTED_VALUE"""),"➖")</f>
        <v>➖</v>
      </c>
      <c r="H299" s="281" t="str">
        <f>IFERROR(__xludf.DUMMYFUNCTION("""COMPUTED_VALUE"""),"➖")</f>
        <v>➖</v>
      </c>
      <c r="I299" s="281" t="str">
        <f>IFERROR(__xludf.DUMMYFUNCTION("""COMPUTED_VALUE"""),"➖")</f>
        <v>➖</v>
      </c>
      <c r="J299" s="281" t="str">
        <f>IFERROR(__xludf.DUMMYFUNCTION("""COMPUTED_VALUE"""),"➖")</f>
        <v>➖</v>
      </c>
      <c r="K299" s="282" t="str">
        <f>IFERROR(__xludf.DUMMYFUNCTION("""COMPUTED_VALUE"""),"➖")</f>
        <v>➖</v>
      </c>
      <c r="L299" s="282" t="str">
        <f>IFERROR(__xludf.DUMMYFUNCTION("""COMPUTED_VALUE"""),"➖")</f>
        <v>➖</v>
      </c>
      <c r="M299" s="282" t="str">
        <f>IFERROR(__xludf.DUMMYFUNCTION("""COMPUTED_VALUE"""),"➖")</f>
        <v>➖</v>
      </c>
      <c r="N299" s="282" t="str">
        <f>IFERROR(__xludf.DUMMYFUNCTION("""COMPUTED_VALUE"""),"➖")</f>
        <v>➖</v>
      </c>
      <c r="O299" s="282" t="str">
        <f>IFERROR(__xludf.DUMMYFUNCTION("""COMPUTED_VALUE"""),"➖")</f>
        <v>➖</v>
      </c>
      <c r="P299" s="282" t="str">
        <f>IFERROR(__xludf.DUMMYFUNCTION("""COMPUTED_VALUE"""),"➖")</f>
        <v>➖</v>
      </c>
      <c r="Q299" s="282" t="str">
        <f>IFERROR(__xludf.DUMMYFUNCTION("""COMPUTED_VALUE"""),"➖")</f>
        <v>➖</v>
      </c>
      <c r="R299" s="283" t="str">
        <f>IFERROR(__xludf.DUMMYFUNCTION("""COMPUTED_VALUE"""),"   ➖")</f>
        <v>➖</v>
      </c>
      <c r="S299" s="284"/>
      <c r="T299" s="285" t="str">
        <f>IFERROR(__xludf.DUMMYFUNCTION("""COMPUTED_VALUE"""),"➖")</f>
        <v>➖</v>
      </c>
      <c r="U299" s="285" t="str">
        <f>IFERROR(__xludf.DUMMYFUNCTION("""COMPUTED_VALUE"""),"✅")</f>
        <v>✅</v>
      </c>
      <c r="V299" s="259"/>
      <c r="W299" s="286"/>
      <c r="X299" s="286"/>
      <c r="Y299" s="286"/>
    </row>
    <row r="300">
      <c r="A300" s="28"/>
      <c r="B300" s="132"/>
      <c r="C300" s="28"/>
      <c r="D300" s="260" t="str">
        <f>IFERROR(__xludf.DUMMYFUNCTION("""COMPUTED_VALUE"""),"   R")</f>
        <v>R</v>
      </c>
      <c r="E300" s="287" t="str">
        <f>IFERROR(__xludf.DUMMYFUNCTION("""COMPUTED_VALUE"""),"B'ETOR")</f>
        <v>B'ETOR</v>
      </c>
      <c r="F300" s="270" t="str">
        <f>IFERROR(__xludf.DUMMYFUNCTION("""COMPUTED_VALUE"""),"OA")</f>
        <v>OA</v>
      </c>
      <c r="G300" s="231" t="str">
        <f>IFERROR(__xludf.DUMMYFUNCTION("""COMPUTED_VALUE"""),"➖")</f>
        <v>➖</v>
      </c>
      <c r="H300" s="231" t="str">
        <f>IFERROR(__xludf.DUMMYFUNCTION("""COMPUTED_VALUE"""),"✴️")</f>
        <v>✴️</v>
      </c>
      <c r="I300" s="231" t="str">
        <f>IFERROR(__xludf.DUMMYFUNCTION("""COMPUTED_VALUE"""),"➖")</f>
        <v>➖</v>
      </c>
      <c r="J300" s="231" t="str">
        <f>IFERROR(__xludf.DUMMYFUNCTION("""COMPUTED_VALUE"""),"➖")</f>
        <v>➖</v>
      </c>
      <c r="K300" s="288" t="str">
        <f>IFERROR(__xludf.DUMMYFUNCTION("""COMPUTED_VALUE"""),"➖")</f>
        <v>➖</v>
      </c>
      <c r="L300" s="288" t="str">
        <f>IFERROR(__xludf.DUMMYFUNCTION("""COMPUTED_VALUE"""),"➖")</f>
        <v>➖</v>
      </c>
      <c r="M300" s="288" t="str">
        <f>IFERROR(__xludf.DUMMYFUNCTION("""COMPUTED_VALUE"""),"➖")</f>
        <v>➖</v>
      </c>
      <c r="N300" s="288" t="str">
        <f>IFERROR(__xludf.DUMMYFUNCTION("""COMPUTED_VALUE"""),"➖")</f>
        <v>➖</v>
      </c>
      <c r="O300" s="288" t="str">
        <f>IFERROR(__xludf.DUMMYFUNCTION("""COMPUTED_VALUE"""),"➖")</f>
        <v>➖</v>
      </c>
      <c r="P300" s="288" t="str">
        <f>IFERROR(__xludf.DUMMYFUNCTION("""COMPUTED_VALUE"""),"➖")</f>
        <v>➖</v>
      </c>
      <c r="Q300" s="288" t="str">
        <f>IFERROR(__xludf.DUMMYFUNCTION("""COMPUTED_VALUE"""),"➖")</f>
        <v>➖</v>
      </c>
      <c r="R300" s="257" t="str">
        <f>IFERROR(__xludf.DUMMYFUNCTION("""COMPUTED_VALUE"""),"   ➖")</f>
        <v>➖</v>
      </c>
      <c r="S300" s="258" t="str">
        <f>IFERROR(__xludf.DUMMYFUNCTION("""COMPUTED_VALUE"""),"Amalgam")</f>
        <v>Amalgam</v>
      </c>
      <c r="T300" s="255" t="str">
        <f>IFERROR(__xludf.DUMMYFUNCTION("""COMPUTED_VALUE"""),"➖")</f>
        <v>➖</v>
      </c>
      <c r="U300" s="255" t="str">
        <f>IFERROR(__xludf.DUMMYFUNCTION("""COMPUTED_VALUE"""),"➖")</f>
        <v>➖</v>
      </c>
      <c r="V300" s="259"/>
      <c r="W300" s="286"/>
      <c r="X300" s="286"/>
      <c r="Y300" s="286"/>
    </row>
    <row r="301">
      <c r="A301" s="28"/>
      <c r="B301" s="128"/>
      <c r="C301" s="28"/>
      <c r="D301" s="250" t="str">
        <f>IFERROR(__xludf.DUMMYFUNCTION("""COMPUTED_VALUE"""),"   U")</f>
        <v>U</v>
      </c>
      <c r="E301" s="280" t="str">
        <f>IFERROR(__xludf.DUMMYFUNCTION("""COMPUTED_VALUE"""),"LURSA")</f>
        <v>LURSA</v>
      </c>
      <c r="F301" s="271" t="str">
        <f>IFERROR(__xludf.DUMMYFUNCTION("""COMPUTED_VALUE"""),"CM")</f>
        <v>CM</v>
      </c>
      <c r="G301" s="281" t="str">
        <f>IFERROR(__xludf.DUMMYFUNCTION("""COMPUTED_VALUE"""),"➖")</f>
        <v>➖</v>
      </c>
      <c r="H301" s="281" t="str">
        <f>IFERROR(__xludf.DUMMYFUNCTION("""COMPUTED_VALUE"""),"➖")</f>
        <v>➖</v>
      </c>
      <c r="I301" s="281" t="str">
        <f>IFERROR(__xludf.DUMMYFUNCTION("""COMPUTED_VALUE"""),"➖")</f>
        <v>➖</v>
      </c>
      <c r="J301" s="281" t="str">
        <f>IFERROR(__xludf.DUMMYFUNCTION("""COMPUTED_VALUE"""),"➖")</f>
        <v>➖</v>
      </c>
      <c r="K301" s="282" t="str">
        <f>IFERROR(__xludf.DUMMYFUNCTION("""COMPUTED_VALUE"""),"➖")</f>
        <v>➖</v>
      </c>
      <c r="L301" s="282" t="str">
        <f>IFERROR(__xludf.DUMMYFUNCTION("""COMPUTED_VALUE"""),"➖")</f>
        <v>➖</v>
      </c>
      <c r="M301" s="282" t="str">
        <f>IFERROR(__xludf.DUMMYFUNCTION("""COMPUTED_VALUE"""),"➖")</f>
        <v>➖</v>
      </c>
      <c r="N301" s="282" t="str">
        <f>IFERROR(__xludf.DUMMYFUNCTION("""COMPUTED_VALUE"""),"➖")</f>
        <v>➖</v>
      </c>
      <c r="O301" s="282" t="str">
        <f>IFERROR(__xludf.DUMMYFUNCTION("""COMPUTED_VALUE"""),"➖")</f>
        <v>➖</v>
      </c>
      <c r="P301" s="282" t="str">
        <f>IFERROR(__xludf.DUMMYFUNCTION("""COMPUTED_VALUE"""),"➖")</f>
        <v>➖</v>
      </c>
      <c r="Q301" s="282" t="str">
        <f>IFERROR(__xludf.DUMMYFUNCTION("""COMPUTED_VALUE"""),"➖")</f>
        <v>➖</v>
      </c>
      <c r="R301" s="283" t="str">
        <f>IFERROR(__xludf.DUMMYFUNCTION("""COMPUTED_VALUE"""),"   ➖")</f>
        <v>➖</v>
      </c>
      <c r="S301" s="284"/>
      <c r="T301" s="285" t="str">
        <f>IFERROR(__xludf.DUMMYFUNCTION("""COMPUTED_VALUE"""),"➖")</f>
        <v>➖</v>
      </c>
      <c r="U301" s="285" t="str">
        <f>IFERROR(__xludf.DUMMYFUNCTION("""COMPUTED_VALUE"""),"✅")</f>
        <v>✅</v>
      </c>
      <c r="V301" s="259"/>
      <c r="W301" s="286"/>
      <c r="X301" s="286"/>
      <c r="Y301" s="286"/>
    </row>
    <row r="302">
      <c r="A302" s="28"/>
      <c r="B302" s="132"/>
      <c r="C302" s="28"/>
      <c r="D302" s="260" t="str">
        <f>IFERROR(__xludf.DUMMYFUNCTION("""COMPUTED_VALUE"""),"   U")</f>
        <v>U</v>
      </c>
      <c r="E302" s="287" t="str">
        <f>IFERROR(__xludf.DUMMYFUNCTION("""COMPUTED_VALUE"""),"LURSA")</f>
        <v>LURSA</v>
      </c>
      <c r="F302" s="270" t="str">
        <f>IFERROR(__xludf.DUMMYFUNCTION("""COMPUTED_VALUE"""),"OA")</f>
        <v>OA</v>
      </c>
      <c r="G302" s="231" t="str">
        <f>IFERROR(__xludf.DUMMYFUNCTION("""COMPUTED_VALUE"""),"✅")</f>
        <v>✅</v>
      </c>
      <c r="H302" s="231" t="str">
        <f>IFERROR(__xludf.DUMMYFUNCTION("""COMPUTED_VALUE"""),"✅")</f>
        <v>✅</v>
      </c>
      <c r="I302" s="231" t="str">
        <f>IFERROR(__xludf.DUMMYFUNCTION("""COMPUTED_VALUE"""),"➖")</f>
        <v>➖</v>
      </c>
      <c r="J302" s="231" t="str">
        <f>IFERROR(__xludf.DUMMYFUNCTION("""COMPUTED_VALUE"""),"➖")</f>
        <v>➖</v>
      </c>
      <c r="K302" s="288" t="str">
        <f>IFERROR(__xludf.DUMMYFUNCTION("""COMPUTED_VALUE"""),"➖")</f>
        <v>➖</v>
      </c>
      <c r="L302" s="288" t="str">
        <f>IFERROR(__xludf.DUMMYFUNCTION("""COMPUTED_VALUE"""),"➖")</f>
        <v>➖</v>
      </c>
      <c r="M302" s="288" t="str">
        <f>IFERROR(__xludf.DUMMYFUNCTION("""COMPUTED_VALUE"""),"➖")</f>
        <v>➖</v>
      </c>
      <c r="N302" s="288" t="str">
        <f>IFERROR(__xludf.DUMMYFUNCTION("""COMPUTED_VALUE"""),"➖")</f>
        <v>➖</v>
      </c>
      <c r="O302" s="288" t="str">
        <f>IFERROR(__xludf.DUMMYFUNCTION("""COMPUTED_VALUE"""),"➖")</f>
        <v>➖</v>
      </c>
      <c r="P302" s="288" t="str">
        <f>IFERROR(__xludf.DUMMYFUNCTION("""COMPUTED_VALUE"""),"➖")</f>
        <v>➖</v>
      </c>
      <c r="Q302" s="288" t="str">
        <f>IFERROR(__xludf.DUMMYFUNCTION("""COMPUTED_VALUE"""),"➖")</f>
        <v>➖</v>
      </c>
      <c r="R302" s="257" t="str">
        <f>IFERROR(__xludf.DUMMYFUNCTION("""COMPUTED_VALUE"""),"   ➖")</f>
        <v>➖</v>
      </c>
      <c r="S302" s="258"/>
      <c r="T302" s="255" t="str">
        <f>IFERROR(__xludf.DUMMYFUNCTION("""COMPUTED_VALUE"""),"➖")</f>
        <v>➖</v>
      </c>
      <c r="U302" s="255" t="str">
        <f>IFERROR(__xludf.DUMMYFUNCTION("""COMPUTED_VALUE"""),"➖")</f>
        <v>➖</v>
      </c>
      <c r="V302" s="259"/>
      <c r="W302" s="286"/>
      <c r="X302" s="286"/>
      <c r="Y302" s="286"/>
    </row>
    <row r="303">
      <c r="A303" s="28"/>
      <c r="B303" s="128"/>
      <c r="C303" s="28"/>
      <c r="D303" s="250" t="str">
        <f>IFERROR(__xludf.DUMMYFUNCTION("""COMPUTED_VALUE"""),"   R")</f>
        <v>R</v>
      </c>
      <c r="E303" s="280" t="str">
        <f>IFERROR(__xludf.DUMMYFUNCTION("""COMPUTED_VALUE"""),"ARROCK")</f>
        <v>ARROCK</v>
      </c>
      <c r="F303" s="271" t="str">
        <f>IFERROR(__xludf.DUMMYFUNCTION("""COMPUTED_VALUE"""),"CM")</f>
        <v>CM</v>
      </c>
      <c r="G303" s="281" t="str">
        <f>IFERROR(__xludf.DUMMYFUNCTION("""COMPUTED_VALUE"""),"➖")</f>
        <v>➖</v>
      </c>
      <c r="H303" s="281" t="str">
        <f>IFERROR(__xludf.DUMMYFUNCTION("""COMPUTED_VALUE"""),"➖")</f>
        <v>➖</v>
      </c>
      <c r="I303" s="281" t="str">
        <f>IFERROR(__xludf.DUMMYFUNCTION("""COMPUTED_VALUE"""),"➖")</f>
        <v>➖</v>
      </c>
      <c r="J303" s="281" t="str">
        <f>IFERROR(__xludf.DUMMYFUNCTION("""COMPUTED_VALUE"""),"➖")</f>
        <v>➖</v>
      </c>
      <c r="K303" s="282" t="str">
        <f>IFERROR(__xludf.DUMMYFUNCTION("""COMPUTED_VALUE"""),"➖")</f>
        <v>➖</v>
      </c>
      <c r="L303" s="282" t="str">
        <f>IFERROR(__xludf.DUMMYFUNCTION("""COMPUTED_VALUE"""),"➖")</f>
        <v>➖</v>
      </c>
      <c r="M303" s="282" t="str">
        <f>IFERROR(__xludf.DUMMYFUNCTION("""COMPUTED_VALUE"""),"➖")</f>
        <v>➖</v>
      </c>
      <c r="N303" s="282" t="str">
        <f>IFERROR(__xludf.DUMMYFUNCTION("""COMPUTED_VALUE"""),"➖")</f>
        <v>➖</v>
      </c>
      <c r="O303" s="282" t="str">
        <f>IFERROR(__xludf.DUMMYFUNCTION("""COMPUTED_VALUE"""),"➖")</f>
        <v>➖</v>
      </c>
      <c r="P303" s="282" t="str">
        <f>IFERROR(__xludf.DUMMYFUNCTION("""COMPUTED_VALUE"""),"➖")</f>
        <v>➖</v>
      </c>
      <c r="Q303" s="282" t="str">
        <f>IFERROR(__xludf.DUMMYFUNCTION("""COMPUTED_VALUE"""),"➖")</f>
        <v>➖</v>
      </c>
      <c r="R303" s="283" t="str">
        <f>IFERROR(__xludf.DUMMYFUNCTION("""COMPUTED_VALUE"""),"   ➖")</f>
        <v>➖</v>
      </c>
      <c r="S303" s="284"/>
      <c r="T303" s="285" t="str">
        <f>IFERROR(__xludf.DUMMYFUNCTION("""COMPUTED_VALUE"""),"➖")</f>
        <v>➖</v>
      </c>
      <c r="U303" s="285" t="str">
        <f>IFERROR(__xludf.DUMMYFUNCTION("""COMPUTED_VALUE"""),"✅")</f>
        <v>✅</v>
      </c>
      <c r="V303" s="259"/>
      <c r="W303" s="286"/>
      <c r="X303" s="286"/>
      <c r="Y303" s="286"/>
    </row>
    <row r="304">
      <c r="A304" s="28"/>
      <c r="B304" s="132"/>
      <c r="C304" s="28"/>
      <c r="D304" s="260" t="str">
        <f>IFERROR(__xludf.DUMMYFUNCTION("""COMPUTED_VALUE"""),"   R")</f>
        <v>R</v>
      </c>
      <c r="E304" s="287" t="str">
        <f>IFERROR(__xludf.DUMMYFUNCTION("""COMPUTED_VALUE"""),"ARROCK")</f>
        <v>ARROCK</v>
      </c>
      <c r="F304" s="270" t="str">
        <f>IFERROR(__xludf.DUMMYFUNCTION("""COMPUTED_VALUE"""),"OA")</f>
        <v>OA</v>
      </c>
      <c r="G304" s="231" t="str">
        <f>IFERROR(__xludf.DUMMYFUNCTION("""COMPUTED_VALUE"""),"➖")</f>
        <v>➖</v>
      </c>
      <c r="H304" s="231" t="str">
        <f>IFERROR(__xludf.DUMMYFUNCTION("""COMPUTED_VALUE"""),"➖")</f>
        <v>➖</v>
      </c>
      <c r="I304" s="231" t="str">
        <f>IFERROR(__xludf.DUMMYFUNCTION("""COMPUTED_VALUE"""),"➖")</f>
        <v>➖</v>
      </c>
      <c r="J304" s="231" t="str">
        <f>IFERROR(__xludf.DUMMYFUNCTION("""COMPUTED_VALUE"""),"➖")</f>
        <v>➖</v>
      </c>
      <c r="K304" s="288" t="str">
        <f>IFERROR(__xludf.DUMMYFUNCTION("""COMPUTED_VALUE"""),"➖")</f>
        <v>➖</v>
      </c>
      <c r="L304" s="288" t="str">
        <f>IFERROR(__xludf.DUMMYFUNCTION("""COMPUTED_VALUE"""),"➖")</f>
        <v>➖</v>
      </c>
      <c r="M304" s="288" t="str">
        <f>IFERROR(__xludf.DUMMYFUNCTION("""COMPUTED_VALUE"""),"➖")</f>
        <v>➖</v>
      </c>
      <c r="N304" s="288" t="str">
        <f>IFERROR(__xludf.DUMMYFUNCTION("""COMPUTED_VALUE"""),"➖")</f>
        <v>➖</v>
      </c>
      <c r="O304" s="288" t="str">
        <f>IFERROR(__xludf.DUMMYFUNCTION("""COMPUTED_VALUE"""),"➖")</f>
        <v>➖</v>
      </c>
      <c r="P304" s="288" t="str">
        <f>IFERROR(__xludf.DUMMYFUNCTION("""COMPUTED_VALUE"""),"➖")</f>
        <v>➖</v>
      </c>
      <c r="Q304" s="288" t="str">
        <f>IFERROR(__xludf.DUMMYFUNCTION("""COMPUTED_VALUE"""),"➖")</f>
        <v>➖</v>
      </c>
      <c r="R304" s="257" t="str">
        <f>IFERROR(__xludf.DUMMYFUNCTION("""COMPUTED_VALUE"""),"   ➖")</f>
        <v>➖</v>
      </c>
      <c r="S304" s="258"/>
      <c r="T304" s="255" t="str">
        <f>IFERROR(__xludf.DUMMYFUNCTION("""COMPUTED_VALUE"""),"➖")</f>
        <v>➖</v>
      </c>
      <c r="U304" s="255" t="str">
        <f>IFERROR(__xludf.DUMMYFUNCTION("""COMPUTED_VALUE"""),"✅")</f>
        <v>✅</v>
      </c>
      <c r="V304" s="259"/>
      <c r="W304" s="286"/>
      <c r="X304" s="286"/>
      <c r="Y304" s="286"/>
    </row>
    <row r="305">
      <c r="A305" s="28"/>
      <c r="B305" s="128"/>
      <c r="C305" s="28"/>
      <c r="D305" s="250" t="str">
        <f>IFERROR(__xludf.DUMMYFUNCTION("""COMPUTED_VALUE"""),"   R")</f>
        <v>R</v>
      </c>
      <c r="E305" s="280" t="str">
        <f>IFERROR(__xludf.DUMMYFUNCTION("""COMPUTED_VALUE"""),"FESS")</f>
        <v>FESS</v>
      </c>
      <c r="F305" s="271" t="str">
        <f>IFERROR(__xludf.DUMMYFUNCTION("""COMPUTED_VALUE"""),"CM")</f>
        <v>CM</v>
      </c>
      <c r="G305" s="281" t="str">
        <f>IFERROR(__xludf.DUMMYFUNCTION("""COMPUTED_VALUE"""),"➖")</f>
        <v>➖</v>
      </c>
      <c r="H305" s="281" t="str">
        <f>IFERROR(__xludf.DUMMYFUNCTION("""COMPUTED_VALUE"""),"➖")</f>
        <v>➖</v>
      </c>
      <c r="I305" s="281" t="str">
        <f>IFERROR(__xludf.DUMMYFUNCTION("""COMPUTED_VALUE"""),"➖")</f>
        <v>➖</v>
      </c>
      <c r="J305" s="281" t="str">
        <f>IFERROR(__xludf.DUMMYFUNCTION("""COMPUTED_VALUE"""),"➖")</f>
        <v>➖</v>
      </c>
      <c r="K305" s="282" t="str">
        <f>IFERROR(__xludf.DUMMYFUNCTION("""COMPUTED_VALUE"""),"➖")</f>
        <v>➖</v>
      </c>
      <c r="L305" s="282" t="str">
        <f>IFERROR(__xludf.DUMMYFUNCTION("""COMPUTED_VALUE"""),"➖")</f>
        <v>➖</v>
      </c>
      <c r="M305" s="282" t="str">
        <f>IFERROR(__xludf.DUMMYFUNCTION("""COMPUTED_VALUE"""),"➖")</f>
        <v>➖</v>
      </c>
      <c r="N305" s="282" t="str">
        <f>IFERROR(__xludf.DUMMYFUNCTION("""COMPUTED_VALUE"""),"➖")</f>
        <v>➖</v>
      </c>
      <c r="O305" s="282" t="str">
        <f>IFERROR(__xludf.DUMMYFUNCTION("""COMPUTED_VALUE"""),"➖")</f>
        <v>➖</v>
      </c>
      <c r="P305" s="282" t="str">
        <f>IFERROR(__xludf.DUMMYFUNCTION("""COMPUTED_VALUE"""),"➖")</f>
        <v>➖</v>
      </c>
      <c r="Q305" s="282" t="str">
        <f>IFERROR(__xludf.DUMMYFUNCTION("""COMPUTED_VALUE"""),"➖")</f>
        <v>➖</v>
      </c>
      <c r="R305" s="283" t="str">
        <f>IFERROR(__xludf.DUMMYFUNCTION("""COMPUTED_VALUE"""),"   ➖")</f>
        <v>➖</v>
      </c>
      <c r="S305" s="284"/>
      <c r="T305" s="285" t="str">
        <f>IFERROR(__xludf.DUMMYFUNCTION("""COMPUTED_VALUE"""),"➖")</f>
        <v>➖</v>
      </c>
      <c r="U305" s="285" t="str">
        <f>IFERROR(__xludf.DUMMYFUNCTION("""COMPUTED_VALUE"""),"✅")</f>
        <v>✅</v>
      </c>
      <c r="V305" s="259"/>
      <c r="W305" s="286"/>
      <c r="X305" s="286"/>
      <c r="Y305" s="286"/>
    </row>
    <row r="306">
      <c r="A306" s="28"/>
      <c r="B306" s="132"/>
      <c r="C306" s="28"/>
      <c r="D306" s="260" t="str">
        <f>IFERROR(__xludf.DUMMYFUNCTION("""COMPUTED_VALUE"""),"   R")</f>
        <v>R</v>
      </c>
      <c r="E306" s="287" t="str">
        <f>IFERROR(__xludf.DUMMYFUNCTION("""COMPUTED_VALUE"""),"FESS")</f>
        <v>FESS</v>
      </c>
      <c r="F306" s="270" t="str">
        <f>IFERROR(__xludf.DUMMYFUNCTION("""COMPUTED_VALUE"""),"OA")</f>
        <v>OA</v>
      </c>
      <c r="G306" s="231" t="str">
        <f>IFERROR(__xludf.DUMMYFUNCTION("""COMPUTED_VALUE"""),"➖")</f>
        <v>➖</v>
      </c>
      <c r="H306" s="231" t="str">
        <f>IFERROR(__xludf.DUMMYFUNCTION("""COMPUTED_VALUE"""),"➖")</f>
        <v>➖</v>
      </c>
      <c r="I306" s="231" t="str">
        <f>IFERROR(__xludf.DUMMYFUNCTION("""COMPUTED_VALUE"""),"➖")</f>
        <v>➖</v>
      </c>
      <c r="J306" s="231" t="str">
        <f>IFERROR(__xludf.DUMMYFUNCTION("""COMPUTED_VALUE"""),"➖")</f>
        <v>➖</v>
      </c>
      <c r="K306" s="288" t="str">
        <f>IFERROR(__xludf.DUMMYFUNCTION("""COMPUTED_VALUE"""),"➖")</f>
        <v>➖</v>
      </c>
      <c r="L306" s="288" t="str">
        <f>IFERROR(__xludf.DUMMYFUNCTION("""COMPUTED_VALUE"""),"➖")</f>
        <v>➖</v>
      </c>
      <c r="M306" s="288" t="str">
        <f>IFERROR(__xludf.DUMMYFUNCTION("""COMPUTED_VALUE"""),"➖")</f>
        <v>➖</v>
      </c>
      <c r="N306" s="288" t="str">
        <f>IFERROR(__xludf.DUMMYFUNCTION("""COMPUTED_VALUE"""),"➖")</f>
        <v>➖</v>
      </c>
      <c r="O306" s="288" t="str">
        <f>IFERROR(__xludf.DUMMYFUNCTION("""COMPUTED_VALUE"""),"➖")</f>
        <v>➖</v>
      </c>
      <c r="P306" s="288" t="str">
        <f>IFERROR(__xludf.DUMMYFUNCTION("""COMPUTED_VALUE"""),"➖")</f>
        <v>➖</v>
      </c>
      <c r="Q306" s="288" t="str">
        <f>IFERROR(__xludf.DUMMYFUNCTION("""COMPUTED_VALUE"""),"➖")</f>
        <v>➖</v>
      </c>
      <c r="R306" s="257" t="str">
        <f>IFERROR(__xludf.DUMMYFUNCTION("""COMPUTED_VALUE"""),"   ➖")</f>
        <v>➖</v>
      </c>
      <c r="S306" s="258"/>
      <c r="T306" s="255" t="str">
        <f>IFERROR(__xludf.DUMMYFUNCTION("""COMPUTED_VALUE"""),"➖")</f>
        <v>➖</v>
      </c>
      <c r="U306" s="255" t="str">
        <f>IFERROR(__xludf.DUMMYFUNCTION("""COMPUTED_VALUE"""),"✅")</f>
        <v>✅</v>
      </c>
      <c r="V306" s="259"/>
      <c r="W306" s="286"/>
      <c r="X306" s="286"/>
      <c r="Y306" s="286"/>
    </row>
    <row r="307">
      <c r="A307" s="28"/>
      <c r="B307" s="128"/>
      <c r="C307" s="28"/>
      <c r="D307" s="250" t="str">
        <f>IFERROR(__xludf.DUMMYFUNCTION("""COMPUTED_VALUE"""),"   E")</f>
        <v>E</v>
      </c>
      <c r="E307" s="280" t="str">
        <f>IFERROR(__xludf.DUMMYFUNCTION("""COMPUTED_VALUE"""),"QUARK")</f>
        <v>QUARK</v>
      </c>
      <c r="F307" s="271" t="str">
        <f>IFERROR(__xludf.DUMMYFUNCTION("""COMPUTED_VALUE"""),"CM")</f>
        <v>CM</v>
      </c>
      <c r="G307" s="281" t="str">
        <f>IFERROR(__xludf.DUMMYFUNCTION("""COMPUTED_VALUE"""),"➖")</f>
        <v>➖</v>
      </c>
      <c r="H307" s="281" t="str">
        <f>IFERROR(__xludf.DUMMYFUNCTION("""COMPUTED_VALUE"""),"➖")</f>
        <v>➖</v>
      </c>
      <c r="I307" s="281" t="str">
        <f>IFERROR(__xludf.DUMMYFUNCTION("""COMPUTED_VALUE"""),"➖")</f>
        <v>➖</v>
      </c>
      <c r="J307" s="281" t="str">
        <f>IFERROR(__xludf.DUMMYFUNCTION("""COMPUTED_VALUE"""),"➖")</f>
        <v>➖</v>
      </c>
      <c r="K307" s="282" t="str">
        <f>IFERROR(__xludf.DUMMYFUNCTION("""COMPUTED_VALUE"""),"➖")</f>
        <v>➖</v>
      </c>
      <c r="L307" s="282" t="str">
        <f>IFERROR(__xludf.DUMMYFUNCTION("""COMPUTED_VALUE"""),"➖")</f>
        <v>➖</v>
      </c>
      <c r="M307" s="282" t="str">
        <f>IFERROR(__xludf.DUMMYFUNCTION("""COMPUTED_VALUE"""),"➖")</f>
        <v>➖</v>
      </c>
      <c r="N307" s="282" t="str">
        <f>IFERROR(__xludf.DUMMYFUNCTION("""COMPUTED_VALUE"""),"➖")</f>
        <v>➖</v>
      </c>
      <c r="O307" s="282" t="str">
        <f>IFERROR(__xludf.DUMMYFUNCTION("""COMPUTED_VALUE"""),"➖")</f>
        <v>➖</v>
      </c>
      <c r="P307" s="282" t="str">
        <f>IFERROR(__xludf.DUMMYFUNCTION("""COMPUTED_VALUE"""),"➖")</f>
        <v>➖</v>
      </c>
      <c r="Q307" s="282" t="str">
        <f>IFERROR(__xludf.DUMMYFUNCTION("""COMPUTED_VALUE"""),"➖")</f>
        <v>➖</v>
      </c>
      <c r="R307" s="283" t="str">
        <f>IFERROR(__xludf.DUMMYFUNCTION("""COMPUTED_VALUE"""),"   ➖")</f>
        <v>➖</v>
      </c>
      <c r="S307" s="284"/>
      <c r="T307" s="285" t="str">
        <f>IFERROR(__xludf.DUMMYFUNCTION("""COMPUTED_VALUE"""),"➖")</f>
        <v>➖</v>
      </c>
      <c r="U307" s="285" t="str">
        <f>IFERROR(__xludf.DUMMYFUNCTION("""COMPUTED_VALUE"""),"✅")</f>
        <v>✅</v>
      </c>
      <c r="V307" s="259"/>
      <c r="W307" s="286"/>
      <c r="X307" s="286"/>
      <c r="Y307" s="286"/>
    </row>
    <row r="308">
      <c r="A308" s="28"/>
      <c r="B308" s="132"/>
      <c r="C308" s="28"/>
      <c r="D308" s="260" t="str">
        <f>IFERROR(__xludf.DUMMYFUNCTION("""COMPUTED_VALUE"""),"   E")</f>
        <v>E</v>
      </c>
      <c r="E308" s="287" t="str">
        <f>IFERROR(__xludf.DUMMYFUNCTION("""COMPUTED_VALUE"""),"QUARK")</f>
        <v>QUARK</v>
      </c>
      <c r="F308" s="270" t="str">
        <f>IFERROR(__xludf.DUMMYFUNCTION("""COMPUTED_VALUE"""),"OA")</f>
        <v>OA</v>
      </c>
      <c r="G308" s="231" t="str">
        <f>IFERROR(__xludf.DUMMYFUNCTION("""COMPUTED_VALUE"""),"➖")</f>
        <v>➖</v>
      </c>
      <c r="H308" s="231" t="str">
        <f>IFERROR(__xludf.DUMMYFUNCTION("""COMPUTED_VALUE"""),"➖")</f>
        <v>➖</v>
      </c>
      <c r="I308" s="231" t="str">
        <f>IFERROR(__xludf.DUMMYFUNCTION("""COMPUTED_VALUE"""),"➖")</f>
        <v>➖</v>
      </c>
      <c r="J308" s="231" t="str">
        <f>IFERROR(__xludf.DUMMYFUNCTION("""COMPUTED_VALUE"""),"➖")</f>
        <v>➖</v>
      </c>
      <c r="K308" s="288" t="str">
        <f>IFERROR(__xludf.DUMMYFUNCTION("""COMPUTED_VALUE"""),"➖")</f>
        <v>➖</v>
      </c>
      <c r="L308" s="288" t="str">
        <f>IFERROR(__xludf.DUMMYFUNCTION("""COMPUTED_VALUE"""),"➖")</f>
        <v>➖</v>
      </c>
      <c r="M308" s="288" t="str">
        <f>IFERROR(__xludf.DUMMYFUNCTION("""COMPUTED_VALUE"""),"➖")</f>
        <v>➖</v>
      </c>
      <c r="N308" s="288" t="str">
        <f>IFERROR(__xludf.DUMMYFUNCTION("""COMPUTED_VALUE"""),"➖")</f>
        <v>➖</v>
      </c>
      <c r="O308" s="288" t="str">
        <f>IFERROR(__xludf.DUMMYFUNCTION("""COMPUTED_VALUE"""),"➖")</f>
        <v>➖</v>
      </c>
      <c r="P308" s="288" t="str">
        <f>IFERROR(__xludf.DUMMYFUNCTION("""COMPUTED_VALUE"""),"➖")</f>
        <v>➖</v>
      </c>
      <c r="Q308" s="288" t="str">
        <f>IFERROR(__xludf.DUMMYFUNCTION("""COMPUTED_VALUE"""),"➖")</f>
        <v>➖</v>
      </c>
      <c r="R308" s="257" t="str">
        <f>IFERROR(__xludf.DUMMYFUNCTION("""COMPUTED_VALUE"""),"   ➖")</f>
        <v>➖</v>
      </c>
      <c r="S308" s="258"/>
      <c r="T308" s="255" t="str">
        <f>IFERROR(__xludf.DUMMYFUNCTION("""COMPUTED_VALUE"""),"➖")</f>
        <v>➖</v>
      </c>
      <c r="U308" s="255" t="str">
        <f>IFERROR(__xludf.DUMMYFUNCTION("""COMPUTED_VALUE"""),"✅")</f>
        <v>✅</v>
      </c>
      <c r="V308" s="259"/>
      <c r="W308" s="286"/>
      <c r="X308" s="286"/>
      <c r="Y308" s="286"/>
    </row>
    <row r="309">
      <c r="A309" s="28"/>
      <c r="B309" s="128"/>
      <c r="C309" s="28"/>
      <c r="D309" s="250" t="str">
        <f>IFERROR(__xludf.DUMMYFUNCTION("""COMPUTED_VALUE"""),"   E")</f>
        <v>E</v>
      </c>
      <c r="E309" s="280" t="str">
        <f>IFERROR(__xludf.DUMMYFUNCTION("""COMPUTED_VALUE"""),"ROM")</f>
        <v>ROM</v>
      </c>
      <c r="F309" s="271" t="str">
        <f>IFERROR(__xludf.DUMMYFUNCTION("""COMPUTED_VALUE"""),"CM")</f>
        <v>CM</v>
      </c>
      <c r="G309" s="281" t="str">
        <f>IFERROR(__xludf.DUMMYFUNCTION("""COMPUTED_VALUE"""),"➖")</f>
        <v>➖</v>
      </c>
      <c r="H309" s="281" t="str">
        <f>IFERROR(__xludf.DUMMYFUNCTION("""COMPUTED_VALUE"""),"✅")</f>
        <v>✅</v>
      </c>
      <c r="I309" s="281" t="str">
        <f>IFERROR(__xludf.DUMMYFUNCTION("""COMPUTED_VALUE"""),"➖")</f>
        <v>➖</v>
      </c>
      <c r="J309" s="281" t="str">
        <f>IFERROR(__xludf.DUMMYFUNCTION("""COMPUTED_VALUE"""),"➖")</f>
        <v>➖</v>
      </c>
      <c r="K309" s="282" t="str">
        <f>IFERROR(__xludf.DUMMYFUNCTION("""COMPUTED_VALUE"""),"➖")</f>
        <v>➖</v>
      </c>
      <c r="L309" s="282" t="str">
        <f>IFERROR(__xludf.DUMMYFUNCTION("""COMPUTED_VALUE"""),"➖")</f>
        <v>➖</v>
      </c>
      <c r="M309" s="282" t="str">
        <f>IFERROR(__xludf.DUMMYFUNCTION("""COMPUTED_VALUE"""),"➖")</f>
        <v>➖</v>
      </c>
      <c r="N309" s="282" t="str">
        <f>IFERROR(__xludf.DUMMYFUNCTION("""COMPUTED_VALUE"""),"➖")</f>
        <v>➖</v>
      </c>
      <c r="O309" s="282" t="str">
        <f>IFERROR(__xludf.DUMMYFUNCTION("""COMPUTED_VALUE"""),"➖")</f>
        <v>➖</v>
      </c>
      <c r="P309" s="282" t="str">
        <f>IFERROR(__xludf.DUMMYFUNCTION("""COMPUTED_VALUE"""),"➖")</f>
        <v>➖</v>
      </c>
      <c r="Q309" s="282" t="str">
        <f>IFERROR(__xludf.DUMMYFUNCTION("""COMPUTED_VALUE"""),"➖")</f>
        <v>➖</v>
      </c>
      <c r="R309" s="283" t="str">
        <f>IFERROR(__xludf.DUMMYFUNCTION("""COMPUTED_VALUE"""),"   ➖")</f>
        <v>➖</v>
      </c>
      <c r="S309" s="284"/>
      <c r="T309" s="285" t="str">
        <f>IFERROR(__xludf.DUMMYFUNCTION("""COMPUTED_VALUE"""),"➖")</f>
        <v>➖</v>
      </c>
      <c r="U309" s="285" t="str">
        <f>IFERROR(__xludf.DUMMYFUNCTION("""COMPUTED_VALUE"""),"➖")</f>
        <v>➖</v>
      </c>
      <c r="V309" s="259"/>
      <c r="W309" s="286"/>
      <c r="X309" s="286"/>
      <c r="Y309" s="286"/>
    </row>
    <row r="310">
      <c r="A310" s="28"/>
      <c r="B310" s="132"/>
      <c r="C310" s="28"/>
      <c r="D310" s="260" t="str">
        <f>IFERROR(__xludf.DUMMYFUNCTION("""COMPUTED_VALUE"""),"   E")</f>
        <v>E</v>
      </c>
      <c r="E310" s="287" t="str">
        <f>IFERROR(__xludf.DUMMYFUNCTION("""COMPUTED_VALUE"""),"ROM")</f>
        <v>ROM</v>
      </c>
      <c r="F310" s="270" t="str">
        <f>IFERROR(__xludf.DUMMYFUNCTION("""COMPUTED_VALUE"""),"OA")</f>
        <v>OA</v>
      </c>
      <c r="G310" s="231" t="str">
        <f>IFERROR(__xludf.DUMMYFUNCTION("""COMPUTED_VALUE"""),"➖")</f>
        <v>➖</v>
      </c>
      <c r="H310" s="231" t="str">
        <f>IFERROR(__xludf.DUMMYFUNCTION("""COMPUTED_VALUE"""),"✅")</f>
        <v>✅</v>
      </c>
      <c r="I310" s="231" t="str">
        <f>IFERROR(__xludf.DUMMYFUNCTION("""COMPUTED_VALUE"""),"➖")</f>
        <v>➖</v>
      </c>
      <c r="J310" s="231" t="str">
        <f>IFERROR(__xludf.DUMMYFUNCTION("""COMPUTED_VALUE"""),"➖")</f>
        <v>➖</v>
      </c>
      <c r="K310" s="288" t="str">
        <f>IFERROR(__xludf.DUMMYFUNCTION("""COMPUTED_VALUE"""),"➖")</f>
        <v>➖</v>
      </c>
      <c r="L310" s="288" t="str">
        <f>IFERROR(__xludf.DUMMYFUNCTION("""COMPUTED_VALUE"""),"➖")</f>
        <v>➖</v>
      </c>
      <c r="M310" s="288" t="str">
        <f>IFERROR(__xludf.DUMMYFUNCTION("""COMPUTED_VALUE"""),"➖")</f>
        <v>➖</v>
      </c>
      <c r="N310" s="288" t="str">
        <f>IFERROR(__xludf.DUMMYFUNCTION("""COMPUTED_VALUE"""),"➖")</f>
        <v>➖</v>
      </c>
      <c r="O310" s="288" t="str">
        <f>IFERROR(__xludf.DUMMYFUNCTION("""COMPUTED_VALUE"""),"➖")</f>
        <v>➖</v>
      </c>
      <c r="P310" s="288" t="str">
        <f>IFERROR(__xludf.DUMMYFUNCTION("""COMPUTED_VALUE"""),"➖")</f>
        <v>➖</v>
      </c>
      <c r="Q310" s="288" t="str">
        <f>IFERROR(__xludf.DUMMYFUNCTION("""COMPUTED_VALUE"""),"➖")</f>
        <v>➖</v>
      </c>
      <c r="R310" s="257" t="str">
        <f>IFERROR(__xludf.DUMMYFUNCTION("""COMPUTED_VALUE"""),"   ➖")</f>
        <v>➖</v>
      </c>
      <c r="S310" s="258"/>
      <c r="T310" s="255" t="str">
        <f>IFERROR(__xludf.DUMMYFUNCTION("""COMPUTED_VALUE"""),"➖")</f>
        <v>➖</v>
      </c>
      <c r="U310" s="255" t="str">
        <f>IFERROR(__xludf.DUMMYFUNCTION("""COMPUTED_VALUE"""),"➖")</f>
        <v>➖</v>
      </c>
      <c r="V310" s="259"/>
      <c r="W310" s="286"/>
      <c r="X310" s="286"/>
      <c r="Y310" s="286"/>
    </row>
    <row r="311">
      <c r="A311" s="28"/>
      <c r="B311" s="128"/>
      <c r="C311" s="28"/>
      <c r="D311" s="250" t="str">
        <f>IFERROR(__xludf.DUMMYFUNCTION("""COMPUTED_VALUE"""),"   R")</f>
        <v>R</v>
      </c>
      <c r="E311" s="280" t="str">
        <f>IFERROR(__xludf.DUMMYFUNCTION("""COMPUTED_VALUE"""),"CATH")</f>
        <v>CATH</v>
      </c>
      <c r="F311" s="271" t="str">
        <f>IFERROR(__xludf.DUMMYFUNCTION("""COMPUTED_VALUE"""),"CM")</f>
        <v>CM</v>
      </c>
      <c r="G311" s="281" t="str">
        <f>IFERROR(__xludf.DUMMYFUNCTION("""COMPUTED_VALUE"""),"➖")</f>
        <v>➖</v>
      </c>
      <c r="H311" s="281" t="str">
        <f>IFERROR(__xludf.DUMMYFUNCTION("""COMPUTED_VALUE"""),"➖")</f>
        <v>➖</v>
      </c>
      <c r="I311" s="281" t="str">
        <f>IFERROR(__xludf.DUMMYFUNCTION("""COMPUTED_VALUE"""),"➖")</f>
        <v>➖</v>
      </c>
      <c r="J311" s="281" t="str">
        <f>IFERROR(__xludf.DUMMYFUNCTION("""COMPUTED_VALUE"""),"➖")</f>
        <v>➖</v>
      </c>
      <c r="K311" s="282" t="str">
        <f>IFERROR(__xludf.DUMMYFUNCTION("""COMPUTED_VALUE"""),"➖")</f>
        <v>➖</v>
      </c>
      <c r="L311" s="282" t="str">
        <f>IFERROR(__xludf.DUMMYFUNCTION("""COMPUTED_VALUE"""),"➖")</f>
        <v>➖</v>
      </c>
      <c r="M311" s="282" t="str">
        <f>IFERROR(__xludf.DUMMYFUNCTION("""COMPUTED_VALUE"""),"➖")</f>
        <v>➖</v>
      </c>
      <c r="N311" s="282" t="str">
        <f>IFERROR(__xludf.DUMMYFUNCTION("""COMPUTED_VALUE"""),"➖")</f>
        <v>➖</v>
      </c>
      <c r="O311" s="282" t="str">
        <f>IFERROR(__xludf.DUMMYFUNCTION("""COMPUTED_VALUE"""),"➖")</f>
        <v>➖</v>
      </c>
      <c r="P311" s="282" t="str">
        <f>IFERROR(__xludf.DUMMYFUNCTION("""COMPUTED_VALUE"""),"➖")</f>
        <v>➖</v>
      </c>
      <c r="Q311" s="282" t="str">
        <f>IFERROR(__xludf.DUMMYFUNCTION("""COMPUTED_VALUE"""),"➖")</f>
        <v>➖</v>
      </c>
      <c r="R311" s="283" t="str">
        <f>IFERROR(__xludf.DUMMYFUNCTION("""COMPUTED_VALUE"""),"   ➖")</f>
        <v>➖</v>
      </c>
      <c r="S311" s="284"/>
      <c r="T311" s="285" t="str">
        <f>IFERROR(__xludf.DUMMYFUNCTION("""COMPUTED_VALUE"""),"➖")</f>
        <v>➖</v>
      </c>
      <c r="U311" s="285" t="str">
        <f>IFERROR(__xludf.DUMMYFUNCTION("""COMPUTED_VALUE"""),"✅")</f>
        <v>✅</v>
      </c>
      <c r="V311" s="259"/>
      <c r="W311" s="286"/>
      <c r="X311" s="286"/>
      <c r="Y311" s="286"/>
    </row>
    <row r="312">
      <c r="A312" s="28"/>
      <c r="B312" s="132"/>
      <c r="C312" s="28"/>
      <c r="D312" s="260" t="str">
        <f>IFERROR(__xludf.DUMMYFUNCTION("""COMPUTED_VALUE"""),"   R")</f>
        <v>R</v>
      </c>
      <c r="E312" s="287" t="str">
        <f>IFERROR(__xludf.DUMMYFUNCTION("""COMPUTED_VALUE"""),"CATH")</f>
        <v>CATH</v>
      </c>
      <c r="F312" s="270" t="str">
        <f>IFERROR(__xludf.DUMMYFUNCTION("""COMPUTED_VALUE"""),"OA")</f>
        <v>OA</v>
      </c>
      <c r="G312" s="231" t="str">
        <f>IFERROR(__xludf.DUMMYFUNCTION("""COMPUTED_VALUE"""),"➖")</f>
        <v>➖</v>
      </c>
      <c r="H312" s="231" t="str">
        <f>IFERROR(__xludf.DUMMYFUNCTION("""COMPUTED_VALUE"""),"➖")</f>
        <v>➖</v>
      </c>
      <c r="I312" s="231" t="str">
        <f>IFERROR(__xludf.DUMMYFUNCTION("""COMPUTED_VALUE"""),"✴️")</f>
        <v>✴️</v>
      </c>
      <c r="J312" s="231" t="str">
        <f>IFERROR(__xludf.DUMMYFUNCTION("""COMPUTED_VALUE"""),"✴️")</f>
        <v>✴️</v>
      </c>
      <c r="K312" s="288" t="str">
        <f>IFERROR(__xludf.DUMMYFUNCTION("""COMPUTED_VALUE"""),"✴️")</f>
        <v>✴️</v>
      </c>
      <c r="L312" s="288" t="str">
        <f>IFERROR(__xludf.DUMMYFUNCTION("""COMPUTED_VALUE"""),"➖")</f>
        <v>➖</v>
      </c>
      <c r="M312" s="288" t="str">
        <f>IFERROR(__xludf.DUMMYFUNCTION("""COMPUTED_VALUE"""),"➖")</f>
        <v>➖</v>
      </c>
      <c r="N312" s="288" t="str">
        <f>IFERROR(__xludf.DUMMYFUNCTION("""COMPUTED_VALUE"""),"➖")</f>
        <v>➖</v>
      </c>
      <c r="O312" s="288" t="str">
        <f>IFERROR(__xludf.DUMMYFUNCTION("""COMPUTED_VALUE"""),"➖")</f>
        <v>➖</v>
      </c>
      <c r="P312" s="288" t="str">
        <f>IFERROR(__xludf.DUMMYFUNCTION("""COMPUTED_VALUE"""),"➖")</f>
        <v>➖</v>
      </c>
      <c r="Q312" s="288" t="str">
        <f>IFERROR(__xludf.DUMMYFUNCTION("""COMPUTED_VALUE"""),"➖")</f>
        <v>➖</v>
      </c>
      <c r="R312" s="257" t="str">
        <f>IFERROR(__xludf.DUMMYFUNCTION("""COMPUTED_VALUE"""),"   ➖")</f>
        <v>➖</v>
      </c>
      <c r="S312" s="258" t="str">
        <f>IFERROR(__xludf.DUMMYFUNCTION("""COMPUTED_VALUE"""),"TargetMaxLevel, ModuleKinetic")</f>
        <v>TargetMaxLevel, ModuleKinetic</v>
      </c>
      <c r="T312" s="255" t="str">
        <f>IFERROR(__xludf.DUMMYFUNCTION("""COMPUTED_VALUE"""),"➖")</f>
        <v>➖</v>
      </c>
      <c r="U312" s="255" t="str">
        <f>IFERROR(__xludf.DUMMYFUNCTION("""COMPUTED_VALUE"""),"➖")</f>
        <v>➖</v>
      </c>
      <c r="V312" s="259"/>
      <c r="W312" s="286"/>
      <c r="X312" s="286"/>
      <c r="Y312" s="286"/>
    </row>
    <row r="313">
      <c r="A313" s="28"/>
      <c r="B313" s="128"/>
      <c r="C313" s="28"/>
      <c r="D313" s="250" t="str">
        <f>IFERROR(__xludf.DUMMYFUNCTION("""COMPUTED_VALUE"""),"   E")</f>
        <v>E</v>
      </c>
      <c r="E313" s="280" t="str">
        <f>IFERROR(__xludf.DUMMYFUNCTION("""COMPUTED_VALUE"""),"BECKETT MARINER")</f>
        <v>BECKETT MARINER</v>
      </c>
      <c r="F313" s="271" t="str">
        <f>IFERROR(__xludf.DUMMYFUNCTION("""COMPUTED_VALUE"""),"OA")</f>
        <v>OA</v>
      </c>
      <c r="G313" s="281" t="str">
        <f>IFERROR(__xludf.DUMMYFUNCTION("""COMPUTED_VALUE"""),"✅")</f>
        <v>✅</v>
      </c>
      <c r="H313" s="281" t="str">
        <f>IFERROR(__xludf.DUMMYFUNCTION("""COMPUTED_VALUE"""),"✅")</f>
        <v>✅</v>
      </c>
      <c r="I313" s="281" t="str">
        <f>IFERROR(__xludf.DUMMYFUNCTION("""COMPUTED_VALUE"""),"✅")</f>
        <v>✅</v>
      </c>
      <c r="J313" s="281" t="str">
        <f>IFERROR(__xludf.DUMMYFUNCTION("""COMPUTED_VALUE"""),"✅")</f>
        <v>✅</v>
      </c>
      <c r="K313" s="282" t="str">
        <f>IFERROR(__xludf.DUMMYFUNCTION("""COMPUTED_VALUE"""),"✅")</f>
        <v>✅</v>
      </c>
      <c r="L313" s="282" t="str">
        <f>IFERROR(__xludf.DUMMYFUNCTION("""COMPUTED_VALUE"""),"✅")</f>
        <v>✅</v>
      </c>
      <c r="M313" s="282" t="str">
        <f>IFERROR(__xludf.DUMMYFUNCTION("""COMPUTED_VALUE"""),"✅")</f>
        <v>✅</v>
      </c>
      <c r="N313" s="282" t="str">
        <f>IFERROR(__xludf.DUMMYFUNCTION("""COMPUTED_VALUE"""),"✅")</f>
        <v>✅</v>
      </c>
      <c r="O313" s="282" t="str">
        <f>IFERROR(__xludf.DUMMYFUNCTION("""COMPUTED_VALUE"""),"✅")</f>
        <v>✅</v>
      </c>
      <c r="P313" s="282" t="str">
        <f>IFERROR(__xludf.DUMMYFUNCTION("""COMPUTED_VALUE"""),"✅")</f>
        <v>✅</v>
      </c>
      <c r="Q313" s="282" t="str">
        <f>IFERROR(__xludf.DUMMYFUNCTION("""COMPUTED_VALUE"""),"✅")</f>
        <v>✅</v>
      </c>
      <c r="R313" s="283" t="str">
        <f>IFERROR(__xludf.DUMMYFUNCTION("""COMPUTED_VALUE"""),"   ✅")</f>
        <v>✅</v>
      </c>
      <c r="S313" s="284"/>
      <c r="T313" s="285" t="str">
        <f>IFERROR(__xludf.DUMMYFUNCTION("""COMPUTED_VALUE"""),"➖")</f>
        <v>➖</v>
      </c>
      <c r="U313" s="285" t="str">
        <f>IFERROR(__xludf.DUMMYFUNCTION("""COMPUTED_VALUE"""),"➖")</f>
        <v>➖</v>
      </c>
      <c r="V313" s="259"/>
      <c r="W313" s="286"/>
      <c r="X313" s="286"/>
      <c r="Y313" s="286"/>
    </row>
    <row r="314">
      <c r="A314" s="28"/>
      <c r="B314" s="132"/>
      <c r="C314" s="28"/>
      <c r="D314" s="260" t="str">
        <f>IFERROR(__xludf.DUMMYFUNCTION("""COMPUTED_VALUE"""),"   E")</f>
        <v>E</v>
      </c>
      <c r="E314" s="287" t="str">
        <f>IFERROR(__xludf.DUMMYFUNCTION("""COMPUTED_VALUE"""),"BECKETT MARINER")</f>
        <v>BECKETT MARINER</v>
      </c>
      <c r="F314" s="270" t="str">
        <f>IFERROR(__xludf.DUMMYFUNCTION("""COMPUTED_VALUE"""),"BDA")</f>
        <v>BDA</v>
      </c>
      <c r="G314" s="231" t="str">
        <f>IFERROR(__xludf.DUMMYFUNCTION("""COMPUTED_VALUE"""),"✅")</f>
        <v>✅</v>
      </c>
      <c r="H314" s="231" t="str">
        <f>IFERROR(__xludf.DUMMYFUNCTION("""COMPUTED_VALUE"""),"✅")</f>
        <v>✅</v>
      </c>
      <c r="I314" s="231" t="str">
        <f>IFERROR(__xludf.DUMMYFUNCTION("""COMPUTED_VALUE"""),"✅")</f>
        <v>✅</v>
      </c>
      <c r="J314" s="231" t="str">
        <f>IFERROR(__xludf.DUMMYFUNCTION("""COMPUTED_VALUE"""),"✅")</f>
        <v>✅</v>
      </c>
      <c r="K314" s="288" t="str">
        <f>IFERROR(__xludf.DUMMYFUNCTION("""COMPUTED_VALUE"""),"✅")</f>
        <v>✅</v>
      </c>
      <c r="L314" s="288" t="str">
        <f>IFERROR(__xludf.DUMMYFUNCTION("""COMPUTED_VALUE"""),"✅")</f>
        <v>✅</v>
      </c>
      <c r="M314" s="288" t="str">
        <f>IFERROR(__xludf.DUMMYFUNCTION("""COMPUTED_VALUE"""),"✅")</f>
        <v>✅</v>
      </c>
      <c r="N314" s="288" t="str">
        <f>IFERROR(__xludf.DUMMYFUNCTION("""COMPUTED_VALUE"""),"✅")</f>
        <v>✅</v>
      </c>
      <c r="O314" s="288" t="str">
        <f>IFERROR(__xludf.DUMMYFUNCTION("""COMPUTED_VALUE"""),"✅")</f>
        <v>✅</v>
      </c>
      <c r="P314" s="288" t="str">
        <f>IFERROR(__xludf.DUMMYFUNCTION("""COMPUTED_VALUE"""),"✅")</f>
        <v>✅</v>
      </c>
      <c r="Q314" s="288" t="str">
        <f>IFERROR(__xludf.DUMMYFUNCTION("""COMPUTED_VALUE"""),"✅")</f>
        <v>✅</v>
      </c>
      <c r="R314" s="257" t="str">
        <f>IFERROR(__xludf.DUMMYFUNCTION("""COMPUTED_VALUE"""),"   ✅")</f>
        <v>✅</v>
      </c>
      <c r="S314" s="258"/>
      <c r="T314" s="255" t="str">
        <f>IFERROR(__xludf.DUMMYFUNCTION("""COMPUTED_VALUE"""),"➖")</f>
        <v>➖</v>
      </c>
      <c r="U314" s="255" t="str">
        <f>IFERROR(__xludf.DUMMYFUNCTION("""COMPUTED_VALUE"""),"➖")</f>
        <v>➖</v>
      </c>
      <c r="V314" s="259"/>
      <c r="W314" s="286"/>
      <c r="X314" s="286"/>
      <c r="Y314" s="286"/>
    </row>
    <row r="315">
      <c r="A315" s="28"/>
      <c r="B315" s="128"/>
      <c r="C315" s="28"/>
      <c r="D315" s="250" t="str">
        <f>IFERROR(__xludf.DUMMYFUNCTION("""COMPUTED_VALUE"""),"   R")</f>
        <v>R</v>
      </c>
      <c r="E315" s="280" t="str">
        <f>IFERROR(__xludf.DUMMYFUNCTION("""COMPUTED_VALUE"""),"BRAD BOIMLER")</f>
        <v>BRAD BOIMLER</v>
      </c>
      <c r="F315" s="271" t="str">
        <f>IFERROR(__xludf.DUMMYFUNCTION("""COMPUTED_VALUE"""),"OA")</f>
        <v>OA</v>
      </c>
      <c r="G315" s="281" t="str">
        <f>IFERROR(__xludf.DUMMYFUNCTION("""COMPUTED_VALUE"""),"✅")</f>
        <v>✅</v>
      </c>
      <c r="H315" s="281" t="str">
        <f>IFERROR(__xludf.DUMMYFUNCTION("""COMPUTED_VALUE"""),"✅")</f>
        <v>✅</v>
      </c>
      <c r="I315" s="281" t="str">
        <f>IFERROR(__xludf.DUMMYFUNCTION("""COMPUTED_VALUE"""),"✅")</f>
        <v>✅</v>
      </c>
      <c r="J315" s="281" t="str">
        <f>IFERROR(__xludf.DUMMYFUNCTION("""COMPUTED_VALUE"""),"✅")</f>
        <v>✅</v>
      </c>
      <c r="K315" s="282" t="str">
        <f>IFERROR(__xludf.DUMMYFUNCTION("""COMPUTED_VALUE"""),"✅")</f>
        <v>✅</v>
      </c>
      <c r="L315" s="282" t="str">
        <f>IFERROR(__xludf.DUMMYFUNCTION("""COMPUTED_VALUE"""),"✅")</f>
        <v>✅</v>
      </c>
      <c r="M315" s="282" t="str">
        <f>IFERROR(__xludf.DUMMYFUNCTION("""COMPUTED_VALUE"""),"✅")</f>
        <v>✅</v>
      </c>
      <c r="N315" s="282" t="str">
        <f>IFERROR(__xludf.DUMMYFUNCTION("""COMPUTED_VALUE"""),"✅")</f>
        <v>✅</v>
      </c>
      <c r="O315" s="282" t="str">
        <f>IFERROR(__xludf.DUMMYFUNCTION("""COMPUTED_VALUE"""),"✅")</f>
        <v>✅</v>
      </c>
      <c r="P315" s="282" t="str">
        <f>IFERROR(__xludf.DUMMYFUNCTION("""COMPUTED_VALUE"""),"✅")</f>
        <v>✅</v>
      </c>
      <c r="Q315" s="282" t="str">
        <f>IFERROR(__xludf.DUMMYFUNCTION("""COMPUTED_VALUE"""),"✅")</f>
        <v>✅</v>
      </c>
      <c r="R315" s="283" t="str">
        <f>IFERROR(__xludf.DUMMYFUNCTION("""COMPUTED_VALUE"""),"   ✅")</f>
        <v>✅</v>
      </c>
      <c r="S315" s="284"/>
      <c r="T315" s="285" t="str">
        <f>IFERROR(__xludf.DUMMYFUNCTION("""COMPUTED_VALUE"""),"➖")</f>
        <v>➖</v>
      </c>
      <c r="U315" s="285" t="str">
        <f>IFERROR(__xludf.DUMMYFUNCTION("""COMPUTED_VALUE"""),"➖")</f>
        <v>➖</v>
      </c>
      <c r="V315" s="259"/>
      <c r="W315" s="286"/>
      <c r="X315" s="286"/>
      <c r="Y315" s="286"/>
    </row>
    <row r="316">
      <c r="A316" s="28"/>
      <c r="B316" s="132"/>
      <c r="C316" s="28"/>
      <c r="D316" s="260" t="str">
        <f>IFERROR(__xludf.DUMMYFUNCTION("""COMPUTED_VALUE"""),"   R")</f>
        <v>R</v>
      </c>
      <c r="E316" s="287" t="str">
        <f>IFERROR(__xludf.DUMMYFUNCTION("""COMPUTED_VALUE"""),"BRAD BOIMLER")</f>
        <v>BRAD BOIMLER</v>
      </c>
      <c r="F316" s="270" t="str">
        <f>IFERROR(__xludf.DUMMYFUNCTION("""COMPUTED_VALUE"""),"BDA")</f>
        <v>BDA</v>
      </c>
      <c r="G316" s="231" t="str">
        <f>IFERROR(__xludf.DUMMYFUNCTION("""COMPUTED_VALUE"""),"✅")</f>
        <v>✅</v>
      </c>
      <c r="H316" s="231" t="str">
        <f>IFERROR(__xludf.DUMMYFUNCTION("""COMPUTED_VALUE"""),"✅")</f>
        <v>✅</v>
      </c>
      <c r="I316" s="231" t="str">
        <f>IFERROR(__xludf.DUMMYFUNCTION("""COMPUTED_VALUE"""),"✅")</f>
        <v>✅</v>
      </c>
      <c r="J316" s="231" t="str">
        <f>IFERROR(__xludf.DUMMYFUNCTION("""COMPUTED_VALUE"""),"✅")</f>
        <v>✅</v>
      </c>
      <c r="K316" s="288" t="str">
        <f>IFERROR(__xludf.DUMMYFUNCTION("""COMPUTED_VALUE"""),"✅")</f>
        <v>✅</v>
      </c>
      <c r="L316" s="288" t="str">
        <f>IFERROR(__xludf.DUMMYFUNCTION("""COMPUTED_VALUE"""),"✅")</f>
        <v>✅</v>
      </c>
      <c r="M316" s="288" t="str">
        <f>IFERROR(__xludf.DUMMYFUNCTION("""COMPUTED_VALUE"""),"✅")</f>
        <v>✅</v>
      </c>
      <c r="N316" s="288" t="str">
        <f>IFERROR(__xludf.DUMMYFUNCTION("""COMPUTED_VALUE"""),"✅")</f>
        <v>✅</v>
      </c>
      <c r="O316" s="288" t="str">
        <f>IFERROR(__xludf.DUMMYFUNCTION("""COMPUTED_VALUE"""),"✅")</f>
        <v>✅</v>
      </c>
      <c r="P316" s="288" t="str">
        <f>IFERROR(__xludf.DUMMYFUNCTION("""COMPUTED_VALUE"""),"✅")</f>
        <v>✅</v>
      </c>
      <c r="Q316" s="288" t="str">
        <f>IFERROR(__xludf.DUMMYFUNCTION("""COMPUTED_VALUE"""),"✅")</f>
        <v>✅</v>
      </c>
      <c r="R316" s="257" t="str">
        <f>IFERROR(__xludf.DUMMYFUNCTION("""COMPUTED_VALUE"""),"   ✅")</f>
        <v>✅</v>
      </c>
      <c r="S316" s="258"/>
      <c r="T316" s="255" t="str">
        <f>IFERROR(__xludf.DUMMYFUNCTION("""COMPUTED_VALUE"""),"➖")</f>
        <v>➖</v>
      </c>
      <c r="U316" s="255" t="str">
        <f>IFERROR(__xludf.DUMMYFUNCTION("""COMPUTED_VALUE"""),"➖")</f>
        <v>➖</v>
      </c>
      <c r="V316" s="259"/>
      <c r="W316" s="286"/>
      <c r="X316" s="286"/>
      <c r="Y316" s="286"/>
    </row>
    <row r="317">
      <c r="A317" s="28"/>
      <c r="B317" s="128"/>
      <c r="C317" s="28"/>
      <c r="D317" s="250" t="str">
        <f>IFERROR(__xludf.DUMMYFUNCTION("""COMPUTED_VALUE"""),"   U")</f>
        <v>U</v>
      </c>
      <c r="E317" s="280" t="str">
        <f>IFERROR(__xludf.DUMMYFUNCTION("""COMPUTED_VALUE"""),"BADGEY")</f>
        <v>BADGEY</v>
      </c>
      <c r="F317" s="271" t="str">
        <f>IFERROR(__xludf.DUMMYFUNCTION("""COMPUTED_VALUE"""),"OA")</f>
        <v>OA</v>
      </c>
      <c r="G317" s="281" t="str">
        <f>IFERROR(__xludf.DUMMYFUNCTION("""COMPUTED_VALUE"""),"✅")</f>
        <v>✅</v>
      </c>
      <c r="H317" s="281" t="str">
        <f>IFERROR(__xludf.DUMMYFUNCTION("""COMPUTED_VALUE"""),"✅")</f>
        <v>✅</v>
      </c>
      <c r="I317" s="281" t="str">
        <f>IFERROR(__xludf.DUMMYFUNCTION("""COMPUTED_VALUE"""),"✅")</f>
        <v>✅</v>
      </c>
      <c r="J317" s="281" t="str">
        <f>IFERROR(__xludf.DUMMYFUNCTION("""COMPUTED_VALUE"""),"✅")</f>
        <v>✅</v>
      </c>
      <c r="K317" s="282" t="str">
        <f>IFERROR(__xludf.DUMMYFUNCTION("""COMPUTED_VALUE"""),"✅")</f>
        <v>✅</v>
      </c>
      <c r="L317" s="282" t="str">
        <f>IFERROR(__xludf.DUMMYFUNCTION("""COMPUTED_VALUE"""),"✅")</f>
        <v>✅</v>
      </c>
      <c r="M317" s="282" t="str">
        <f>IFERROR(__xludf.DUMMYFUNCTION("""COMPUTED_VALUE"""),"➖")</f>
        <v>➖</v>
      </c>
      <c r="N317" s="282" t="str">
        <f>IFERROR(__xludf.DUMMYFUNCTION("""COMPUTED_VALUE"""),"➖")</f>
        <v>➖</v>
      </c>
      <c r="O317" s="282" t="str">
        <f>IFERROR(__xludf.DUMMYFUNCTION("""COMPUTED_VALUE"""),"➖")</f>
        <v>➖</v>
      </c>
      <c r="P317" s="282" t="str">
        <f>IFERROR(__xludf.DUMMYFUNCTION("""COMPUTED_VALUE"""),"➖")</f>
        <v>➖</v>
      </c>
      <c r="Q317" s="282" t="str">
        <f>IFERROR(__xludf.DUMMYFUNCTION("""COMPUTED_VALUE"""),"✅")</f>
        <v>✅</v>
      </c>
      <c r="R317" s="283" t="str">
        <f>IFERROR(__xludf.DUMMYFUNCTION("""COMPUTED_VALUE"""),"   ✅")</f>
        <v>✅</v>
      </c>
      <c r="S317" s="284"/>
      <c r="T317" s="285" t="str">
        <f>IFERROR(__xludf.DUMMYFUNCTION("""COMPUTED_VALUE"""),"➖")</f>
        <v>➖</v>
      </c>
      <c r="U317" s="285" t="str">
        <f>IFERROR(__xludf.DUMMYFUNCTION("""COMPUTED_VALUE"""),"➖")</f>
        <v>➖</v>
      </c>
      <c r="V317" s="259"/>
      <c r="W317" s="286"/>
      <c r="X317" s="286"/>
      <c r="Y317" s="286"/>
    </row>
    <row r="318">
      <c r="A318" s="28"/>
      <c r="B318" s="132"/>
      <c r="C318" s="28"/>
      <c r="D318" s="260" t="str">
        <f>IFERROR(__xludf.DUMMYFUNCTION("""COMPUTED_VALUE"""),"   U")</f>
        <v>U</v>
      </c>
      <c r="E318" s="287" t="str">
        <f>IFERROR(__xludf.DUMMYFUNCTION("""COMPUTED_VALUE"""),"BADGEY")</f>
        <v>BADGEY</v>
      </c>
      <c r="F318" s="270" t="str">
        <f>IFERROR(__xludf.DUMMYFUNCTION("""COMPUTED_VALUE"""),"BDA")</f>
        <v>BDA</v>
      </c>
      <c r="G318" s="231" t="str">
        <f>IFERROR(__xludf.DUMMYFUNCTION("""COMPUTED_VALUE"""),"✅")</f>
        <v>✅</v>
      </c>
      <c r="H318" s="231" t="str">
        <f>IFERROR(__xludf.DUMMYFUNCTION("""COMPUTED_VALUE"""),"✅")</f>
        <v>✅</v>
      </c>
      <c r="I318" s="231" t="str">
        <f>IFERROR(__xludf.DUMMYFUNCTION("""COMPUTED_VALUE"""),"✅")</f>
        <v>✅</v>
      </c>
      <c r="J318" s="231" t="str">
        <f>IFERROR(__xludf.DUMMYFUNCTION("""COMPUTED_VALUE"""),"✅")</f>
        <v>✅</v>
      </c>
      <c r="K318" s="288" t="str">
        <f>IFERROR(__xludf.DUMMYFUNCTION("""COMPUTED_VALUE"""),"✅")</f>
        <v>✅</v>
      </c>
      <c r="L318" s="288" t="str">
        <f>IFERROR(__xludf.DUMMYFUNCTION("""COMPUTED_VALUE"""),"✅")</f>
        <v>✅</v>
      </c>
      <c r="M318" s="288" t="str">
        <f>IFERROR(__xludf.DUMMYFUNCTION("""COMPUTED_VALUE"""),"✅")</f>
        <v>✅</v>
      </c>
      <c r="N318" s="288" t="str">
        <f>IFERROR(__xludf.DUMMYFUNCTION("""COMPUTED_VALUE"""),"✅")</f>
        <v>✅</v>
      </c>
      <c r="O318" s="288" t="str">
        <f>IFERROR(__xludf.DUMMYFUNCTION("""COMPUTED_VALUE"""),"✅")</f>
        <v>✅</v>
      </c>
      <c r="P318" s="288" t="str">
        <f>IFERROR(__xludf.DUMMYFUNCTION("""COMPUTED_VALUE"""),"✅")</f>
        <v>✅</v>
      </c>
      <c r="Q318" s="288" t="str">
        <f>IFERROR(__xludf.DUMMYFUNCTION("""COMPUTED_VALUE"""),"✅")</f>
        <v>✅</v>
      </c>
      <c r="R318" s="257" t="str">
        <f>IFERROR(__xludf.DUMMYFUNCTION("""COMPUTED_VALUE"""),"   ✅")</f>
        <v>✅</v>
      </c>
      <c r="S318" s="258"/>
      <c r="T318" s="255" t="str">
        <f>IFERROR(__xludf.DUMMYFUNCTION("""COMPUTED_VALUE"""),"➖")</f>
        <v>➖</v>
      </c>
      <c r="U318" s="255" t="str">
        <f>IFERROR(__xludf.DUMMYFUNCTION("""COMPUTED_VALUE"""),"➖")</f>
        <v>➖</v>
      </c>
      <c r="V318" s="259"/>
      <c r="W318" s="286"/>
      <c r="X318" s="286"/>
      <c r="Y318" s="286"/>
    </row>
    <row r="319">
      <c r="A319" s="28"/>
      <c r="B319" s="128"/>
      <c r="C319" s="28"/>
      <c r="D319" s="250" t="str">
        <f>IFERROR(__xludf.DUMMYFUNCTION("""COMPUTED_VALUE"""),"   E")</f>
        <v>E</v>
      </c>
      <c r="E319" s="280" t="str">
        <f>IFERROR(__xludf.DUMMYFUNCTION("""COMPUTED_VALUE"""),"D'VANA TENDI")</f>
        <v>D'VANA TENDI</v>
      </c>
      <c r="F319" s="271" t="str">
        <f>IFERROR(__xludf.DUMMYFUNCTION("""COMPUTED_VALUE"""),"OA")</f>
        <v>OA</v>
      </c>
      <c r="G319" s="281" t="str">
        <f>IFERROR(__xludf.DUMMYFUNCTION("""COMPUTED_VALUE"""),"✅")</f>
        <v>✅</v>
      </c>
      <c r="H319" s="281" t="str">
        <f>IFERROR(__xludf.DUMMYFUNCTION("""COMPUTED_VALUE"""),"✅")</f>
        <v>✅</v>
      </c>
      <c r="I319" s="281" t="str">
        <f>IFERROR(__xludf.DUMMYFUNCTION("""COMPUTED_VALUE"""),"✅")</f>
        <v>✅</v>
      </c>
      <c r="J319" s="281" t="str">
        <f>IFERROR(__xludf.DUMMYFUNCTION("""COMPUTED_VALUE"""),"✅")</f>
        <v>✅</v>
      </c>
      <c r="K319" s="282" t="str">
        <f>IFERROR(__xludf.DUMMYFUNCTION("""COMPUTED_VALUE"""),"✅")</f>
        <v>✅</v>
      </c>
      <c r="L319" s="282" t="str">
        <f>IFERROR(__xludf.DUMMYFUNCTION("""COMPUTED_VALUE"""),"✅")</f>
        <v>✅</v>
      </c>
      <c r="M319" s="282" t="str">
        <f>IFERROR(__xludf.DUMMYFUNCTION("""COMPUTED_VALUE"""),"✅")</f>
        <v>✅</v>
      </c>
      <c r="N319" s="282" t="str">
        <f>IFERROR(__xludf.DUMMYFUNCTION("""COMPUTED_VALUE"""),"✅")</f>
        <v>✅</v>
      </c>
      <c r="O319" s="282" t="str">
        <f>IFERROR(__xludf.DUMMYFUNCTION("""COMPUTED_VALUE"""),"✅")</f>
        <v>✅</v>
      </c>
      <c r="P319" s="282" t="str">
        <f>IFERROR(__xludf.DUMMYFUNCTION("""COMPUTED_VALUE"""),"✅")</f>
        <v>✅</v>
      </c>
      <c r="Q319" s="282" t="str">
        <f>IFERROR(__xludf.DUMMYFUNCTION("""COMPUTED_VALUE"""),"✅")</f>
        <v>✅</v>
      </c>
      <c r="R319" s="283" t="str">
        <f>IFERROR(__xludf.DUMMYFUNCTION("""COMPUTED_VALUE"""),"   ✅")</f>
        <v>✅</v>
      </c>
      <c r="S319" s="284"/>
      <c r="T319" s="285" t="str">
        <f>IFERROR(__xludf.DUMMYFUNCTION("""COMPUTED_VALUE"""),"➖")</f>
        <v>➖</v>
      </c>
      <c r="U319" s="285" t="str">
        <f>IFERROR(__xludf.DUMMYFUNCTION("""COMPUTED_VALUE"""),"➖")</f>
        <v>➖</v>
      </c>
      <c r="V319" s="259"/>
      <c r="W319" s="286"/>
      <c r="X319" s="286"/>
      <c r="Y319" s="286"/>
    </row>
    <row r="320">
      <c r="A320" s="28"/>
      <c r="B320" s="132"/>
      <c r="C320" s="28"/>
      <c r="D320" s="260" t="str">
        <f>IFERROR(__xludf.DUMMYFUNCTION("""COMPUTED_VALUE"""),"   E")</f>
        <v>E</v>
      </c>
      <c r="E320" s="287" t="str">
        <f>IFERROR(__xludf.DUMMYFUNCTION("""COMPUTED_VALUE"""),"D'VANA TENDI")</f>
        <v>D'VANA TENDI</v>
      </c>
      <c r="F320" s="270" t="str">
        <f>IFERROR(__xludf.DUMMYFUNCTION("""COMPUTED_VALUE"""),"BDA")</f>
        <v>BDA</v>
      </c>
      <c r="G320" s="231" t="str">
        <f>IFERROR(__xludf.DUMMYFUNCTION("""COMPUTED_VALUE"""),"✅")</f>
        <v>✅</v>
      </c>
      <c r="H320" s="231" t="str">
        <f>IFERROR(__xludf.DUMMYFUNCTION("""COMPUTED_VALUE"""),"✅")</f>
        <v>✅</v>
      </c>
      <c r="I320" s="231" t="str">
        <f>IFERROR(__xludf.DUMMYFUNCTION("""COMPUTED_VALUE"""),"✅")</f>
        <v>✅</v>
      </c>
      <c r="J320" s="231" t="str">
        <f>IFERROR(__xludf.DUMMYFUNCTION("""COMPUTED_VALUE"""),"✅")</f>
        <v>✅</v>
      </c>
      <c r="K320" s="288" t="str">
        <f>IFERROR(__xludf.DUMMYFUNCTION("""COMPUTED_VALUE"""),"✅")</f>
        <v>✅</v>
      </c>
      <c r="L320" s="288" t="str">
        <f>IFERROR(__xludf.DUMMYFUNCTION("""COMPUTED_VALUE"""),"✅")</f>
        <v>✅</v>
      </c>
      <c r="M320" s="288" t="str">
        <f>IFERROR(__xludf.DUMMYFUNCTION("""COMPUTED_VALUE"""),"✅")</f>
        <v>✅</v>
      </c>
      <c r="N320" s="288" t="str">
        <f>IFERROR(__xludf.DUMMYFUNCTION("""COMPUTED_VALUE"""),"✅")</f>
        <v>✅</v>
      </c>
      <c r="O320" s="288" t="str">
        <f>IFERROR(__xludf.DUMMYFUNCTION("""COMPUTED_VALUE"""),"✅")</f>
        <v>✅</v>
      </c>
      <c r="P320" s="288" t="str">
        <f>IFERROR(__xludf.DUMMYFUNCTION("""COMPUTED_VALUE"""),"✅")</f>
        <v>✅</v>
      </c>
      <c r="Q320" s="288" t="str">
        <f>IFERROR(__xludf.DUMMYFUNCTION("""COMPUTED_VALUE"""),"✅")</f>
        <v>✅</v>
      </c>
      <c r="R320" s="257" t="str">
        <f>IFERROR(__xludf.DUMMYFUNCTION("""COMPUTED_VALUE"""),"   ✅")</f>
        <v>✅</v>
      </c>
      <c r="S320" s="258"/>
      <c r="T320" s="255" t="str">
        <f>IFERROR(__xludf.DUMMYFUNCTION("""COMPUTED_VALUE"""),"➖")</f>
        <v>➖</v>
      </c>
      <c r="U320" s="255" t="str">
        <f>IFERROR(__xludf.DUMMYFUNCTION("""COMPUTED_VALUE"""),"➖")</f>
        <v>➖</v>
      </c>
      <c r="V320" s="259"/>
      <c r="W320" s="286"/>
      <c r="X320" s="286"/>
      <c r="Y320" s="286"/>
    </row>
    <row r="321">
      <c r="A321" s="28"/>
      <c r="B321" s="128"/>
      <c r="C321" s="28"/>
      <c r="D321" s="250" t="str">
        <f>IFERROR(__xludf.DUMMYFUNCTION("""COMPUTED_VALUE"""),"   R")</f>
        <v>R</v>
      </c>
      <c r="E321" s="280" t="str">
        <f>IFERROR(__xludf.DUMMYFUNCTION("""COMPUTED_VALUE"""),"SAM RUTHERFORD")</f>
        <v>SAM RUTHERFORD</v>
      </c>
      <c r="F321" s="271" t="str">
        <f>IFERROR(__xludf.DUMMYFUNCTION("""COMPUTED_VALUE"""),"OA")</f>
        <v>OA</v>
      </c>
      <c r="G321" s="281" t="str">
        <f>IFERROR(__xludf.DUMMYFUNCTION("""COMPUTED_VALUE"""),"✅")</f>
        <v>✅</v>
      </c>
      <c r="H321" s="281" t="str">
        <f>IFERROR(__xludf.DUMMYFUNCTION("""COMPUTED_VALUE"""),"✅")</f>
        <v>✅</v>
      </c>
      <c r="I321" s="281" t="str">
        <f>IFERROR(__xludf.DUMMYFUNCTION("""COMPUTED_VALUE"""),"✅")</f>
        <v>✅</v>
      </c>
      <c r="J321" s="281" t="str">
        <f>IFERROR(__xludf.DUMMYFUNCTION("""COMPUTED_VALUE"""),"✅")</f>
        <v>✅</v>
      </c>
      <c r="K321" s="282" t="str">
        <f>IFERROR(__xludf.DUMMYFUNCTION("""COMPUTED_VALUE"""),"✅")</f>
        <v>✅</v>
      </c>
      <c r="L321" s="282" t="str">
        <f>IFERROR(__xludf.DUMMYFUNCTION("""COMPUTED_VALUE"""),"✅")</f>
        <v>✅</v>
      </c>
      <c r="M321" s="282" t="str">
        <f>IFERROR(__xludf.DUMMYFUNCTION("""COMPUTED_VALUE"""),"✅")</f>
        <v>✅</v>
      </c>
      <c r="N321" s="282" t="str">
        <f>IFERROR(__xludf.DUMMYFUNCTION("""COMPUTED_VALUE"""),"✅")</f>
        <v>✅</v>
      </c>
      <c r="O321" s="282" t="str">
        <f>IFERROR(__xludf.DUMMYFUNCTION("""COMPUTED_VALUE"""),"✅")</f>
        <v>✅</v>
      </c>
      <c r="P321" s="282" t="str">
        <f>IFERROR(__xludf.DUMMYFUNCTION("""COMPUTED_VALUE"""),"✅")</f>
        <v>✅</v>
      </c>
      <c r="Q321" s="282" t="str">
        <f>IFERROR(__xludf.DUMMYFUNCTION("""COMPUTED_VALUE"""),"✅")</f>
        <v>✅</v>
      </c>
      <c r="R321" s="283" t="str">
        <f>IFERROR(__xludf.DUMMYFUNCTION("""COMPUTED_VALUE"""),"   ✅")</f>
        <v>✅</v>
      </c>
      <c r="S321" s="284"/>
      <c r="T321" s="285" t="str">
        <f>IFERROR(__xludf.DUMMYFUNCTION("""COMPUTED_VALUE"""),"➖")</f>
        <v>➖</v>
      </c>
      <c r="U321" s="285" t="str">
        <f>IFERROR(__xludf.DUMMYFUNCTION("""COMPUTED_VALUE"""),"➖")</f>
        <v>➖</v>
      </c>
      <c r="V321" s="259"/>
      <c r="W321" s="286"/>
      <c r="X321" s="286"/>
      <c r="Y321" s="286"/>
    </row>
    <row r="322">
      <c r="A322" s="28"/>
      <c r="B322" s="132"/>
      <c r="C322" s="28"/>
      <c r="D322" s="260" t="str">
        <f>IFERROR(__xludf.DUMMYFUNCTION("""COMPUTED_VALUE"""),"   R")</f>
        <v>R</v>
      </c>
      <c r="E322" s="287" t="str">
        <f>IFERROR(__xludf.DUMMYFUNCTION("""COMPUTED_VALUE"""),"SAM RUTHERFORD")</f>
        <v>SAM RUTHERFORD</v>
      </c>
      <c r="F322" s="270" t="str">
        <f>IFERROR(__xludf.DUMMYFUNCTION("""COMPUTED_VALUE"""),"BDA")</f>
        <v>BDA</v>
      </c>
      <c r="G322" s="231" t="str">
        <f>IFERROR(__xludf.DUMMYFUNCTION("""COMPUTED_VALUE"""),"✅")</f>
        <v>✅</v>
      </c>
      <c r="H322" s="231" t="str">
        <f>IFERROR(__xludf.DUMMYFUNCTION("""COMPUTED_VALUE"""),"✅")</f>
        <v>✅</v>
      </c>
      <c r="I322" s="231" t="str">
        <f>IFERROR(__xludf.DUMMYFUNCTION("""COMPUTED_VALUE"""),"✅")</f>
        <v>✅</v>
      </c>
      <c r="J322" s="231" t="str">
        <f>IFERROR(__xludf.DUMMYFUNCTION("""COMPUTED_VALUE"""),"✅")</f>
        <v>✅</v>
      </c>
      <c r="K322" s="288" t="str">
        <f>IFERROR(__xludf.DUMMYFUNCTION("""COMPUTED_VALUE"""),"✅")</f>
        <v>✅</v>
      </c>
      <c r="L322" s="288" t="str">
        <f>IFERROR(__xludf.DUMMYFUNCTION("""COMPUTED_VALUE"""),"✅")</f>
        <v>✅</v>
      </c>
      <c r="M322" s="288" t="str">
        <f>IFERROR(__xludf.DUMMYFUNCTION("""COMPUTED_VALUE"""),"✅")</f>
        <v>✅</v>
      </c>
      <c r="N322" s="288" t="str">
        <f>IFERROR(__xludf.DUMMYFUNCTION("""COMPUTED_VALUE"""),"✅")</f>
        <v>✅</v>
      </c>
      <c r="O322" s="288" t="str">
        <f>IFERROR(__xludf.DUMMYFUNCTION("""COMPUTED_VALUE"""),"✅")</f>
        <v>✅</v>
      </c>
      <c r="P322" s="288" t="str">
        <f>IFERROR(__xludf.DUMMYFUNCTION("""COMPUTED_VALUE"""),"✅")</f>
        <v>✅</v>
      </c>
      <c r="Q322" s="288" t="str">
        <f>IFERROR(__xludf.DUMMYFUNCTION("""COMPUTED_VALUE"""),"✅")</f>
        <v>✅</v>
      </c>
      <c r="R322" s="257" t="str">
        <f>IFERROR(__xludf.DUMMYFUNCTION("""COMPUTED_VALUE"""),"   ✅")</f>
        <v>✅</v>
      </c>
      <c r="S322" s="258"/>
      <c r="T322" s="255" t="str">
        <f>IFERROR(__xludf.DUMMYFUNCTION("""COMPUTED_VALUE"""),"➖")</f>
        <v>➖</v>
      </c>
      <c r="U322" s="255" t="str">
        <f>IFERROR(__xludf.DUMMYFUNCTION("""COMPUTED_VALUE"""),"➖")</f>
        <v>➖</v>
      </c>
      <c r="V322" s="259"/>
      <c r="W322" s="286"/>
      <c r="X322" s="286"/>
      <c r="Y322" s="286"/>
    </row>
    <row r="323">
      <c r="A323" s="28"/>
      <c r="B323" s="128"/>
      <c r="C323" s="28"/>
      <c r="D323" s="250" t="str">
        <f>IFERROR(__xludf.DUMMYFUNCTION("""COMPUTED_VALUE"""),"   E")</f>
        <v>E</v>
      </c>
      <c r="E323" s="280" t="str">
        <f>IFERROR(__xludf.DUMMYFUNCTION("""COMPUTED_VALUE"""),"SNW PIKE")</f>
        <v>SNW PIKE</v>
      </c>
      <c r="F323" s="271" t="str">
        <f>IFERROR(__xludf.DUMMYFUNCTION("""COMPUTED_VALUE"""),"CM")</f>
        <v>CM</v>
      </c>
      <c r="G323" s="281" t="str">
        <f>IFERROR(__xludf.DUMMYFUNCTION("""COMPUTED_VALUE"""),"➖")</f>
        <v>➖</v>
      </c>
      <c r="H323" s="281" t="str">
        <f>IFERROR(__xludf.DUMMYFUNCTION("""COMPUTED_VALUE"""),"➖")</f>
        <v>➖</v>
      </c>
      <c r="I323" s="281" t="str">
        <f>IFERROR(__xludf.DUMMYFUNCTION("""COMPUTED_VALUE"""),"✅")</f>
        <v>✅</v>
      </c>
      <c r="J323" s="281" t="str">
        <f>IFERROR(__xludf.DUMMYFUNCTION("""COMPUTED_VALUE"""),"✅")</f>
        <v>✅</v>
      </c>
      <c r="K323" s="282" t="str">
        <f>IFERROR(__xludf.DUMMYFUNCTION("""COMPUTED_VALUE"""),"✅")</f>
        <v>✅</v>
      </c>
      <c r="L323" s="282" t="str">
        <f>IFERROR(__xludf.DUMMYFUNCTION("""COMPUTED_VALUE"""),"➖")</f>
        <v>➖</v>
      </c>
      <c r="M323" s="282" t="str">
        <f>IFERROR(__xludf.DUMMYFUNCTION("""COMPUTED_VALUE"""),"➖")</f>
        <v>➖</v>
      </c>
      <c r="N323" s="282" t="str">
        <f>IFERROR(__xludf.DUMMYFUNCTION("""COMPUTED_VALUE"""),"➖")</f>
        <v>➖</v>
      </c>
      <c r="O323" s="282" t="str">
        <f>IFERROR(__xludf.DUMMYFUNCTION("""COMPUTED_VALUE"""),"➖")</f>
        <v>➖</v>
      </c>
      <c r="P323" s="282" t="str">
        <f>IFERROR(__xludf.DUMMYFUNCTION("""COMPUTED_VALUE"""),"➖")</f>
        <v>➖</v>
      </c>
      <c r="Q323" s="282" t="str">
        <f>IFERROR(__xludf.DUMMYFUNCTION("""COMPUTED_VALUE"""),"➖")</f>
        <v>➖</v>
      </c>
      <c r="R323" s="283" t="str">
        <f>IFERROR(__xludf.DUMMYFUNCTION("""COMPUTED_VALUE"""),"   ➖")</f>
        <v>➖</v>
      </c>
      <c r="S323" s="284"/>
      <c r="T323" s="285" t="str">
        <f>IFERROR(__xludf.DUMMYFUNCTION("""COMPUTED_VALUE"""),"➖")</f>
        <v>➖</v>
      </c>
      <c r="U323" s="285" t="str">
        <f>IFERROR(__xludf.DUMMYFUNCTION("""COMPUTED_VALUE"""),"➖")</f>
        <v>➖</v>
      </c>
      <c r="V323" s="259"/>
      <c r="W323" s="286"/>
      <c r="X323" s="286"/>
      <c r="Y323" s="286"/>
    </row>
    <row r="324">
      <c r="A324" s="28"/>
      <c r="B324" s="132"/>
      <c r="C324" s="28"/>
      <c r="D324" s="260" t="str">
        <f>IFERROR(__xludf.DUMMYFUNCTION("""COMPUTED_VALUE"""),"   E")</f>
        <v>E</v>
      </c>
      <c r="E324" s="287" t="str">
        <f>IFERROR(__xludf.DUMMYFUNCTION("""COMPUTED_VALUE"""),"SNW PIKE")</f>
        <v>SNW PIKE</v>
      </c>
      <c r="F324" s="270" t="str">
        <f>IFERROR(__xludf.DUMMYFUNCTION("""COMPUTED_VALUE"""),"OA")</f>
        <v>OA</v>
      </c>
      <c r="G324" s="231" t="str">
        <f>IFERROR(__xludf.DUMMYFUNCTION("""COMPUTED_VALUE"""),"➖")</f>
        <v>➖</v>
      </c>
      <c r="H324" s="231" t="str">
        <f>IFERROR(__xludf.DUMMYFUNCTION("""COMPUTED_VALUE"""),"➖")</f>
        <v>➖</v>
      </c>
      <c r="I324" s="231" t="str">
        <f>IFERROR(__xludf.DUMMYFUNCTION("""COMPUTED_VALUE"""),"✅")</f>
        <v>✅</v>
      </c>
      <c r="J324" s="231" t="str">
        <f>IFERROR(__xludf.DUMMYFUNCTION("""COMPUTED_VALUE"""),"✅")</f>
        <v>✅</v>
      </c>
      <c r="K324" s="288" t="str">
        <f>IFERROR(__xludf.DUMMYFUNCTION("""COMPUTED_VALUE"""),"✅")</f>
        <v>✅</v>
      </c>
      <c r="L324" s="288" t="str">
        <f>IFERROR(__xludf.DUMMYFUNCTION("""COMPUTED_VALUE"""),"➖")</f>
        <v>➖</v>
      </c>
      <c r="M324" s="288" t="str">
        <f>IFERROR(__xludf.DUMMYFUNCTION("""COMPUTED_VALUE"""),"➖")</f>
        <v>➖</v>
      </c>
      <c r="N324" s="288" t="str">
        <f>IFERROR(__xludf.DUMMYFUNCTION("""COMPUTED_VALUE"""),"➖")</f>
        <v>➖</v>
      </c>
      <c r="O324" s="288" t="str">
        <f>IFERROR(__xludf.DUMMYFUNCTION("""COMPUTED_VALUE"""),"➖")</f>
        <v>➖</v>
      </c>
      <c r="P324" s="288" t="str">
        <f>IFERROR(__xludf.DUMMYFUNCTION("""COMPUTED_VALUE"""),"➖")</f>
        <v>➖</v>
      </c>
      <c r="Q324" s="288" t="str">
        <f>IFERROR(__xludf.DUMMYFUNCTION("""COMPUTED_VALUE"""),"➖")</f>
        <v>➖</v>
      </c>
      <c r="R324" s="257" t="str">
        <f>IFERROR(__xludf.DUMMYFUNCTION("""COMPUTED_VALUE"""),"   ➖")</f>
        <v>➖</v>
      </c>
      <c r="S324" s="258"/>
      <c r="T324" s="255" t="str">
        <f>IFERROR(__xludf.DUMMYFUNCTION("""COMPUTED_VALUE"""),"➖")</f>
        <v>➖</v>
      </c>
      <c r="U324" s="255" t="str">
        <f>IFERROR(__xludf.DUMMYFUNCTION("""COMPUTED_VALUE"""),"➖")</f>
        <v>➖</v>
      </c>
      <c r="V324" s="259"/>
      <c r="W324" s="286"/>
      <c r="X324" s="286"/>
      <c r="Y324" s="286"/>
    </row>
    <row r="325">
      <c r="A325" s="28"/>
      <c r="B325" s="128"/>
      <c r="C325" s="28"/>
      <c r="D325" s="250" t="str">
        <f>IFERROR(__xludf.DUMMYFUNCTION("""COMPUTED_VALUE"""),"   R")</f>
        <v>R</v>
      </c>
      <c r="E325" s="280" t="str">
        <f>IFERROR(__xludf.DUMMYFUNCTION("""COMPUTED_VALUE"""),"SNW SPOCK")</f>
        <v>SNW SPOCK</v>
      </c>
      <c r="F325" s="271" t="str">
        <f>IFERROR(__xludf.DUMMYFUNCTION("""COMPUTED_VALUE"""),"CM")</f>
        <v>CM</v>
      </c>
      <c r="G325" s="281" t="str">
        <f>IFERROR(__xludf.DUMMYFUNCTION("""COMPUTED_VALUE"""),"➖")</f>
        <v>➖</v>
      </c>
      <c r="H325" s="281" t="str">
        <f>IFERROR(__xludf.DUMMYFUNCTION("""COMPUTED_VALUE"""),"➖")</f>
        <v>➖</v>
      </c>
      <c r="I325" s="281" t="str">
        <f>IFERROR(__xludf.DUMMYFUNCTION("""COMPUTED_VALUE"""),"✅")</f>
        <v>✅</v>
      </c>
      <c r="J325" s="281" t="str">
        <f>IFERROR(__xludf.DUMMYFUNCTION("""COMPUTED_VALUE"""),"✅")</f>
        <v>✅</v>
      </c>
      <c r="K325" s="282" t="str">
        <f>IFERROR(__xludf.DUMMYFUNCTION("""COMPUTED_VALUE"""),"✅")</f>
        <v>✅</v>
      </c>
      <c r="L325" s="282" t="str">
        <f>IFERROR(__xludf.DUMMYFUNCTION("""COMPUTED_VALUE"""),"➖")</f>
        <v>➖</v>
      </c>
      <c r="M325" s="282" t="str">
        <f>IFERROR(__xludf.DUMMYFUNCTION("""COMPUTED_VALUE"""),"➖")</f>
        <v>➖</v>
      </c>
      <c r="N325" s="282" t="str">
        <f>IFERROR(__xludf.DUMMYFUNCTION("""COMPUTED_VALUE"""),"➖")</f>
        <v>➖</v>
      </c>
      <c r="O325" s="282" t="str">
        <f>IFERROR(__xludf.DUMMYFUNCTION("""COMPUTED_VALUE"""),"➖")</f>
        <v>➖</v>
      </c>
      <c r="P325" s="282" t="str">
        <f>IFERROR(__xludf.DUMMYFUNCTION("""COMPUTED_VALUE"""),"➖")</f>
        <v>➖</v>
      </c>
      <c r="Q325" s="282" t="str">
        <f>IFERROR(__xludf.DUMMYFUNCTION("""COMPUTED_VALUE"""),"➖")</f>
        <v>➖</v>
      </c>
      <c r="R325" s="283" t="str">
        <f>IFERROR(__xludf.DUMMYFUNCTION("""COMPUTED_VALUE"""),"   ➖")</f>
        <v>➖</v>
      </c>
      <c r="S325" s="284"/>
      <c r="T325" s="285" t="str">
        <f>IFERROR(__xludf.DUMMYFUNCTION("""COMPUTED_VALUE"""),"➖")</f>
        <v>➖</v>
      </c>
      <c r="U325" s="285" t="str">
        <f>IFERROR(__xludf.DUMMYFUNCTION("""COMPUTED_VALUE"""),"➖")</f>
        <v>➖</v>
      </c>
      <c r="V325" s="259"/>
      <c r="W325" s="286"/>
      <c r="X325" s="286"/>
      <c r="Y325" s="286"/>
    </row>
    <row r="326">
      <c r="A326" s="28"/>
      <c r="B326" s="132"/>
      <c r="C326" s="28"/>
      <c r="D326" s="260" t="str">
        <f>IFERROR(__xludf.DUMMYFUNCTION("""COMPUTED_VALUE"""),"   R")</f>
        <v>R</v>
      </c>
      <c r="E326" s="287" t="str">
        <f>IFERROR(__xludf.DUMMYFUNCTION("""COMPUTED_VALUE"""),"SNW SPOCK")</f>
        <v>SNW SPOCK</v>
      </c>
      <c r="F326" s="270" t="str">
        <f>IFERROR(__xludf.DUMMYFUNCTION("""COMPUTED_VALUE"""),"OA")</f>
        <v>OA</v>
      </c>
      <c r="G326" s="231" t="str">
        <f>IFERROR(__xludf.DUMMYFUNCTION("""COMPUTED_VALUE"""),"➖")</f>
        <v>➖</v>
      </c>
      <c r="H326" s="231" t="str">
        <f>IFERROR(__xludf.DUMMYFUNCTION("""COMPUTED_VALUE"""),"➖")</f>
        <v>➖</v>
      </c>
      <c r="I326" s="231" t="str">
        <f>IFERROR(__xludf.DUMMYFUNCTION("""COMPUTED_VALUE"""),"✴️")</f>
        <v>✴️</v>
      </c>
      <c r="J326" s="231" t="str">
        <f>IFERROR(__xludf.DUMMYFUNCTION("""COMPUTED_VALUE"""),"✴️")</f>
        <v>✴️</v>
      </c>
      <c r="K326" s="288" t="str">
        <f>IFERROR(__xludf.DUMMYFUNCTION("""COMPUTED_VALUE"""),"✴️")</f>
        <v>✴️</v>
      </c>
      <c r="L326" s="288" t="str">
        <f>IFERROR(__xludf.DUMMYFUNCTION("""COMPUTED_VALUE"""),"➖")</f>
        <v>➖</v>
      </c>
      <c r="M326" s="288" t="str">
        <f>IFERROR(__xludf.DUMMYFUNCTION("""COMPUTED_VALUE"""),"➖")</f>
        <v>➖</v>
      </c>
      <c r="N326" s="288" t="str">
        <f>IFERROR(__xludf.DUMMYFUNCTION("""COMPUTED_VALUE"""),"➖")</f>
        <v>➖</v>
      </c>
      <c r="O326" s="288" t="str">
        <f>IFERROR(__xludf.DUMMYFUNCTION("""COMPUTED_VALUE"""),"➖")</f>
        <v>➖</v>
      </c>
      <c r="P326" s="288" t="str">
        <f>IFERROR(__xludf.DUMMYFUNCTION("""COMPUTED_VALUE"""),"➖")</f>
        <v>➖</v>
      </c>
      <c r="Q326" s="288" t="str">
        <f>IFERROR(__xludf.DUMMYFUNCTION("""COMPUTED_VALUE"""),"➖")</f>
        <v>➖</v>
      </c>
      <c r="R326" s="257" t="str">
        <f>IFERROR(__xludf.DUMMYFUNCTION("""COMPUTED_VALUE"""),"   ➖")</f>
        <v>➖</v>
      </c>
      <c r="S326" s="258" t="str">
        <f>IFERROR(__xludf.DUMMYFUNCTION("""COMPUTED_VALUE"""),"SelfExplorer, EnemyInterceptor")</f>
        <v>SelfExplorer, EnemyInterceptor</v>
      </c>
      <c r="T326" s="255" t="str">
        <f>IFERROR(__xludf.DUMMYFUNCTION("""COMPUTED_VALUE"""),"➖")</f>
        <v>➖</v>
      </c>
      <c r="U326" s="255" t="str">
        <f>IFERROR(__xludf.DUMMYFUNCTION("""COMPUTED_VALUE"""),"➖")</f>
        <v>➖</v>
      </c>
      <c r="V326" s="259"/>
      <c r="W326" s="286"/>
      <c r="X326" s="286"/>
      <c r="Y326" s="286"/>
    </row>
    <row r="327">
      <c r="A327" s="28"/>
      <c r="B327" s="128"/>
      <c r="C327" s="28"/>
      <c r="D327" s="250" t="str">
        <f>IFERROR(__xludf.DUMMYFUNCTION("""COMPUTED_VALUE"""),"   R")</f>
        <v>R</v>
      </c>
      <c r="E327" s="280" t="str">
        <f>IFERROR(__xludf.DUMMYFUNCTION("""COMPUTED_VALUE"""),"SNW LA'AN")</f>
        <v>SNW LA'AN</v>
      </c>
      <c r="F327" s="271" t="str">
        <f>IFERROR(__xludf.DUMMYFUNCTION("""COMPUTED_VALUE"""),"OA")</f>
        <v>OA</v>
      </c>
      <c r="G327" s="281" t="str">
        <f>IFERROR(__xludf.DUMMYFUNCTION("""COMPUTED_VALUE"""),"➖")</f>
        <v>➖</v>
      </c>
      <c r="H327" s="281" t="str">
        <f>IFERROR(__xludf.DUMMYFUNCTION("""COMPUTED_VALUE"""),"➖")</f>
        <v>➖</v>
      </c>
      <c r="I327" s="281" t="str">
        <f>IFERROR(__xludf.DUMMYFUNCTION("""COMPUTED_VALUE"""),"➖")</f>
        <v>➖</v>
      </c>
      <c r="J327" s="281" t="str">
        <f>IFERROR(__xludf.DUMMYFUNCTION("""COMPUTED_VALUE"""),"➖")</f>
        <v>➖</v>
      </c>
      <c r="K327" s="282" t="str">
        <f>IFERROR(__xludf.DUMMYFUNCTION("""COMPUTED_VALUE"""),"➖")</f>
        <v>➖</v>
      </c>
      <c r="L327" s="282" t="str">
        <f>IFERROR(__xludf.DUMMYFUNCTION("""COMPUTED_VALUE"""),"➖")</f>
        <v>➖</v>
      </c>
      <c r="M327" s="282" t="str">
        <f>IFERROR(__xludf.DUMMYFUNCTION("""COMPUTED_VALUE"""),"➖")</f>
        <v>➖</v>
      </c>
      <c r="N327" s="282" t="str">
        <f>IFERROR(__xludf.DUMMYFUNCTION("""COMPUTED_VALUE"""),"➖")</f>
        <v>➖</v>
      </c>
      <c r="O327" s="282" t="str">
        <f>IFERROR(__xludf.DUMMYFUNCTION("""COMPUTED_VALUE"""),"➖")</f>
        <v>➖</v>
      </c>
      <c r="P327" s="282" t="str">
        <f>IFERROR(__xludf.DUMMYFUNCTION("""COMPUTED_VALUE"""),"➖")</f>
        <v>➖</v>
      </c>
      <c r="Q327" s="282" t="str">
        <f>IFERROR(__xludf.DUMMYFUNCTION("""COMPUTED_VALUE"""),"➖")</f>
        <v>➖</v>
      </c>
      <c r="R327" s="283" t="str">
        <f>IFERROR(__xludf.DUMMYFUNCTION("""COMPUTED_VALUE"""),"   ➖")</f>
        <v>➖</v>
      </c>
      <c r="S327" s="284"/>
      <c r="T327" s="285" t="str">
        <f>IFERROR(__xludf.DUMMYFUNCTION("""COMPUTED_VALUE"""),"➖")</f>
        <v>➖</v>
      </c>
      <c r="U327" s="285" t="str">
        <f>IFERROR(__xludf.DUMMYFUNCTION("""COMPUTED_VALUE"""),"✅")</f>
        <v>✅</v>
      </c>
      <c r="V327" s="259"/>
      <c r="W327" s="286"/>
      <c r="X327" s="286"/>
      <c r="Y327" s="286"/>
    </row>
    <row r="328">
      <c r="A328" s="28"/>
      <c r="B328" s="132"/>
      <c r="C328" s="28"/>
      <c r="D328" s="260" t="str">
        <f>IFERROR(__xludf.DUMMYFUNCTION("""COMPUTED_VALUE"""),"   R")</f>
        <v>R</v>
      </c>
      <c r="E328" s="287" t="str">
        <f>IFERROR(__xludf.DUMMYFUNCTION("""COMPUTED_VALUE"""),"SNW LA'AN")</f>
        <v>SNW LA'AN</v>
      </c>
      <c r="F328" s="270" t="str">
        <f>IFERROR(__xludf.DUMMYFUNCTION("""COMPUTED_VALUE"""),"BDA")</f>
        <v>BDA</v>
      </c>
      <c r="G328" s="231" t="str">
        <f>IFERROR(__xludf.DUMMYFUNCTION("""COMPUTED_VALUE"""),"➖")</f>
        <v>➖</v>
      </c>
      <c r="H328" s="231" t="str">
        <f>IFERROR(__xludf.DUMMYFUNCTION("""COMPUTED_VALUE"""),"➖")</f>
        <v>➖</v>
      </c>
      <c r="I328" s="231" t="str">
        <f>IFERROR(__xludf.DUMMYFUNCTION("""COMPUTED_VALUE"""),"➖")</f>
        <v>➖</v>
      </c>
      <c r="J328" s="231" t="str">
        <f>IFERROR(__xludf.DUMMYFUNCTION("""COMPUTED_VALUE"""),"➖")</f>
        <v>➖</v>
      </c>
      <c r="K328" s="288" t="str">
        <f>IFERROR(__xludf.DUMMYFUNCTION("""COMPUTED_VALUE"""),"➖")</f>
        <v>➖</v>
      </c>
      <c r="L328" s="288" t="str">
        <f>IFERROR(__xludf.DUMMYFUNCTION("""COMPUTED_VALUE"""),"➖")</f>
        <v>➖</v>
      </c>
      <c r="M328" s="288" t="str">
        <f>IFERROR(__xludf.DUMMYFUNCTION("""COMPUTED_VALUE"""),"➖")</f>
        <v>➖</v>
      </c>
      <c r="N328" s="288" t="str">
        <f>IFERROR(__xludf.DUMMYFUNCTION("""COMPUTED_VALUE"""),"➖")</f>
        <v>➖</v>
      </c>
      <c r="O328" s="288" t="str">
        <f>IFERROR(__xludf.DUMMYFUNCTION("""COMPUTED_VALUE"""),"➖")</f>
        <v>➖</v>
      </c>
      <c r="P328" s="288" t="str">
        <f>IFERROR(__xludf.DUMMYFUNCTION("""COMPUTED_VALUE"""),"➖")</f>
        <v>➖</v>
      </c>
      <c r="Q328" s="288" t="str">
        <f>IFERROR(__xludf.DUMMYFUNCTION("""COMPUTED_VALUE"""),"➖")</f>
        <v>➖</v>
      </c>
      <c r="R328" s="257" t="str">
        <f>IFERROR(__xludf.DUMMYFUNCTION("""COMPUTED_VALUE"""),"   ➖")</f>
        <v>➖</v>
      </c>
      <c r="S328" s="258"/>
      <c r="T328" s="255" t="str">
        <f>IFERROR(__xludf.DUMMYFUNCTION("""COMPUTED_VALUE"""),"➖")</f>
        <v>➖</v>
      </c>
      <c r="U328" s="255" t="str">
        <f>IFERROR(__xludf.DUMMYFUNCTION("""COMPUTED_VALUE"""),"✅")</f>
        <v>✅</v>
      </c>
      <c r="V328" s="259"/>
      <c r="W328" s="286"/>
      <c r="X328" s="286"/>
      <c r="Y328" s="286"/>
    </row>
    <row r="329">
      <c r="A329" s="28"/>
      <c r="B329" s="128"/>
      <c r="C329" s="28"/>
      <c r="D329" s="250" t="str">
        <f>IFERROR(__xludf.DUMMYFUNCTION("""COMPUTED_VALUE"""),"   E")</f>
        <v>E</v>
      </c>
      <c r="E329" s="280" t="str">
        <f>IFERROR(__xludf.DUMMYFUNCTION("""COMPUTED_VALUE"""),"REGINALD BARCLAY")</f>
        <v>REGINALD BARCLAY</v>
      </c>
      <c r="F329" s="271" t="str">
        <f>IFERROR(__xludf.DUMMYFUNCTION("""COMPUTED_VALUE"""),"OA")</f>
        <v>OA</v>
      </c>
      <c r="G329" s="281" t="str">
        <f>IFERROR(__xludf.DUMMYFUNCTION("""COMPUTED_VALUE"""),"✅")</f>
        <v>✅</v>
      </c>
      <c r="H329" s="281" t="str">
        <f>IFERROR(__xludf.DUMMYFUNCTION("""COMPUTED_VALUE"""),"✅")</f>
        <v>✅</v>
      </c>
      <c r="I329" s="281" t="str">
        <f>IFERROR(__xludf.DUMMYFUNCTION("""COMPUTED_VALUE"""),"✅")</f>
        <v>✅</v>
      </c>
      <c r="J329" s="281" t="str">
        <f>IFERROR(__xludf.DUMMYFUNCTION("""COMPUTED_VALUE"""),"✅")</f>
        <v>✅</v>
      </c>
      <c r="K329" s="282" t="str">
        <f>IFERROR(__xludf.DUMMYFUNCTION("""COMPUTED_VALUE"""),"✅")</f>
        <v>✅</v>
      </c>
      <c r="L329" s="282" t="str">
        <f>IFERROR(__xludf.DUMMYFUNCTION("""COMPUTED_VALUE"""),"✅")</f>
        <v>✅</v>
      </c>
      <c r="M329" s="282" t="str">
        <f>IFERROR(__xludf.DUMMYFUNCTION("""COMPUTED_VALUE"""),"✅")</f>
        <v>✅</v>
      </c>
      <c r="N329" s="282" t="str">
        <f>IFERROR(__xludf.DUMMYFUNCTION("""COMPUTED_VALUE"""),"✅")</f>
        <v>✅</v>
      </c>
      <c r="O329" s="282" t="str">
        <f>IFERROR(__xludf.DUMMYFUNCTION("""COMPUTED_VALUE"""),"✅")</f>
        <v>✅</v>
      </c>
      <c r="P329" s="282" t="str">
        <f>IFERROR(__xludf.DUMMYFUNCTION("""COMPUTED_VALUE"""),"✅")</f>
        <v>✅</v>
      </c>
      <c r="Q329" s="282" t="str">
        <f>IFERROR(__xludf.DUMMYFUNCTION("""COMPUTED_VALUE"""),"✅")</f>
        <v>✅</v>
      </c>
      <c r="R329" s="283" t="str">
        <f>IFERROR(__xludf.DUMMYFUNCTION("""COMPUTED_VALUE"""),"   ✅")</f>
        <v>✅</v>
      </c>
      <c r="S329" s="284"/>
      <c r="T329" s="285" t="str">
        <f>IFERROR(__xludf.DUMMYFUNCTION("""COMPUTED_VALUE"""),"➖")</f>
        <v>➖</v>
      </c>
      <c r="U329" s="285" t="str">
        <f>IFERROR(__xludf.DUMMYFUNCTION("""COMPUTED_VALUE"""),"➖")</f>
        <v>➖</v>
      </c>
      <c r="V329" s="259"/>
      <c r="W329" s="286"/>
      <c r="X329" s="286"/>
      <c r="Y329" s="286"/>
    </row>
    <row r="330">
      <c r="A330" s="28"/>
      <c r="B330" s="132"/>
      <c r="C330" s="28"/>
      <c r="D330" s="260" t="str">
        <f>IFERROR(__xludf.DUMMYFUNCTION("""COMPUTED_VALUE"""),"   E")</f>
        <v>E</v>
      </c>
      <c r="E330" s="287" t="str">
        <f>IFERROR(__xludf.DUMMYFUNCTION("""COMPUTED_VALUE"""),"REGINALD BARCLAY")</f>
        <v>REGINALD BARCLAY</v>
      </c>
      <c r="F330" s="270" t="str">
        <f>IFERROR(__xludf.DUMMYFUNCTION("""COMPUTED_VALUE"""),"BDA")</f>
        <v>BDA</v>
      </c>
      <c r="G330" s="231" t="str">
        <f>IFERROR(__xludf.DUMMYFUNCTION("""COMPUTED_VALUE"""),"➖")</f>
        <v>➖</v>
      </c>
      <c r="H330" s="231" t="str">
        <f>IFERROR(__xludf.DUMMYFUNCTION("""COMPUTED_VALUE"""),"➖")</f>
        <v>➖</v>
      </c>
      <c r="I330" s="231" t="str">
        <f>IFERROR(__xludf.DUMMYFUNCTION("""COMPUTED_VALUE"""),"➖")</f>
        <v>➖</v>
      </c>
      <c r="J330" s="231" t="str">
        <f>IFERROR(__xludf.DUMMYFUNCTION("""COMPUTED_VALUE"""),"➖")</f>
        <v>➖</v>
      </c>
      <c r="K330" s="288" t="str">
        <f>IFERROR(__xludf.DUMMYFUNCTION("""COMPUTED_VALUE"""),"➖")</f>
        <v>➖</v>
      </c>
      <c r="L330" s="288" t="str">
        <f>IFERROR(__xludf.DUMMYFUNCTION("""COMPUTED_VALUE"""),"➖")</f>
        <v>➖</v>
      </c>
      <c r="M330" s="288" t="str">
        <f>IFERROR(__xludf.DUMMYFUNCTION("""COMPUTED_VALUE"""),"➖")</f>
        <v>➖</v>
      </c>
      <c r="N330" s="288" t="str">
        <f>IFERROR(__xludf.DUMMYFUNCTION("""COMPUTED_VALUE"""),"➖")</f>
        <v>➖</v>
      </c>
      <c r="O330" s="288" t="str">
        <f>IFERROR(__xludf.DUMMYFUNCTION("""COMPUTED_VALUE"""),"➖")</f>
        <v>➖</v>
      </c>
      <c r="P330" s="288" t="str">
        <f>IFERROR(__xludf.DUMMYFUNCTION("""COMPUTED_VALUE"""),"➖")</f>
        <v>➖</v>
      </c>
      <c r="Q330" s="288" t="str">
        <f>IFERROR(__xludf.DUMMYFUNCTION("""COMPUTED_VALUE"""),"➖")</f>
        <v>➖</v>
      </c>
      <c r="R330" s="257" t="str">
        <f>IFERROR(__xludf.DUMMYFUNCTION("""COMPUTED_VALUE"""),"   ➖")</f>
        <v>➖</v>
      </c>
      <c r="S330" s="258"/>
      <c r="T330" s="255" t="str">
        <f>IFERROR(__xludf.DUMMYFUNCTION("""COMPUTED_VALUE"""),"➖")</f>
        <v>➖</v>
      </c>
      <c r="U330" s="255" t="str">
        <f>IFERROR(__xludf.DUMMYFUNCTION("""COMPUTED_VALUE"""),"✅")</f>
        <v>✅</v>
      </c>
      <c r="V330" s="259"/>
      <c r="W330" s="286"/>
      <c r="X330" s="286"/>
      <c r="Y330" s="286"/>
    </row>
    <row r="331">
      <c r="A331" s="28"/>
      <c r="B331" s="128"/>
      <c r="C331" s="28"/>
      <c r="D331" s="250" t="str">
        <f>IFERROR(__xludf.DUMMYFUNCTION("""COMPUTED_VALUE"""),"   E")</f>
        <v>E</v>
      </c>
      <c r="E331" s="280" t="str">
        <f>IFERROR(__xludf.DUMMYFUNCTION("""COMPUTED_VALUE"""),"SNW UNA")</f>
        <v>SNW UNA</v>
      </c>
      <c r="F331" s="271" t="str">
        <f>IFERROR(__xludf.DUMMYFUNCTION("""COMPUTED_VALUE"""),"CM")</f>
        <v>CM</v>
      </c>
      <c r="G331" s="281" t="str">
        <f>IFERROR(__xludf.DUMMYFUNCTION("""COMPUTED_VALUE"""),"➖")</f>
        <v>➖</v>
      </c>
      <c r="H331" s="281" t="str">
        <f>IFERROR(__xludf.DUMMYFUNCTION("""COMPUTED_VALUE"""),"➖")</f>
        <v>➖</v>
      </c>
      <c r="I331" s="281" t="str">
        <f>IFERROR(__xludf.DUMMYFUNCTION("""COMPUTED_VALUE"""),"✅")</f>
        <v>✅</v>
      </c>
      <c r="J331" s="281" t="str">
        <f>IFERROR(__xludf.DUMMYFUNCTION("""COMPUTED_VALUE"""),"✅")</f>
        <v>✅</v>
      </c>
      <c r="K331" s="282" t="str">
        <f>IFERROR(__xludf.DUMMYFUNCTION("""COMPUTED_VALUE"""),"✅")</f>
        <v>✅</v>
      </c>
      <c r="L331" s="282" t="str">
        <f>IFERROR(__xludf.DUMMYFUNCTION("""COMPUTED_VALUE"""),"➖")</f>
        <v>➖</v>
      </c>
      <c r="M331" s="282" t="str">
        <f>IFERROR(__xludf.DUMMYFUNCTION("""COMPUTED_VALUE"""),"➖")</f>
        <v>➖</v>
      </c>
      <c r="N331" s="282" t="str">
        <f>IFERROR(__xludf.DUMMYFUNCTION("""COMPUTED_VALUE"""),"➖")</f>
        <v>➖</v>
      </c>
      <c r="O331" s="282" t="str">
        <f>IFERROR(__xludf.DUMMYFUNCTION("""COMPUTED_VALUE"""),"➖")</f>
        <v>➖</v>
      </c>
      <c r="P331" s="282" t="str">
        <f>IFERROR(__xludf.DUMMYFUNCTION("""COMPUTED_VALUE"""),"➖")</f>
        <v>➖</v>
      </c>
      <c r="Q331" s="282" t="str">
        <f>IFERROR(__xludf.DUMMYFUNCTION("""COMPUTED_VALUE"""),"➖")</f>
        <v>➖</v>
      </c>
      <c r="R331" s="283" t="str">
        <f>IFERROR(__xludf.DUMMYFUNCTION("""COMPUTED_VALUE"""),"   ➖")</f>
        <v>➖</v>
      </c>
      <c r="S331" s="284"/>
      <c r="T331" s="285" t="str">
        <f>IFERROR(__xludf.DUMMYFUNCTION("""COMPUTED_VALUE"""),"➖")</f>
        <v>➖</v>
      </c>
      <c r="U331" s="285" t="str">
        <f>IFERROR(__xludf.DUMMYFUNCTION("""COMPUTED_VALUE"""),"➖")</f>
        <v>➖</v>
      </c>
      <c r="V331" s="259"/>
      <c r="W331" s="286"/>
      <c r="X331" s="286"/>
      <c r="Y331" s="286"/>
    </row>
    <row r="332">
      <c r="A332" s="28"/>
      <c r="B332" s="132"/>
      <c r="C332" s="28"/>
      <c r="D332" s="260" t="str">
        <f>IFERROR(__xludf.DUMMYFUNCTION("""COMPUTED_VALUE"""),"   E")</f>
        <v>E</v>
      </c>
      <c r="E332" s="287" t="str">
        <f>IFERROR(__xludf.DUMMYFUNCTION("""COMPUTED_VALUE"""),"SNW UNA")</f>
        <v>SNW UNA</v>
      </c>
      <c r="F332" s="270" t="str">
        <f>IFERROR(__xludf.DUMMYFUNCTION("""COMPUTED_VALUE"""),"OA")</f>
        <v>OA</v>
      </c>
      <c r="G332" s="231" t="str">
        <f>IFERROR(__xludf.DUMMYFUNCTION("""COMPUTED_VALUE"""),"➖")</f>
        <v>➖</v>
      </c>
      <c r="H332" s="231" t="str">
        <f>IFERROR(__xludf.DUMMYFUNCTION("""COMPUTED_VALUE"""),"➖")</f>
        <v>➖</v>
      </c>
      <c r="I332" s="231" t="str">
        <f>IFERROR(__xludf.DUMMYFUNCTION("""COMPUTED_VALUE"""),"➖")</f>
        <v>➖</v>
      </c>
      <c r="J332" s="231" t="str">
        <f>IFERROR(__xludf.DUMMYFUNCTION("""COMPUTED_VALUE"""),"➖")</f>
        <v>➖</v>
      </c>
      <c r="K332" s="288" t="str">
        <f>IFERROR(__xludf.DUMMYFUNCTION("""COMPUTED_VALUE"""),"➖")</f>
        <v>➖</v>
      </c>
      <c r="L332" s="288" t="str">
        <f>IFERROR(__xludf.DUMMYFUNCTION("""COMPUTED_VALUE"""),"➖")</f>
        <v>➖</v>
      </c>
      <c r="M332" s="288" t="str">
        <f>IFERROR(__xludf.DUMMYFUNCTION("""COMPUTED_VALUE"""),"➖")</f>
        <v>➖</v>
      </c>
      <c r="N332" s="288" t="str">
        <f>IFERROR(__xludf.DUMMYFUNCTION("""COMPUTED_VALUE"""),"➖")</f>
        <v>➖</v>
      </c>
      <c r="O332" s="288" t="str">
        <f>IFERROR(__xludf.DUMMYFUNCTION("""COMPUTED_VALUE"""),"➖")</f>
        <v>➖</v>
      </c>
      <c r="P332" s="288" t="str">
        <f>IFERROR(__xludf.DUMMYFUNCTION("""COMPUTED_VALUE"""),"➖")</f>
        <v>➖</v>
      </c>
      <c r="Q332" s="288" t="str">
        <f>IFERROR(__xludf.DUMMYFUNCTION("""COMPUTED_VALUE"""),"➖")</f>
        <v>➖</v>
      </c>
      <c r="R332" s="257" t="str">
        <f>IFERROR(__xludf.DUMMYFUNCTION("""COMPUTED_VALUE"""),"   ➖")</f>
        <v>➖</v>
      </c>
      <c r="S332" s="258"/>
      <c r="T332" s="255" t="str">
        <f>IFERROR(__xludf.DUMMYFUNCTION("""COMPUTED_VALUE"""),"➖")</f>
        <v>➖</v>
      </c>
      <c r="U332" s="255" t="str">
        <f>IFERROR(__xludf.DUMMYFUNCTION("""COMPUTED_VALUE"""),"✅")</f>
        <v>✅</v>
      </c>
      <c r="V332" s="259"/>
      <c r="W332" s="286"/>
      <c r="X332" s="286"/>
      <c r="Y332" s="286"/>
    </row>
    <row r="333">
      <c r="A333" s="28"/>
      <c r="B333" s="128"/>
      <c r="C333" s="28"/>
      <c r="D333" s="250" t="str">
        <f>IFERROR(__xludf.DUMMYFUNCTION("""COMPUTED_VALUE"""),"   R")</f>
        <v>R</v>
      </c>
      <c r="E333" s="280" t="str">
        <f>IFERROR(__xludf.DUMMYFUNCTION("""COMPUTED_VALUE"""),"SNW UHURA")</f>
        <v>SNW UHURA</v>
      </c>
      <c r="F333" s="271" t="str">
        <f>IFERROR(__xludf.DUMMYFUNCTION("""COMPUTED_VALUE"""),"CM")</f>
        <v>CM</v>
      </c>
      <c r="G333" s="281" t="str">
        <f>IFERROR(__xludf.DUMMYFUNCTION("""COMPUTED_VALUE"""),"➖")</f>
        <v>➖</v>
      </c>
      <c r="H333" s="281" t="str">
        <f>IFERROR(__xludf.DUMMYFUNCTION("""COMPUTED_VALUE"""),"➖")</f>
        <v>➖</v>
      </c>
      <c r="I333" s="281" t="str">
        <f>IFERROR(__xludf.DUMMYFUNCTION("""COMPUTED_VALUE"""),"✅")</f>
        <v>✅</v>
      </c>
      <c r="J333" s="281" t="str">
        <f>IFERROR(__xludf.DUMMYFUNCTION("""COMPUTED_VALUE"""),"✅")</f>
        <v>✅</v>
      </c>
      <c r="K333" s="282" t="str">
        <f>IFERROR(__xludf.DUMMYFUNCTION("""COMPUTED_VALUE"""),"✅")</f>
        <v>✅</v>
      </c>
      <c r="L333" s="282" t="str">
        <f>IFERROR(__xludf.DUMMYFUNCTION("""COMPUTED_VALUE"""),"➖")</f>
        <v>➖</v>
      </c>
      <c r="M333" s="282" t="str">
        <f>IFERROR(__xludf.DUMMYFUNCTION("""COMPUTED_VALUE"""),"➖")</f>
        <v>➖</v>
      </c>
      <c r="N333" s="282" t="str">
        <f>IFERROR(__xludf.DUMMYFUNCTION("""COMPUTED_VALUE"""),"➖")</f>
        <v>➖</v>
      </c>
      <c r="O333" s="282" t="str">
        <f>IFERROR(__xludf.DUMMYFUNCTION("""COMPUTED_VALUE"""),"➖")</f>
        <v>➖</v>
      </c>
      <c r="P333" s="282" t="str">
        <f>IFERROR(__xludf.DUMMYFUNCTION("""COMPUTED_VALUE"""),"➖")</f>
        <v>➖</v>
      </c>
      <c r="Q333" s="282" t="str">
        <f>IFERROR(__xludf.DUMMYFUNCTION("""COMPUTED_VALUE"""),"➖")</f>
        <v>➖</v>
      </c>
      <c r="R333" s="283" t="str">
        <f>IFERROR(__xludf.DUMMYFUNCTION("""COMPUTED_VALUE"""),"   ➖")</f>
        <v>➖</v>
      </c>
      <c r="S333" s="284"/>
      <c r="T333" s="285" t="str">
        <f>IFERROR(__xludf.DUMMYFUNCTION("""COMPUTED_VALUE"""),"➖")</f>
        <v>➖</v>
      </c>
      <c r="U333" s="285" t="str">
        <f>IFERROR(__xludf.DUMMYFUNCTION("""COMPUTED_VALUE"""),"➖")</f>
        <v>➖</v>
      </c>
      <c r="V333" s="259"/>
      <c r="W333" s="286"/>
      <c r="X333" s="286"/>
      <c r="Y333" s="286"/>
    </row>
    <row r="334">
      <c r="A334" s="28"/>
      <c r="B334" s="132"/>
      <c r="C334" s="28"/>
      <c r="D334" s="260" t="str">
        <f>IFERROR(__xludf.DUMMYFUNCTION("""COMPUTED_VALUE"""),"   R")</f>
        <v>R</v>
      </c>
      <c r="E334" s="287" t="str">
        <f>IFERROR(__xludf.DUMMYFUNCTION("""COMPUTED_VALUE"""),"SNW UHURA")</f>
        <v>SNW UHURA</v>
      </c>
      <c r="F334" s="270" t="str">
        <f>IFERROR(__xludf.DUMMYFUNCTION("""COMPUTED_VALUE"""),"OA")</f>
        <v>OA</v>
      </c>
      <c r="G334" s="231" t="str">
        <f>IFERROR(__xludf.DUMMYFUNCTION("""COMPUTED_VALUE"""),"➖")</f>
        <v>➖</v>
      </c>
      <c r="H334" s="231" t="str">
        <f>IFERROR(__xludf.DUMMYFUNCTION("""COMPUTED_VALUE"""),"➖")</f>
        <v>➖</v>
      </c>
      <c r="I334" s="231" t="str">
        <f>IFERROR(__xludf.DUMMYFUNCTION("""COMPUTED_VALUE"""),"✴️")</f>
        <v>✴️</v>
      </c>
      <c r="J334" s="231" t="str">
        <f>IFERROR(__xludf.DUMMYFUNCTION("""COMPUTED_VALUE"""),"✴️")</f>
        <v>✴️</v>
      </c>
      <c r="K334" s="288" t="str">
        <f>IFERROR(__xludf.DUMMYFUNCTION("""COMPUTED_VALUE"""),"✴️")</f>
        <v>✴️</v>
      </c>
      <c r="L334" s="288" t="str">
        <f>IFERROR(__xludf.DUMMYFUNCTION("""COMPUTED_VALUE"""),"➖")</f>
        <v>➖</v>
      </c>
      <c r="M334" s="288" t="str">
        <f>IFERROR(__xludf.DUMMYFUNCTION("""COMPUTED_VALUE"""),"➖")</f>
        <v>➖</v>
      </c>
      <c r="N334" s="288" t="str">
        <f>IFERROR(__xludf.DUMMYFUNCTION("""COMPUTED_VALUE"""),"➖")</f>
        <v>➖</v>
      </c>
      <c r="O334" s="288" t="str">
        <f>IFERROR(__xludf.DUMMYFUNCTION("""COMPUTED_VALUE"""),"➖")</f>
        <v>➖</v>
      </c>
      <c r="P334" s="288" t="str">
        <f>IFERROR(__xludf.DUMMYFUNCTION("""COMPUTED_VALUE"""),"➖")</f>
        <v>➖</v>
      </c>
      <c r="Q334" s="288" t="str">
        <f>IFERROR(__xludf.DUMMYFUNCTION("""COMPUTED_VALUE"""),"➖")</f>
        <v>➖</v>
      </c>
      <c r="R334" s="257" t="str">
        <f>IFERROR(__xludf.DUMMYFUNCTION("""COMPUTED_VALUE"""),"   ➖")</f>
        <v>➖</v>
      </c>
      <c r="S334" s="258" t="str">
        <f>IFERROR(__xludf.DUMMYFUNCTION("""COMPUTED_VALUE"""),"SelfInterceptor, EnemyBattleship")</f>
        <v>SelfInterceptor, EnemyBattleship</v>
      </c>
      <c r="T334" s="255" t="str">
        <f>IFERROR(__xludf.DUMMYFUNCTION("""COMPUTED_VALUE"""),"➖")</f>
        <v>➖</v>
      </c>
      <c r="U334" s="255" t="str">
        <f>IFERROR(__xludf.DUMMYFUNCTION("""COMPUTED_VALUE"""),"➖")</f>
        <v>➖</v>
      </c>
      <c r="V334" s="259"/>
      <c r="W334" s="286"/>
      <c r="X334" s="286"/>
      <c r="Y334" s="286"/>
    </row>
    <row r="335">
      <c r="A335" s="28"/>
      <c r="B335" s="128"/>
      <c r="C335" s="28"/>
      <c r="D335" s="250" t="str">
        <f>IFERROR(__xludf.DUMMYFUNCTION("""COMPUTED_VALUE"""),"   R")</f>
        <v>R</v>
      </c>
      <c r="E335" s="280" t="str">
        <f>IFERROR(__xludf.DUMMYFUNCTION("""COMPUTED_VALUE"""),"SNW ORTEGAS")</f>
        <v>SNW ORTEGAS</v>
      </c>
      <c r="F335" s="271" t="str">
        <f>IFERROR(__xludf.DUMMYFUNCTION("""COMPUTED_VALUE"""),"CM")</f>
        <v>CM</v>
      </c>
      <c r="G335" s="281" t="str">
        <f>IFERROR(__xludf.DUMMYFUNCTION("""COMPUTED_VALUE"""),"➖")</f>
        <v>➖</v>
      </c>
      <c r="H335" s="281" t="str">
        <f>IFERROR(__xludf.DUMMYFUNCTION("""COMPUTED_VALUE"""),"➖")</f>
        <v>➖</v>
      </c>
      <c r="I335" s="281" t="str">
        <f>IFERROR(__xludf.DUMMYFUNCTION("""COMPUTED_VALUE"""),"✅")</f>
        <v>✅</v>
      </c>
      <c r="J335" s="281" t="str">
        <f>IFERROR(__xludf.DUMMYFUNCTION("""COMPUTED_VALUE"""),"✅")</f>
        <v>✅</v>
      </c>
      <c r="K335" s="282" t="str">
        <f>IFERROR(__xludf.DUMMYFUNCTION("""COMPUTED_VALUE"""),"✅")</f>
        <v>✅</v>
      </c>
      <c r="L335" s="282" t="str">
        <f>IFERROR(__xludf.DUMMYFUNCTION("""COMPUTED_VALUE"""),"➖")</f>
        <v>➖</v>
      </c>
      <c r="M335" s="282" t="str">
        <f>IFERROR(__xludf.DUMMYFUNCTION("""COMPUTED_VALUE"""),"➖")</f>
        <v>➖</v>
      </c>
      <c r="N335" s="282" t="str">
        <f>IFERROR(__xludf.DUMMYFUNCTION("""COMPUTED_VALUE"""),"➖")</f>
        <v>➖</v>
      </c>
      <c r="O335" s="282" t="str">
        <f>IFERROR(__xludf.DUMMYFUNCTION("""COMPUTED_VALUE"""),"➖")</f>
        <v>➖</v>
      </c>
      <c r="P335" s="282" t="str">
        <f>IFERROR(__xludf.DUMMYFUNCTION("""COMPUTED_VALUE"""),"➖")</f>
        <v>➖</v>
      </c>
      <c r="Q335" s="282" t="str">
        <f>IFERROR(__xludf.DUMMYFUNCTION("""COMPUTED_VALUE"""),"➖")</f>
        <v>➖</v>
      </c>
      <c r="R335" s="283" t="str">
        <f>IFERROR(__xludf.DUMMYFUNCTION("""COMPUTED_VALUE"""),"   ➖")</f>
        <v>➖</v>
      </c>
      <c r="S335" s="284"/>
      <c r="T335" s="285" t="str">
        <f>IFERROR(__xludf.DUMMYFUNCTION("""COMPUTED_VALUE"""),"➖")</f>
        <v>➖</v>
      </c>
      <c r="U335" s="285" t="str">
        <f>IFERROR(__xludf.DUMMYFUNCTION("""COMPUTED_VALUE"""),"➖")</f>
        <v>➖</v>
      </c>
      <c r="V335" s="259"/>
      <c r="W335" s="286"/>
      <c r="X335" s="286"/>
      <c r="Y335" s="286"/>
    </row>
    <row r="336">
      <c r="A336" s="28"/>
      <c r="B336" s="132"/>
      <c r="C336" s="28"/>
      <c r="D336" s="260" t="str">
        <f>IFERROR(__xludf.DUMMYFUNCTION("""COMPUTED_VALUE"""),"   R")</f>
        <v>R</v>
      </c>
      <c r="E336" s="287" t="str">
        <f>IFERROR(__xludf.DUMMYFUNCTION("""COMPUTED_VALUE"""),"SNW ORTEGAS")</f>
        <v>SNW ORTEGAS</v>
      </c>
      <c r="F336" s="270" t="str">
        <f>IFERROR(__xludf.DUMMYFUNCTION("""COMPUTED_VALUE"""),"OA")</f>
        <v>OA</v>
      </c>
      <c r="G336" s="231" t="str">
        <f>IFERROR(__xludf.DUMMYFUNCTION("""COMPUTED_VALUE"""),"➖")</f>
        <v>➖</v>
      </c>
      <c r="H336" s="231" t="str">
        <f>IFERROR(__xludf.DUMMYFUNCTION("""COMPUTED_VALUE"""),"➖")</f>
        <v>➖</v>
      </c>
      <c r="I336" s="231" t="str">
        <f>IFERROR(__xludf.DUMMYFUNCTION("""COMPUTED_VALUE"""),"✴️")</f>
        <v>✴️</v>
      </c>
      <c r="J336" s="231" t="str">
        <f>IFERROR(__xludf.DUMMYFUNCTION("""COMPUTED_VALUE"""),"✴️")</f>
        <v>✴️</v>
      </c>
      <c r="K336" s="288" t="str">
        <f>IFERROR(__xludf.DUMMYFUNCTION("""COMPUTED_VALUE"""),"✴️")</f>
        <v>✴️</v>
      </c>
      <c r="L336" s="288" t="str">
        <f>IFERROR(__xludf.DUMMYFUNCTION("""COMPUTED_VALUE"""),"➖")</f>
        <v>➖</v>
      </c>
      <c r="M336" s="288" t="str">
        <f>IFERROR(__xludf.DUMMYFUNCTION("""COMPUTED_VALUE"""),"➖")</f>
        <v>➖</v>
      </c>
      <c r="N336" s="288" t="str">
        <f>IFERROR(__xludf.DUMMYFUNCTION("""COMPUTED_VALUE"""),"➖")</f>
        <v>➖</v>
      </c>
      <c r="O336" s="288" t="str">
        <f>IFERROR(__xludf.DUMMYFUNCTION("""COMPUTED_VALUE"""),"➖")</f>
        <v>➖</v>
      </c>
      <c r="P336" s="288" t="str">
        <f>IFERROR(__xludf.DUMMYFUNCTION("""COMPUTED_VALUE"""),"➖")</f>
        <v>➖</v>
      </c>
      <c r="Q336" s="288" t="str">
        <f>IFERROR(__xludf.DUMMYFUNCTION("""COMPUTED_VALUE"""),"➖")</f>
        <v>➖</v>
      </c>
      <c r="R336" s="257" t="str">
        <f>IFERROR(__xludf.DUMMYFUNCTION("""COMPUTED_VALUE"""),"   ➖")</f>
        <v>➖</v>
      </c>
      <c r="S336" s="258" t="str">
        <f>IFERROR(__xludf.DUMMYFUNCTION("""COMPUTED_VALUE"""),"SelfBattleship, EnemyExplorer")</f>
        <v>SelfBattleship, EnemyExplorer</v>
      </c>
      <c r="T336" s="255" t="str">
        <f>IFERROR(__xludf.DUMMYFUNCTION("""COMPUTED_VALUE"""),"➖")</f>
        <v>➖</v>
      </c>
      <c r="U336" s="255" t="str">
        <f>IFERROR(__xludf.DUMMYFUNCTION("""COMPUTED_VALUE"""),"➖")</f>
        <v>➖</v>
      </c>
      <c r="V336" s="259"/>
      <c r="W336" s="286"/>
      <c r="X336" s="286"/>
      <c r="Y336" s="286"/>
    </row>
    <row r="337">
      <c r="A337" s="28"/>
      <c r="B337" s="128"/>
      <c r="C337" s="28"/>
      <c r="D337" s="250" t="str">
        <f>IFERROR(__xludf.DUMMYFUNCTION("""COMPUTED_VALUE"""),"   E")</f>
        <v>E</v>
      </c>
      <c r="E337" s="280" t="str">
        <f>IFERROR(__xludf.DUMMYFUNCTION("""COMPUTED_VALUE"""),"SNW HEMMER")</f>
        <v>SNW HEMMER</v>
      </c>
      <c r="F337" s="271" t="str">
        <f>IFERROR(__xludf.DUMMYFUNCTION("""COMPUTED_VALUE"""),"OA")</f>
        <v>OA</v>
      </c>
      <c r="G337" s="281" t="str">
        <f>IFERROR(__xludf.DUMMYFUNCTION("""COMPUTED_VALUE"""),"➖")</f>
        <v>➖</v>
      </c>
      <c r="H337" s="281" t="str">
        <f>IFERROR(__xludf.DUMMYFUNCTION("""COMPUTED_VALUE"""),"➖")</f>
        <v>➖</v>
      </c>
      <c r="I337" s="281" t="str">
        <f>IFERROR(__xludf.DUMMYFUNCTION("""COMPUTED_VALUE"""),"✴️")</f>
        <v>✴️</v>
      </c>
      <c r="J337" s="281" t="str">
        <f>IFERROR(__xludf.DUMMYFUNCTION("""COMPUTED_VALUE"""),"✴️")</f>
        <v>✴️</v>
      </c>
      <c r="K337" s="282" t="str">
        <f>IFERROR(__xludf.DUMMYFUNCTION("""COMPUTED_VALUE"""),"✴️")</f>
        <v>✴️</v>
      </c>
      <c r="L337" s="282" t="str">
        <f>IFERROR(__xludf.DUMMYFUNCTION("""COMPUTED_VALUE"""),"➖")</f>
        <v>➖</v>
      </c>
      <c r="M337" s="282" t="str">
        <f>IFERROR(__xludf.DUMMYFUNCTION("""COMPUTED_VALUE"""),"➖")</f>
        <v>➖</v>
      </c>
      <c r="N337" s="282" t="str">
        <f>IFERROR(__xludf.DUMMYFUNCTION("""COMPUTED_VALUE"""),"➖")</f>
        <v>➖</v>
      </c>
      <c r="O337" s="282" t="str">
        <f>IFERROR(__xludf.DUMMYFUNCTION("""COMPUTED_VALUE"""),"➖")</f>
        <v>➖</v>
      </c>
      <c r="P337" s="282" t="str">
        <f>IFERROR(__xludf.DUMMYFUNCTION("""COMPUTED_VALUE"""),"➖")</f>
        <v>➖</v>
      </c>
      <c r="Q337" s="282" t="str">
        <f>IFERROR(__xludf.DUMMYFUNCTION("""COMPUTED_VALUE"""),"➖")</f>
        <v>➖</v>
      </c>
      <c r="R337" s="283" t="str">
        <f>IFERROR(__xludf.DUMMYFUNCTION("""COMPUTED_VALUE"""),"   ➖")</f>
        <v>➖</v>
      </c>
      <c r="S337" s="284" t="str">
        <f>IFERROR(__xludf.DUMMYFUNCTION("""COMPUTED_VALUE"""),"EnemySurvey")</f>
        <v>EnemySurvey</v>
      </c>
      <c r="T337" s="285" t="str">
        <f>IFERROR(__xludf.DUMMYFUNCTION("""COMPUTED_VALUE"""),"➖")</f>
        <v>➖</v>
      </c>
      <c r="U337" s="285" t="str">
        <f>IFERROR(__xludf.DUMMYFUNCTION("""COMPUTED_VALUE"""),"➖")</f>
        <v>➖</v>
      </c>
      <c r="V337" s="259"/>
      <c r="W337" s="286"/>
      <c r="X337" s="286"/>
      <c r="Y337" s="286"/>
    </row>
    <row r="338">
      <c r="A338" s="28"/>
      <c r="B338" s="132"/>
      <c r="C338" s="28"/>
      <c r="D338" s="260" t="str">
        <f>IFERROR(__xludf.DUMMYFUNCTION("""COMPUTED_VALUE"""),"   E")</f>
        <v>E</v>
      </c>
      <c r="E338" s="287" t="str">
        <f>IFERROR(__xludf.DUMMYFUNCTION("""COMPUTED_VALUE"""),"SNW HEMMER")</f>
        <v>SNW HEMMER</v>
      </c>
      <c r="F338" s="270" t="str">
        <f>IFERROR(__xludf.DUMMYFUNCTION("""COMPUTED_VALUE"""),"BDA")</f>
        <v>BDA</v>
      </c>
      <c r="G338" s="231" t="str">
        <f>IFERROR(__xludf.DUMMYFUNCTION("""COMPUTED_VALUE"""),"✅")</f>
        <v>✅</v>
      </c>
      <c r="H338" s="231" t="str">
        <f>IFERROR(__xludf.DUMMYFUNCTION("""COMPUTED_VALUE"""),"✅")</f>
        <v>✅</v>
      </c>
      <c r="I338" s="231" t="str">
        <f>IFERROR(__xludf.DUMMYFUNCTION("""COMPUTED_VALUE"""),"✅")</f>
        <v>✅</v>
      </c>
      <c r="J338" s="231" t="str">
        <f>IFERROR(__xludf.DUMMYFUNCTION("""COMPUTED_VALUE"""),"✅")</f>
        <v>✅</v>
      </c>
      <c r="K338" s="288" t="str">
        <f>IFERROR(__xludf.DUMMYFUNCTION("""COMPUTED_VALUE"""),"✅")</f>
        <v>✅</v>
      </c>
      <c r="L338" s="288" t="str">
        <f>IFERROR(__xludf.DUMMYFUNCTION("""COMPUTED_VALUE"""),"✅")</f>
        <v>✅</v>
      </c>
      <c r="M338" s="288" t="str">
        <f>IFERROR(__xludf.DUMMYFUNCTION("""COMPUTED_VALUE"""),"✅")</f>
        <v>✅</v>
      </c>
      <c r="N338" s="288" t="str">
        <f>IFERROR(__xludf.DUMMYFUNCTION("""COMPUTED_VALUE"""),"✅")</f>
        <v>✅</v>
      </c>
      <c r="O338" s="288" t="str">
        <f>IFERROR(__xludf.DUMMYFUNCTION("""COMPUTED_VALUE"""),"✅")</f>
        <v>✅</v>
      </c>
      <c r="P338" s="288" t="str">
        <f>IFERROR(__xludf.DUMMYFUNCTION("""COMPUTED_VALUE"""),"✅")</f>
        <v>✅</v>
      </c>
      <c r="Q338" s="288" t="str">
        <f>IFERROR(__xludf.DUMMYFUNCTION("""COMPUTED_VALUE"""),"✅")</f>
        <v>✅</v>
      </c>
      <c r="R338" s="257" t="str">
        <f>IFERROR(__xludf.DUMMYFUNCTION("""COMPUTED_VALUE"""),"   ✅")</f>
        <v>✅</v>
      </c>
      <c r="S338" s="258"/>
      <c r="T338" s="255" t="str">
        <f>IFERROR(__xludf.DUMMYFUNCTION("""COMPUTED_VALUE"""),"➖")</f>
        <v>➖</v>
      </c>
      <c r="U338" s="255" t="str">
        <f>IFERROR(__xludf.DUMMYFUNCTION("""COMPUTED_VALUE"""),"➖")</f>
        <v>➖</v>
      </c>
      <c r="V338" s="259"/>
      <c r="W338" s="286"/>
      <c r="X338" s="286"/>
      <c r="Y338" s="286"/>
    </row>
    <row r="339">
      <c r="A339" s="28"/>
      <c r="B339" s="128"/>
      <c r="C339" s="28"/>
      <c r="D339" s="250" t="str">
        <f>IFERROR(__xludf.DUMMYFUNCTION("""COMPUTED_VALUE"""),"   E")</f>
        <v>E</v>
      </c>
      <c r="E339" s="280" t="str">
        <f>IFERROR(__xludf.DUMMYFUNCTION("""COMPUTED_VALUE"""),"STRIKE TEAM LA'AN")</f>
        <v>STRIKE TEAM LA'AN</v>
      </c>
      <c r="F339" s="271" t="str">
        <f>IFERROR(__xludf.DUMMYFUNCTION("""COMPUTED_VALUE"""),"CM")</f>
        <v>CM</v>
      </c>
      <c r="G339" s="281" t="str">
        <f>IFERROR(__xludf.DUMMYFUNCTION("""COMPUTED_VALUE"""),"✴️")</f>
        <v>✴️</v>
      </c>
      <c r="H339" s="281" t="str">
        <f>IFERROR(__xludf.DUMMYFUNCTION("""COMPUTED_VALUE"""),"✴️")</f>
        <v>✴️</v>
      </c>
      <c r="I339" s="281" t="str">
        <f>IFERROR(__xludf.DUMMYFUNCTION("""COMPUTED_VALUE"""),"➖")</f>
        <v>➖</v>
      </c>
      <c r="J339" s="281" t="str">
        <f>IFERROR(__xludf.DUMMYFUNCTION("""COMPUTED_VALUE"""),"➖")</f>
        <v>➖</v>
      </c>
      <c r="K339" s="282" t="str">
        <f>IFERROR(__xludf.DUMMYFUNCTION("""COMPUTED_VALUE"""),"➖")</f>
        <v>➖</v>
      </c>
      <c r="L339" s="282" t="str">
        <f>IFERROR(__xludf.DUMMYFUNCTION("""COMPUTED_VALUE"""),"➖")</f>
        <v>➖</v>
      </c>
      <c r="M339" s="282" t="str">
        <f>IFERROR(__xludf.DUMMYFUNCTION("""COMPUTED_VALUE"""),"➖")</f>
        <v>➖</v>
      </c>
      <c r="N339" s="282" t="str">
        <f>IFERROR(__xludf.DUMMYFUNCTION("""COMPUTED_VALUE"""),"➖")</f>
        <v>➖</v>
      </c>
      <c r="O339" s="282" t="str">
        <f>IFERROR(__xludf.DUMMYFUNCTION("""COMPUTED_VALUE"""),"➖")</f>
        <v>➖</v>
      </c>
      <c r="P339" s="282" t="str">
        <f>IFERROR(__xludf.DUMMYFUNCTION("""COMPUTED_VALUE"""),"➖")</f>
        <v>➖</v>
      </c>
      <c r="Q339" s="282" t="str">
        <f>IFERROR(__xludf.DUMMYFUNCTION("""COMPUTED_VALUE"""),"➖")</f>
        <v>➖</v>
      </c>
      <c r="R339" s="283" t="str">
        <f>IFERROR(__xludf.DUMMYFUNCTION("""COMPUTED_VALUE"""),"   ➖")</f>
        <v>➖</v>
      </c>
      <c r="S339" s="284" t="str">
        <f>IFERROR(__xludf.DUMMYFUNCTION("""COMPUTED_VALUE"""),"SelfBattleship, TargetHasBurning")</f>
        <v>SelfBattleship, TargetHasBurning</v>
      </c>
      <c r="T339" s="285" t="str">
        <f>IFERROR(__xludf.DUMMYFUNCTION("""COMPUTED_VALUE"""),"➖")</f>
        <v>➖</v>
      </c>
      <c r="U339" s="285" t="str">
        <f>IFERROR(__xludf.DUMMYFUNCTION("""COMPUTED_VALUE"""),"➖")</f>
        <v>➖</v>
      </c>
      <c r="V339" s="259"/>
      <c r="W339" s="286"/>
      <c r="X339" s="286"/>
      <c r="Y339" s="286"/>
    </row>
    <row r="340">
      <c r="A340" s="28"/>
      <c r="B340" s="132"/>
      <c r="C340" s="28"/>
      <c r="D340" s="260" t="str">
        <f>IFERROR(__xludf.DUMMYFUNCTION("""COMPUTED_VALUE"""),"   E")</f>
        <v>E</v>
      </c>
      <c r="E340" s="287" t="str">
        <f>IFERROR(__xludf.DUMMYFUNCTION("""COMPUTED_VALUE"""),"STRIKE TEAM LA'AN")</f>
        <v>STRIKE TEAM LA'AN</v>
      </c>
      <c r="F340" s="270" t="str">
        <f>IFERROR(__xludf.DUMMYFUNCTION("""COMPUTED_VALUE"""),"OA")</f>
        <v>OA</v>
      </c>
      <c r="G340" s="231" t="str">
        <f>IFERROR(__xludf.DUMMYFUNCTION("""COMPUTED_VALUE"""),"✴️")</f>
        <v>✴️</v>
      </c>
      <c r="H340" s="231" t="str">
        <f>IFERROR(__xludf.DUMMYFUNCTION("""COMPUTED_VALUE"""),"✴️")</f>
        <v>✴️</v>
      </c>
      <c r="I340" s="231" t="str">
        <f>IFERROR(__xludf.DUMMYFUNCTION("""COMPUTED_VALUE"""),"➖")</f>
        <v>➖</v>
      </c>
      <c r="J340" s="231" t="str">
        <f>IFERROR(__xludf.DUMMYFUNCTION("""COMPUTED_VALUE"""),"➖")</f>
        <v>➖</v>
      </c>
      <c r="K340" s="288" t="str">
        <f>IFERROR(__xludf.DUMMYFUNCTION("""COMPUTED_VALUE"""),"➖")</f>
        <v>➖</v>
      </c>
      <c r="L340" s="288" t="str">
        <f>IFERROR(__xludf.DUMMYFUNCTION("""COMPUTED_VALUE"""),"➖")</f>
        <v>➖</v>
      </c>
      <c r="M340" s="288" t="str">
        <f>IFERROR(__xludf.DUMMYFUNCTION("""COMPUTED_VALUE"""),"➖")</f>
        <v>➖</v>
      </c>
      <c r="N340" s="288" t="str">
        <f>IFERROR(__xludf.DUMMYFUNCTION("""COMPUTED_VALUE"""),"➖")</f>
        <v>➖</v>
      </c>
      <c r="O340" s="288" t="str">
        <f>IFERROR(__xludf.DUMMYFUNCTION("""COMPUTED_VALUE"""),"➖")</f>
        <v>➖</v>
      </c>
      <c r="P340" s="288" t="str">
        <f>IFERROR(__xludf.DUMMYFUNCTION("""COMPUTED_VALUE"""),"➖")</f>
        <v>➖</v>
      </c>
      <c r="Q340" s="288" t="str">
        <f>IFERROR(__xludf.DUMMYFUNCTION("""COMPUTED_VALUE"""),"➖")</f>
        <v>➖</v>
      </c>
      <c r="R340" s="257" t="str">
        <f>IFERROR(__xludf.DUMMYFUNCTION("""COMPUTED_VALUE"""),"   ➖")</f>
        <v>➖</v>
      </c>
      <c r="S340" s="258" t="str">
        <f>IFERROR(__xludf.DUMMYFUNCTION("""COMPUTED_VALUE"""),"SelfBattleship")</f>
        <v>SelfBattleship</v>
      </c>
      <c r="T340" s="255" t="str">
        <f>IFERROR(__xludf.DUMMYFUNCTION("""COMPUTED_VALUE"""),"➖")</f>
        <v>➖</v>
      </c>
      <c r="U340" s="255" t="str">
        <f>IFERROR(__xludf.DUMMYFUNCTION("""COMPUTED_VALUE"""),"➖")</f>
        <v>➖</v>
      </c>
      <c r="V340" s="259"/>
      <c r="W340" s="286"/>
      <c r="X340" s="286"/>
      <c r="Y340" s="286"/>
    </row>
    <row r="341">
      <c r="A341" s="28"/>
      <c r="B341" s="128"/>
      <c r="C341" s="28"/>
      <c r="D341" s="250" t="str">
        <f>IFERROR(__xludf.DUMMYFUNCTION("""COMPUTED_VALUE"""),"   R")</f>
        <v>R</v>
      </c>
      <c r="E341" s="280" t="str">
        <f>IFERROR(__xludf.DUMMYFUNCTION("""COMPUTED_VALUE"""),"STRIKE TEAM UNA")</f>
        <v>STRIKE TEAM UNA</v>
      </c>
      <c r="F341" s="271" t="str">
        <f>IFERROR(__xludf.DUMMYFUNCTION("""COMPUTED_VALUE"""),"CM")</f>
        <v>CM</v>
      </c>
      <c r="G341" s="281" t="str">
        <f>IFERROR(__xludf.DUMMYFUNCTION("""COMPUTED_VALUE"""),"✴️")</f>
        <v>✴️</v>
      </c>
      <c r="H341" s="281" t="str">
        <f>IFERROR(__xludf.DUMMYFUNCTION("""COMPUTED_VALUE"""),"✴️")</f>
        <v>✴️</v>
      </c>
      <c r="I341" s="281" t="str">
        <f>IFERROR(__xludf.DUMMYFUNCTION("""COMPUTED_VALUE"""),"➖")</f>
        <v>➖</v>
      </c>
      <c r="J341" s="281" t="str">
        <f>IFERROR(__xludf.DUMMYFUNCTION("""COMPUTED_VALUE"""),"➖")</f>
        <v>➖</v>
      </c>
      <c r="K341" s="282" t="str">
        <f>IFERROR(__xludf.DUMMYFUNCTION("""COMPUTED_VALUE"""),"➖")</f>
        <v>➖</v>
      </c>
      <c r="L341" s="282" t="str">
        <f>IFERROR(__xludf.DUMMYFUNCTION("""COMPUTED_VALUE"""),"➖")</f>
        <v>➖</v>
      </c>
      <c r="M341" s="282" t="str">
        <f>IFERROR(__xludf.DUMMYFUNCTION("""COMPUTED_VALUE"""),"➖")</f>
        <v>➖</v>
      </c>
      <c r="N341" s="282" t="str">
        <f>IFERROR(__xludf.DUMMYFUNCTION("""COMPUTED_VALUE"""),"➖")</f>
        <v>➖</v>
      </c>
      <c r="O341" s="282" t="str">
        <f>IFERROR(__xludf.DUMMYFUNCTION("""COMPUTED_VALUE"""),"➖")</f>
        <v>➖</v>
      </c>
      <c r="P341" s="282" t="str">
        <f>IFERROR(__xludf.DUMMYFUNCTION("""COMPUTED_VALUE"""),"➖")</f>
        <v>➖</v>
      </c>
      <c r="Q341" s="282" t="str">
        <f>IFERROR(__xludf.DUMMYFUNCTION("""COMPUTED_VALUE"""),"➖")</f>
        <v>➖</v>
      </c>
      <c r="R341" s="283" t="str">
        <f>IFERROR(__xludf.DUMMYFUNCTION("""COMPUTED_VALUE"""),"   ➖")</f>
        <v>➖</v>
      </c>
      <c r="S341" s="284" t="str">
        <f>IFERROR(__xludf.DUMMYFUNCTION("""COMPUTED_VALUE"""),"EnemyExplorer")</f>
        <v>EnemyExplorer</v>
      </c>
      <c r="T341" s="285" t="str">
        <f>IFERROR(__xludf.DUMMYFUNCTION("""COMPUTED_VALUE"""),"➖")</f>
        <v>➖</v>
      </c>
      <c r="U341" s="285" t="str">
        <f>IFERROR(__xludf.DUMMYFUNCTION("""COMPUTED_VALUE"""),"➖")</f>
        <v>➖</v>
      </c>
      <c r="V341" s="259"/>
      <c r="W341" s="286"/>
      <c r="X341" s="286"/>
      <c r="Y341" s="286"/>
    </row>
    <row r="342">
      <c r="A342" s="28"/>
      <c r="B342" s="132"/>
      <c r="C342" s="28"/>
      <c r="D342" s="260" t="str">
        <f>IFERROR(__xludf.DUMMYFUNCTION("""COMPUTED_VALUE"""),"   R")</f>
        <v>R</v>
      </c>
      <c r="E342" s="287" t="str">
        <f>IFERROR(__xludf.DUMMYFUNCTION("""COMPUTED_VALUE"""),"STRIKE TEAM UNA")</f>
        <v>STRIKE TEAM UNA</v>
      </c>
      <c r="F342" s="270" t="str">
        <f>IFERROR(__xludf.DUMMYFUNCTION("""COMPUTED_VALUE"""),"OA")</f>
        <v>OA</v>
      </c>
      <c r="G342" s="231" t="str">
        <f>IFERROR(__xludf.DUMMYFUNCTION("""COMPUTED_VALUE"""),"✴️")</f>
        <v>✴️</v>
      </c>
      <c r="H342" s="231" t="str">
        <f>IFERROR(__xludf.DUMMYFUNCTION("""COMPUTED_VALUE"""),"✴️")</f>
        <v>✴️</v>
      </c>
      <c r="I342" s="231" t="str">
        <f>IFERROR(__xludf.DUMMYFUNCTION("""COMPUTED_VALUE"""),"➖")</f>
        <v>➖</v>
      </c>
      <c r="J342" s="231" t="str">
        <f>IFERROR(__xludf.DUMMYFUNCTION("""COMPUTED_VALUE"""),"➖")</f>
        <v>➖</v>
      </c>
      <c r="K342" s="288" t="str">
        <f>IFERROR(__xludf.DUMMYFUNCTION("""COMPUTED_VALUE"""),"➖")</f>
        <v>➖</v>
      </c>
      <c r="L342" s="288" t="str">
        <f>IFERROR(__xludf.DUMMYFUNCTION("""COMPUTED_VALUE"""),"➖")</f>
        <v>➖</v>
      </c>
      <c r="M342" s="288" t="str">
        <f>IFERROR(__xludf.DUMMYFUNCTION("""COMPUTED_VALUE"""),"➖")</f>
        <v>➖</v>
      </c>
      <c r="N342" s="288" t="str">
        <f>IFERROR(__xludf.DUMMYFUNCTION("""COMPUTED_VALUE"""),"➖")</f>
        <v>➖</v>
      </c>
      <c r="O342" s="288" t="str">
        <f>IFERROR(__xludf.DUMMYFUNCTION("""COMPUTED_VALUE"""),"➖")</f>
        <v>➖</v>
      </c>
      <c r="P342" s="288" t="str">
        <f>IFERROR(__xludf.DUMMYFUNCTION("""COMPUTED_VALUE"""),"➖")</f>
        <v>➖</v>
      </c>
      <c r="Q342" s="288" t="str">
        <f>IFERROR(__xludf.DUMMYFUNCTION("""COMPUTED_VALUE"""),"➖")</f>
        <v>➖</v>
      </c>
      <c r="R342" s="257" t="str">
        <f>IFERROR(__xludf.DUMMYFUNCTION("""COMPUTED_VALUE"""),"   ➖")</f>
        <v>➖</v>
      </c>
      <c r="S342" s="258" t="str">
        <f>IFERROR(__xludf.DUMMYFUNCTION("""COMPUTED_VALUE"""),"SelfBattleship")</f>
        <v>SelfBattleship</v>
      </c>
      <c r="T342" s="255" t="str">
        <f>IFERROR(__xludf.DUMMYFUNCTION("""COMPUTED_VALUE"""),"➖")</f>
        <v>➖</v>
      </c>
      <c r="U342" s="255" t="str">
        <f>IFERROR(__xludf.DUMMYFUNCTION("""COMPUTED_VALUE"""),"➖")</f>
        <v>➖</v>
      </c>
      <c r="V342" s="259"/>
      <c r="W342" s="286"/>
      <c r="X342" s="286"/>
      <c r="Y342" s="286"/>
    </row>
    <row r="343">
      <c r="A343" s="28"/>
      <c r="B343" s="128"/>
      <c r="C343" s="28"/>
      <c r="D343" s="250" t="str">
        <f>IFERROR(__xludf.DUMMYFUNCTION("""COMPUTED_VALUE"""),"   R")</f>
        <v>R</v>
      </c>
      <c r="E343" s="280" t="str">
        <f>IFERROR(__xludf.DUMMYFUNCTION("""COMPUTED_VALUE"""),"STRIKE TEAM ORTEGAS")</f>
        <v>STRIKE TEAM ORTEGAS</v>
      </c>
      <c r="F343" s="271" t="str">
        <f>IFERROR(__xludf.DUMMYFUNCTION("""COMPUTED_VALUE"""),"CM")</f>
        <v>CM</v>
      </c>
      <c r="G343" s="281" t="str">
        <f>IFERROR(__xludf.DUMMYFUNCTION("""COMPUTED_VALUE"""),"✴️")</f>
        <v>✴️</v>
      </c>
      <c r="H343" s="281" t="str">
        <f>IFERROR(__xludf.DUMMYFUNCTION("""COMPUTED_VALUE"""),"✴️")</f>
        <v>✴️</v>
      </c>
      <c r="I343" s="281" t="str">
        <f>IFERROR(__xludf.DUMMYFUNCTION("""COMPUTED_VALUE"""),"➖")</f>
        <v>➖</v>
      </c>
      <c r="J343" s="281" t="str">
        <f>IFERROR(__xludf.DUMMYFUNCTION("""COMPUTED_VALUE"""),"➖")</f>
        <v>➖</v>
      </c>
      <c r="K343" s="282" t="str">
        <f>IFERROR(__xludf.DUMMYFUNCTION("""COMPUTED_VALUE"""),"➖")</f>
        <v>➖</v>
      </c>
      <c r="L343" s="282" t="str">
        <f>IFERROR(__xludf.DUMMYFUNCTION("""COMPUTED_VALUE"""),"➖")</f>
        <v>➖</v>
      </c>
      <c r="M343" s="282" t="str">
        <f>IFERROR(__xludf.DUMMYFUNCTION("""COMPUTED_VALUE"""),"➖")</f>
        <v>➖</v>
      </c>
      <c r="N343" s="282" t="str">
        <f>IFERROR(__xludf.DUMMYFUNCTION("""COMPUTED_VALUE"""),"➖")</f>
        <v>➖</v>
      </c>
      <c r="O343" s="282" t="str">
        <f>IFERROR(__xludf.DUMMYFUNCTION("""COMPUTED_VALUE"""),"➖")</f>
        <v>➖</v>
      </c>
      <c r="P343" s="282" t="str">
        <f>IFERROR(__xludf.DUMMYFUNCTION("""COMPUTED_VALUE"""),"➖")</f>
        <v>➖</v>
      </c>
      <c r="Q343" s="282" t="str">
        <f>IFERROR(__xludf.DUMMYFUNCTION("""COMPUTED_VALUE"""),"➖")</f>
        <v>➖</v>
      </c>
      <c r="R343" s="283" t="str">
        <f>IFERROR(__xludf.DUMMYFUNCTION("""COMPUTED_VALUE"""),"   ➖")</f>
        <v>➖</v>
      </c>
      <c r="S343" s="284" t="str">
        <f>IFERROR(__xludf.DUMMYFUNCTION("""COMPUTED_VALUE"""),"EnemyExplorer")</f>
        <v>EnemyExplorer</v>
      </c>
      <c r="T343" s="285" t="str">
        <f>IFERROR(__xludf.DUMMYFUNCTION("""COMPUTED_VALUE"""),"➖")</f>
        <v>➖</v>
      </c>
      <c r="U343" s="285" t="str">
        <f>IFERROR(__xludf.DUMMYFUNCTION("""COMPUTED_VALUE"""),"➖")</f>
        <v>➖</v>
      </c>
      <c r="V343" s="259"/>
      <c r="W343" s="286"/>
      <c r="X343" s="286"/>
      <c r="Y343" s="286"/>
    </row>
    <row r="344">
      <c r="A344" s="28"/>
      <c r="B344" s="132"/>
      <c r="C344" s="28"/>
      <c r="D344" s="260" t="str">
        <f>IFERROR(__xludf.DUMMYFUNCTION("""COMPUTED_VALUE"""),"   R")</f>
        <v>R</v>
      </c>
      <c r="E344" s="287" t="str">
        <f>IFERROR(__xludf.DUMMYFUNCTION("""COMPUTED_VALUE"""),"STRIKE TEAM ORTEGAS")</f>
        <v>STRIKE TEAM ORTEGAS</v>
      </c>
      <c r="F344" s="270" t="str">
        <f>IFERROR(__xludf.DUMMYFUNCTION("""COMPUTED_VALUE"""),"OA")</f>
        <v>OA</v>
      </c>
      <c r="G344" s="231" t="str">
        <f>IFERROR(__xludf.DUMMYFUNCTION("""COMPUTED_VALUE"""),"✴️")</f>
        <v>✴️</v>
      </c>
      <c r="H344" s="231" t="str">
        <f>IFERROR(__xludf.DUMMYFUNCTION("""COMPUTED_VALUE"""),"✴️")</f>
        <v>✴️</v>
      </c>
      <c r="I344" s="231" t="str">
        <f>IFERROR(__xludf.DUMMYFUNCTION("""COMPUTED_VALUE"""),"➖")</f>
        <v>➖</v>
      </c>
      <c r="J344" s="231" t="str">
        <f>IFERROR(__xludf.DUMMYFUNCTION("""COMPUTED_VALUE"""),"➖")</f>
        <v>➖</v>
      </c>
      <c r="K344" s="288" t="str">
        <f>IFERROR(__xludf.DUMMYFUNCTION("""COMPUTED_VALUE"""),"➖")</f>
        <v>➖</v>
      </c>
      <c r="L344" s="288" t="str">
        <f>IFERROR(__xludf.DUMMYFUNCTION("""COMPUTED_VALUE"""),"➖")</f>
        <v>➖</v>
      </c>
      <c r="M344" s="288" t="str">
        <f>IFERROR(__xludf.DUMMYFUNCTION("""COMPUTED_VALUE"""),"➖")</f>
        <v>➖</v>
      </c>
      <c r="N344" s="288" t="str">
        <f>IFERROR(__xludf.DUMMYFUNCTION("""COMPUTED_VALUE"""),"➖")</f>
        <v>➖</v>
      </c>
      <c r="O344" s="288" t="str">
        <f>IFERROR(__xludf.DUMMYFUNCTION("""COMPUTED_VALUE"""),"➖")</f>
        <v>➖</v>
      </c>
      <c r="P344" s="288" t="str">
        <f>IFERROR(__xludf.DUMMYFUNCTION("""COMPUTED_VALUE"""),"➖")</f>
        <v>➖</v>
      </c>
      <c r="Q344" s="288" t="str">
        <f>IFERROR(__xludf.DUMMYFUNCTION("""COMPUTED_VALUE"""),"➖")</f>
        <v>➖</v>
      </c>
      <c r="R344" s="257" t="str">
        <f>IFERROR(__xludf.DUMMYFUNCTION("""COMPUTED_VALUE"""),"   ➖")</f>
        <v>➖</v>
      </c>
      <c r="S344" s="258" t="str">
        <f>IFERROR(__xludf.DUMMYFUNCTION("""COMPUTED_VALUE"""),"SelfBattleship")</f>
        <v>SelfBattleship</v>
      </c>
      <c r="T344" s="255" t="str">
        <f>IFERROR(__xludf.DUMMYFUNCTION("""COMPUTED_VALUE"""),"➖")</f>
        <v>➖</v>
      </c>
      <c r="U344" s="255" t="str">
        <f>IFERROR(__xludf.DUMMYFUNCTION("""COMPUTED_VALUE"""),"➖")</f>
        <v>➖</v>
      </c>
      <c r="V344" s="259"/>
      <c r="W344" s="286"/>
      <c r="X344" s="286"/>
      <c r="Y344" s="286"/>
    </row>
    <row r="345">
      <c r="A345" s="28"/>
      <c r="B345" s="128"/>
      <c r="C345" s="28"/>
      <c r="D345" s="250" t="str">
        <f>IFERROR(__xludf.DUMMYFUNCTION("""COMPUTED_VALUE"""),"   E")</f>
        <v>E</v>
      </c>
      <c r="E345" s="280" t="str">
        <f>IFERROR(__xludf.DUMMYFUNCTION("""COMPUTED_VALUE"""),"MAVERY")</f>
        <v>MAVERY</v>
      </c>
      <c r="F345" s="271" t="str">
        <f>IFERROR(__xludf.DUMMYFUNCTION("""COMPUTED_VALUE"""),"CM")</f>
        <v>CM</v>
      </c>
      <c r="G345" s="281" t="str">
        <f>IFERROR(__xludf.DUMMYFUNCTION("""COMPUTED_VALUE"""),"➖")</f>
        <v>➖</v>
      </c>
      <c r="H345" s="281" t="str">
        <f>IFERROR(__xludf.DUMMYFUNCTION("""COMPUTED_VALUE"""),"➖")</f>
        <v>➖</v>
      </c>
      <c r="I345" s="281" t="str">
        <f>IFERROR(__xludf.DUMMYFUNCTION("""COMPUTED_VALUE"""),"➖")</f>
        <v>➖</v>
      </c>
      <c r="J345" s="281" t="str">
        <f>IFERROR(__xludf.DUMMYFUNCTION("""COMPUTED_VALUE"""),"➖")</f>
        <v>➖</v>
      </c>
      <c r="K345" s="282" t="str">
        <f>IFERROR(__xludf.DUMMYFUNCTION("""COMPUTED_VALUE"""),"➖")</f>
        <v>➖</v>
      </c>
      <c r="L345" s="282" t="str">
        <f>IFERROR(__xludf.DUMMYFUNCTION("""COMPUTED_VALUE"""),"➖")</f>
        <v>➖</v>
      </c>
      <c r="M345" s="282" t="str">
        <f>IFERROR(__xludf.DUMMYFUNCTION("""COMPUTED_VALUE"""),"➖")</f>
        <v>➖</v>
      </c>
      <c r="N345" s="282" t="str">
        <f>IFERROR(__xludf.DUMMYFUNCTION("""COMPUTED_VALUE"""),"➖")</f>
        <v>➖</v>
      </c>
      <c r="O345" s="282" t="str">
        <f>IFERROR(__xludf.DUMMYFUNCTION("""COMPUTED_VALUE"""),"➖")</f>
        <v>➖</v>
      </c>
      <c r="P345" s="282" t="str">
        <f>IFERROR(__xludf.DUMMYFUNCTION("""COMPUTED_VALUE"""),"➖")</f>
        <v>➖</v>
      </c>
      <c r="Q345" s="282" t="str">
        <f>IFERROR(__xludf.DUMMYFUNCTION("""COMPUTED_VALUE"""),"➖")</f>
        <v>➖</v>
      </c>
      <c r="R345" s="283" t="str">
        <f>IFERROR(__xludf.DUMMYFUNCTION("""COMPUTED_VALUE"""),"   ➖")</f>
        <v>➖</v>
      </c>
      <c r="S345" s="284"/>
      <c r="T345" s="285" t="str">
        <f>IFERROR(__xludf.DUMMYFUNCTION("""COMPUTED_VALUE"""),"➖")</f>
        <v>➖</v>
      </c>
      <c r="U345" s="285" t="str">
        <f>IFERROR(__xludf.DUMMYFUNCTION("""COMPUTED_VALUE"""),"✅")</f>
        <v>✅</v>
      </c>
      <c r="V345" s="259"/>
      <c r="W345" s="286"/>
      <c r="X345" s="286"/>
      <c r="Y345" s="286"/>
    </row>
    <row r="346">
      <c r="A346" s="28"/>
      <c r="B346" s="132"/>
      <c r="C346" s="28"/>
      <c r="D346" s="260" t="str">
        <f>IFERROR(__xludf.DUMMYFUNCTION("""COMPUTED_VALUE"""),"   E")</f>
        <v>E</v>
      </c>
      <c r="E346" s="287" t="str">
        <f>IFERROR(__xludf.DUMMYFUNCTION("""COMPUTED_VALUE"""),"MAVERY")</f>
        <v>MAVERY</v>
      </c>
      <c r="F346" s="270" t="str">
        <f>IFERROR(__xludf.DUMMYFUNCTION("""COMPUTED_VALUE"""),"OA")</f>
        <v>OA</v>
      </c>
      <c r="G346" s="231" t="str">
        <f>IFERROR(__xludf.DUMMYFUNCTION("""COMPUTED_VALUE"""),"➖")</f>
        <v>➖</v>
      </c>
      <c r="H346" s="231" t="str">
        <f>IFERROR(__xludf.DUMMYFUNCTION("""COMPUTED_VALUE"""),"➖")</f>
        <v>➖</v>
      </c>
      <c r="I346" s="231" t="str">
        <f>IFERROR(__xludf.DUMMYFUNCTION("""COMPUTED_VALUE"""),"➖")</f>
        <v>➖</v>
      </c>
      <c r="J346" s="231" t="str">
        <f>IFERROR(__xludf.DUMMYFUNCTION("""COMPUTED_VALUE"""),"➖")</f>
        <v>➖</v>
      </c>
      <c r="K346" s="288" t="str">
        <f>IFERROR(__xludf.DUMMYFUNCTION("""COMPUTED_VALUE"""),"➖")</f>
        <v>➖</v>
      </c>
      <c r="L346" s="288" t="str">
        <f>IFERROR(__xludf.DUMMYFUNCTION("""COMPUTED_VALUE"""),"➖")</f>
        <v>➖</v>
      </c>
      <c r="M346" s="288" t="str">
        <f>IFERROR(__xludf.DUMMYFUNCTION("""COMPUTED_VALUE"""),"➖")</f>
        <v>➖</v>
      </c>
      <c r="N346" s="288" t="str">
        <f>IFERROR(__xludf.DUMMYFUNCTION("""COMPUTED_VALUE"""),"➖")</f>
        <v>➖</v>
      </c>
      <c r="O346" s="288" t="str">
        <f>IFERROR(__xludf.DUMMYFUNCTION("""COMPUTED_VALUE"""),"➖")</f>
        <v>➖</v>
      </c>
      <c r="P346" s="288" t="str">
        <f>IFERROR(__xludf.DUMMYFUNCTION("""COMPUTED_VALUE"""),"➖")</f>
        <v>➖</v>
      </c>
      <c r="Q346" s="288" t="str">
        <f>IFERROR(__xludf.DUMMYFUNCTION("""COMPUTED_VALUE"""),"➖")</f>
        <v>➖</v>
      </c>
      <c r="R346" s="257" t="str">
        <f>IFERROR(__xludf.DUMMYFUNCTION("""COMPUTED_VALUE"""),"   ➖")</f>
        <v>➖</v>
      </c>
      <c r="S346" s="258"/>
      <c r="T346" s="255" t="str">
        <f>IFERROR(__xludf.DUMMYFUNCTION("""COMPUTED_VALUE"""),"➖")</f>
        <v>➖</v>
      </c>
      <c r="U346" s="255" t="str">
        <f>IFERROR(__xludf.DUMMYFUNCTION("""COMPUTED_VALUE"""),"✅")</f>
        <v>✅</v>
      </c>
      <c r="V346" s="259"/>
      <c r="W346" s="286"/>
      <c r="X346" s="286"/>
      <c r="Y346" s="286"/>
    </row>
    <row r="347">
      <c r="A347" s="28"/>
      <c r="B347" s="128"/>
      <c r="C347" s="28"/>
      <c r="D347" s="250" t="str">
        <f>IFERROR(__xludf.DUMMYFUNCTION("""COMPUTED_VALUE"""),"   E")</f>
        <v>E</v>
      </c>
      <c r="E347" s="280" t="str">
        <f>IFERROR(__xludf.DUMMYFUNCTION("""COMPUTED_VALUE"""),"GUL DUKAT")</f>
        <v>GUL DUKAT</v>
      </c>
      <c r="F347" s="271" t="str">
        <f>IFERROR(__xludf.DUMMYFUNCTION("""COMPUTED_VALUE"""),"CM")</f>
        <v>CM</v>
      </c>
      <c r="G347" s="281" t="str">
        <f>IFERROR(__xludf.DUMMYFUNCTION("""COMPUTED_VALUE"""),"✴️")</f>
        <v>✴️</v>
      </c>
      <c r="H347" s="281" t="str">
        <f>IFERROR(__xludf.DUMMYFUNCTION("""COMPUTED_VALUE"""),"✴️")</f>
        <v>✴️</v>
      </c>
      <c r="I347" s="281" t="str">
        <f>IFERROR(__xludf.DUMMYFUNCTION("""COMPUTED_VALUE"""),"➖")</f>
        <v>➖</v>
      </c>
      <c r="J347" s="281" t="str">
        <f>IFERROR(__xludf.DUMMYFUNCTION("""COMPUTED_VALUE"""),"➖")</f>
        <v>➖</v>
      </c>
      <c r="K347" s="282" t="str">
        <f>IFERROR(__xludf.DUMMYFUNCTION("""COMPUTED_VALUE"""),"➖")</f>
        <v>➖</v>
      </c>
      <c r="L347" s="282" t="str">
        <f>IFERROR(__xludf.DUMMYFUNCTION("""COMPUTED_VALUE"""),"➖")</f>
        <v>➖</v>
      </c>
      <c r="M347" s="282" t="str">
        <f>IFERROR(__xludf.DUMMYFUNCTION("""COMPUTED_VALUE"""),"➖")</f>
        <v>➖</v>
      </c>
      <c r="N347" s="282" t="str">
        <f>IFERROR(__xludf.DUMMYFUNCTION("""COMPUTED_VALUE"""),"➖")</f>
        <v>➖</v>
      </c>
      <c r="O347" s="282" t="str">
        <f>IFERROR(__xludf.DUMMYFUNCTION("""COMPUTED_VALUE"""),"➖")</f>
        <v>➖</v>
      </c>
      <c r="P347" s="282" t="str">
        <f>IFERROR(__xludf.DUMMYFUNCTION("""COMPUTED_VALUE"""),"➖")</f>
        <v>➖</v>
      </c>
      <c r="Q347" s="282" t="str">
        <f>IFERROR(__xludf.DUMMYFUNCTION("""COMPUTED_VALUE"""),"➖")</f>
        <v>➖</v>
      </c>
      <c r="R347" s="283" t="str">
        <f>IFERROR(__xludf.DUMMYFUNCTION("""COMPUTED_VALUE"""),"   ➖")</f>
        <v>➖</v>
      </c>
      <c r="S347" s="284" t="str">
        <f>IFERROR(__xludf.DUMMYFUNCTION("""COMPUTED_VALUE"""),"SelfInterceptor")</f>
        <v>SelfInterceptor</v>
      </c>
      <c r="T347" s="285" t="str">
        <f>IFERROR(__xludf.DUMMYFUNCTION("""COMPUTED_VALUE"""),"➖")</f>
        <v>➖</v>
      </c>
      <c r="U347" s="285" t="str">
        <f>IFERROR(__xludf.DUMMYFUNCTION("""COMPUTED_VALUE"""),"➖")</f>
        <v>➖</v>
      </c>
      <c r="V347" s="259"/>
      <c r="W347" s="286"/>
      <c r="X347" s="286"/>
      <c r="Y347" s="286"/>
    </row>
    <row r="348">
      <c r="A348" s="28"/>
      <c r="B348" s="132"/>
      <c r="C348" s="28"/>
      <c r="D348" s="260" t="str">
        <f>IFERROR(__xludf.DUMMYFUNCTION("""COMPUTED_VALUE"""),"   E")</f>
        <v>E</v>
      </c>
      <c r="E348" s="287" t="str">
        <f>IFERROR(__xludf.DUMMYFUNCTION("""COMPUTED_VALUE"""),"GUL DUKAT")</f>
        <v>GUL DUKAT</v>
      </c>
      <c r="F348" s="270" t="str">
        <f>IFERROR(__xludf.DUMMYFUNCTION("""COMPUTED_VALUE"""),"OA")</f>
        <v>OA</v>
      </c>
      <c r="G348" s="231" t="str">
        <f>IFERROR(__xludf.DUMMYFUNCTION("""COMPUTED_VALUE"""),"✴️")</f>
        <v>✴️</v>
      </c>
      <c r="H348" s="231" t="str">
        <f>IFERROR(__xludf.DUMMYFUNCTION("""COMPUTED_VALUE"""),"✴️")</f>
        <v>✴️</v>
      </c>
      <c r="I348" s="231" t="str">
        <f>IFERROR(__xludf.DUMMYFUNCTION("""COMPUTED_VALUE"""),"➖")</f>
        <v>➖</v>
      </c>
      <c r="J348" s="231" t="str">
        <f>IFERROR(__xludf.DUMMYFUNCTION("""COMPUTED_VALUE"""),"➖")</f>
        <v>➖</v>
      </c>
      <c r="K348" s="288" t="str">
        <f>IFERROR(__xludf.DUMMYFUNCTION("""COMPUTED_VALUE"""),"➖")</f>
        <v>➖</v>
      </c>
      <c r="L348" s="288" t="str">
        <f>IFERROR(__xludf.DUMMYFUNCTION("""COMPUTED_VALUE"""),"➖")</f>
        <v>➖</v>
      </c>
      <c r="M348" s="288" t="str">
        <f>IFERROR(__xludf.DUMMYFUNCTION("""COMPUTED_VALUE"""),"➖")</f>
        <v>➖</v>
      </c>
      <c r="N348" s="288" t="str">
        <f>IFERROR(__xludf.DUMMYFUNCTION("""COMPUTED_VALUE"""),"➖")</f>
        <v>➖</v>
      </c>
      <c r="O348" s="288" t="str">
        <f>IFERROR(__xludf.DUMMYFUNCTION("""COMPUTED_VALUE"""),"➖")</f>
        <v>➖</v>
      </c>
      <c r="P348" s="288" t="str">
        <f>IFERROR(__xludf.DUMMYFUNCTION("""COMPUTED_VALUE"""),"➖")</f>
        <v>➖</v>
      </c>
      <c r="Q348" s="288" t="str">
        <f>IFERROR(__xludf.DUMMYFUNCTION("""COMPUTED_VALUE"""),"➖")</f>
        <v>➖</v>
      </c>
      <c r="R348" s="257" t="str">
        <f>IFERROR(__xludf.DUMMYFUNCTION("""COMPUTED_VALUE"""),"   ➖")</f>
        <v>➖</v>
      </c>
      <c r="S348" s="258" t="str">
        <f>IFERROR(__xludf.DUMMYFUNCTION("""COMPUTED_VALUE"""),"SelfInterceptor, TargetHasHullBreach")</f>
        <v>SelfInterceptor, TargetHasHullBreach</v>
      </c>
      <c r="T348" s="255" t="str">
        <f>IFERROR(__xludf.DUMMYFUNCTION("""COMPUTED_VALUE"""),"➖")</f>
        <v>➖</v>
      </c>
      <c r="U348" s="255" t="str">
        <f>IFERROR(__xludf.DUMMYFUNCTION("""COMPUTED_VALUE"""),"➖")</f>
        <v>➖</v>
      </c>
      <c r="V348" s="259"/>
      <c r="W348" s="286"/>
      <c r="X348" s="286"/>
      <c r="Y348" s="286"/>
    </row>
    <row r="349">
      <c r="A349" s="28"/>
      <c r="B349" s="128"/>
      <c r="C349" s="28"/>
      <c r="D349" s="250" t="str">
        <f>IFERROR(__xludf.DUMMYFUNCTION("""COMPUTED_VALUE"""),"   R")</f>
        <v>R</v>
      </c>
      <c r="E349" s="280" t="str">
        <f>IFERROR(__xludf.DUMMYFUNCTION("""COMPUTED_VALUE"""),"GARAK")</f>
        <v>GARAK</v>
      </c>
      <c r="F349" s="271" t="str">
        <f>IFERROR(__xludf.DUMMYFUNCTION("""COMPUTED_VALUE"""),"CM")</f>
        <v>CM</v>
      </c>
      <c r="G349" s="281" t="str">
        <f>IFERROR(__xludf.DUMMYFUNCTION("""COMPUTED_VALUE"""),"✴️")</f>
        <v>✴️</v>
      </c>
      <c r="H349" s="281" t="str">
        <f>IFERROR(__xludf.DUMMYFUNCTION("""COMPUTED_VALUE"""),"✴️")</f>
        <v>✴️</v>
      </c>
      <c r="I349" s="281" t="str">
        <f>IFERROR(__xludf.DUMMYFUNCTION("""COMPUTED_VALUE"""),"➖")</f>
        <v>➖</v>
      </c>
      <c r="J349" s="281" t="str">
        <f>IFERROR(__xludf.DUMMYFUNCTION("""COMPUTED_VALUE"""),"➖")</f>
        <v>➖</v>
      </c>
      <c r="K349" s="282" t="str">
        <f>IFERROR(__xludf.DUMMYFUNCTION("""COMPUTED_VALUE"""),"➖")</f>
        <v>➖</v>
      </c>
      <c r="L349" s="282" t="str">
        <f>IFERROR(__xludf.DUMMYFUNCTION("""COMPUTED_VALUE"""),"➖")</f>
        <v>➖</v>
      </c>
      <c r="M349" s="282" t="str">
        <f>IFERROR(__xludf.DUMMYFUNCTION("""COMPUTED_VALUE"""),"➖")</f>
        <v>➖</v>
      </c>
      <c r="N349" s="282" t="str">
        <f>IFERROR(__xludf.DUMMYFUNCTION("""COMPUTED_VALUE"""),"➖")</f>
        <v>➖</v>
      </c>
      <c r="O349" s="282" t="str">
        <f>IFERROR(__xludf.DUMMYFUNCTION("""COMPUTED_VALUE"""),"➖")</f>
        <v>➖</v>
      </c>
      <c r="P349" s="282" t="str">
        <f>IFERROR(__xludf.DUMMYFUNCTION("""COMPUTED_VALUE"""),"➖")</f>
        <v>➖</v>
      </c>
      <c r="Q349" s="282" t="str">
        <f>IFERROR(__xludf.DUMMYFUNCTION("""COMPUTED_VALUE"""),"➖")</f>
        <v>➖</v>
      </c>
      <c r="R349" s="283" t="str">
        <f>IFERROR(__xludf.DUMMYFUNCTION("""COMPUTED_VALUE"""),"   ➖")</f>
        <v>➖</v>
      </c>
      <c r="S349" s="284" t="str">
        <f>IFERROR(__xludf.DUMMYFUNCTION("""COMPUTED_VALUE"""),"ModuleKinetic, SelfInterceptor, TargetHasHullBreach")</f>
        <v>ModuleKinetic, SelfInterceptor, TargetHasHullBreach</v>
      </c>
      <c r="T349" s="285" t="str">
        <f>IFERROR(__xludf.DUMMYFUNCTION("""COMPUTED_VALUE"""),"➖")</f>
        <v>➖</v>
      </c>
      <c r="U349" s="285" t="str">
        <f>IFERROR(__xludf.DUMMYFUNCTION("""COMPUTED_VALUE"""),"➖")</f>
        <v>➖</v>
      </c>
      <c r="V349" s="259"/>
      <c r="W349" s="286"/>
      <c r="X349" s="286"/>
      <c r="Y349" s="286"/>
    </row>
    <row r="350">
      <c r="A350" s="28"/>
      <c r="B350" s="132"/>
      <c r="C350" s="28"/>
      <c r="D350" s="260" t="str">
        <f>IFERROR(__xludf.DUMMYFUNCTION("""COMPUTED_VALUE"""),"   R")</f>
        <v>R</v>
      </c>
      <c r="E350" s="287" t="str">
        <f>IFERROR(__xludf.DUMMYFUNCTION("""COMPUTED_VALUE"""),"GARAK")</f>
        <v>GARAK</v>
      </c>
      <c r="F350" s="270" t="str">
        <f>IFERROR(__xludf.DUMMYFUNCTION("""COMPUTED_VALUE"""),"OA")</f>
        <v>OA</v>
      </c>
      <c r="G350" s="231" t="str">
        <f>IFERROR(__xludf.DUMMYFUNCTION("""COMPUTED_VALUE"""),"✴️")</f>
        <v>✴️</v>
      </c>
      <c r="H350" s="231" t="str">
        <f>IFERROR(__xludf.DUMMYFUNCTION("""COMPUTED_VALUE"""),"✴️")</f>
        <v>✴️</v>
      </c>
      <c r="I350" s="231" t="str">
        <f>IFERROR(__xludf.DUMMYFUNCTION("""COMPUTED_VALUE"""),"➖")</f>
        <v>➖</v>
      </c>
      <c r="J350" s="231" t="str">
        <f>IFERROR(__xludf.DUMMYFUNCTION("""COMPUTED_VALUE"""),"➖")</f>
        <v>➖</v>
      </c>
      <c r="K350" s="288" t="str">
        <f>IFERROR(__xludf.DUMMYFUNCTION("""COMPUTED_VALUE"""),"➖")</f>
        <v>➖</v>
      </c>
      <c r="L350" s="288" t="str">
        <f>IFERROR(__xludf.DUMMYFUNCTION("""COMPUTED_VALUE"""),"➖")</f>
        <v>➖</v>
      </c>
      <c r="M350" s="288" t="str">
        <f>IFERROR(__xludf.DUMMYFUNCTION("""COMPUTED_VALUE"""),"➖")</f>
        <v>➖</v>
      </c>
      <c r="N350" s="288" t="str">
        <f>IFERROR(__xludf.DUMMYFUNCTION("""COMPUTED_VALUE"""),"➖")</f>
        <v>➖</v>
      </c>
      <c r="O350" s="288" t="str">
        <f>IFERROR(__xludf.DUMMYFUNCTION("""COMPUTED_VALUE"""),"➖")</f>
        <v>➖</v>
      </c>
      <c r="P350" s="288" t="str">
        <f>IFERROR(__xludf.DUMMYFUNCTION("""COMPUTED_VALUE"""),"➖")</f>
        <v>➖</v>
      </c>
      <c r="Q350" s="288" t="str">
        <f>IFERROR(__xludf.DUMMYFUNCTION("""COMPUTED_VALUE"""),"➖")</f>
        <v>➖</v>
      </c>
      <c r="R350" s="257" t="str">
        <f>IFERROR(__xludf.DUMMYFUNCTION("""COMPUTED_VALUE"""),"   ➖")</f>
        <v>➖</v>
      </c>
      <c r="S350" s="258" t="str">
        <f>IFERROR(__xludf.DUMMYFUNCTION("""COMPUTED_VALUE"""),"SelfInterceptor, TargetHasHullBreach")</f>
        <v>SelfInterceptor, TargetHasHullBreach</v>
      </c>
      <c r="T350" s="255" t="str">
        <f>IFERROR(__xludf.DUMMYFUNCTION("""COMPUTED_VALUE"""),"➖")</f>
        <v>➖</v>
      </c>
      <c r="U350" s="255" t="str">
        <f>IFERROR(__xludf.DUMMYFUNCTION("""COMPUTED_VALUE"""),"➖")</f>
        <v>➖</v>
      </c>
      <c r="V350" s="259"/>
      <c r="W350" s="286"/>
      <c r="X350" s="286"/>
      <c r="Y350" s="286"/>
    </row>
    <row r="351">
      <c r="A351" s="28"/>
      <c r="B351" s="128"/>
      <c r="C351" s="28"/>
      <c r="D351" s="250" t="str">
        <f>IFERROR(__xludf.DUMMYFUNCTION("""COMPUTED_VALUE"""),"   R")</f>
        <v>R</v>
      </c>
      <c r="E351" s="280" t="str">
        <f>IFERROR(__xludf.DUMMYFUNCTION("""COMPUTED_VALUE"""),"DAMAR")</f>
        <v>DAMAR</v>
      </c>
      <c r="F351" s="271" t="str">
        <f>IFERROR(__xludf.DUMMYFUNCTION("""COMPUTED_VALUE"""),"CM")</f>
        <v>CM</v>
      </c>
      <c r="G351" s="281" t="str">
        <f>IFERROR(__xludf.DUMMYFUNCTION("""COMPUTED_VALUE"""),"✴️")</f>
        <v>✴️</v>
      </c>
      <c r="H351" s="281" t="str">
        <f>IFERROR(__xludf.DUMMYFUNCTION("""COMPUTED_VALUE"""),"✴️")</f>
        <v>✴️</v>
      </c>
      <c r="I351" s="281" t="str">
        <f>IFERROR(__xludf.DUMMYFUNCTION("""COMPUTED_VALUE"""),"➖")</f>
        <v>➖</v>
      </c>
      <c r="J351" s="281" t="str">
        <f>IFERROR(__xludf.DUMMYFUNCTION("""COMPUTED_VALUE"""),"➖")</f>
        <v>➖</v>
      </c>
      <c r="K351" s="282" t="str">
        <f>IFERROR(__xludf.DUMMYFUNCTION("""COMPUTED_VALUE"""),"➖")</f>
        <v>➖</v>
      </c>
      <c r="L351" s="282" t="str">
        <f>IFERROR(__xludf.DUMMYFUNCTION("""COMPUTED_VALUE"""),"➖")</f>
        <v>➖</v>
      </c>
      <c r="M351" s="282" t="str">
        <f>IFERROR(__xludf.DUMMYFUNCTION("""COMPUTED_VALUE"""),"➖")</f>
        <v>➖</v>
      </c>
      <c r="N351" s="282" t="str">
        <f>IFERROR(__xludf.DUMMYFUNCTION("""COMPUTED_VALUE"""),"➖")</f>
        <v>➖</v>
      </c>
      <c r="O351" s="282" t="str">
        <f>IFERROR(__xludf.DUMMYFUNCTION("""COMPUTED_VALUE"""),"➖")</f>
        <v>➖</v>
      </c>
      <c r="P351" s="282" t="str">
        <f>IFERROR(__xludf.DUMMYFUNCTION("""COMPUTED_VALUE"""),"➖")</f>
        <v>➖</v>
      </c>
      <c r="Q351" s="282" t="str">
        <f>IFERROR(__xludf.DUMMYFUNCTION("""COMPUTED_VALUE"""),"➖")</f>
        <v>➖</v>
      </c>
      <c r="R351" s="283" t="str">
        <f>IFERROR(__xludf.DUMMYFUNCTION("""COMPUTED_VALUE"""),"   ➖")</f>
        <v>➖</v>
      </c>
      <c r="S351" s="284" t="str">
        <f>IFERROR(__xludf.DUMMYFUNCTION("""COMPUTED_VALUE"""),"SelfInterceptor, TargetHasHullBreach")</f>
        <v>SelfInterceptor, TargetHasHullBreach</v>
      </c>
      <c r="T351" s="285" t="str">
        <f>IFERROR(__xludf.DUMMYFUNCTION("""COMPUTED_VALUE"""),"➖")</f>
        <v>➖</v>
      </c>
      <c r="U351" s="285" t="str">
        <f>IFERROR(__xludf.DUMMYFUNCTION("""COMPUTED_VALUE"""),"➖")</f>
        <v>➖</v>
      </c>
      <c r="V351" s="259"/>
      <c r="W351" s="286"/>
      <c r="X351" s="286"/>
      <c r="Y351" s="286"/>
    </row>
    <row r="352">
      <c r="A352" s="28"/>
      <c r="B352" s="132"/>
      <c r="C352" s="28"/>
      <c r="D352" s="260" t="str">
        <f>IFERROR(__xludf.DUMMYFUNCTION("""COMPUTED_VALUE"""),"   R")</f>
        <v>R</v>
      </c>
      <c r="E352" s="287" t="str">
        <f>IFERROR(__xludf.DUMMYFUNCTION("""COMPUTED_VALUE"""),"DAMAR")</f>
        <v>DAMAR</v>
      </c>
      <c r="F352" s="270" t="str">
        <f>IFERROR(__xludf.DUMMYFUNCTION("""COMPUTED_VALUE"""),"OA")</f>
        <v>OA</v>
      </c>
      <c r="G352" s="231" t="str">
        <f>IFERROR(__xludf.DUMMYFUNCTION("""COMPUTED_VALUE"""),"✴️")</f>
        <v>✴️</v>
      </c>
      <c r="H352" s="231" t="str">
        <f>IFERROR(__xludf.DUMMYFUNCTION("""COMPUTED_VALUE"""),"✴️")</f>
        <v>✴️</v>
      </c>
      <c r="I352" s="231" t="str">
        <f>IFERROR(__xludf.DUMMYFUNCTION("""COMPUTED_VALUE"""),"➖")</f>
        <v>➖</v>
      </c>
      <c r="J352" s="231" t="str">
        <f>IFERROR(__xludf.DUMMYFUNCTION("""COMPUTED_VALUE"""),"➖")</f>
        <v>➖</v>
      </c>
      <c r="K352" s="288" t="str">
        <f>IFERROR(__xludf.DUMMYFUNCTION("""COMPUTED_VALUE"""),"➖")</f>
        <v>➖</v>
      </c>
      <c r="L352" s="288" t="str">
        <f>IFERROR(__xludf.DUMMYFUNCTION("""COMPUTED_VALUE"""),"➖")</f>
        <v>➖</v>
      </c>
      <c r="M352" s="288" t="str">
        <f>IFERROR(__xludf.DUMMYFUNCTION("""COMPUTED_VALUE"""),"➖")</f>
        <v>➖</v>
      </c>
      <c r="N352" s="288" t="str">
        <f>IFERROR(__xludf.DUMMYFUNCTION("""COMPUTED_VALUE"""),"➖")</f>
        <v>➖</v>
      </c>
      <c r="O352" s="288" t="str">
        <f>IFERROR(__xludf.DUMMYFUNCTION("""COMPUTED_VALUE"""),"➖")</f>
        <v>➖</v>
      </c>
      <c r="P352" s="288" t="str">
        <f>IFERROR(__xludf.DUMMYFUNCTION("""COMPUTED_VALUE"""),"➖")</f>
        <v>➖</v>
      </c>
      <c r="Q352" s="288" t="str">
        <f>IFERROR(__xludf.DUMMYFUNCTION("""COMPUTED_VALUE"""),"➖")</f>
        <v>➖</v>
      </c>
      <c r="R352" s="257" t="str">
        <f>IFERROR(__xludf.DUMMYFUNCTION("""COMPUTED_VALUE"""),"   ➖")</f>
        <v>➖</v>
      </c>
      <c r="S352" s="258" t="str">
        <f>IFERROR(__xludf.DUMMYFUNCTION("""COMPUTED_VALUE"""),"SelfInterceptor, TargetHasHullBreach")</f>
        <v>SelfInterceptor, TargetHasHullBreach</v>
      </c>
      <c r="T352" s="255" t="str">
        <f>IFERROR(__xludf.DUMMYFUNCTION("""COMPUTED_VALUE"""),"➖")</f>
        <v>➖</v>
      </c>
      <c r="U352" s="255" t="str">
        <f>IFERROR(__xludf.DUMMYFUNCTION("""COMPUTED_VALUE"""),"➖")</f>
        <v>➖</v>
      </c>
      <c r="V352" s="259"/>
      <c r="W352" s="286"/>
      <c r="X352" s="286"/>
      <c r="Y352" s="286"/>
    </row>
    <row r="353">
      <c r="A353" s="28"/>
      <c r="B353" s="128"/>
      <c r="C353" s="28"/>
      <c r="D353" s="250" t="str">
        <f>IFERROR(__xludf.DUMMYFUNCTION("""COMPUTED_VALUE"""),"   E")</f>
        <v>E</v>
      </c>
      <c r="E353" s="280" t="str">
        <f>IFERROR(__xludf.DUMMYFUNCTION("""COMPUTED_VALUE"""),"BENJAMIN SISKO")</f>
        <v>BENJAMIN SISKO</v>
      </c>
      <c r="F353" s="271" t="str">
        <f>IFERROR(__xludf.DUMMYFUNCTION("""COMPUTED_VALUE"""),"CM")</f>
        <v>CM</v>
      </c>
      <c r="G353" s="281" t="str">
        <f>IFERROR(__xludf.DUMMYFUNCTION("""COMPUTED_VALUE"""),"➖")</f>
        <v>➖</v>
      </c>
      <c r="H353" s="281" t="str">
        <f>IFERROR(__xludf.DUMMYFUNCTION("""COMPUTED_VALUE"""),"➖")</f>
        <v>➖</v>
      </c>
      <c r="I353" s="281" t="str">
        <f>IFERROR(__xludf.DUMMYFUNCTION("""COMPUTED_VALUE"""),"➖")</f>
        <v>➖</v>
      </c>
      <c r="J353" s="281" t="str">
        <f>IFERROR(__xludf.DUMMYFUNCTION("""COMPUTED_VALUE"""),"➖")</f>
        <v>➖</v>
      </c>
      <c r="K353" s="282" t="str">
        <f>IFERROR(__xludf.DUMMYFUNCTION("""COMPUTED_VALUE"""),"➖")</f>
        <v>➖</v>
      </c>
      <c r="L353" s="282" t="str">
        <f>IFERROR(__xludf.DUMMYFUNCTION("""COMPUTED_VALUE"""),"➖")</f>
        <v>➖</v>
      </c>
      <c r="M353" s="282" t="str">
        <f>IFERROR(__xludf.DUMMYFUNCTION("""COMPUTED_VALUE"""),"✅")</f>
        <v>✅</v>
      </c>
      <c r="N353" s="282" t="str">
        <f>IFERROR(__xludf.DUMMYFUNCTION("""COMPUTED_VALUE"""),"✅")</f>
        <v>✅</v>
      </c>
      <c r="O353" s="282" t="str">
        <f>IFERROR(__xludf.DUMMYFUNCTION("""COMPUTED_VALUE"""),"➖")</f>
        <v>➖</v>
      </c>
      <c r="P353" s="282" t="str">
        <f>IFERROR(__xludf.DUMMYFUNCTION("""COMPUTED_VALUE"""),"➖")</f>
        <v>➖</v>
      </c>
      <c r="Q353" s="282" t="str">
        <f>IFERROR(__xludf.DUMMYFUNCTION("""COMPUTED_VALUE"""),"➖")</f>
        <v>➖</v>
      </c>
      <c r="R353" s="283" t="str">
        <f>IFERROR(__xludf.DUMMYFUNCTION("""COMPUTED_VALUE"""),"   ➖")</f>
        <v>➖</v>
      </c>
      <c r="S353" s="284"/>
      <c r="T353" s="285" t="str">
        <f>IFERROR(__xludf.DUMMYFUNCTION("""COMPUTED_VALUE"""),"➖")</f>
        <v>➖</v>
      </c>
      <c r="U353" s="285" t="str">
        <f>IFERROR(__xludf.DUMMYFUNCTION("""COMPUTED_VALUE"""),"➖")</f>
        <v>➖</v>
      </c>
      <c r="V353" s="259"/>
      <c r="W353" s="286"/>
      <c r="X353" s="286"/>
      <c r="Y353" s="286"/>
    </row>
    <row r="354">
      <c r="A354" s="28"/>
      <c r="B354" s="132"/>
      <c r="C354" s="28"/>
      <c r="D354" s="260" t="str">
        <f>IFERROR(__xludf.DUMMYFUNCTION("""COMPUTED_VALUE"""),"   E")</f>
        <v>E</v>
      </c>
      <c r="E354" s="287" t="str">
        <f>IFERROR(__xludf.DUMMYFUNCTION("""COMPUTED_VALUE"""),"BENJAMIN SISKO")</f>
        <v>BENJAMIN SISKO</v>
      </c>
      <c r="F354" s="270" t="str">
        <f>IFERROR(__xludf.DUMMYFUNCTION("""COMPUTED_VALUE"""),"OA")</f>
        <v>OA</v>
      </c>
      <c r="G354" s="231" t="str">
        <f>IFERROR(__xludf.DUMMYFUNCTION("""COMPUTED_VALUE"""),"➖")</f>
        <v>➖</v>
      </c>
      <c r="H354" s="231" t="str">
        <f>IFERROR(__xludf.DUMMYFUNCTION("""COMPUTED_VALUE"""),"➖")</f>
        <v>➖</v>
      </c>
      <c r="I354" s="231" t="str">
        <f>IFERROR(__xludf.DUMMYFUNCTION("""COMPUTED_VALUE"""),"➖")</f>
        <v>➖</v>
      </c>
      <c r="J354" s="231" t="str">
        <f>IFERROR(__xludf.DUMMYFUNCTION("""COMPUTED_VALUE"""),"➖")</f>
        <v>➖</v>
      </c>
      <c r="K354" s="288" t="str">
        <f>IFERROR(__xludf.DUMMYFUNCTION("""COMPUTED_VALUE"""),"➖")</f>
        <v>➖</v>
      </c>
      <c r="L354" s="288" t="str">
        <f>IFERROR(__xludf.DUMMYFUNCTION("""COMPUTED_VALUE"""),"➖")</f>
        <v>➖</v>
      </c>
      <c r="M354" s="288" t="str">
        <f>IFERROR(__xludf.DUMMYFUNCTION("""COMPUTED_VALUE"""),"✅")</f>
        <v>✅</v>
      </c>
      <c r="N354" s="288" t="str">
        <f>IFERROR(__xludf.DUMMYFUNCTION("""COMPUTED_VALUE"""),"✅")</f>
        <v>✅</v>
      </c>
      <c r="O354" s="288" t="str">
        <f>IFERROR(__xludf.DUMMYFUNCTION("""COMPUTED_VALUE"""),"➖")</f>
        <v>➖</v>
      </c>
      <c r="P354" s="288" t="str">
        <f>IFERROR(__xludf.DUMMYFUNCTION("""COMPUTED_VALUE"""),"➖")</f>
        <v>➖</v>
      </c>
      <c r="Q354" s="288" t="str">
        <f>IFERROR(__xludf.DUMMYFUNCTION("""COMPUTED_VALUE"""),"➖")</f>
        <v>➖</v>
      </c>
      <c r="R354" s="257" t="str">
        <f>IFERROR(__xludf.DUMMYFUNCTION("""COMPUTED_VALUE"""),"   ➖")</f>
        <v>➖</v>
      </c>
      <c r="S354" s="258"/>
      <c r="T354" s="255" t="str">
        <f>IFERROR(__xludf.DUMMYFUNCTION("""COMPUTED_VALUE"""),"➖")</f>
        <v>➖</v>
      </c>
      <c r="U354" s="255" t="str">
        <f>IFERROR(__xludf.DUMMYFUNCTION("""COMPUTED_VALUE"""),"➖")</f>
        <v>➖</v>
      </c>
      <c r="V354" s="259"/>
      <c r="W354" s="286"/>
      <c r="X354" s="286"/>
      <c r="Y354" s="286"/>
    </row>
    <row r="355">
      <c r="A355" s="28"/>
      <c r="B355" s="128"/>
      <c r="C355" s="28"/>
      <c r="D355" s="250" t="str">
        <f>IFERROR(__xludf.DUMMYFUNCTION("""COMPUTED_VALUE"""),"   R")</f>
        <v>R</v>
      </c>
      <c r="E355" s="280" t="str">
        <f>IFERROR(__xludf.DUMMYFUNCTION("""COMPUTED_VALUE"""),"CHANGELING KIRA")</f>
        <v>CHANGELING KIRA</v>
      </c>
      <c r="F355" s="271" t="str">
        <f>IFERROR(__xludf.DUMMYFUNCTION("""COMPUTED_VALUE"""),"CM")</f>
        <v>CM</v>
      </c>
      <c r="G355" s="281" t="str">
        <f>IFERROR(__xludf.DUMMYFUNCTION("""COMPUTED_VALUE"""),"➖")</f>
        <v>➖</v>
      </c>
      <c r="H355" s="281" t="str">
        <f>IFERROR(__xludf.DUMMYFUNCTION("""COMPUTED_VALUE"""),"➖")</f>
        <v>➖</v>
      </c>
      <c r="I355" s="281" t="str">
        <f>IFERROR(__xludf.DUMMYFUNCTION("""COMPUTED_VALUE"""),"➖")</f>
        <v>➖</v>
      </c>
      <c r="J355" s="281" t="str">
        <f>IFERROR(__xludf.DUMMYFUNCTION("""COMPUTED_VALUE"""),"➖")</f>
        <v>➖</v>
      </c>
      <c r="K355" s="282" t="str">
        <f>IFERROR(__xludf.DUMMYFUNCTION("""COMPUTED_VALUE"""),"➖")</f>
        <v>➖</v>
      </c>
      <c r="L355" s="282" t="str">
        <f>IFERROR(__xludf.DUMMYFUNCTION("""COMPUTED_VALUE"""),"➖")</f>
        <v>➖</v>
      </c>
      <c r="M355" s="282" t="str">
        <f>IFERROR(__xludf.DUMMYFUNCTION("""COMPUTED_VALUE"""),"✴️")</f>
        <v>✴️</v>
      </c>
      <c r="N355" s="282" t="str">
        <f>IFERROR(__xludf.DUMMYFUNCTION("""COMPUTED_VALUE"""),"✴️")</f>
        <v>✴️</v>
      </c>
      <c r="O355" s="282" t="str">
        <f>IFERROR(__xludf.DUMMYFUNCTION("""COMPUTED_VALUE"""),"➖")</f>
        <v>➖</v>
      </c>
      <c r="P355" s="282" t="str">
        <f>IFERROR(__xludf.DUMMYFUNCTION("""COMPUTED_VALUE"""),"➖")</f>
        <v>➖</v>
      </c>
      <c r="Q355" s="282" t="str">
        <f>IFERROR(__xludf.DUMMYFUNCTION("""COMPUTED_VALUE"""),"➖")</f>
        <v>➖</v>
      </c>
      <c r="R355" s="283" t="str">
        <f>IFERROR(__xludf.DUMMYFUNCTION("""COMPUTED_VALUE"""),"   ➖")</f>
        <v>➖</v>
      </c>
      <c r="S355" s="284" t="str">
        <f>IFERROR(__xludf.DUMMYFUNCTION("""COMPUTED_VALUE"""),"Cardassian")</f>
        <v>Cardassian</v>
      </c>
      <c r="T355" s="285" t="str">
        <f>IFERROR(__xludf.DUMMYFUNCTION("""COMPUTED_VALUE"""),"➖")</f>
        <v>➖</v>
      </c>
      <c r="U355" s="285" t="str">
        <f>IFERROR(__xludf.DUMMYFUNCTION("""COMPUTED_VALUE"""),"➖")</f>
        <v>➖</v>
      </c>
      <c r="V355" s="259"/>
      <c r="W355" s="286"/>
      <c r="X355" s="286"/>
      <c r="Y355" s="286"/>
    </row>
    <row r="356">
      <c r="A356" s="28"/>
      <c r="B356" s="132"/>
      <c r="C356" s="28"/>
      <c r="D356" s="260" t="str">
        <f>IFERROR(__xludf.DUMMYFUNCTION("""COMPUTED_VALUE"""),"   R")</f>
        <v>R</v>
      </c>
      <c r="E356" s="287" t="str">
        <f>IFERROR(__xludf.DUMMYFUNCTION("""COMPUTED_VALUE"""),"CHANGELING KIRA")</f>
        <v>CHANGELING KIRA</v>
      </c>
      <c r="F356" s="270" t="str">
        <f>IFERROR(__xludf.DUMMYFUNCTION("""COMPUTED_VALUE"""),"OA")</f>
        <v>OA</v>
      </c>
      <c r="G356" s="231" t="str">
        <f>IFERROR(__xludf.DUMMYFUNCTION("""COMPUTED_VALUE"""),"➖")</f>
        <v>➖</v>
      </c>
      <c r="H356" s="231" t="str">
        <f>IFERROR(__xludf.DUMMYFUNCTION("""COMPUTED_VALUE"""),"➖")</f>
        <v>➖</v>
      </c>
      <c r="I356" s="231" t="str">
        <f>IFERROR(__xludf.DUMMYFUNCTION("""COMPUTED_VALUE"""),"➖")</f>
        <v>➖</v>
      </c>
      <c r="J356" s="231" t="str">
        <f>IFERROR(__xludf.DUMMYFUNCTION("""COMPUTED_VALUE"""),"➖")</f>
        <v>➖</v>
      </c>
      <c r="K356" s="288" t="str">
        <f>IFERROR(__xludf.DUMMYFUNCTION("""COMPUTED_VALUE"""),"➖")</f>
        <v>➖</v>
      </c>
      <c r="L356" s="288" t="str">
        <f>IFERROR(__xludf.DUMMYFUNCTION("""COMPUTED_VALUE"""),"➖")</f>
        <v>➖</v>
      </c>
      <c r="M356" s="288" t="str">
        <f>IFERROR(__xludf.DUMMYFUNCTION("""COMPUTED_VALUE"""),"✅")</f>
        <v>✅</v>
      </c>
      <c r="N356" s="288" t="str">
        <f>IFERROR(__xludf.DUMMYFUNCTION("""COMPUTED_VALUE"""),"✅")</f>
        <v>✅</v>
      </c>
      <c r="O356" s="288" t="str">
        <f>IFERROR(__xludf.DUMMYFUNCTION("""COMPUTED_VALUE"""),"➖")</f>
        <v>➖</v>
      </c>
      <c r="P356" s="288" t="str">
        <f>IFERROR(__xludf.DUMMYFUNCTION("""COMPUTED_VALUE"""),"➖")</f>
        <v>➖</v>
      </c>
      <c r="Q356" s="288" t="str">
        <f>IFERROR(__xludf.DUMMYFUNCTION("""COMPUTED_VALUE"""),"➖")</f>
        <v>➖</v>
      </c>
      <c r="R356" s="257" t="str">
        <f>IFERROR(__xludf.DUMMYFUNCTION("""COMPUTED_VALUE"""),"   ➖")</f>
        <v>➖</v>
      </c>
      <c r="S356" s="258"/>
      <c r="T356" s="255" t="str">
        <f>IFERROR(__xludf.DUMMYFUNCTION("""COMPUTED_VALUE"""),"➖")</f>
        <v>➖</v>
      </c>
      <c r="U356" s="255" t="str">
        <f>IFERROR(__xludf.DUMMYFUNCTION("""COMPUTED_VALUE"""),"➖")</f>
        <v>➖</v>
      </c>
      <c r="V356" s="259"/>
      <c r="W356" s="286"/>
      <c r="X356" s="286"/>
      <c r="Y356" s="286"/>
    </row>
    <row r="357">
      <c r="A357" s="28"/>
      <c r="B357" s="128"/>
      <c r="C357" s="28"/>
      <c r="D357" s="250" t="str">
        <f>IFERROR(__xludf.DUMMYFUNCTION("""COMPUTED_VALUE"""),"   R")</f>
        <v>R</v>
      </c>
      <c r="E357" s="280" t="str">
        <f>IFERROR(__xludf.DUMMYFUNCTION("""COMPUTED_VALUE"""),"MILES O'BRIEN")</f>
        <v>MILES O'BRIEN</v>
      </c>
      <c r="F357" s="271" t="str">
        <f>IFERROR(__xludf.DUMMYFUNCTION("""COMPUTED_VALUE"""),"OA")</f>
        <v>OA</v>
      </c>
      <c r="G357" s="281" t="str">
        <f>IFERROR(__xludf.DUMMYFUNCTION("""COMPUTED_VALUE"""),"➖")</f>
        <v>➖</v>
      </c>
      <c r="H357" s="281" t="str">
        <f>IFERROR(__xludf.DUMMYFUNCTION("""COMPUTED_VALUE"""),"➖")</f>
        <v>➖</v>
      </c>
      <c r="I357" s="281" t="str">
        <f>IFERROR(__xludf.DUMMYFUNCTION("""COMPUTED_VALUE"""),"➖")</f>
        <v>➖</v>
      </c>
      <c r="J357" s="281" t="str">
        <f>IFERROR(__xludf.DUMMYFUNCTION("""COMPUTED_VALUE"""),"➖")</f>
        <v>➖</v>
      </c>
      <c r="K357" s="282" t="str">
        <f>IFERROR(__xludf.DUMMYFUNCTION("""COMPUTED_VALUE"""),"➖")</f>
        <v>➖</v>
      </c>
      <c r="L357" s="282" t="str">
        <f>IFERROR(__xludf.DUMMYFUNCTION("""COMPUTED_VALUE"""),"➖")</f>
        <v>➖</v>
      </c>
      <c r="M357" s="282" t="str">
        <f>IFERROR(__xludf.DUMMYFUNCTION("""COMPUTED_VALUE"""),"✅")</f>
        <v>✅</v>
      </c>
      <c r="N357" s="282" t="str">
        <f>IFERROR(__xludf.DUMMYFUNCTION("""COMPUTED_VALUE"""),"✅")</f>
        <v>✅</v>
      </c>
      <c r="O357" s="282" t="str">
        <f>IFERROR(__xludf.DUMMYFUNCTION("""COMPUTED_VALUE"""),"➖")</f>
        <v>➖</v>
      </c>
      <c r="P357" s="282" t="str">
        <f>IFERROR(__xludf.DUMMYFUNCTION("""COMPUTED_VALUE"""),"➖")</f>
        <v>➖</v>
      </c>
      <c r="Q357" s="282" t="str">
        <f>IFERROR(__xludf.DUMMYFUNCTION("""COMPUTED_VALUE"""),"➖")</f>
        <v>➖</v>
      </c>
      <c r="R357" s="283" t="str">
        <f>IFERROR(__xludf.DUMMYFUNCTION("""COMPUTED_VALUE"""),"   ➖")</f>
        <v>➖</v>
      </c>
      <c r="S357" s="284"/>
      <c r="T357" s="285" t="str">
        <f>IFERROR(__xludf.DUMMYFUNCTION("""COMPUTED_VALUE"""),"➖")</f>
        <v>➖</v>
      </c>
      <c r="U357" s="285" t="str">
        <f>IFERROR(__xludf.DUMMYFUNCTION("""COMPUTED_VALUE"""),"➖")</f>
        <v>➖</v>
      </c>
      <c r="V357" s="259"/>
      <c r="W357" s="286"/>
      <c r="X357" s="286"/>
      <c r="Y357" s="286"/>
    </row>
    <row r="358">
      <c r="A358" s="28"/>
      <c r="B358" s="132"/>
      <c r="C358" s="28"/>
      <c r="D358" s="260" t="str">
        <f>IFERROR(__xludf.DUMMYFUNCTION("""COMPUTED_VALUE"""),"   R")</f>
        <v>R</v>
      </c>
      <c r="E358" s="287" t="str">
        <f>IFERROR(__xludf.DUMMYFUNCTION("""COMPUTED_VALUE"""),"MILES O'BRIEN")</f>
        <v>MILES O'BRIEN</v>
      </c>
      <c r="F358" s="270" t="str">
        <f>IFERROR(__xludf.DUMMYFUNCTION("""COMPUTED_VALUE"""),"BDA")</f>
        <v>BDA</v>
      </c>
      <c r="G358" s="231" t="str">
        <f>IFERROR(__xludf.DUMMYFUNCTION("""COMPUTED_VALUE"""),"➖")</f>
        <v>➖</v>
      </c>
      <c r="H358" s="231" t="str">
        <f>IFERROR(__xludf.DUMMYFUNCTION("""COMPUTED_VALUE"""),"➖")</f>
        <v>➖</v>
      </c>
      <c r="I358" s="231" t="str">
        <f>IFERROR(__xludf.DUMMYFUNCTION("""COMPUTED_VALUE"""),"➖")</f>
        <v>➖</v>
      </c>
      <c r="J358" s="231" t="str">
        <f>IFERROR(__xludf.DUMMYFUNCTION("""COMPUTED_VALUE"""),"➖")</f>
        <v>➖</v>
      </c>
      <c r="K358" s="288" t="str">
        <f>IFERROR(__xludf.DUMMYFUNCTION("""COMPUTED_VALUE"""),"➖")</f>
        <v>➖</v>
      </c>
      <c r="L358" s="288" t="str">
        <f>IFERROR(__xludf.DUMMYFUNCTION("""COMPUTED_VALUE"""),"➖")</f>
        <v>➖</v>
      </c>
      <c r="M358" s="288" t="str">
        <f>IFERROR(__xludf.DUMMYFUNCTION("""COMPUTED_VALUE"""),"➖")</f>
        <v>➖</v>
      </c>
      <c r="N358" s="288" t="str">
        <f>IFERROR(__xludf.DUMMYFUNCTION("""COMPUTED_VALUE"""),"➖")</f>
        <v>➖</v>
      </c>
      <c r="O358" s="288" t="str">
        <f>IFERROR(__xludf.DUMMYFUNCTION("""COMPUTED_VALUE"""),"➖")</f>
        <v>➖</v>
      </c>
      <c r="P358" s="288" t="str">
        <f>IFERROR(__xludf.DUMMYFUNCTION("""COMPUTED_VALUE"""),"➖")</f>
        <v>➖</v>
      </c>
      <c r="Q358" s="288" t="str">
        <f>IFERROR(__xludf.DUMMYFUNCTION("""COMPUTED_VALUE"""),"➖")</f>
        <v>➖</v>
      </c>
      <c r="R358" s="257" t="str">
        <f>IFERROR(__xludf.DUMMYFUNCTION("""COMPUTED_VALUE"""),"   ➖")</f>
        <v>➖</v>
      </c>
      <c r="S358" s="258"/>
      <c r="T358" s="255" t="str">
        <f>IFERROR(__xludf.DUMMYFUNCTION("""COMPUTED_VALUE"""),"➖")</f>
        <v>➖</v>
      </c>
      <c r="U358" s="255" t="str">
        <f>IFERROR(__xludf.DUMMYFUNCTION("""COMPUTED_VALUE"""),"✅")</f>
        <v>✅</v>
      </c>
      <c r="V358" s="259"/>
      <c r="W358" s="286"/>
      <c r="X358" s="286"/>
      <c r="Y358" s="286"/>
    </row>
    <row r="359">
      <c r="A359" s="28"/>
      <c r="B359" s="128"/>
      <c r="C359" s="28"/>
      <c r="D359" s="250" t="str">
        <f>IFERROR(__xludf.DUMMYFUNCTION("""COMPUTED_VALUE"""),"   E")</f>
        <v>E</v>
      </c>
      <c r="E359" s="280" t="str">
        <f>IFERROR(__xludf.DUMMYFUNCTION("""COMPUTED_VALUE"""),"WEYOUN")</f>
        <v>WEYOUN</v>
      </c>
      <c r="F359" s="271" t="str">
        <f>IFERROR(__xludf.DUMMYFUNCTION("""COMPUTED_VALUE"""),"CM")</f>
        <v>CM</v>
      </c>
      <c r="G359" s="281" t="str">
        <f>IFERROR(__xludf.DUMMYFUNCTION("""COMPUTED_VALUE"""),"✴️")</f>
        <v>✴️</v>
      </c>
      <c r="H359" s="281" t="str">
        <f>IFERROR(__xludf.DUMMYFUNCTION("""COMPUTED_VALUE"""),"✴️")</f>
        <v>✴️</v>
      </c>
      <c r="I359" s="281" t="str">
        <f>IFERROR(__xludf.DUMMYFUNCTION("""COMPUTED_VALUE"""),"➖")</f>
        <v>➖</v>
      </c>
      <c r="J359" s="281" t="str">
        <f>IFERROR(__xludf.DUMMYFUNCTION("""COMPUTED_VALUE"""),"➖")</f>
        <v>➖</v>
      </c>
      <c r="K359" s="282" t="str">
        <f>IFERROR(__xludf.DUMMYFUNCTION("""COMPUTED_VALUE"""),"➖")</f>
        <v>➖</v>
      </c>
      <c r="L359" s="282" t="str">
        <f>IFERROR(__xludf.DUMMYFUNCTION("""COMPUTED_VALUE"""),"➖")</f>
        <v>➖</v>
      </c>
      <c r="M359" s="282" t="str">
        <f>IFERROR(__xludf.DUMMYFUNCTION("""COMPUTED_VALUE"""),"➖")</f>
        <v>➖</v>
      </c>
      <c r="N359" s="282" t="str">
        <f>IFERROR(__xludf.DUMMYFUNCTION("""COMPUTED_VALUE"""),"➖")</f>
        <v>➖</v>
      </c>
      <c r="O359" s="282" t="str">
        <f>IFERROR(__xludf.DUMMYFUNCTION("""COMPUTED_VALUE"""),"➖")</f>
        <v>➖</v>
      </c>
      <c r="P359" s="282" t="str">
        <f>IFERROR(__xludf.DUMMYFUNCTION("""COMPUTED_VALUE"""),"➖")</f>
        <v>➖</v>
      </c>
      <c r="Q359" s="282" t="str">
        <f>IFERROR(__xludf.DUMMYFUNCTION("""COMPUTED_VALUE"""),"➖")</f>
        <v>➖</v>
      </c>
      <c r="R359" s="283" t="str">
        <f>IFERROR(__xludf.DUMMYFUNCTION("""COMPUTED_VALUE"""),"   ➖")</f>
        <v>➖</v>
      </c>
      <c r="S359" s="284" t="str">
        <f>IFERROR(__xludf.DUMMYFUNCTION("""COMPUTED_VALUE"""),"SelfExplorer")</f>
        <v>SelfExplorer</v>
      </c>
      <c r="T359" s="285" t="str">
        <f>IFERROR(__xludf.DUMMYFUNCTION("""COMPUTED_VALUE"""),"➖")</f>
        <v>➖</v>
      </c>
      <c r="U359" s="285" t="str">
        <f>IFERROR(__xludf.DUMMYFUNCTION("""COMPUTED_VALUE"""),"➖")</f>
        <v>➖</v>
      </c>
      <c r="V359" s="259"/>
      <c r="W359" s="286"/>
      <c r="X359" s="286"/>
      <c r="Y359" s="286"/>
    </row>
    <row r="360">
      <c r="A360" s="28"/>
      <c r="B360" s="132"/>
      <c r="C360" s="28"/>
      <c r="D360" s="260" t="str">
        <f>IFERROR(__xludf.DUMMYFUNCTION("""COMPUTED_VALUE"""),"   E")</f>
        <v>E</v>
      </c>
      <c r="E360" s="287" t="str">
        <f>IFERROR(__xludf.DUMMYFUNCTION("""COMPUTED_VALUE"""),"WEYOUN")</f>
        <v>WEYOUN</v>
      </c>
      <c r="F360" s="270" t="str">
        <f>IFERROR(__xludf.DUMMYFUNCTION("""COMPUTED_VALUE"""),"OA")</f>
        <v>OA</v>
      </c>
      <c r="G360" s="231" t="str">
        <f>IFERROR(__xludf.DUMMYFUNCTION("""COMPUTED_VALUE"""),"✴️")</f>
        <v>✴️</v>
      </c>
      <c r="H360" s="231" t="str">
        <f>IFERROR(__xludf.DUMMYFUNCTION("""COMPUTED_VALUE"""),"✴️")</f>
        <v>✴️</v>
      </c>
      <c r="I360" s="231" t="str">
        <f>IFERROR(__xludf.DUMMYFUNCTION("""COMPUTED_VALUE"""),"➖")</f>
        <v>➖</v>
      </c>
      <c r="J360" s="231" t="str">
        <f>IFERROR(__xludf.DUMMYFUNCTION("""COMPUTED_VALUE"""),"➖")</f>
        <v>➖</v>
      </c>
      <c r="K360" s="288" t="str">
        <f>IFERROR(__xludf.DUMMYFUNCTION("""COMPUTED_VALUE"""),"➖")</f>
        <v>➖</v>
      </c>
      <c r="L360" s="288" t="str">
        <f>IFERROR(__xludf.DUMMYFUNCTION("""COMPUTED_VALUE"""),"➖")</f>
        <v>➖</v>
      </c>
      <c r="M360" s="288" t="str">
        <f>IFERROR(__xludf.DUMMYFUNCTION("""COMPUTED_VALUE"""),"➖")</f>
        <v>➖</v>
      </c>
      <c r="N360" s="288" t="str">
        <f>IFERROR(__xludf.DUMMYFUNCTION("""COMPUTED_VALUE"""),"➖")</f>
        <v>➖</v>
      </c>
      <c r="O360" s="288" t="str">
        <f>IFERROR(__xludf.DUMMYFUNCTION("""COMPUTED_VALUE"""),"➖")</f>
        <v>➖</v>
      </c>
      <c r="P360" s="288" t="str">
        <f>IFERROR(__xludf.DUMMYFUNCTION("""COMPUTED_VALUE"""),"➖")</f>
        <v>➖</v>
      </c>
      <c r="Q360" s="288" t="str">
        <f>IFERROR(__xludf.DUMMYFUNCTION("""COMPUTED_VALUE"""),"➖")</f>
        <v>➖</v>
      </c>
      <c r="R360" s="257" t="str">
        <f>IFERROR(__xludf.DUMMYFUNCTION("""COMPUTED_VALUE"""),"   ➖")</f>
        <v>➖</v>
      </c>
      <c r="S360" s="258" t="str">
        <f>IFERROR(__xludf.DUMMYFUNCTION("""COMPUTED_VALUE"""),"SelfExplorer, SelfHasMorale")</f>
        <v>SelfExplorer, SelfHasMorale</v>
      </c>
      <c r="T360" s="255" t="str">
        <f>IFERROR(__xludf.DUMMYFUNCTION("""COMPUTED_VALUE"""),"➖")</f>
        <v>➖</v>
      </c>
      <c r="U360" s="255" t="str">
        <f>IFERROR(__xludf.DUMMYFUNCTION("""COMPUTED_VALUE"""),"➖")</f>
        <v>➖</v>
      </c>
      <c r="V360" s="259"/>
      <c r="W360" s="286"/>
      <c r="X360" s="286"/>
      <c r="Y360" s="286"/>
    </row>
    <row r="361">
      <c r="A361" s="28"/>
      <c r="B361" s="128"/>
      <c r="C361" s="28"/>
      <c r="D361" s="250" t="str">
        <f>IFERROR(__xludf.DUMMYFUNCTION("""COMPUTED_VALUE"""),"   R")</f>
        <v>R</v>
      </c>
      <c r="E361" s="280" t="str">
        <f>IFERROR(__xludf.DUMMYFUNCTION("""COMPUTED_VALUE"""),"IKAT’IKA")</f>
        <v>IKAT’IKA</v>
      </c>
      <c r="F361" s="271" t="str">
        <f>IFERROR(__xludf.DUMMYFUNCTION("""COMPUTED_VALUE"""),"CM")</f>
        <v>CM</v>
      </c>
      <c r="G361" s="281" t="str">
        <f>IFERROR(__xludf.DUMMYFUNCTION("""COMPUTED_VALUE"""),"✴️")</f>
        <v>✴️</v>
      </c>
      <c r="H361" s="281" t="str">
        <f>IFERROR(__xludf.DUMMYFUNCTION("""COMPUTED_VALUE"""),"✴️")</f>
        <v>✴️</v>
      </c>
      <c r="I361" s="281" t="str">
        <f>IFERROR(__xludf.DUMMYFUNCTION("""COMPUTED_VALUE"""),"➖")</f>
        <v>➖</v>
      </c>
      <c r="J361" s="281" t="str">
        <f>IFERROR(__xludf.DUMMYFUNCTION("""COMPUTED_VALUE"""),"➖")</f>
        <v>➖</v>
      </c>
      <c r="K361" s="282" t="str">
        <f>IFERROR(__xludf.DUMMYFUNCTION("""COMPUTED_VALUE"""),"➖")</f>
        <v>➖</v>
      </c>
      <c r="L361" s="282" t="str">
        <f>IFERROR(__xludf.DUMMYFUNCTION("""COMPUTED_VALUE"""),"➖")</f>
        <v>➖</v>
      </c>
      <c r="M361" s="282" t="str">
        <f>IFERROR(__xludf.DUMMYFUNCTION("""COMPUTED_VALUE"""),"➖")</f>
        <v>➖</v>
      </c>
      <c r="N361" s="282" t="str">
        <f>IFERROR(__xludf.DUMMYFUNCTION("""COMPUTED_VALUE"""),"➖")</f>
        <v>➖</v>
      </c>
      <c r="O361" s="282" t="str">
        <f>IFERROR(__xludf.DUMMYFUNCTION("""COMPUTED_VALUE"""),"➖")</f>
        <v>➖</v>
      </c>
      <c r="P361" s="282" t="str">
        <f>IFERROR(__xludf.DUMMYFUNCTION("""COMPUTED_VALUE"""),"➖")</f>
        <v>➖</v>
      </c>
      <c r="Q361" s="282" t="str">
        <f>IFERROR(__xludf.DUMMYFUNCTION("""COMPUTED_VALUE"""),"➖")</f>
        <v>➖</v>
      </c>
      <c r="R361" s="283" t="str">
        <f>IFERROR(__xludf.DUMMYFUNCTION("""COMPUTED_VALUE"""),"   ➖")</f>
        <v>➖</v>
      </c>
      <c r="S361" s="284" t="str">
        <f>IFERROR(__xludf.DUMMYFUNCTION("""COMPUTED_VALUE"""),"SelfExplorer")</f>
        <v>SelfExplorer</v>
      </c>
      <c r="T361" s="285" t="str">
        <f>IFERROR(__xludf.DUMMYFUNCTION("""COMPUTED_VALUE"""),"➖")</f>
        <v>➖</v>
      </c>
      <c r="U361" s="285" t="str">
        <f>IFERROR(__xludf.DUMMYFUNCTION("""COMPUTED_VALUE"""),"➖")</f>
        <v>➖</v>
      </c>
      <c r="V361" s="259"/>
      <c r="W361" s="286"/>
      <c r="X361" s="286"/>
      <c r="Y361" s="286"/>
    </row>
    <row r="362">
      <c r="A362" s="28"/>
      <c r="B362" s="132"/>
      <c r="C362" s="28"/>
      <c r="D362" s="260" t="str">
        <f>IFERROR(__xludf.DUMMYFUNCTION("""COMPUTED_VALUE"""),"   R")</f>
        <v>R</v>
      </c>
      <c r="E362" s="287" t="str">
        <f>IFERROR(__xludf.DUMMYFUNCTION("""COMPUTED_VALUE"""),"IKAT’IKA")</f>
        <v>IKAT’IKA</v>
      </c>
      <c r="F362" s="270" t="str">
        <f>IFERROR(__xludf.DUMMYFUNCTION("""COMPUTED_VALUE"""),"OA")</f>
        <v>OA</v>
      </c>
      <c r="G362" s="231" t="str">
        <f>IFERROR(__xludf.DUMMYFUNCTION("""COMPUTED_VALUE"""),"✴️")</f>
        <v>✴️</v>
      </c>
      <c r="H362" s="231" t="str">
        <f>IFERROR(__xludf.DUMMYFUNCTION("""COMPUTED_VALUE"""),"✴️")</f>
        <v>✴️</v>
      </c>
      <c r="I362" s="231" t="str">
        <f>IFERROR(__xludf.DUMMYFUNCTION("""COMPUTED_VALUE"""),"➖")</f>
        <v>➖</v>
      </c>
      <c r="J362" s="231" t="str">
        <f>IFERROR(__xludf.DUMMYFUNCTION("""COMPUTED_VALUE"""),"➖")</f>
        <v>➖</v>
      </c>
      <c r="K362" s="288" t="str">
        <f>IFERROR(__xludf.DUMMYFUNCTION("""COMPUTED_VALUE"""),"➖")</f>
        <v>➖</v>
      </c>
      <c r="L362" s="288" t="str">
        <f>IFERROR(__xludf.DUMMYFUNCTION("""COMPUTED_VALUE"""),"➖")</f>
        <v>➖</v>
      </c>
      <c r="M362" s="288" t="str">
        <f>IFERROR(__xludf.DUMMYFUNCTION("""COMPUTED_VALUE"""),"➖")</f>
        <v>➖</v>
      </c>
      <c r="N362" s="288" t="str">
        <f>IFERROR(__xludf.DUMMYFUNCTION("""COMPUTED_VALUE"""),"➖")</f>
        <v>➖</v>
      </c>
      <c r="O362" s="288" t="str">
        <f>IFERROR(__xludf.DUMMYFUNCTION("""COMPUTED_VALUE"""),"➖")</f>
        <v>➖</v>
      </c>
      <c r="P362" s="288" t="str">
        <f>IFERROR(__xludf.DUMMYFUNCTION("""COMPUTED_VALUE"""),"➖")</f>
        <v>➖</v>
      </c>
      <c r="Q362" s="288" t="str">
        <f>IFERROR(__xludf.DUMMYFUNCTION("""COMPUTED_VALUE"""),"➖")</f>
        <v>➖</v>
      </c>
      <c r="R362" s="257" t="str">
        <f>IFERROR(__xludf.DUMMYFUNCTION("""COMPUTED_VALUE"""),"   ➖")</f>
        <v>➖</v>
      </c>
      <c r="S362" s="258" t="str">
        <f>IFERROR(__xludf.DUMMYFUNCTION("""COMPUTED_VALUE"""),"SelfExplorer, SelfHasMorale")</f>
        <v>SelfExplorer, SelfHasMorale</v>
      </c>
      <c r="T362" s="255" t="str">
        <f>IFERROR(__xludf.DUMMYFUNCTION("""COMPUTED_VALUE"""),"➖")</f>
        <v>➖</v>
      </c>
      <c r="U362" s="255" t="str">
        <f>IFERROR(__xludf.DUMMYFUNCTION("""COMPUTED_VALUE"""),"➖")</f>
        <v>➖</v>
      </c>
      <c r="V362" s="259"/>
      <c r="W362" s="286"/>
      <c r="X362" s="286"/>
      <c r="Y362" s="286"/>
    </row>
    <row r="363">
      <c r="A363" s="28"/>
      <c r="B363" s="128"/>
      <c r="C363" s="28"/>
      <c r="D363" s="250" t="str">
        <f>IFERROR(__xludf.DUMMYFUNCTION("""COMPUTED_VALUE"""),"   R")</f>
        <v>R</v>
      </c>
      <c r="E363" s="280" t="str">
        <f>IFERROR(__xludf.DUMMYFUNCTION("""COMPUTED_VALUE"""),"PON")</f>
        <v>PON</v>
      </c>
      <c r="F363" s="271" t="str">
        <f>IFERROR(__xludf.DUMMYFUNCTION("""COMPUTED_VALUE"""),"CM")</f>
        <v>CM</v>
      </c>
      <c r="G363" s="281" t="str">
        <f>IFERROR(__xludf.DUMMYFUNCTION("""COMPUTED_VALUE"""),"✴️")</f>
        <v>✴️</v>
      </c>
      <c r="H363" s="281" t="str">
        <f>IFERROR(__xludf.DUMMYFUNCTION("""COMPUTED_VALUE"""),"✴️")</f>
        <v>✴️</v>
      </c>
      <c r="I363" s="281" t="str">
        <f>IFERROR(__xludf.DUMMYFUNCTION("""COMPUTED_VALUE"""),"➖")</f>
        <v>➖</v>
      </c>
      <c r="J363" s="281" t="str">
        <f>IFERROR(__xludf.DUMMYFUNCTION("""COMPUTED_VALUE"""),"➖")</f>
        <v>➖</v>
      </c>
      <c r="K363" s="282" t="str">
        <f>IFERROR(__xludf.DUMMYFUNCTION("""COMPUTED_VALUE"""),"➖")</f>
        <v>➖</v>
      </c>
      <c r="L363" s="282" t="str">
        <f>IFERROR(__xludf.DUMMYFUNCTION("""COMPUTED_VALUE"""),"➖")</f>
        <v>➖</v>
      </c>
      <c r="M363" s="282" t="str">
        <f>IFERROR(__xludf.DUMMYFUNCTION("""COMPUTED_VALUE"""),"➖")</f>
        <v>➖</v>
      </c>
      <c r="N363" s="282" t="str">
        <f>IFERROR(__xludf.DUMMYFUNCTION("""COMPUTED_VALUE"""),"➖")</f>
        <v>➖</v>
      </c>
      <c r="O363" s="282" t="str">
        <f>IFERROR(__xludf.DUMMYFUNCTION("""COMPUTED_VALUE"""),"➖")</f>
        <v>➖</v>
      </c>
      <c r="P363" s="282" t="str">
        <f>IFERROR(__xludf.DUMMYFUNCTION("""COMPUTED_VALUE"""),"➖")</f>
        <v>➖</v>
      </c>
      <c r="Q363" s="282" t="str">
        <f>IFERROR(__xludf.DUMMYFUNCTION("""COMPUTED_VALUE"""),"➖")</f>
        <v>➖</v>
      </c>
      <c r="R363" s="283" t="str">
        <f>IFERROR(__xludf.DUMMYFUNCTION("""COMPUTED_VALUE"""),"   ➖")</f>
        <v>➖</v>
      </c>
      <c r="S363" s="284" t="str">
        <f>IFERROR(__xludf.DUMMYFUNCTION("""COMPUTED_VALUE"""),"SelfExplorer")</f>
        <v>SelfExplorer</v>
      </c>
      <c r="T363" s="285" t="str">
        <f>IFERROR(__xludf.DUMMYFUNCTION("""COMPUTED_VALUE"""),"➖")</f>
        <v>➖</v>
      </c>
      <c r="U363" s="285" t="str">
        <f>IFERROR(__xludf.DUMMYFUNCTION("""COMPUTED_VALUE"""),"➖")</f>
        <v>➖</v>
      </c>
      <c r="V363" s="259"/>
      <c r="W363" s="286"/>
      <c r="X363" s="286"/>
      <c r="Y363" s="286"/>
    </row>
    <row r="364">
      <c r="A364" s="28"/>
      <c r="B364" s="132"/>
      <c r="C364" s="28"/>
      <c r="D364" s="260" t="str">
        <f>IFERROR(__xludf.DUMMYFUNCTION("""COMPUTED_VALUE"""),"   R")</f>
        <v>R</v>
      </c>
      <c r="E364" s="287" t="str">
        <f>IFERROR(__xludf.DUMMYFUNCTION("""COMPUTED_VALUE"""),"PON")</f>
        <v>PON</v>
      </c>
      <c r="F364" s="270" t="str">
        <f>IFERROR(__xludf.DUMMYFUNCTION("""COMPUTED_VALUE"""),"OA")</f>
        <v>OA</v>
      </c>
      <c r="G364" s="231" t="str">
        <f>IFERROR(__xludf.DUMMYFUNCTION("""COMPUTED_VALUE"""),"✴️")</f>
        <v>✴️</v>
      </c>
      <c r="H364" s="231" t="str">
        <f>IFERROR(__xludf.DUMMYFUNCTION("""COMPUTED_VALUE"""),"✴️")</f>
        <v>✴️</v>
      </c>
      <c r="I364" s="231" t="str">
        <f>IFERROR(__xludf.DUMMYFUNCTION("""COMPUTED_VALUE"""),"➖")</f>
        <v>➖</v>
      </c>
      <c r="J364" s="231" t="str">
        <f>IFERROR(__xludf.DUMMYFUNCTION("""COMPUTED_VALUE"""),"➖")</f>
        <v>➖</v>
      </c>
      <c r="K364" s="288" t="str">
        <f>IFERROR(__xludf.DUMMYFUNCTION("""COMPUTED_VALUE"""),"➖")</f>
        <v>➖</v>
      </c>
      <c r="L364" s="288" t="str">
        <f>IFERROR(__xludf.DUMMYFUNCTION("""COMPUTED_VALUE"""),"➖")</f>
        <v>➖</v>
      </c>
      <c r="M364" s="288" t="str">
        <f>IFERROR(__xludf.DUMMYFUNCTION("""COMPUTED_VALUE"""),"➖")</f>
        <v>➖</v>
      </c>
      <c r="N364" s="288" t="str">
        <f>IFERROR(__xludf.DUMMYFUNCTION("""COMPUTED_VALUE"""),"➖")</f>
        <v>➖</v>
      </c>
      <c r="O364" s="288" t="str">
        <f>IFERROR(__xludf.DUMMYFUNCTION("""COMPUTED_VALUE"""),"➖")</f>
        <v>➖</v>
      </c>
      <c r="P364" s="288" t="str">
        <f>IFERROR(__xludf.DUMMYFUNCTION("""COMPUTED_VALUE"""),"➖")</f>
        <v>➖</v>
      </c>
      <c r="Q364" s="288" t="str">
        <f>IFERROR(__xludf.DUMMYFUNCTION("""COMPUTED_VALUE"""),"➖")</f>
        <v>➖</v>
      </c>
      <c r="R364" s="257" t="str">
        <f>IFERROR(__xludf.DUMMYFUNCTION("""COMPUTED_VALUE"""),"   ➖")</f>
        <v>➖</v>
      </c>
      <c r="S364" s="258" t="str">
        <f>IFERROR(__xludf.DUMMYFUNCTION("""COMPUTED_VALUE"""),"SelfExplorer, SelfHasMorale")</f>
        <v>SelfExplorer, SelfHasMorale</v>
      </c>
      <c r="T364" s="255" t="str">
        <f>IFERROR(__xludf.DUMMYFUNCTION("""COMPUTED_VALUE"""),"➖")</f>
        <v>➖</v>
      </c>
      <c r="U364" s="255" t="str">
        <f>IFERROR(__xludf.DUMMYFUNCTION("""COMPUTED_VALUE"""),"➖")</f>
        <v>➖</v>
      </c>
      <c r="V364" s="259"/>
      <c r="W364" s="286"/>
      <c r="X364" s="286"/>
      <c r="Y364" s="286"/>
    </row>
    <row r="365">
      <c r="A365" s="28"/>
      <c r="B365" s="128"/>
      <c r="C365" s="28"/>
      <c r="D365" s="250" t="str">
        <f>IFERROR(__xludf.DUMMYFUNCTION("""COMPUTED_VALUE"""),"   E")</f>
        <v>E</v>
      </c>
      <c r="E365" s="280" t="str">
        <f>IFERROR(__xludf.DUMMYFUNCTION("""COMPUTED_VALUE"""),"JADZIA DAX")</f>
        <v>JADZIA DAX</v>
      </c>
      <c r="F365" s="271" t="str">
        <f>IFERROR(__xludf.DUMMYFUNCTION("""COMPUTED_VALUE"""),"CM")</f>
        <v>CM</v>
      </c>
      <c r="G365" s="281" t="str">
        <f>IFERROR(__xludf.DUMMYFUNCTION("""COMPUTED_VALUE"""),"➖")</f>
        <v>➖</v>
      </c>
      <c r="H365" s="281" t="str">
        <f>IFERROR(__xludf.DUMMYFUNCTION("""COMPUTED_VALUE"""),"➖")</f>
        <v>➖</v>
      </c>
      <c r="I365" s="281" t="str">
        <f>IFERROR(__xludf.DUMMYFUNCTION("""COMPUTED_VALUE"""),"➖")</f>
        <v>➖</v>
      </c>
      <c r="J365" s="281" t="str">
        <f>IFERROR(__xludf.DUMMYFUNCTION("""COMPUTED_VALUE"""),"➖")</f>
        <v>➖</v>
      </c>
      <c r="K365" s="282" t="str">
        <f>IFERROR(__xludf.DUMMYFUNCTION("""COMPUTED_VALUE"""),"➖")</f>
        <v>➖</v>
      </c>
      <c r="L365" s="282" t="str">
        <f>IFERROR(__xludf.DUMMYFUNCTION("""COMPUTED_VALUE"""),"➖")</f>
        <v>➖</v>
      </c>
      <c r="M365" s="282" t="str">
        <f>IFERROR(__xludf.DUMMYFUNCTION("""COMPUTED_VALUE"""),"➖")</f>
        <v>➖</v>
      </c>
      <c r="N365" s="282" t="str">
        <f>IFERROR(__xludf.DUMMYFUNCTION("""COMPUTED_VALUE"""),"✅")</f>
        <v>✅</v>
      </c>
      <c r="O365" s="282" t="str">
        <f>IFERROR(__xludf.DUMMYFUNCTION("""COMPUTED_VALUE"""),"➖")</f>
        <v>➖</v>
      </c>
      <c r="P365" s="282" t="str">
        <f>IFERROR(__xludf.DUMMYFUNCTION("""COMPUTED_VALUE"""),"➖")</f>
        <v>➖</v>
      </c>
      <c r="Q365" s="282" t="str">
        <f>IFERROR(__xludf.DUMMYFUNCTION("""COMPUTED_VALUE"""),"➖")</f>
        <v>➖</v>
      </c>
      <c r="R365" s="283" t="str">
        <f>IFERROR(__xludf.DUMMYFUNCTION("""COMPUTED_VALUE"""),"   ➖")</f>
        <v>➖</v>
      </c>
      <c r="S365" s="284"/>
      <c r="T365" s="285" t="str">
        <f>IFERROR(__xludf.DUMMYFUNCTION("""COMPUTED_VALUE"""),"➖")</f>
        <v>➖</v>
      </c>
      <c r="U365" s="285" t="str">
        <f>IFERROR(__xludf.DUMMYFUNCTION("""COMPUTED_VALUE"""),"➖")</f>
        <v>➖</v>
      </c>
      <c r="V365" s="259"/>
      <c r="W365" s="286"/>
      <c r="X365" s="286"/>
      <c r="Y365" s="286"/>
    </row>
    <row r="366">
      <c r="A366" s="28"/>
      <c r="B366" s="132"/>
      <c r="C366" s="28"/>
      <c r="D366" s="260" t="str">
        <f>IFERROR(__xludf.DUMMYFUNCTION("""COMPUTED_VALUE"""),"   E")</f>
        <v>E</v>
      </c>
      <c r="E366" s="287" t="str">
        <f>IFERROR(__xludf.DUMMYFUNCTION("""COMPUTED_VALUE"""),"JADZIA DAX")</f>
        <v>JADZIA DAX</v>
      </c>
      <c r="F366" s="270" t="str">
        <f>IFERROR(__xludf.DUMMYFUNCTION("""COMPUTED_VALUE"""),"OA")</f>
        <v>OA</v>
      </c>
      <c r="G366" s="231" t="str">
        <f>IFERROR(__xludf.DUMMYFUNCTION("""COMPUTED_VALUE"""),"➖")</f>
        <v>➖</v>
      </c>
      <c r="H366" s="231" t="str">
        <f>IFERROR(__xludf.DUMMYFUNCTION("""COMPUTED_VALUE"""),"➖")</f>
        <v>➖</v>
      </c>
      <c r="I366" s="231" t="str">
        <f>IFERROR(__xludf.DUMMYFUNCTION("""COMPUTED_VALUE"""),"➖")</f>
        <v>➖</v>
      </c>
      <c r="J366" s="231" t="str">
        <f>IFERROR(__xludf.DUMMYFUNCTION("""COMPUTED_VALUE"""),"➖")</f>
        <v>➖</v>
      </c>
      <c r="K366" s="288" t="str">
        <f>IFERROR(__xludf.DUMMYFUNCTION("""COMPUTED_VALUE"""),"➖")</f>
        <v>➖</v>
      </c>
      <c r="L366" s="288" t="str">
        <f>IFERROR(__xludf.DUMMYFUNCTION("""COMPUTED_VALUE"""),"➖")</f>
        <v>➖</v>
      </c>
      <c r="M366" s="288" t="str">
        <f>IFERROR(__xludf.DUMMYFUNCTION("""COMPUTED_VALUE"""),"➖")</f>
        <v>➖</v>
      </c>
      <c r="N366" s="288" t="str">
        <f>IFERROR(__xludf.DUMMYFUNCTION("""COMPUTED_VALUE"""),"✅")</f>
        <v>✅</v>
      </c>
      <c r="O366" s="288" t="str">
        <f>IFERROR(__xludf.DUMMYFUNCTION("""COMPUTED_VALUE"""),"➖")</f>
        <v>➖</v>
      </c>
      <c r="P366" s="288" t="str">
        <f>IFERROR(__xludf.DUMMYFUNCTION("""COMPUTED_VALUE"""),"➖")</f>
        <v>➖</v>
      </c>
      <c r="Q366" s="288" t="str">
        <f>IFERROR(__xludf.DUMMYFUNCTION("""COMPUTED_VALUE"""),"➖")</f>
        <v>➖</v>
      </c>
      <c r="R366" s="257" t="str">
        <f>IFERROR(__xludf.DUMMYFUNCTION("""COMPUTED_VALUE"""),"   ➖")</f>
        <v>➖</v>
      </c>
      <c r="S366" s="258"/>
      <c r="T366" s="255" t="str">
        <f>IFERROR(__xludf.DUMMYFUNCTION("""COMPUTED_VALUE"""),"➖")</f>
        <v>➖</v>
      </c>
      <c r="U366" s="255" t="str">
        <f>IFERROR(__xludf.DUMMYFUNCTION("""COMPUTED_VALUE"""),"➖")</f>
        <v>➖</v>
      </c>
      <c r="V366" s="259"/>
      <c r="W366" s="286"/>
      <c r="X366" s="286"/>
      <c r="Y366" s="286"/>
    </row>
    <row r="367">
      <c r="A367" s="28"/>
      <c r="B367" s="128"/>
      <c r="C367" s="28"/>
      <c r="D367" s="250" t="str">
        <f>IFERROR(__xludf.DUMMYFUNCTION("""COMPUTED_VALUE"""),"   E")</f>
        <v>E</v>
      </c>
      <c r="E367" s="280" t="str">
        <f>IFERROR(__xludf.DUMMYFUNCTION("""COMPUTED_VALUE"""),"ODO")</f>
        <v>ODO</v>
      </c>
      <c r="F367" s="271" t="str">
        <f>IFERROR(__xludf.DUMMYFUNCTION("""COMPUTED_VALUE"""),"OA")</f>
        <v>OA</v>
      </c>
      <c r="G367" s="281" t="str">
        <f>IFERROR(__xludf.DUMMYFUNCTION("""COMPUTED_VALUE"""),"➖")</f>
        <v>➖</v>
      </c>
      <c r="H367" s="281" t="str">
        <f>IFERROR(__xludf.DUMMYFUNCTION("""COMPUTED_VALUE"""),"➖")</f>
        <v>➖</v>
      </c>
      <c r="I367" s="281" t="str">
        <f>IFERROR(__xludf.DUMMYFUNCTION("""COMPUTED_VALUE"""),"➖")</f>
        <v>➖</v>
      </c>
      <c r="J367" s="281" t="str">
        <f>IFERROR(__xludf.DUMMYFUNCTION("""COMPUTED_VALUE"""),"➖")</f>
        <v>➖</v>
      </c>
      <c r="K367" s="282" t="str">
        <f>IFERROR(__xludf.DUMMYFUNCTION("""COMPUTED_VALUE"""),"➖")</f>
        <v>➖</v>
      </c>
      <c r="L367" s="282" t="str">
        <f>IFERROR(__xludf.DUMMYFUNCTION("""COMPUTED_VALUE"""),"➖")</f>
        <v>➖</v>
      </c>
      <c r="M367" s="282" t="str">
        <f>IFERROR(__xludf.DUMMYFUNCTION("""COMPUTED_VALUE"""),"➖")</f>
        <v>➖</v>
      </c>
      <c r="N367" s="282" t="str">
        <f>IFERROR(__xludf.DUMMYFUNCTION("""COMPUTED_VALUE"""),"✅")</f>
        <v>✅</v>
      </c>
      <c r="O367" s="282" t="str">
        <f>IFERROR(__xludf.DUMMYFUNCTION("""COMPUTED_VALUE"""),"➖")</f>
        <v>➖</v>
      </c>
      <c r="P367" s="282" t="str">
        <f>IFERROR(__xludf.DUMMYFUNCTION("""COMPUTED_VALUE"""),"➖")</f>
        <v>➖</v>
      </c>
      <c r="Q367" s="282" t="str">
        <f>IFERROR(__xludf.DUMMYFUNCTION("""COMPUTED_VALUE"""),"➖")</f>
        <v>➖</v>
      </c>
      <c r="R367" s="283" t="str">
        <f>IFERROR(__xludf.DUMMYFUNCTION("""COMPUTED_VALUE"""),"   ➖")</f>
        <v>➖</v>
      </c>
      <c r="S367" s="284"/>
      <c r="T367" s="285" t="str">
        <f>IFERROR(__xludf.DUMMYFUNCTION("""COMPUTED_VALUE"""),"➖")</f>
        <v>➖</v>
      </c>
      <c r="U367" s="285" t="str">
        <f>IFERROR(__xludf.DUMMYFUNCTION("""COMPUTED_VALUE"""),"➖")</f>
        <v>➖</v>
      </c>
      <c r="V367" s="259"/>
      <c r="W367" s="286"/>
      <c r="X367" s="286"/>
      <c r="Y367" s="286"/>
    </row>
    <row r="368">
      <c r="A368" s="28"/>
      <c r="B368" s="132"/>
      <c r="C368" s="28"/>
      <c r="D368" s="260" t="str">
        <f>IFERROR(__xludf.DUMMYFUNCTION("""COMPUTED_VALUE"""),"   E")</f>
        <v>E</v>
      </c>
      <c r="E368" s="287" t="str">
        <f>IFERROR(__xludf.DUMMYFUNCTION("""COMPUTED_VALUE"""),"ODO")</f>
        <v>ODO</v>
      </c>
      <c r="F368" s="270" t="str">
        <f>IFERROR(__xludf.DUMMYFUNCTION("""COMPUTED_VALUE"""),"BDA")</f>
        <v>BDA</v>
      </c>
      <c r="G368" s="231" t="str">
        <f>IFERROR(__xludf.DUMMYFUNCTION("""COMPUTED_VALUE"""),"✅")</f>
        <v>✅</v>
      </c>
      <c r="H368" s="231" t="str">
        <f>IFERROR(__xludf.DUMMYFUNCTION("""COMPUTED_VALUE"""),"✅")</f>
        <v>✅</v>
      </c>
      <c r="I368" s="231" t="str">
        <f>IFERROR(__xludf.DUMMYFUNCTION("""COMPUTED_VALUE"""),"✅")</f>
        <v>✅</v>
      </c>
      <c r="J368" s="231" t="str">
        <f>IFERROR(__xludf.DUMMYFUNCTION("""COMPUTED_VALUE"""),"✅")</f>
        <v>✅</v>
      </c>
      <c r="K368" s="288" t="str">
        <f>IFERROR(__xludf.DUMMYFUNCTION("""COMPUTED_VALUE"""),"✅")</f>
        <v>✅</v>
      </c>
      <c r="L368" s="288" t="str">
        <f>IFERROR(__xludf.DUMMYFUNCTION("""COMPUTED_VALUE"""),"✅")</f>
        <v>✅</v>
      </c>
      <c r="M368" s="288" t="str">
        <f>IFERROR(__xludf.DUMMYFUNCTION("""COMPUTED_VALUE"""),"✅")</f>
        <v>✅</v>
      </c>
      <c r="N368" s="288" t="str">
        <f>IFERROR(__xludf.DUMMYFUNCTION("""COMPUTED_VALUE"""),"✅")</f>
        <v>✅</v>
      </c>
      <c r="O368" s="288" t="str">
        <f>IFERROR(__xludf.DUMMYFUNCTION("""COMPUTED_VALUE"""),"✅")</f>
        <v>✅</v>
      </c>
      <c r="P368" s="288" t="str">
        <f>IFERROR(__xludf.DUMMYFUNCTION("""COMPUTED_VALUE"""),"✅")</f>
        <v>✅</v>
      </c>
      <c r="Q368" s="288" t="str">
        <f>IFERROR(__xludf.DUMMYFUNCTION("""COMPUTED_VALUE"""),"✅")</f>
        <v>✅</v>
      </c>
      <c r="R368" s="257" t="str">
        <f>IFERROR(__xludf.DUMMYFUNCTION("""COMPUTED_VALUE"""),"   ✅")</f>
        <v>✅</v>
      </c>
      <c r="S368" s="258"/>
      <c r="T368" s="255" t="str">
        <f>IFERROR(__xludf.DUMMYFUNCTION("""COMPUTED_VALUE"""),"➖")</f>
        <v>➖</v>
      </c>
      <c r="U368" s="255" t="str">
        <f>IFERROR(__xludf.DUMMYFUNCTION("""COMPUTED_VALUE"""),"➖")</f>
        <v>➖</v>
      </c>
      <c r="V368" s="259"/>
      <c r="W368" s="286"/>
      <c r="X368" s="286"/>
      <c r="Y368" s="286"/>
    </row>
    <row r="369">
      <c r="A369" s="28"/>
      <c r="B369" s="128"/>
      <c r="C369" s="28"/>
      <c r="D369" s="250" t="str">
        <f>IFERROR(__xludf.DUMMYFUNCTION("""COMPUTED_VALUE"""),"   R")</f>
        <v>R</v>
      </c>
      <c r="E369" s="280" t="str">
        <f>IFERROR(__xludf.DUMMYFUNCTION("""COMPUTED_VALUE"""),"JULIAN BASHIR")</f>
        <v>JULIAN BASHIR</v>
      </c>
      <c r="F369" s="271" t="str">
        <f>IFERROR(__xludf.DUMMYFUNCTION("""COMPUTED_VALUE"""),"CM")</f>
        <v>CM</v>
      </c>
      <c r="G369" s="281" t="str">
        <f>IFERROR(__xludf.DUMMYFUNCTION("""COMPUTED_VALUE"""),"➖")</f>
        <v>➖</v>
      </c>
      <c r="H369" s="281" t="str">
        <f>IFERROR(__xludf.DUMMYFUNCTION("""COMPUTED_VALUE"""),"➖")</f>
        <v>➖</v>
      </c>
      <c r="I369" s="281" t="str">
        <f>IFERROR(__xludf.DUMMYFUNCTION("""COMPUTED_VALUE"""),"➖")</f>
        <v>➖</v>
      </c>
      <c r="J369" s="281" t="str">
        <f>IFERROR(__xludf.DUMMYFUNCTION("""COMPUTED_VALUE"""),"➖")</f>
        <v>➖</v>
      </c>
      <c r="K369" s="282" t="str">
        <f>IFERROR(__xludf.DUMMYFUNCTION("""COMPUTED_VALUE"""),"➖")</f>
        <v>➖</v>
      </c>
      <c r="L369" s="282" t="str">
        <f>IFERROR(__xludf.DUMMYFUNCTION("""COMPUTED_VALUE"""),"➖")</f>
        <v>➖</v>
      </c>
      <c r="M369" s="282" t="str">
        <f>IFERROR(__xludf.DUMMYFUNCTION("""COMPUTED_VALUE"""),"➖")</f>
        <v>➖</v>
      </c>
      <c r="N369" s="282" t="str">
        <f>IFERROR(__xludf.DUMMYFUNCTION("""COMPUTED_VALUE"""),"✅")</f>
        <v>✅</v>
      </c>
      <c r="O369" s="282" t="str">
        <f>IFERROR(__xludf.DUMMYFUNCTION("""COMPUTED_VALUE"""),"➖")</f>
        <v>➖</v>
      </c>
      <c r="P369" s="282" t="str">
        <f>IFERROR(__xludf.DUMMYFUNCTION("""COMPUTED_VALUE"""),"➖")</f>
        <v>➖</v>
      </c>
      <c r="Q369" s="282" t="str">
        <f>IFERROR(__xludf.DUMMYFUNCTION("""COMPUTED_VALUE"""),"➖")</f>
        <v>➖</v>
      </c>
      <c r="R369" s="283" t="str">
        <f>IFERROR(__xludf.DUMMYFUNCTION("""COMPUTED_VALUE"""),"   ➖")</f>
        <v>➖</v>
      </c>
      <c r="S369" s="284"/>
      <c r="T369" s="285" t="str">
        <f>IFERROR(__xludf.DUMMYFUNCTION("""COMPUTED_VALUE"""),"➖")</f>
        <v>➖</v>
      </c>
      <c r="U369" s="285" t="str">
        <f>IFERROR(__xludf.DUMMYFUNCTION("""COMPUTED_VALUE"""),"➖")</f>
        <v>➖</v>
      </c>
      <c r="V369" s="259"/>
      <c r="W369" s="286"/>
      <c r="X369" s="286"/>
      <c r="Y369" s="286"/>
    </row>
    <row r="370">
      <c r="A370" s="28"/>
      <c r="B370" s="132"/>
      <c r="C370" s="28"/>
      <c r="D370" s="260" t="str">
        <f>IFERROR(__xludf.DUMMYFUNCTION("""COMPUTED_VALUE"""),"   R")</f>
        <v>R</v>
      </c>
      <c r="E370" s="287" t="str">
        <f>IFERROR(__xludf.DUMMYFUNCTION("""COMPUTED_VALUE"""),"JULIAN BASHIR")</f>
        <v>JULIAN BASHIR</v>
      </c>
      <c r="F370" s="270" t="str">
        <f>IFERROR(__xludf.DUMMYFUNCTION("""COMPUTED_VALUE"""),"OA")</f>
        <v>OA</v>
      </c>
      <c r="G370" s="231" t="str">
        <f>IFERROR(__xludf.DUMMYFUNCTION("""COMPUTED_VALUE"""),"➖")</f>
        <v>➖</v>
      </c>
      <c r="H370" s="231" t="str">
        <f>IFERROR(__xludf.DUMMYFUNCTION("""COMPUTED_VALUE"""),"➖")</f>
        <v>➖</v>
      </c>
      <c r="I370" s="231" t="str">
        <f>IFERROR(__xludf.DUMMYFUNCTION("""COMPUTED_VALUE"""),"➖")</f>
        <v>➖</v>
      </c>
      <c r="J370" s="231" t="str">
        <f>IFERROR(__xludf.DUMMYFUNCTION("""COMPUTED_VALUE"""),"➖")</f>
        <v>➖</v>
      </c>
      <c r="K370" s="288" t="str">
        <f>IFERROR(__xludf.DUMMYFUNCTION("""COMPUTED_VALUE"""),"➖")</f>
        <v>➖</v>
      </c>
      <c r="L370" s="288" t="str">
        <f>IFERROR(__xludf.DUMMYFUNCTION("""COMPUTED_VALUE"""),"➖")</f>
        <v>➖</v>
      </c>
      <c r="M370" s="288" t="str">
        <f>IFERROR(__xludf.DUMMYFUNCTION("""COMPUTED_VALUE"""),"➖")</f>
        <v>➖</v>
      </c>
      <c r="N370" s="288" t="str">
        <f>IFERROR(__xludf.DUMMYFUNCTION("""COMPUTED_VALUE"""),"✅")</f>
        <v>✅</v>
      </c>
      <c r="O370" s="288" t="str">
        <f>IFERROR(__xludf.DUMMYFUNCTION("""COMPUTED_VALUE"""),"➖")</f>
        <v>➖</v>
      </c>
      <c r="P370" s="288" t="str">
        <f>IFERROR(__xludf.DUMMYFUNCTION("""COMPUTED_VALUE"""),"➖")</f>
        <v>➖</v>
      </c>
      <c r="Q370" s="288" t="str">
        <f>IFERROR(__xludf.DUMMYFUNCTION("""COMPUTED_VALUE"""),"➖")</f>
        <v>➖</v>
      </c>
      <c r="R370" s="257" t="str">
        <f>IFERROR(__xludf.DUMMYFUNCTION("""COMPUTED_VALUE"""),"   ➖")</f>
        <v>➖</v>
      </c>
      <c r="S370" s="258"/>
      <c r="T370" s="255" t="str">
        <f>IFERROR(__xludf.DUMMYFUNCTION("""COMPUTED_VALUE"""),"➖")</f>
        <v>➖</v>
      </c>
      <c r="U370" s="255" t="str">
        <f>IFERROR(__xludf.DUMMYFUNCTION("""COMPUTED_VALUE"""),"➖")</f>
        <v>➖</v>
      </c>
      <c r="V370" s="259"/>
      <c r="W370" s="286"/>
      <c r="X370" s="286"/>
      <c r="Y370" s="286"/>
    </row>
    <row r="371">
      <c r="A371" s="28"/>
      <c r="B371" s="128"/>
      <c r="C371" s="28"/>
      <c r="D371" s="250" t="str">
        <f>IFERROR(__xludf.DUMMYFUNCTION("""COMPUTED_VALUE"""),"   R")</f>
        <v>R</v>
      </c>
      <c r="E371" s="280" t="str">
        <f>IFERROR(__xludf.DUMMYFUNCTION("""COMPUTED_VALUE"""),"KIRA NERYS")</f>
        <v>KIRA NERYS</v>
      </c>
      <c r="F371" s="271" t="str">
        <f>IFERROR(__xludf.DUMMYFUNCTION("""COMPUTED_VALUE"""),"OA")</f>
        <v>OA</v>
      </c>
      <c r="G371" s="281" t="str">
        <f>IFERROR(__xludf.DUMMYFUNCTION("""COMPUTED_VALUE"""),"➖")</f>
        <v>➖</v>
      </c>
      <c r="H371" s="281" t="str">
        <f>IFERROR(__xludf.DUMMYFUNCTION("""COMPUTED_VALUE"""),"➖")</f>
        <v>➖</v>
      </c>
      <c r="I371" s="281" t="str">
        <f>IFERROR(__xludf.DUMMYFUNCTION("""COMPUTED_VALUE"""),"➖")</f>
        <v>➖</v>
      </c>
      <c r="J371" s="281" t="str">
        <f>IFERROR(__xludf.DUMMYFUNCTION("""COMPUTED_VALUE"""),"➖")</f>
        <v>➖</v>
      </c>
      <c r="K371" s="282" t="str">
        <f>IFERROR(__xludf.DUMMYFUNCTION("""COMPUTED_VALUE"""),"➖")</f>
        <v>➖</v>
      </c>
      <c r="L371" s="282" t="str">
        <f>IFERROR(__xludf.DUMMYFUNCTION("""COMPUTED_VALUE"""),"➖")</f>
        <v>➖</v>
      </c>
      <c r="M371" s="282" t="str">
        <f>IFERROR(__xludf.DUMMYFUNCTION("""COMPUTED_VALUE"""),"➖")</f>
        <v>➖</v>
      </c>
      <c r="N371" s="282" t="str">
        <f>IFERROR(__xludf.DUMMYFUNCTION("""COMPUTED_VALUE"""),"➖")</f>
        <v>➖</v>
      </c>
      <c r="O371" s="282" t="str">
        <f>IFERROR(__xludf.DUMMYFUNCTION("""COMPUTED_VALUE"""),"➖")</f>
        <v>➖</v>
      </c>
      <c r="P371" s="282" t="str">
        <f>IFERROR(__xludf.DUMMYFUNCTION("""COMPUTED_VALUE"""),"✅")</f>
        <v>✅</v>
      </c>
      <c r="Q371" s="282" t="str">
        <f>IFERROR(__xludf.DUMMYFUNCTION("""COMPUTED_VALUE"""),"➖")</f>
        <v>➖</v>
      </c>
      <c r="R371" s="283" t="str">
        <f>IFERROR(__xludf.DUMMYFUNCTION("""COMPUTED_VALUE"""),"   ➖")</f>
        <v>➖</v>
      </c>
      <c r="S371" s="284"/>
      <c r="T371" s="285" t="str">
        <f>IFERROR(__xludf.DUMMYFUNCTION("""COMPUTED_VALUE"""),"➖")</f>
        <v>➖</v>
      </c>
      <c r="U371" s="285" t="str">
        <f>IFERROR(__xludf.DUMMYFUNCTION("""COMPUTED_VALUE"""),"➖")</f>
        <v>➖</v>
      </c>
      <c r="V371" s="259"/>
      <c r="W371" s="286"/>
      <c r="X371" s="286"/>
      <c r="Y371" s="286"/>
    </row>
    <row r="372">
      <c r="A372" s="28"/>
      <c r="B372" s="132"/>
      <c r="C372" s="28"/>
      <c r="D372" s="260" t="str">
        <f>IFERROR(__xludf.DUMMYFUNCTION("""COMPUTED_VALUE"""),"   R")</f>
        <v>R</v>
      </c>
      <c r="E372" s="287" t="str">
        <f>IFERROR(__xludf.DUMMYFUNCTION("""COMPUTED_VALUE"""),"KIRA NERYS")</f>
        <v>KIRA NERYS</v>
      </c>
      <c r="F372" s="270" t="str">
        <f>IFERROR(__xludf.DUMMYFUNCTION("""COMPUTED_VALUE"""),"BDA")</f>
        <v>BDA</v>
      </c>
      <c r="G372" s="231" t="str">
        <f>IFERROR(__xludf.DUMMYFUNCTION("""COMPUTED_VALUE"""),"✅")</f>
        <v>✅</v>
      </c>
      <c r="H372" s="231" t="str">
        <f>IFERROR(__xludf.DUMMYFUNCTION("""COMPUTED_VALUE"""),"✅")</f>
        <v>✅</v>
      </c>
      <c r="I372" s="231" t="str">
        <f>IFERROR(__xludf.DUMMYFUNCTION("""COMPUTED_VALUE"""),"➖")</f>
        <v>➖</v>
      </c>
      <c r="J372" s="231" t="str">
        <f>IFERROR(__xludf.DUMMYFUNCTION("""COMPUTED_VALUE"""),"➖")</f>
        <v>➖</v>
      </c>
      <c r="K372" s="288" t="str">
        <f>IFERROR(__xludf.DUMMYFUNCTION("""COMPUTED_VALUE"""),"➖")</f>
        <v>➖</v>
      </c>
      <c r="L372" s="288" t="str">
        <f>IFERROR(__xludf.DUMMYFUNCTION("""COMPUTED_VALUE"""),"➖")</f>
        <v>➖</v>
      </c>
      <c r="M372" s="288" t="str">
        <f>IFERROR(__xludf.DUMMYFUNCTION("""COMPUTED_VALUE"""),"➖")</f>
        <v>➖</v>
      </c>
      <c r="N372" s="288" t="str">
        <f>IFERROR(__xludf.DUMMYFUNCTION("""COMPUTED_VALUE"""),"➖")</f>
        <v>➖</v>
      </c>
      <c r="O372" s="288" t="str">
        <f>IFERROR(__xludf.DUMMYFUNCTION("""COMPUTED_VALUE"""),"➖")</f>
        <v>➖</v>
      </c>
      <c r="P372" s="288" t="str">
        <f>IFERROR(__xludf.DUMMYFUNCTION("""COMPUTED_VALUE"""),"➖")</f>
        <v>➖</v>
      </c>
      <c r="Q372" s="288" t="str">
        <f>IFERROR(__xludf.DUMMYFUNCTION("""COMPUTED_VALUE"""),"➖")</f>
        <v>➖</v>
      </c>
      <c r="R372" s="257" t="str">
        <f>IFERROR(__xludf.DUMMYFUNCTION("""COMPUTED_VALUE"""),"   ➖")</f>
        <v>➖</v>
      </c>
      <c r="S372" s="258"/>
      <c r="T372" s="255" t="str">
        <f>IFERROR(__xludf.DUMMYFUNCTION("""COMPUTED_VALUE"""),"➖")</f>
        <v>➖</v>
      </c>
      <c r="U372" s="255" t="str">
        <f>IFERROR(__xludf.DUMMYFUNCTION("""COMPUTED_VALUE"""),"➖")</f>
        <v>➖</v>
      </c>
      <c r="V372" s="259"/>
      <c r="W372" s="286"/>
      <c r="X372" s="286"/>
      <c r="Y372" s="286"/>
    </row>
    <row r="373">
      <c r="A373" s="28"/>
      <c r="B373" s="128"/>
      <c r="C373" s="28"/>
      <c r="D373" s="250" t="str">
        <f>IFERROR(__xludf.DUMMYFUNCTION("""COMPUTED_VALUE"""),"   E")</f>
        <v>E</v>
      </c>
      <c r="E373" s="280" t="str">
        <f>IFERROR(__xludf.DUMMYFUNCTION("""COMPUTED_VALUE"""),"HUGH")</f>
        <v>HUGH</v>
      </c>
      <c r="F373" s="271" t="str">
        <f>IFERROR(__xludf.DUMMYFUNCTION("""COMPUTED_VALUE"""),"OA")</f>
        <v>OA</v>
      </c>
      <c r="G373" s="281" t="str">
        <f>IFERROR(__xludf.DUMMYFUNCTION("""COMPUTED_VALUE"""),"➖")</f>
        <v>➖</v>
      </c>
      <c r="H373" s="281" t="str">
        <f>IFERROR(__xludf.DUMMYFUNCTION("""COMPUTED_VALUE"""),"➖")</f>
        <v>➖</v>
      </c>
      <c r="I373" s="281" t="str">
        <f>IFERROR(__xludf.DUMMYFUNCTION("""COMPUTED_VALUE"""),"➖")</f>
        <v>➖</v>
      </c>
      <c r="J373" s="281" t="str">
        <f>IFERROR(__xludf.DUMMYFUNCTION("""COMPUTED_VALUE"""),"➖")</f>
        <v>➖</v>
      </c>
      <c r="K373" s="282" t="str">
        <f>IFERROR(__xludf.DUMMYFUNCTION("""COMPUTED_VALUE"""),"➖")</f>
        <v>➖</v>
      </c>
      <c r="L373" s="282" t="str">
        <f>IFERROR(__xludf.DUMMYFUNCTION("""COMPUTED_VALUE"""),"➖")</f>
        <v>➖</v>
      </c>
      <c r="M373" s="282" t="str">
        <f>IFERROR(__xludf.DUMMYFUNCTION("""COMPUTED_VALUE"""),"➖")</f>
        <v>➖</v>
      </c>
      <c r="N373" s="282" t="str">
        <f>IFERROR(__xludf.DUMMYFUNCTION("""COMPUTED_VALUE"""),"➖")</f>
        <v>➖</v>
      </c>
      <c r="O373" s="282" t="str">
        <f>IFERROR(__xludf.DUMMYFUNCTION("""COMPUTED_VALUE"""),"➖")</f>
        <v>➖</v>
      </c>
      <c r="P373" s="282" t="str">
        <f>IFERROR(__xludf.DUMMYFUNCTION("""COMPUTED_VALUE"""),"➖")</f>
        <v>➖</v>
      </c>
      <c r="Q373" s="282" t="str">
        <f>IFERROR(__xludf.DUMMYFUNCTION("""COMPUTED_VALUE"""),"➖")</f>
        <v>➖</v>
      </c>
      <c r="R373" s="283" t="str">
        <f>IFERROR(__xludf.DUMMYFUNCTION("""COMPUTED_VALUE"""),"   ➖")</f>
        <v>➖</v>
      </c>
      <c r="S373" s="284"/>
      <c r="T373" s="285" t="str">
        <f>IFERROR(__xludf.DUMMYFUNCTION("""COMPUTED_VALUE"""),"➖")</f>
        <v>➖</v>
      </c>
      <c r="U373" s="285" t="str">
        <f>IFERROR(__xludf.DUMMYFUNCTION("""COMPUTED_VALUE"""),"✅")</f>
        <v>✅</v>
      </c>
      <c r="V373" s="259"/>
      <c r="W373" s="286"/>
      <c r="X373" s="286"/>
      <c r="Y373" s="286"/>
    </row>
    <row r="374">
      <c r="A374" s="28"/>
      <c r="B374" s="132"/>
      <c r="C374" s="28"/>
      <c r="D374" s="260" t="str">
        <f>IFERROR(__xludf.DUMMYFUNCTION("""COMPUTED_VALUE"""),"   E")</f>
        <v>E</v>
      </c>
      <c r="E374" s="287" t="str">
        <f>IFERROR(__xludf.DUMMYFUNCTION("""COMPUTED_VALUE"""),"HUGH")</f>
        <v>HUGH</v>
      </c>
      <c r="F374" s="270" t="str">
        <f>IFERROR(__xludf.DUMMYFUNCTION("""COMPUTED_VALUE"""),"BDA")</f>
        <v>BDA</v>
      </c>
      <c r="G374" s="231" t="str">
        <f>IFERROR(__xludf.DUMMYFUNCTION("""COMPUTED_VALUE"""),"➖")</f>
        <v>➖</v>
      </c>
      <c r="H374" s="231" t="str">
        <f>IFERROR(__xludf.DUMMYFUNCTION("""COMPUTED_VALUE"""),"➖")</f>
        <v>➖</v>
      </c>
      <c r="I374" s="231" t="str">
        <f>IFERROR(__xludf.DUMMYFUNCTION("""COMPUTED_VALUE"""),"✅")</f>
        <v>✅</v>
      </c>
      <c r="J374" s="231" t="str">
        <f>IFERROR(__xludf.DUMMYFUNCTION("""COMPUTED_VALUE"""),"✅")</f>
        <v>✅</v>
      </c>
      <c r="K374" s="288" t="str">
        <f>IFERROR(__xludf.DUMMYFUNCTION("""COMPUTED_VALUE"""),"✅")</f>
        <v>✅</v>
      </c>
      <c r="L374" s="288" t="str">
        <f>IFERROR(__xludf.DUMMYFUNCTION("""COMPUTED_VALUE"""),"➖")</f>
        <v>➖</v>
      </c>
      <c r="M374" s="288" t="str">
        <f>IFERROR(__xludf.DUMMYFUNCTION("""COMPUTED_VALUE"""),"➖")</f>
        <v>➖</v>
      </c>
      <c r="N374" s="288" t="str">
        <f>IFERROR(__xludf.DUMMYFUNCTION("""COMPUTED_VALUE"""),"➖")</f>
        <v>➖</v>
      </c>
      <c r="O374" s="288" t="str">
        <f>IFERROR(__xludf.DUMMYFUNCTION("""COMPUTED_VALUE"""),"➖")</f>
        <v>➖</v>
      </c>
      <c r="P374" s="288" t="str">
        <f>IFERROR(__xludf.DUMMYFUNCTION("""COMPUTED_VALUE"""),"➖")</f>
        <v>➖</v>
      </c>
      <c r="Q374" s="288" t="str">
        <f>IFERROR(__xludf.DUMMYFUNCTION("""COMPUTED_VALUE"""),"➖")</f>
        <v>➖</v>
      </c>
      <c r="R374" s="257" t="str">
        <f>IFERROR(__xludf.DUMMYFUNCTION("""COMPUTED_VALUE"""),"   ➖")</f>
        <v>➖</v>
      </c>
      <c r="S374" s="258"/>
      <c r="T374" s="255" t="str">
        <f>IFERROR(__xludf.DUMMYFUNCTION("""COMPUTED_VALUE"""),"➖")</f>
        <v>➖</v>
      </c>
      <c r="U374" s="255" t="str">
        <f>IFERROR(__xludf.DUMMYFUNCTION("""COMPUTED_VALUE"""),"➖")</f>
        <v>➖</v>
      </c>
      <c r="V374" s="259"/>
      <c r="W374" s="286"/>
      <c r="X374" s="286"/>
      <c r="Y374" s="286"/>
    </row>
    <row r="375">
      <c r="A375" s="28"/>
      <c r="B375" s="128"/>
      <c r="C375" s="28"/>
      <c r="D375" s="250" t="str">
        <f>IFERROR(__xludf.DUMMYFUNCTION("""COMPUTED_VALUE"""),"   R")</f>
        <v>R</v>
      </c>
      <c r="E375" s="280" t="str">
        <f>IFERROR(__xludf.DUMMYFUNCTION("""COMPUTED_VALUE"""),"GHALENAR")</f>
        <v>GHALENAR</v>
      </c>
      <c r="F375" s="271" t="str">
        <f>IFERROR(__xludf.DUMMYFUNCTION("""COMPUTED_VALUE"""),"OA")</f>
        <v>OA</v>
      </c>
      <c r="G375" s="281" t="str">
        <f>IFERROR(__xludf.DUMMYFUNCTION("""COMPUTED_VALUE"""),"➖")</f>
        <v>➖</v>
      </c>
      <c r="H375" s="281" t="str">
        <f>IFERROR(__xludf.DUMMYFUNCTION("""COMPUTED_VALUE"""),"➖")</f>
        <v>➖</v>
      </c>
      <c r="I375" s="281" t="str">
        <f>IFERROR(__xludf.DUMMYFUNCTION("""COMPUTED_VALUE"""),"✴️")</f>
        <v>✴️</v>
      </c>
      <c r="J375" s="281" t="str">
        <f>IFERROR(__xludf.DUMMYFUNCTION("""COMPUTED_VALUE"""),"➖")</f>
        <v>➖</v>
      </c>
      <c r="K375" s="282" t="str">
        <f>IFERROR(__xludf.DUMMYFUNCTION("""COMPUTED_VALUE"""),"➖")</f>
        <v>➖</v>
      </c>
      <c r="L375" s="282" t="str">
        <f>IFERROR(__xludf.DUMMYFUNCTION("""COMPUTED_VALUE"""),"➖")</f>
        <v>➖</v>
      </c>
      <c r="M375" s="282" t="str">
        <f>IFERROR(__xludf.DUMMYFUNCTION("""COMPUTED_VALUE"""),"✴️")</f>
        <v>✴️</v>
      </c>
      <c r="N375" s="282" t="str">
        <f>IFERROR(__xludf.DUMMYFUNCTION("""COMPUTED_VALUE"""),"✴️")</f>
        <v>✴️</v>
      </c>
      <c r="O375" s="282" t="str">
        <f>IFERROR(__xludf.DUMMYFUNCTION("""COMPUTED_VALUE"""),"➖")</f>
        <v>➖</v>
      </c>
      <c r="P375" s="282" t="str">
        <f>IFERROR(__xludf.DUMMYFUNCTION("""COMPUTED_VALUE"""),"➖")</f>
        <v>➖</v>
      </c>
      <c r="Q375" s="282" t="str">
        <f>IFERROR(__xludf.DUMMYFUNCTION("""COMPUTED_VALUE"""),"➖")</f>
        <v>➖</v>
      </c>
      <c r="R375" s="283" t="str">
        <f>IFERROR(__xludf.DUMMYFUNCTION("""COMPUTED_VALUE"""),"   ➖")</f>
        <v>➖</v>
      </c>
      <c r="S375" s="284" t="str">
        <f>IFERROR(__xludf.DUMMYFUNCTION("""COMPUTED_VALUE"""),"FactionPointsGain")</f>
        <v>FactionPointsGain</v>
      </c>
      <c r="T375" s="285" t="str">
        <f>IFERROR(__xludf.DUMMYFUNCTION("""COMPUTED_VALUE"""),"✅")</f>
        <v>✅</v>
      </c>
      <c r="U375" s="285" t="str">
        <f>IFERROR(__xludf.DUMMYFUNCTION("""COMPUTED_VALUE"""),"➖")</f>
        <v>➖</v>
      </c>
      <c r="V375" s="259"/>
      <c r="W375" s="286"/>
      <c r="X375" s="286"/>
      <c r="Y375" s="286"/>
    </row>
    <row r="376">
      <c r="A376" s="28"/>
      <c r="B376" s="132"/>
      <c r="C376" s="28"/>
      <c r="D376" s="260" t="str">
        <f>IFERROR(__xludf.DUMMYFUNCTION("""COMPUTED_VALUE"""),"   R")</f>
        <v>R</v>
      </c>
      <c r="E376" s="287" t="str">
        <f>IFERROR(__xludf.DUMMYFUNCTION("""COMPUTED_VALUE"""),"GHALENAR")</f>
        <v>GHALENAR</v>
      </c>
      <c r="F376" s="270" t="str">
        <f>IFERROR(__xludf.DUMMYFUNCTION("""COMPUTED_VALUE"""),"BDA")</f>
        <v>BDA</v>
      </c>
      <c r="G376" s="231" t="str">
        <f>IFERROR(__xludf.DUMMYFUNCTION("""COMPUTED_VALUE"""),"➖")</f>
        <v>➖</v>
      </c>
      <c r="H376" s="231" t="str">
        <f>IFERROR(__xludf.DUMMYFUNCTION("""COMPUTED_VALUE"""),"➖")</f>
        <v>➖</v>
      </c>
      <c r="I376" s="231" t="str">
        <f>IFERROR(__xludf.DUMMYFUNCTION("""COMPUTED_VALUE"""),"✴️")</f>
        <v>✴️</v>
      </c>
      <c r="J376" s="231" t="str">
        <f>IFERROR(__xludf.DUMMYFUNCTION("""COMPUTED_VALUE"""),"➖")</f>
        <v>➖</v>
      </c>
      <c r="K376" s="288" t="str">
        <f>IFERROR(__xludf.DUMMYFUNCTION("""COMPUTED_VALUE"""),"➖")</f>
        <v>➖</v>
      </c>
      <c r="L376" s="288" t="str">
        <f>IFERROR(__xludf.DUMMYFUNCTION("""COMPUTED_VALUE"""),"➖")</f>
        <v>➖</v>
      </c>
      <c r="M376" s="288" t="str">
        <f>IFERROR(__xludf.DUMMYFUNCTION("""COMPUTED_VALUE"""),"➖")</f>
        <v>➖</v>
      </c>
      <c r="N376" s="288" t="str">
        <f>IFERROR(__xludf.DUMMYFUNCTION("""COMPUTED_VALUE"""),"➖")</f>
        <v>➖</v>
      </c>
      <c r="O376" s="288" t="str">
        <f>IFERROR(__xludf.DUMMYFUNCTION("""COMPUTED_VALUE"""),"➖")</f>
        <v>➖</v>
      </c>
      <c r="P376" s="288" t="str">
        <f>IFERROR(__xludf.DUMMYFUNCTION("""COMPUTED_VALUE"""),"➖")</f>
        <v>➖</v>
      </c>
      <c r="Q376" s="288" t="str">
        <f>IFERROR(__xludf.DUMMYFUNCTION("""COMPUTED_VALUE"""),"➖")</f>
        <v>➖</v>
      </c>
      <c r="R376" s="257" t="str">
        <f>IFERROR(__xludf.DUMMYFUNCTION("""COMPUTED_VALUE"""),"   ➖")</f>
        <v>➖</v>
      </c>
      <c r="S376" s="258" t="str">
        <f>IFERROR(__xludf.DUMMYFUNCTION("""COMPUTED_VALUE"""),"ActianVenomAndNanoprobeLoot")</f>
        <v>ActianVenomAndNanoprobeLoot</v>
      </c>
      <c r="T376" s="255" t="str">
        <f>IFERROR(__xludf.DUMMYFUNCTION("""COMPUTED_VALUE"""),"✅")</f>
        <v>✅</v>
      </c>
      <c r="U376" s="255" t="str">
        <f>IFERROR(__xludf.DUMMYFUNCTION("""COMPUTED_VALUE"""),"➖")</f>
        <v>➖</v>
      </c>
      <c r="V376" s="259"/>
      <c r="W376" s="286"/>
      <c r="X376" s="286"/>
      <c r="Y376" s="286"/>
    </row>
    <row r="377">
      <c r="A377" s="28"/>
      <c r="B377" s="128"/>
      <c r="C377" s="28"/>
      <c r="D377" s="250" t="str">
        <f>IFERROR(__xludf.DUMMYFUNCTION("""COMPUTED_VALUE"""),"   E")</f>
        <v>E</v>
      </c>
      <c r="E377" s="280" t="str">
        <f>IFERROR(__xludf.DUMMYFUNCTION("""COMPUTED_VALUE"""),"BORG QUEEN")</f>
        <v>BORG QUEEN</v>
      </c>
      <c r="F377" s="271" t="str">
        <f>IFERROR(__xludf.DUMMYFUNCTION("""COMPUTED_VALUE"""),"OA")</f>
        <v>OA</v>
      </c>
      <c r="G377" s="281" t="str">
        <f>IFERROR(__xludf.DUMMYFUNCTION("""COMPUTED_VALUE"""),"➖")</f>
        <v>➖</v>
      </c>
      <c r="H377" s="281" t="str">
        <f>IFERROR(__xludf.DUMMYFUNCTION("""COMPUTED_VALUE"""),"➖")</f>
        <v>➖</v>
      </c>
      <c r="I377" s="281" t="str">
        <f>IFERROR(__xludf.DUMMYFUNCTION("""COMPUTED_VALUE"""),"➖")</f>
        <v>➖</v>
      </c>
      <c r="J377" s="281" t="str">
        <f>IFERROR(__xludf.DUMMYFUNCTION("""COMPUTED_VALUE"""),"➖")</f>
        <v>➖</v>
      </c>
      <c r="K377" s="282" t="str">
        <f>IFERROR(__xludf.DUMMYFUNCTION("""COMPUTED_VALUE"""),"➖")</f>
        <v>➖</v>
      </c>
      <c r="L377" s="282" t="str">
        <f>IFERROR(__xludf.DUMMYFUNCTION("""COMPUTED_VALUE"""),"➖")</f>
        <v>➖</v>
      </c>
      <c r="M377" s="282" t="str">
        <f>IFERROR(__xludf.DUMMYFUNCTION("""COMPUTED_VALUE"""),"➖")</f>
        <v>➖</v>
      </c>
      <c r="N377" s="282" t="str">
        <f>IFERROR(__xludf.DUMMYFUNCTION("""COMPUTED_VALUE"""),"✴️")</f>
        <v>✴️</v>
      </c>
      <c r="O377" s="282" t="str">
        <f>IFERROR(__xludf.DUMMYFUNCTION("""COMPUTED_VALUE"""),"➖")</f>
        <v>➖</v>
      </c>
      <c r="P377" s="282" t="str">
        <f>IFERROR(__xludf.DUMMYFUNCTION("""COMPUTED_VALUE"""),"➖")</f>
        <v>➖</v>
      </c>
      <c r="Q377" s="282" t="str">
        <f>IFERROR(__xludf.DUMMYFUNCTION("""COMPUTED_VALUE"""),"➖")</f>
        <v>➖</v>
      </c>
      <c r="R377" s="283" t="str">
        <f>IFERROR(__xludf.DUMMYFUNCTION("""COMPUTED_VALUE"""),"   ➖")</f>
        <v>➖</v>
      </c>
      <c r="S377" s="284" t="str">
        <f>IFERROR(__xludf.DUMMYFUNCTION("""COMPUTED_VALUE"""),"Borg")</f>
        <v>Borg</v>
      </c>
      <c r="T377" s="285" t="str">
        <f>IFERROR(__xludf.DUMMYFUNCTION("""COMPUTED_VALUE"""),"➖")</f>
        <v>➖</v>
      </c>
      <c r="U377" s="285" t="str">
        <f>IFERROR(__xludf.DUMMYFUNCTION("""COMPUTED_VALUE"""),"➖")</f>
        <v>➖</v>
      </c>
      <c r="V377" s="259"/>
      <c r="W377" s="286"/>
      <c r="X377" s="286"/>
      <c r="Y377" s="286"/>
    </row>
    <row r="378">
      <c r="A378" s="28"/>
      <c r="B378" s="132"/>
      <c r="C378" s="28"/>
      <c r="D378" s="260" t="str">
        <f>IFERROR(__xludf.DUMMYFUNCTION("""COMPUTED_VALUE"""),"   E")</f>
        <v>E</v>
      </c>
      <c r="E378" s="287" t="str">
        <f>IFERROR(__xludf.DUMMYFUNCTION("""COMPUTED_VALUE"""),"BORG QUEEN")</f>
        <v>BORG QUEEN</v>
      </c>
      <c r="F378" s="270" t="str">
        <f>IFERROR(__xludf.DUMMYFUNCTION("""COMPUTED_VALUE"""),"BDA")</f>
        <v>BDA</v>
      </c>
      <c r="G378" s="231" t="str">
        <f>IFERROR(__xludf.DUMMYFUNCTION("""COMPUTED_VALUE"""),"✴️")</f>
        <v>✴️</v>
      </c>
      <c r="H378" s="231" t="str">
        <f>IFERROR(__xludf.DUMMYFUNCTION("""COMPUTED_VALUE"""),"✴️")</f>
        <v>✴️</v>
      </c>
      <c r="I378" s="231" t="str">
        <f>IFERROR(__xludf.DUMMYFUNCTION("""COMPUTED_VALUE"""),"➖")</f>
        <v>➖</v>
      </c>
      <c r="J378" s="231" t="str">
        <f>IFERROR(__xludf.DUMMYFUNCTION("""COMPUTED_VALUE"""),"➖")</f>
        <v>➖</v>
      </c>
      <c r="K378" s="288" t="str">
        <f>IFERROR(__xludf.DUMMYFUNCTION("""COMPUTED_VALUE"""),"➖")</f>
        <v>➖</v>
      </c>
      <c r="L378" s="288" t="str">
        <f>IFERROR(__xludf.DUMMYFUNCTION("""COMPUTED_VALUE"""),"➖")</f>
        <v>➖</v>
      </c>
      <c r="M378" s="288" t="str">
        <f>IFERROR(__xludf.DUMMYFUNCTION("""COMPUTED_VALUE"""),"➖")</f>
        <v>➖</v>
      </c>
      <c r="N378" s="288" t="str">
        <f>IFERROR(__xludf.DUMMYFUNCTION("""COMPUTED_VALUE"""),"➖")</f>
        <v>➖</v>
      </c>
      <c r="O378" s="288" t="str">
        <f>IFERROR(__xludf.DUMMYFUNCTION("""COMPUTED_VALUE"""),"➖")</f>
        <v>➖</v>
      </c>
      <c r="P378" s="288" t="str">
        <f>IFERROR(__xludf.DUMMYFUNCTION("""COMPUTED_VALUE"""),"➖")</f>
        <v>➖</v>
      </c>
      <c r="Q378" s="288" t="str">
        <f>IFERROR(__xludf.DUMMYFUNCTION("""COMPUTED_VALUE"""),"➖")</f>
        <v>➖</v>
      </c>
      <c r="R378" s="257" t="str">
        <f>IFERROR(__xludf.DUMMYFUNCTION("""COMPUTED_VALUE"""),"   ➖")</f>
        <v>➖</v>
      </c>
      <c r="S378" s="258" t="str">
        <f>IFERROR(__xludf.DUMMYFUNCTION("""COMPUTED_VALUE"""),"TargetHasAssimilated")</f>
        <v>TargetHasAssimilated</v>
      </c>
      <c r="T378" s="255" t="str">
        <f>IFERROR(__xludf.DUMMYFUNCTION("""COMPUTED_VALUE"""),"➖")</f>
        <v>➖</v>
      </c>
      <c r="U378" s="255" t="str">
        <f>IFERROR(__xludf.DUMMYFUNCTION("""COMPUTED_VALUE"""),"➖")</f>
        <v>➖</v>
      </c>
      <c r="V378" s="259"/>
      <c r="W378" s="286"/>
      <c r="X378" s="286"/>
      <c r="Y378" s="286"/>
    </row>
    <row r="379">
      <c r="A379" s="28"/>
      <c r="B379" s="128"/>
      <c r="C379" s="28"/>
      <c r="D379" s="250" t="str">
        <f>IFERROR(__xludf.DUMMYFUNCTION("""COMPUTED_VALUE"""),"   R")</f>
        <v>R</v>
      </c>
      <c r="E379" s="280" t="str">
        <f>IFERROR(__xludf.DUMMYFUNCTION("""COMPUTED_VALUE"""),"DEZOC")</f>
        <v>DEZOC</v>
      </c>
      <c r="F379" s="271" t="str">
        <f>IFERROR(__xludf.DUMMYFUNCTION("""COMPUTED_VALUE"""),"OA")</f>
        <v>OA</v>
      </c>
      <c r="G379" s="281" t="str">
        <f>IFERROR(__xludf.DUMMYFUNCTION("""COMPUTED_VALUE"""),"➖")</f>
        <v>➖</v>
      </c>
      <c r="H379" s="281" t="str">
        <f>IFERROR(__xludf.DUMMYFUNCTION("""COMPUTED_VALUE"""),"➖")</f>
        <v>➖</v>
      </c>
      <c r="I379" s="281" t="str">
        <f>IFERROR(__xludf.DUMMYFUNCTION("""COMPUTED_VALUE"""),"➖")</f>
        <v>➖</v>
      </c>
      <c r="J379" s="281" t="str">
        <f>IFERROR(__xludf.DUMMYFUNCTION("""COMPUTED_VALUE"""),"➖")</f>
        <v>➖</v>
      </c>
      <c r="K379" s="282" t="str">
        <f>IFERROR(__xludf.DUMMYFUNCTION("""COMPUTED_VALUE"""),"➖")</f>
        <v>➖</v>
      </c>
      <c r="L379" s="282" t="str">
        <f>IFERROR(__xludf.DUMMYFUNCTION("""COMPUTED_VALUE"""),"➖")</f>
        <v>➖</v>
      </c>
      <c r="M379" s="282" t="str">
        <f>IFERROR(__xludf.DUMMYFUNCTION("""COMPUTED_VALUE"""),"➖")</f>
        <v>➖</v>
      </c>
      <c r="N379" s="282" t="str">
        <f>IFERROR(__xludf.DUMMYFUNCTION("""COMPUTED_VALUE"""),"✴️")</f>
        <v>✴️</v>
      </c>
      <c r="O379" s="282" t="str">
        <f>IFERROR(__xludf.DUMMYFUNCTION("""COMPUTED_VALUE"""),"➖")</f>
        <v>➖</v>
      </c>
      <c r="P379" s="282" t="str">
        <f>IFERROR(__xludf.DUMMYFUNCTION("""COMPUTED_VALUE"""),"➖")</f>
        <v>➖</v>
      </c>
      <c r="Q379" s="282" t="str">
        <f>IFERROR(__xludf.DUMMYFUNCTION("""COMPUTED_VALUE"""),"➖")</f>
        <v>➖</v>
      </c>
      <c r="R379" s="283" t="str">
        <f>IFERROR(__xludf.DUMMYFUNCTION("""COMPUTED_VALUE"""),"   ➖")</f>
        <v>➖</v>
      </c>
      <c r="S379" s="284" t="str">
        <f>IFERROR(__xludf.DUMMYFUNCTION("""COMPUTED_VALUE"""),"Borg")</f>
        <v>Borg</v>
      </c>
      <c r="T379" s="285" t="str">
        <f>IFERROR(__xludf.DUMMYFUNCTION("""COMPUTED_VALUE"""),"➖")</f>
        <v>➖</v>
      </c>
      <c r="U379" s="285" t="str">
        <f>IFERROR(__xludf.DUMMYFUNCTION("""COMPUTED_VALUE"""),"➖")</f>
        <v>➖</v>
      </c>
      <c r="V379" s="259"/>
      <c r="W379" s="286"/>
      <c r="X379" s="286"/>
      <c r="Y379" s="286"/>
    </row>
    <row r="380">
      <c r="A380" s="28"/>
      <c r="B380" s="132"/>
      <c r="C380" s="28"/>
      <c r="D380" s="260" t="str">
        <f>IFERROR(__xludf.DUMMYFUNCTION("""COMPUTED_VALUE"""),"   R")</f>
        <v>R</v>
      </c>
      <c r="E380" s="287" t="str">
        <f>IFERROR(__xludf.DUMMYFUNCTION("""COMPUTED_VALUE"""),"DEZOC")</f>
        <v>DEZOC</v>
      </c>
      <c r="F380" s="270" t="str">
        <f>IFERROR(__xludf.DUMMYFUNCTION("""COMPUTED_VALUE"""),"BDA")</f>
        <v>BDA</v>
      </c>
      <c r="G380" s="231" t="str">
        <f>IFERROR(__xludf.DUMMYFUNCTION("""COMPUTED_VALUE"""),"✴️")</f>
        <v>✴️</v>
      </c>
      <c r="H380" s="231" t="str">
        <f>IFERROR(__xludf.DUMMYFUNCTION("""COMPUTED_VALUE"""),"✴️")</f>
        <v>✴️</v>
      </c>
      <c r="I380" s="231" t="str">
        <f>IFERROR(__xludf.DUMMYFUNCTION("""COMPUTED_VALUE"""),"✴️")</f>
        <v>✴️</v>
      </c>
      <c r="J380" s="231" t="str">
        <f>IFERROR(__xludf.DUMMYFUNCTION("""COMPUTED_VALUE"""),"✴️")</f>
        <v>✴️</v>
      </c>
      <c r="K380" s="288" t="str">
        <f>IFERROR(__xludf.DUMMYFUNCTION("""COMPUTED_VALUE"""),"✴️")</f>
        <v>✴️</v>
      </c>
      <c r="L380" s="288" t="str">
        <f>IFERROR(__xludf.DUMMYFUNCTION("""COMPUTED_VALUE"""),"✴️")</f>
        <v>✴️</v>
      </c>
      <c r="M380" s="288" t="str">
        <f>IFERROR(__xludf.DUMMYFUNCTION("""COMPUTED_VALUE"""),"✴️")</f>
        <v>✴️</v>
      </c>
      <c r="N380" s="288" t="str">
        <f>IFERROR(__xludf.DUMMYFUNCTION("""COMPUTED_VALUE"""),"✴️")</f>
        <v>✴️</v>
      </c>
      <c r="O380" s="288" t="str">
        <f>IFERROR(__xludf.DUMMYFUNCTION("""COMPUTED_VALUE"""),"✴️")</f>
        <v>✴️</v>
      </c>
      <c r="P380" s="288" t="str">
        <f>IFERROR(__xludf.DUMMYFUNCTION("""COMPUTED_VALUE"""),"✴️")</f>
        <v>✴️</v>
      </c>
      <c r="Q380" s="288" t="str">
        <f>IFERROR(__xludf.DUMMYFUNCTION("""COMPUTED_VALUE"""),"✴️")</f>
        <v>✴️</v>
      </c>
      <c r="R380" s="257" t="str">
        <f>IFERROR(__xludf.DUMMYFUNCTION("""COMPUTED_VALUE"""),"   ✴️")</f>
        <v>✴️</v>
      </c>
      <c r="S380" s="258" t="str">
        <f>IFERROR(__xludf.DUMMYFUNCTION("""COMPUTED_VALUE"""),"HullHealthBelow")</f>
        <v>HullHealthBelow</v>
      </c>
      <c r="T380" s="255" t="str">
        <f>IFERROR(__xludf.DUMMYFUNCTION("""COMPUTED_VALUE"""),"➖")</f>
        <v>➖</v>
      </c>
      <c r="U380" s="255" t="str">
        <f>IFERROR(__xludf.DUMMYFUNCTION("""COMPUTED_VALUE"""),"➖")</f>
        <v>➖</v>
      </c>
      <c r="V380" s="259"/>
      <c r="W380" s="286"/>
      <c r="X380" s="286"/>
      <c r="Y380" s="286"/>
    </row>
    <row r="381">
      <c r="A381" s="28"/>
      <c r="B381" s="128"/>
      <c r="C381" s="28"/>
      <c r="D381" s="250" t="str">
        <f>IFERROR(__xludf.DUMMYFUNCTION("""COMPUTED_VALUE"""),"   R")</f>
        <v>R</v>
      </c>
      <c r="E381" s="280" t="str">
        <f>IFERROR(__xludf.DUMMYFUNCTION("""COMPUTED_VALUE"""),"GOSSA")</f>
        <v>GOSSA</v>
      </c>
      <c r="F381" s="271" t="str">
        <f>IFERROR(__xludf.DUMMYFUNCTION("""COMPUTED_VALUE"""),"OA")</f>
        <v>OA</v>
      </c>
      <c r="G381" s="281" t="str">
        <f>IFERROR(__xludf.DUMMYFUNCTION("""COMPUTED_VALUE"""),"➖")</f>
        <v>➖</v>
      </c>
      <c r="H381" s="281" t="str">
        <f>IFERROR(__xludf.DUMMYFUNCTION("""COMPUTED_VALUE"""),"➖")</f>
        <v>➖</v>
      </c>
      <c r="I381" s="281" t="str">
        <f>IFERROR(__xludf.DUMMYFUNCTION("""COMPUTED_VALUE"""),"➖")</f>
        <v>➖</v>
      </c>
      <c r="J381" s="281" t="str">
        <f>IFERROR(__xludf.DUMMYFUNCTION("""COMPUTED_VALUE"""),"➖")</f>
        <v>➖</v>
      </c>
      <c r="K381" s="282" t="str">
        <f>IFERROR(__xludf.DUMMYFUNCTION("""COMPUTED_VALUE"""),"➖")</f>
        <v>➖</v>
      </c>
      <c r="L381" s="282" t="str">
        <f>IFERROR(__xludf.DUMMYFUNCTION("""COMPUTED_VALUE"""),"➖")</f>
        <v>➖</v>
      </c>
      <c r="M381" s="282" t="str">
        <f>IFERROR(__xludf.DUMMYFUNCTION("""COMPUTED_VALUE"""),"➖")</f>
        <v>➖</v>
      </c>
      <c r="N381" s="282" t="str">
        <f>IFERROR(__xludf.DUMMYFUNCTION("""COMPUTED_VALUE"""),"✴️")</f>
        <v>✴️</v>
      </c>
      <c r="O381" s="282" t="str">
        <f>IFERROR(__xludf.DUMMYFUNCTION("""COMPUTED_VALUE"""),"➖")</f>
        <v>➖</v>
      </c>
      <c r="P381" s="282" t="str">
        <f>IFERROR(__xludf.DUMMYFUNCTION("""COMPUTED_VALUE"""),"➖")</f>
        <v>➖</v>
      </c>
      <c r="Q381" s="282" t="str">
        <f>IFERROR(__xludf.DUMMYFUNCTION("""COMPUTED_VALUE"""),"➖")</f>
        <v>➖</v>
      </c>
      <c r="R381" s="283" t="str">
        <f>IFERROR(__xludf.DUMMYFUNCTION("""COMPUTED_VALUE"""),"   ➖")</f>
        <v>➖</v>
      </c>
      <c r="S381" s="284" t="str">
        <f>IFERROR(__xludf.DUMMYFUNCTION("""COMPUTED_VALUE"""),"Borg")</f>
        <v>Borg</v>
      </c>
      <c r="T381" s="285" t="str">
        <f>IFERROR(__xludf.DUMMYFUNCTION("""COMPUTED_VALUE"""),"➖")</f>
        <v>➖</v>
      </c>
      <c r="U381" s="285" t="str">
        <f>IFERROR(__xludf.DUMMYFUNCTION("""COMPUTED_VALUE"""),"➖")</f>
        <v>➖</v>
      </c>
      <c r="V381" s="259"/>
      <c r="W381" s="286"/>
      <c r="X381" s="286"/>
      <c r="Y381" s="286"/>
    </row>
    <row r="382">
      <c r="A382" s="28"/>
      <c r="B382" s="132"/>
      <c r="C382" s="28"/>
      <c r="D382" s="260" t="str">
        <f>IFERROR(__xludf.DUMMYFUNCTION("""COMPUTED_VALUE"""),"   R")</f>
        <v>R</v>
      </c>
      <c r="E382" s="287" t="str">
        <f>IFERROR(__xludf.DUMMYFUNCTION("""COMPUTED_VALUE"""),"GOSSA")</f>
        <v>GOSSA</v>
      </c>
      <c r="F382" s="270" t="str">
        <f>IFERROR(__xludf.DUMMYFUNCTION("""COMPUTED_VALUE"""),"BDA")</f>
        <v>BDA</v>
      </c>
      <c r="G382" s="231" t="str">
        <f>IFERROR(__xludf.DUMMYFUNCTION("""COMPUTED_VALUE"""),"✴️")</f>
        <v>✴️</v>
      </c>
      <c r="H382" s="231" t="str">
        <f>IFERROR(__xludf.DUMMYFUNCTION("""COMPUTED_VALUE"""),"✴️")</f>
        <v>✴️</v>
      </c>
      <c r="I382" s="231" t="str">
        <f>IFERROR(__xludf.DUMMYFUNCTION("""COMPUTED_VALUE"""),"➖")</f>
        <v>➖</v>
      </c>
      <c r="J382" s="231" t="str">
        <f>IFERROR(__xludf.DUMMYFUNCTION("""COMPUTED_VALUE"""),"➖")</f>
        <v>➖</v>
      </c>
      <c r="K382" s="288" t="str">
        <f>IFERROR(__xludf.DUMMYFUNCTION("""COMPUTED_VALUE"""),"➖")</f>
        <v>➖</v>
      </c>
      <c r="L382" s="288" t="str">
        <f>IFERROR(__xludf.DUMMYFUNCTION("""COMPUTED_VALUE"""),"➖")</f>
        <v>➖</v>
      </c>
      <c r="M382" s="288" t="str">
        <f>IFERROR(__xludf.DUMMYFUNCTION("""COMPUTED_VALUE"""),"➖")</f>
        <v>➖</v>
      </c>
      <c r="N382" s="288" t="str">
        <f>IFERROR(__xludf.DUMMYFUNCTION("""COMPUTED_VALUE"""),"➖")</f>
        <v>➖</v>
      </c>
      <c r="O382" s="288" t="str">
        <f>IFERROR(__xludf.DUMMYFUNCTION("""COMPUTED_VALUE"""),"➖")</f>
        <v>➖</v>
      </c>
      <c r="P382" s="288" t="str">
        <f>IFERROR(__xludf.DUMMYFUNCTION("""COMPUTED_VALUE"""),"➖")</f>
        <v>➖</v>
      </c>
      <c r="Q382" s="288" t="str">
        <f>IFERROR(__xludf.DUMMYFUNCTION("""COMPUTED_VALUE"""),"➖")</f>
        <v>➖</v>
      </c>
      <c r="R382" s="257" t="str">
        <f>IFERROR(__xludf.DUMMYFUNCTION("""COMPUTED_VALUE"""),"   ➖")</f>
        <v>➖</v>
      </c>
      <c r="S382" s="258" t="str">
        <f>IFERROR(__xludf.DUMMYFUNCTION("""COMPUTED_VALUE"""),"TargetHasAssimilated")</f>
        <v>TargetHasAssimilated</v>
      </c>
      <c r="T382" s="255" t="str">
        <f>IFERROR(__xludf.DUMMYFUNCTION("""COMPUTED_VALUE"""),"➖")</f>
        <v>➖</v>
      </c>
      <c r="U382" s="255" t="str">
        <f>IFERROR(__xludf.DUMMYFUNCTION("""COMPUTED_VALUE"""),"➖")</f>
        <v>➖</v>
      </c>
      <c r="V382" s="259"/>
      <c r="W382" s="286"/>
      <c r="X382" s="286"/>
      <c r="Y382" s="286"/>
    </row>
    <row r="383">
      <c r="A383" s="28"/>
      <c r="B383" s="128"/>
      <c r="C383" s="28"/>
      <c r="D383" s="250" t="str">
        <f>IFERROR(__xludf.DUMMYFUNCTION("""COMPUTED_VALUE"""),"   E")</f>
        <v>E</v>
      </c>
      <c r="E383" s="280" t="str">
        <f>IFERROR(__xludf.DUMMYFUNCTION("""COMPUTED_VALUE"""),"PIC ADMIRAL PICARD")</f>
        <v>PIC ADMIRAL PICARD</v>
      </c>
      <c r="F383" s="271" t="str">
        <f>IFERROR(__xludf.DUMMYFUNCTION("""COMPUTED_VALUE"""),"CM")</f>
        <v>CM</v>
      </c>
      <c r="G383" s="281" t="str">
        <f>IFERROR(__xludf.DUMMYFUNCTION("""COMPUTED_VALUE"""),"✅")</f>
        <v>✅</v>
      </c>
      <c r="H383" s="281" t="str">
        <f>IFERROR(__xludf.DUMMYFUNCTION("""COMPUTED_VALUE"""),"✅")</f>
        <v>✅</v>
      </c>
      <c r="I383" s="281" t="str">
        <f>IFERROR(__xludf.DUMMYFUNCTION("""COMPUTED_VALUE"""),"➖")</f>
        <v>➖</v>
      </c>
      <c r="J383" s="281" t="str">
        <f>IFERROR(__xludf.DUMMYFUNCTION("""COMPUTED_VALUE"""),"➖")</f>
        <v>➖</v>
      </c>
      <c r="K383" s="282" t="str">
        <f>IFERROR(__xludf.DUMMYFUNCTION("""COMPUTED_VALUE"""),"➖")</f>
        <v>➖</v>
      </c>
      <c r="L383" s="282" t="str">
        <f>IFERROR(__xludf.DUMMYFUNCTION("""COMPUTED_VALUE"""),"➖")</f>
        <v>➖</v>
      </c>
      <c r="M383" s="282" t="str">
        <f>IFERROR(__xludf.DUMMYFUNCTION("""COMPUTED_VALUE"""),"➖")</f>
        <v>➖</v>
      </c>
      <c r="N383" s="282" t="str">
        <f>IFERROR(__xludf.DUMMYFUNCTION("""COMPUTED_VALUE"""),"➖")</f>
        <v>➖</v>
      </c>
      <c r="O383" s="282" t="str">
        <f>IFERROR(__xludf.DUMMYFUNCTION("""COMPUTED_VALUE"""),"➖")</f>
        <v>➖</v>
      </c>
      <c r="P383" s="282" t="str">
        <f>IFERROR(__xludf.DUMMYFUNCTION("""COMPUTED_VALUE"""),"➖")</f>
        <v>➖</v>
      </c>
      <c r="Q383" s="282" t="str">
        <f>IFERROR(__xludf.DUMMYFUNCTION("""COMPUTED_VALUE"""),"➖")</f>
        <v>➖</v>
      </c>
      <c r="R383" s="283" t="str">
        <f>IFERROR(__xludf.DUMMYFUNCTION("""COMPUTED_VALUE"""),"   ➖")</f>
        <v>➖</v>
      </c>
      <c r="S383" s="284"/>
      <c r="T383" s="285" t="str">
        <f>IFERROR(__xludf.DUMMYFUNCTION("""COMPUTED_VALUE"""),"➖")</f>
        <v>➖</v>
      </c>
      <c r="U383" s="285" t="str">
        <f>IFERROR(__xludf.DUMMYFUNCTION("""COMPUTED_VALUE"""),"➖")</f>
        <v>➖</v>
      </c>
      <c r="V383" s="259"/>
      <c r="W383" s="286"/>
      <c r="X383" s="286"/>
      <c r="Y383" s="286"/>
    </row>
    <row r="384">
      <c r="A384" s="28"/>
      <c r="B384" s="132"/>
      <c r="C384" s="28"/>
      <c r="D384" s="260" t="str">
        <f>IFERROR(__xludf.DUMMYFUNCTION("""COMPUTED_VALUE"""),"   E")</f>
        <v>E</v>
      </c>
      <c r="E384" s="287" t="str">
        <f>IFERROR(__xludf.DUMMYFUNCTION("""COMPUTED_VALUE"""),"PIC ADMIRAL PICARD")</f>
        <v>PIC ADMIRAL PICARD</v>
      </c>
      <c r="F384" s="270" t="str">
        <f>IFERROR(__xludf.DUMMYFUNCTION("""COMPUTED_VALUE"""),"OA")</f>
        <v>OA</v>
      </c>
      <c r="G384" s="231" t="str">
        <f>IFERROR(__xludf.DUMMYFUNCTION("""COMPUTED_VALUE"""),"✴️")</f>
        <v>✴️</v>
      </c>
      <c r="H384" s="231" t="str">
        <f>IFERROR(__xludf.DUMMYFUNCTION("""COMPUTED_VALUE"""),"✴️")</f>
        <v>✴️</v>
      </c>
      <c r="I384" s="231" t="str">
        <f>IFERROR(__xludf.DUMMYFUNCTION("""COMPUTED_VALUE"""),"➖")</f>
        <v>➖</v>
      </c>
      <c r="J384" s="231" t="str">
        <f>IFERROR(__xludf.DUMMYFUNCTION("""COMPUTED_VALUE"""),"➖")</f>
        <v>➖</v>
      </c>
      <c r="K384" s="288" t="str">
        <f>IFERROR(__xludf.DUMMYFUNCTION("""COMPUTED_VALUE"""),"➖")</f>
        <v>➖</v>
      </c>
      <c r="L384" s="288" t="str">
        <f>IFERROR(__xludf.DUMMYFUNCTION("""COMPUTED_VALUE"""),"➖")</f>
        <v>➖</v>
      </c>
      <c r="M384" s="288" t="str">
        <f>IFERROR(__xludf.DUMMYFUNCTION("""COMPUTED_VALUE"""),"➖")</f>
        <v>➖</v>
      </c>
      <c r="N384" s="288" t="str">
        <f>IFERROR(__xludf.DUMMYFUNCTION("""COMPUTED_VALUE"""),"➖")</f>
        <v>➖</v>
      </c>
      <c r="O384" s="288" t="str">
        <f>IFERROR(__xludf.DUMMYFUNCTION("""COMPUTED_VALUE"""),"➖")</f>
        <v>➖</v>
      </c>
      <c r="P384" s="288" t="str">
        <f>IFERROR(__xludf.DUMMYFUNCTION("""COMPUTED_VALUE"""),"➖")</f>
        <v>➖</v>
      </c>
      <c r="Q384" s="288" t="str">
        <f>IFERROR(__xludf.DUMMYFUNCTION("""COMPUTED_VALUE"""),"➖")</f>
        <v>➖</v>
      </c>
      <c r="R384" s="257" t="str">
        <f>IFERROR(__xludf.DUMMYFUNCTION("""COMPUTED_VALUE"""),"   ➖")</f>
        <v>➖</v>
      </c>
      <c r="S384" s="258" t="str">
        <f>IFERROR(__xludf.DUMMYFUNCTION("""COMPUTED_VALUE"""),"EnemyExplorer")</f>
        <v>EnemyExplorer</v>
      </c>
      <c r="T384" s="255" t="str">
        <f>IFERROR(__xludf.DUMMYFUNCTION("""COMPUTED_VALUE"""),"➖")</f>
        <v>➖</v>
      </c>
      <c r="U384" s="255" t="str">
        <f>IFERROR(__xludf.DUMMYFUNCTION("""COMPUTED_VALUE"""),"➖")</f>
        <v>➖</v>
      </c>
      <c r="V384" s="259"/>
      <c r="W384" s="286"/>
      <c r="X384" s="286"/>
      <c r="Y384" s="286"/>
    </row>
    <row r="385">
      <c r="A385" s="28"/>
      <c r="B385" s="128"/>
      <c r="C385" s="28"/>
      <c r="D385" s="250" t="str">
        <f>IFERROR(__xludf.DUMMYFUNCTION("""COMPUTED_VALUE"""),"   R")</f>
        <v>R</v>
      </c>
      <c r="E385" s="280" t="str">
        <f>IFERROR(__xludf.DUMMYFUNCTION("""COMPUTED_VALUE"""),"PIC BEVERLY CRUSHER")</f>
        <v>PIC BEVERLY CRUSHER</v>
      </c>
      <c r="F385" s="271" t="str">
        <f>IFERROR(__xludf.DUMMYFUNCTION("""COMPUTED_VALUE"""),"OA")</f>
        <v>OA</v>
      </c>
      <c r="G385" s="281" t="str">
        <f>IFERROR(__xludf.DUMMYFUNCTION("""COMPUTED_VALUE"""),"➖")</f>
        <v>➖</v>
      </c>
      <c r="H385" s="281" t="str">
        <f>IFERROR(__xludf.DUMMYFUNCTION("""COMPUTED_VALUE"""),"➖")</f>
        <v>➖</v>
      </c>
      <c r="I385" s="281" t="str">
        <f>IFERROR(__xludf.DUMMYFUNCTION("""COMPUTED_VALUE"""),"✅")</f>
        <v>✅</v>
      </c>
      <c r="J385" s="281" t="str">
        <f>IFERROR(__xludf.DUMMYFUNCTION("""COMPUTED_VALUE"""),"✅")</f>
        <v>✅</v>
      </c>
      <c r="K385" s="282" t="str">
        <f>IFERROR(__xludf.DUMMYFUNCTION("""COMPUTED_VALUE"""),"✅")</f>
        <v>✅</v>
      </c>
      <c r="L385" s="282" t="str">
        <f>IFERROR(__xludf.DUMMYFUNCTION("""COMPUTED_VALUE"""),"➖")</f>
        <v>➖</v>
      </c>
      <c r="M385" s="282" t="str">
        <f>IFERROR(__xludf.DUMMYFUNCTION("""COMPUTED_VALUE"""),"➖")</f>
        <v>➖</v>
      </c>
      <c r="N385" s="282" t="str">
        <f>IFERROR(__xludf.DUMMYFUNCTION("""COMPUTED_VALUE"""),"➖")</f>
        <v>➖</v>
      </c>
      <c r="O385" s="282" t="str">
        <f>IFERROR(__xludf.DUMMYFUNCTION("""COMPUTED_VALUE"""),"➖")</f>
        <v>➖</v>
      </c>
      <c r="P385" s="282" t="str">
        <f>IFERROR(__xludf.DUMMYFUNCTION("""COMPUTED_VALUE"""),"➖")</f>
        <v>➖</v>
      </c>
      <c r="Q385" s="282" t="str">
        <f>IFERROR(__xludf.DUMMYFUNCTION("""COMPUTED_VALUE"""),"➖")</f>
        <v>➖</v>
      </c>
      <c r="R385" s="283" t="str">
        <f>IFERROR(__xludf.DUMMYFUNCTION("""COMPUTED_VALUE"""),"   ➖")</f>
        <v>➖</v>
      </c>
      <c r="S385" s="284"/>
      <c r="T385" s="285" t="str">
        <f>IFERROR(__xludf.DUMMYFUNCTION("""COMPUTED_VALUE"""),"➖")</f>
        <v>➖</v>
      </c>
      <c r="U385" s="285" t="str">
        <f>IFERROR(__xludf.DUMMYFUNCTION("""COMPUTED_VALUE"""),"➖")</f>
        <v>➖</v>
      </c>
      <c r="V385" s="259"/>
      <c r="W385" s="286"/>
      <c r="X385" s="286"/>
      <c r="Y385" s="286"/>
    </row>
    <row r="386">
      <c r="A386" s="28"/>
      <c r="B386" s="132"/>
      <c r="C386" s="28"/>
      <c r="D386" s="260" t="str">
        <f>IFERROR(__xludf.DUMMYFUNCTION("""COMPUTED_VALUE"""),"   R")</f>
        <v>R</v>
      </c>
      <c r="E386" s="287" t="str">
        <f>IFERROR(__xludf.DUMMYFUNCTION("""COMPUTED_VALUE"""),"PIC BEVERLY CRUSHER")</f>
        <v>PIC BEVERLY CRUSHER</v>
      </c>
      <c r="F386" s="270" t="str">
        <f>IFERROR(__xludf.DUMMYFUNCTION("""COMPUTED_VALUE"""),"BDA")</f>
        <v>BDA</v>
      </c>
      <c r="G386" s="231" t="str">
        <f>IFERROR(__xludf.DUMMYFUNCTION("""COMPUTED_VALUE"""),"➖")</f>
        <v>➖</v>
      </c>
      <c r="H386" s="231" t="str">
        <f>IFERROR(__xludf.DUMMYFUNCTION("""COMPUTED_VALUE"""),"➖")</f>
        <v>➖</v>
      </c>
      <c r="I386" s="231" t="str">
        <f>IFERROR(__xludf.DUMMYFUNCTION("""COMPUTED_VALUE"""),"✴️")</f>
        <v>✴️</v>
      </c>
      <c r="J386" s="231" t="str">
        <f>IFERROR(__xludf.DUMMYFUNCTION("""COMPUTED_VALUE"""),"➖")</f>
        <v>➖</v>
      </c>
      <c r="K386" s="288" t="str">
        <f>IFERROR(__xludf.DUMMYFUNCTION("""COMPUTED_VALUE"""),"➖")</f>
        <v>➖</v>
      </c>
      <c r="L386" s="288" t="str">
        <f>IFERROR(__xludf.DUMMYFUNCTION("""COMPUTED_VALUE"""),"➖")</f>
        <v>➖</v>
      </c>
      <c r="M386" s="288" t="str">
        <f>IFERROR(__xludf.DUMMYFUNCTION("""COMPUTED_VALUE"""),"➖")</f>
        <v>➖</v>
      </c>
      <c r="N386" s="288" t="str">
        <f>IFERROR(__xludf.DUMMYFUNCTION("""COMPUTED_VALUE"""),"➖")</f>
        <v>➖</v>
      </c>
      <c r="O386" s="288" t="str">
        <f>IFERROR(__xludf.DUMMYFUNCTION("""COMPUTED_VALUE"""),"➖")</f>
        <v>➖</v>
      </c>
      <c r="P386" s="288" t="str">
        <f>IFERROR(__xludf.DUMMYFUNCTION("""COMPUTED_VALUE"""),"➖")</f>
        <v>➖</v>
      </c>
      <c r="Q386" s="288" t="str">
        <f>IFERROR(__xludf.DUMMYFUNCTION("""COMPUTED_VALUE"""),"➖")</f>
        <v>➖</v>
      </c>
      <c r="R386" s="257" t="str">
        <f>IFERROR(__xludf.DUMMYFUNCTION("""COMPUTED_VALUE"""),"   ➖")</f>
        <v>➖</v>
      </c>
      <c r="S386" s="258" t="str">
        <f>IFERROR(__xludf.DUMMYFUNCTION("""COMPUTED_VALUE"""),"BrokenShipPartsLoot")</f>
        <v>BrokenShipPartsLoot</v>
      </c>
      <c r="T386" s="255" t="str">
        <f>IFERROR(__xludf.DUMMYFUNCTION("""COMPUTED_VALUE"""),"✅")</f>
        <v>✅</v>
      </c>
      <c r="U386" s="255" t="str">
        <f>IFERROR(__xludf.DUMMYFUNCTION("""COMPUTED_VALUE"""),"➖")</f>
        <v>➖</v>
      </c>
      <c r="V386" s="259"/>
      <c r="W386" s="286"/>
      <c r="X386" s="286"/>
      <c r="Y386" s="286"/>
    </row>
    <row r="387">
      <c r="A387" s="28"/>
      <c r="B387" s="128"/>
      <c r="C387" s="28"/>
      <c r="D387" s="250" t="str">
        <f>IFERROR(__xludf.DUMMYFUNCTION("""COMPUTED_VALUE"""),"   E")</f>
        <v>E</v>
      </c>
      <c r="E387" s="280" t="str">
        <f>IFERROR(__xludf.DUMMYFUNCTION("""COMPUTED_VALUE"""),"PIC WORF")</f>
        <v>PIC WORF</v>
      </c>
      <c r="F387" s="271" t="str">
        <f>IFERROR(__xludf.DUMMYFUNCTION("""COMPUTED_VALUE"""),"CM")</f>
        <v>CM</v>
      </c>
      <c r="G387" s="281" t="str">
        <f>IFERROR(__xludf.DUMMYFUNCTION("""COMPUTED_VALUE"""),"✅")</f>
        <v>✅</v>
      </c>
      <c r="H387" s="281" t="str">
        <f>IFERROR(__xludf.DUMMYFUNCTION("""COMPUTED_VALUE"""),"✅")</f>
        <v>✅</v>
      </c>
      <c r="I387" s="281" t="str">
        <f>IFERROR(__xludf.DUMMYFUNCTION("""COMPUTED_VALUE"""),"➖")</f>
        <v>➖</v>
      </c>
      <c r="J387" s="281" t="str">
        <f>IFERROR(__xludf.DUMMYFUNCTION("""COMPUTED_VALUE"""),"➖")</f>
        <v>➖</v>
      </c>
      <c r="K387" s="282" t="str">
        <f>IFERROR(__xludf.DUMMYFUNCTION("""COMPUTED_VALUE"""),"➖")</f>
        <v>➖</v>
      </c>
      <c r="L387" s="282" t="str">
        <f>IFERROR(__xludf.DUMMYFUNCTION("""COMPUTED_VALUE"""),"➖")</f>
        <v>➖</v>
      </c>
      <c r="M387" s="282" t="str">
        <f>IFERROR(__xludf.DUMMYFUNCTION("""COMPUTED_VALUE"""),"➖")</f>
        <v>➖</v>
      </c>
      <c r="N387" s="282" t="str">
        <f>IFERROR(__xludf.DUMMYFUNCTION("""COMPUTED_VALUE"""),"➖")</f>
        <v>➖</v>
      </c>
      <c r="O387" s="282" t="str">
        <f>IFERROR(__xludf.DUMMYFUNCTION("""COMPUTED_VALUE"""),"➖")</f>
        <v>➖</v>
      </c>
      <c r="P387" s="282" t="str">
        <f>IFERROR(__xludf.DUMMYFUNCTION("""COMPUTED_VALUE"""),"➖")</f>
        <v>➖</v>
      </c>
      <c r="Q387" s="282" t="str">
        <f>IFERROR(__xludf.DUMMYFUNCTION("""COMPUTED_VALUE"""),"➖")</f>
        <v>➖</v>
      </c>
      <c r="R387" s="283" t="str">
        <f>IFERROR(__xludf.DUMMYFUNCTION("""COMPUTED_VALUE"""),"   ➖")</f>
        <v>➖</v>
      </c>
      <c r="S387" s="284"/>
      <c r="T387" s="285" t="str">
        <f>IFERROR(__xludf.DUMMYFUNCTION("""COMPUTED_VALUE"""),"➖")</f>
        <v>➖</v>
      </c>
      <c r="U387" s="285" t="str">
        <f>IFERROR(__xludf.DUMMYFUNCTION("""COMPUTED_VALUE"""),"➖")</f>
        <v>➖</v>
      </c>
      <c r="V387" s="259"/>
      <c r="W387" s="286"/>
      <c r="X387" s="286"/>
      <c r="Y387" s="286"/>
    </row>
    <row r="388">
      <c r="A388" s="28"/>
      <c r="B388" s="132"/>
      <c r="C388" s="28"/>
      <c r="D388" s="260" t="str">
        <f>IFERROR(__xludf.DUMMYFUNCTION("""COMPUTED_VALUE"""),"   E")</f>
        <v>E</v>
      </c>
      <c r="E388" s="287" t="str">
        <f>IFERROR(__xludf.DUMMYFUNCTION("""COMPUTED_VALUE"""),"PIC WORF")</f>
        <v>PIC WORF</v>
      </c>
      <c r="F388" s="270" t="str">
        <f>IFERROR(__xludf.DUMMYFUNCTION("""COMPUTED_VALUE"""),"OA")</f>
        <v>OA</v>
      </c>
      <c r="G388" s="231" t="str">
        <f>IFERROR(__xludf.DUMMYFUNCTION("""COMPUTED_VALUE"""),"✴️")</f>
        <v>✴️</v>
      </c>
      <c r="H388" s="231" t="str">
        <f>IFERROR(__xludf.DUMMYFUNCTION("""COMPUTED_VALUE"""),"✴️")</f>
        <v>✴️</v>
      </c>
      <c r="I388" s="231" t="str">
        <f>IFERROR(__xludf.DUMMYFUNCTION("""COMPUTED_VALUE"""),"➖")</f>
        <v>➖</v>
      </c>
      <c r="J388" s="231" t="str">
        <f>IFERROR(__xludf.DUMMYFUNCTION("""COMPUTED_VALUE"""),"➖")</f>
        <v>➖</v>
      </c>
      <c r="K388" s="288" t="str">
        <f>IFERROR(__xludf.DUMMYFUNCTION("""COMPUTED_VALUE"""),"➖")</f>
        <v>➖</v>
      </c>
      <c r="L388" s="288" t="str">
        <f>IFERROR(__xludf.DUMMYFUNCTION("""COMPUTED_VALUE"""),"➖")</f>
        <v>➖</v>
      </c>
      <c r="M388" s="288" t="str">
        <f>IFERROR(__xludf.DUMMYFUNCTION("""COMPUTED_VALUE"""),"➖")</f>
        <v>➖</v>
      </c>
      <c r="N388" s="288" t="str">
        <f>IFERROR(__xludf.DUMMYFUNCTION("""COMPUTED_VALUE"""),"➖")</f>
        <v>➖</v>
      </c>
      <c r="O388" s="288" t="str">
        <f>IFERROR(__xludf.DUMMYFUNCTION("""COMPUTED_VALUE"""),"➖")</f>
        <v>➖</v>
      </c>
      <c r="P388" s="288" t="str">
        <f>IFERROR(__xludf.DUMMYFUNCTION("""COMPUTED_VALUE"""),"➖")</f>
        <v>➖</v>
      </c>
      <c r="Q388" s="288" t="str">
        <f>IFERROR(__xludf.DUMMYFUNCTION("""COMPUTED_VALUE"""),"➖")</f>
        <v>➖</v>
      </c>
      <c r="R388" s="257" t="str">
        <f>IFERROR(__xludf.DUMMYFUNCTION("""COMPUTED_VALUE"""),"   ➖")</f>
        <v>➖</v>
      </c>
      <c r="S388" s="258" t="str">
        <f>IFERROR(__xludf.DUMMYFUNCTION("""COMPUTED_VALUE"""),"EnemyInterceptor")</f>
        <v>EnemyInterceptor</v>
      </c>
      <c r="T388" s="255" t="str">
        <f>IFERROR(__xludf.DUMMYFUNCTION("""COMPUTED_VALUE"""),"➖")</f>
        <v>➖</v>
      </c>
      <c r="U388" s="255" t="str">
        <f>IFERROR(__xludf.DUMMYFUNCTION("""COMPUTED_VALUE"""),"➖")</f>
        <v>➖</v>
      </c>
      <c r="V388" s="259"/>
      <c r="W388" s="286"/>
      <c r="X388" s="286"/>
      <c r="Y388" s="286"/>
    </row>
    <row r="389">
      <c r="A389" s="28"/>
      <c r="B389" s="128"/>
      <c r="C389" s="28"/>
      <c r="D389" s="250" t="str">
        <f>IFERROR(__xludf.DUMMYFUNCTION("""COMPUTED_VALUE"""),"   E")</f>
        <v>E</v>
      </c>
      <c r="E389" s="280" t="str">
        <f>IFERROR(__xludf.DUMMYFUNCTION("""COMPUTED_VALUE"""),"PIC RIKER")</f>
        <v>PIC RIKER</v>
      </c>
      <c r="F389" s="271" t="str">
        <f>IFERROR(__xludf.DUMMYFUNCTION("""COMPUTED_VALUE"""),"CM")</f>
        <v>CM</v>
      </c>
      <c r="G389" s="281" t="str">
        <f>IFERROR(__xludf.DUMMYFUNCTION("""COMPUTED_VALUE"""),"✅")</f>
        <v>✅</v>
      </c>
      <c r="H389" s="281" t="str">
        <f>IFERROR(__xludf.DUMMYFUNCTION("""COMPUTED_VALUE"""),"✅")</f>
        <v>✅</v>
      </c>
      <c r="I389" s="281" t="str">
        <f>IFERROR(__xludf.DUMMYFUNCTION("""COMPUTED_VALUE"""),"➖")</f>
        <v>➖</v>
      </c>
      <c r="J389" s="281" t="str">
        <f>IFERROR(__xludf.DUMMYFUNCTION("""COMPUTED_VALUE"""),"➖")</f>
        <v>➖</v>
      </c>
      <c r="K389" s="282" t="str">
        <f>IFERROR(__xludf.DUMMYFUNCTION("""COMPUTED_VALUE"""),"➖")</f>
        <v>➖</v>
      </c>
      <c r="L389" s="282" t="str">
        <f>IFERROR(__xludf.DUMMYFUNCTION("""COMPUTED_VALUE"""),"➖")</f>
        <v>➖</v>
      </c>
      <c r="M389" s="282" t="str">
        <f>IFERROR(__xludf.DUMMYFUNCTION("""COMPUTED_VALUE"""),"➖")</f>
        <v>➖</v>
      </c>
      <c r="N389" s="282" t="str">
        <f>IFERROR(__xludf.DUMMYFUNCTION("""COMPUTED_VALUE"""),"➖")</f>
        <v>➖</v>
      </c>
      <c r="O389" s="282" t="str">
        <f>IFERROR(__xludf.DUMMYFUNCTION("""COMPUTED_VALUE"""),"➖")</f>
        <v>➖</v>
      </c>
      <c r="P389" s="282" t="str">
        <f>IFERROR(__xludf.DUMMYFUNCTION("""COMPUTED_VALUE"""),"➖")</f>
        <v>➖</v>
      </c>
      <c r="Q389" s="282" t="str">
        <f>IFERROR(__xludf.DUMMYFUNCTION("""COMPUTED_VALUE"""),"➖")</f>
        <v>➖</v>
      </c>
      <c r="R389" s="283" t="str">
        <f>IFERROR(__xludf.DUMMYFUNCTION("""COMPUTED_VALUE"""),"   ➖")</f>
        <v>➖</v>
      </c>
      <c r="S389" s="284"/>
      <c r="T389" s="285" t="str">
        <f>IFERROR(__xludf.DUMMYFUNCTION("""COMPUTED_VALUE"""),"➖")</f>
        <v>➖</v>
      </c>
      <c r="U389" s="285" t="str">
        <f>IFERROR(__xludf.DUMMYFUNCTION("""COMPUTED_VALUE"""),"➖")</f>
        <v>➖</v>
      </c>
      <c r="V389" s="259"/>
      <c r="W389" s="286"/>
      <c r="X389" s="286"/>
      <c r="Y389" s="286"/>
    </row>
    <row r="390">
      <c r="A390" s="28"/>
      <c r="B390" s="132"/>
      <c r="C390" s="28"/>
      <c r="D390" s="260" t="str">
        <f>IFERROR(__xludf.DUMMYFUNCTION("""COMPUTED_VALUE"""),"   E")</f>
        <v>E</v>
      </c>
      <c r="E390" s="287" t="str">
        <f>IFERROR(__xludf.DUMMYFUNCTION("""COMPUTED_VALUE"""),"PIC RIKER")</f>
        <v>PIC RIKER</v>
      </c>
      <c r="F390" s="270" t="str">
        <f>IFERROR(__xludf.DUMMYFUNCTION("""COMPUTED_VALUE"""),"OA")</f>
        <v>OA</v>
      </c>
      <c r="G390" s="231" t="str">
        <f>IFERROR(__xludf.DUMMYFUNCTION("""COMPUTED_VALUE"""),"✴️")</f>
        <v>✴️</v>
      </c>
      <c r="H390" s="231" t="str">
        <f>IFERROR(__xludf.DUMMYFUNCTION("""COMPUTED_VALUE"""),"✴️")</f>
        <v>✴️</v>
      </c>
      <c r="I390" s="231" t="str">
        <f>IFERROR(__xludf.DUMMYFUNCTION("""COMPUTED_VALUE"""),"➖")</f>
        <v>➖</v>
      </c>
      <c r="J390" s="231" t="str">
        <f>IFERROR(__xludf.DUMMYFUNCTION("""COMPUTED_VALUE"""),"➖")</f>
        <v>➖</v>
      </c>
      <c r="K390" s="288" t="str">
        <f>IFERROR(__xludf.DUMMYFUNCTION("""COMPUTED_VALUE"""),"➖")</f>
        <v>➖</v>
      </c>
      <c r="L390" s="288" t="str">
        <f>IFERROR(__xludf.DUMMYFUNCTION("""COMPUTED_VALUE"""),"➖")</f>
        <v>➖</v>
      </c>
      <c r="M390" s="288" t="str">
        <f>IFERROR(__xludf.DUMMYFUNCTION("""COMPUTED_VALUE"""),"➖")</f>
        <v>➖</v>
      </c>
      <c r="N390" s="288" t="str">
        <f>IFERROR(__xludf.DUMMYFUNCTION("""COMPUTED_VALUE"""),"➖")</f>
        <v>➖</v>
      </c>
      <c r="O390" s="288" t="str">
        <f>IFERROR(__xludf.DUMMYFUNCTION("""COMPUTED_VALUE"""),"➖")</f>
        <v>➖</v>
      </c>
      <c r="P390" s="288" t="str">
        <f>IFERROR(__xludf.DUMMYFUNCTION("""COMPUTED_VALUE"""),"➖")</f>
        <v>➖</v>
      </c>
      <c r="Q390" s="288" t="str">
        <f>IFERROR(__xludf.DUMMYFUNCTION("""COMPUTED_VALUE"""),"➖")</f>
        <v>➖</v>
      </c>
      <c r="R390" s="257" t="str">
        <f>IFERROR(__xludf.DUMMYFUNCTION("""COMPUTED_VALUE"""),"   ➖")</f>
        <v>➖</v>
      </c>
      <c r="S390" s="258" t="str">
        <f>IFERROR(__xludf.DUMMYFUNCTION("""COMPUTED_VALUE"""),"EnemyBattleship")</f>
        <v>EnemyBattleship</v>
      </c>
      <c r="T390" s="255" t="str">
        <f>IFERROR(__xludf.DUMMYFUNCTION("""COMPUTED_VALUE"""),"➖")</f>
        <v>➖</v>
      </c>
      <c r="U390" s="255" t="str">
        <f>IFERROR(__xludf.DUMMYFUNCTION("""COMPUTED_VALUE"""),"➖")</f>
        <v>➖</v>
      </c>
      <c r="V390" s="259"/>
      <c r="W390" s="286"/>
      <c r="X390" s="286"/>
      <c r="Y390" s="286"/>
    </row>
    <row r="391">
      <c r="A391" s="28"/>
      <c r="B391" s="128"/>
      <c r="C391" s="28"/>
      <c r="D391" s="250" t="str">
        <f>IFERROR(__xludf.DUMMYFUNCTION("""COMPUTED_VALUE"""),"   R")</f>
        <v>R</v>
      </c>
      <c r="E391" s="280" t="str">
        <f>IFERROR(__xludf.DUMMYFUNCTION("""COMPUTED_VALUE"""),"DIXON HILL")</f>
        <v>DIXON HILL</v>
      </c>
      <c r="F391" s="271" t="str">
        <f>IFERROR(__xludf.DUMMYFUNCTION("""COMPUTED_VALUE"""),"OA")</f>
        <v>OA</v>
      </c>
      <c r="G391" s="281" t="str">
        <f>IFERROR(__xludf.DUMMYFUNCTION("""COMPUTED_VALUE"""),"✴️")</f>
        <v>✴️</v>
      </c>
      <c r="H391" s="281" t="str">
        <f>IFERROR(__xludf.DUMMYFUNCTION("""COMPUTED_VALUE"""),"➖")</f>
        <v>➖</v>
      </c>
      <c r="I391" s="281" t="str">
        <f>IFERROR(__xludf.DUMMYFUNCTION("""COMPUTED_VALUE"""),"➖")</f>
        <v>➖</v>
      </c>
      <c r="J391" s="281" t="str">
        <f>IFERROR(__xludf.DUMMYFUNCTION("""COMPUTED_VALUE"""),"➖")</f>
        <v>➖</v>
      </c>
      <c r="K391" s="282" t="str">
        <f>IFERROR(__xludf.DUMMYFUNCTION("""COMPUTED_VALUE"""),"➖")</f>
        <v>➖</v>
      </c>
      <c r="L391" s="282" t="str">
        <f>IFERROR(__xludf.DUMMYFUNCTION("""COMPUTED_VALUE"""),"➖")</f>
        <v>➖</v>
      </c>
      <c r="M391" s="282" t="str">
        <f>IFERROR(__xludf.DUMMYFUNCTION("""COMPUTED_VALUE"""),"➖")</f>
        <v>➖</v>
      </c>
      <c r="N391" s="282" t="str">
        <f>IFERROR(__xludf.DUMMYFUNCTION("""COMPUTED_VALUE"""),"➖")</f>
        <v>➖</v>
      </c>
      <c r="O391" s="282" t="str">
        <f>IFERROR(__xludf.DUMMYFUNCTION("""COMPUTED_VALUE"""),"➖")</f>
        <v>➖</v>
      </c>
      <c r="P391" s="282" t="str">
        <f>IFERROR(__xludf.DUMMYFUNCTION("""COMPUTED_VALUE"""),"➖")</f>
        <v>➖</v>
      </c>
      <c r="Q391" s="282" t="str">
        <f>IFERROR(__xludf.DUMMYFUNCTION("""COMPUTED_VALUE"""),"➖")</f>
        <v>➖</v>
      </c>
      <c r="R391" s="283" t="str">
        <f>IFERROR(__xludf.DUMMYFUNCTION("""COMPUTED_VALUE"""),"   ➖")</f>
        <v>➖</v>
      </c>
      <c r="S391" s="284" t="str">
        <f>IFERROR(__xludf.DUMMYFUNCTION("""COMPUTED_VALUE"""),"on a Mining Node")</f>
        <v>on a Mining Node</v>
      </c>
      <c r="T391" s="285" t="str">
        <f>IFERROR(__xludf.DUMMYFUNCTION("""COMPUTED_VALUE"""),"➖")</f>
        <v>➖</v>
      </c>
      <c r="U391" s="285" t="str">
        <f>IFERROR(__xludf.DUMMYFUNCTION("""COMPUTED_VALUE"""),"➖")</f>
        <v>➖</v>
      </c>
      <c r="V391" s="259"/>
      <c r="W391" s="286"/>
      <c r="X391" s="286"/>
      <c r="Y391" s="286"/>
    </row>
    <row r="392">
      <c r="A392" s="28"/>
      <c r="B392" s="132"/>
      <c r="C392" s="28"/>
      <c r="D392" s="260" t="str">
        <f>IFERROR(__xludf.DUMMYFUNCTION("""COMPUTED_VALUE"""),"   R")</f>
        <v>R</v>
      </c>
      <c r="E392" s="287" t="str">
        <f>IFERROR(__xludf.DUMMYFUNCTION("""COMPUTED_VALUE"""),"DIXON HILL")</f>
        <v>DIXON HILL</v>
      </c>
      <c r="F392" s="270" t="str">
        <f>IFERROR(__xludf.DUMMYFUNCTION("""COMPUTED_VALUE"""),"BDA")</f>
        <v>BDA</v>
      </c>
      <c r="G392" s="231" t="str">
        <f>IFERROR(__xludf.DUMMYFUNCTION("""COMPUTED_VALUE"""),"➖")</f>
        <v>➖</v>
      </c>
      <c r="H392" s="231" t="str">
        <f>IFERROR(__xludf.DUMMYFUNCTION("""COMPUTED_VALUE"""),"➖")</f>
        <v>➖</v>
      </c>
      <c r="I392" s="231" t="str">
        <f>IFERROR(__xludf.DUMMYFUNCTION("""COMPUTED_VALUE"""),"➖")</f>
        <v>➖</v>
      </c>
      <c r="J392" s="231" t="str">
        <f>IFERROR(__xludf.DUMMYFUNCTION("""COMPUTED_VALUE"""),"➖")</f>
        <v>➖</v>
      </c>
      <c r="K392" s="288" t="str">
        <f>IFERROR(__xludf.DUMMYFUNCTION("""COMPUTED_VALUE"""),"➖")</f>
        <v>➖</v>
      </c>
      <c r="L392" s="288" t="str">
        <f>IFERROR(__xludf.DUMMYFUNCTION("""COMPUTED_VALUE"""),"➖")</f>
        <v>➖</v>
      </c>
      <c r="M392" s="288" t="str">
        <f>IFERROR(__xludf.DUMMYFUNCTION("""COMPUTED_VALUE"""),"➖")</f>
        <v>➖</v>
      </c>
      <c r="N392" s="288" t="str">
        <f>IFERROR(__xludf.DUMMYFUNCTION("""COMPUTED_VALUE"""),"➖")</f>
        <v>➖</v>
      </c>
      <c r="O392" s="288" t="str">
        <f>IFERROR(__xludf.DUMMYFUNCTION("""COMPUTED_VALUE"""),"➖")</f>
        <v>➖</v>
      </c>
      <c r="P392" s="288" t="str">
        <f>IFERROR(__xludf.DUMMYFUNCTION("""COMPUTED_VALUE"""),"➖")</f>
        <v>➖</v>
      </c>
      <c r="Q392" s="288" t="str">
        <f>IFERROR(__xludf.DUMMYFUNCTION("""COMPUTED_VALUE"""),"➖")</f>
        <v>➖</v>
      </c>
      <c r="R392" s="257" t="str">
        <f>IFERROR(__xludf.DUMMYFUNCTION("""COMPUTED_VALUE"""),"   ➖")</f>
        <v>➖</v>
      </c>
      <c r="S392" s="258"/>
      <c r="T392" s="255" t="str">
        <f>IFERROR(__xludf.DUMMYFUNCTION("""COMPUTED_VALUE"""),"➖")</f>
        <v>➖</v>
      </c>
      <c r="U392" s="255" t="str">
        <f>IFERROR(__xludf.DUMMYFUNCTION("""COMPUTED_VALUE"""),"✅")</f>
        <v>✅</v>
      </c>
      <c r="V392" s="259"/>
      <c r="W392" s="286"/>
      <c r="X392" s="286"/>
      <c r="Y392" s="286"/>
    </row>
    <row r="393">
      <c r="A393" s="28"/>
      <c r="B393" s="128"/>
      <c r="C393" s="28"/>
      <c r="D393" s="250" t="str">
        <f>IFERROR(__xludf.DUMMYFUNCTION("""COMPUTED_VALUE"""),"   E")</f>
        <v>E</v>
      </c>
      <c r="E393" s="280" t="str">
        <f>IFERROR(__xludf.DUMMYFUNCTION("""COMPUTED_VALUE"""),"THE DOCTOR")</f>
        <v>THE DOCTOR</v>
      </c>
      <c r="F393" s="271" t="str">
        <f>IFERROR(__xludf.DUMMYFUNCTION("""COMPUTED_VALUE"""),"OA")</f>
        <v>OA</v>
      </c>
      <c r="G393" s="281" t="str">
        <f>IFERROR(__xludf.DUMMYFUNCTION("""COMPUTED_VALUE"""),"➖")</f>
        <v>➖</v>
      </c>
      <c r="H393" s="281" t="str">
        <f>IFERROR(__xludf.DUMMYFUNCTION("""COMPUTED_VALUE"""),"➖")</f>
        <v>➖</v>
      </c>
      <c r="I393" s="281" t="str">
        <f>IFERROR(__xludf.DUMMYFUNCTION("""COMPUTED_VALUE"""),"✅")</f>
        <v>✅</v>
      </c>
      <c r="J393" s="281" t="str">
        <f>IFERROR(__xludf.DUMMYFUNCTION("""COMPUTED_VALUE"""),"✅")</f>
        <v>✅</v>
      </c>
      <c r="K393" s="282" t="str">
        <f>IFERROR(__xludf.DUMMYFUNCTION("""COMPUTED_VALUE"""),"✅")</f>
        <v>✅</v>
      </c>
      <c r="L393" s="282" t="str">
        <f>IFERROR(__xludf.DUMMYFUNCTION("""COMPUTED_VALUE"""),"➖")</f>
        <v>➖</v>
      </c>
      <c r="M393" s="282" t="str">
        <f>IFERROR(__xludf.DUMMYFUNCTION("""COMPUTED_VALUE"""),"✅")</f>
        <v>✅</v>
      </c>
      <c r="N393" s="282" t="str">
        <f>IFERROR(__xludf.DUMMYFUNCTION("""COMPUTED_VALUE"""),"✅")</f>
        <v>✅</v>
      </c>
      <c r="O393" s="282" t="str">
        <f>IFERROR(__xludf.DUMMYFUNCTION("""COMPUTED_VALUE"""),"✅")</f>
        <v>✅</v>
      </c>
      <c r="P393" s="282" t="str">
        <f>IFERROR(__xludf.DUMMYFUNCTION("""COMPUTED_VALUE"""),"➖")</f>
        <v>➖</v>
      </c>
      <c r="Q393" s="282" t="str">
        <f>IFERROR(__xludf.DUMMYFUNCTION("""COMPUTED_VALUE"""),"➖")</f>
        <v>➖</v>
      </c>
      <c r="R393" s="283" t="str">
        <f>IFERROR(__xludf.DUMMYFUNCTION("""COMPUTED_VALUE"""),"   ➖")</f>
        <v>➖</v>
      </c>
      <c r="S393" s="284"/>
      <c r="T393" s="285" t="str">
        <f>IFERROR(__xludf.DUMMYFUNCTION("""COMPUTED_VALUE"""),"➖")</f>
        <v>➖</v>
      </c>
      <c r="U393" s="285" t="str">
        <f>IFERROR(__xludf.DUMMYFUNCTION("""COMPUTED_VALUE"""),"➖")</f>
        <v>➖</v>
      </c>
      <c r="V393" s="259"/>
      <c r="W393" s="286"/>
      <c r="X393" s="286"/>
      <c r="Y393" s="286"/>
    </row>
    <row r="394">
      <c r="A394" s="28"/>
      <c r="B394" s="132"/>
      <c r="C394" s="28"/>
      <c r="D394" s="260" t="str">
        <f>IFERROR(__xludf.DUMMYFUNCTION("""COMPUTED_VALUE"""),"   E")</f>
        <v>E</v>
      </c>
      <c r="E394" s="287" t="str">
        <f>IFERROR(__xludf.DUMMYFUNCTION("""COMPUTED_VALUE"""),"THE DOCTOR")</f>
        <v>THE DOCTOR</v>
      </c>
      <c r="F394" s="270" t="str">
        <f>IFERROR(__xludf.DUMMYFUNCTION("""COMPUTED_VALUE"""),"BDA")</f>
        <v>BDA</v>
      </c>
      <c r="G394" s="231" t="str">
        <f>IFERROR(__xludf.DUMMYFUNCTION("""COMPUTED_VALUE"""),"➖")</f>
        <v>➖</v>
      </c>
      <c r="H394" s="231" t="str">
        <f>IFERROR(__xludf.DUMMYFUNCTION("""COMPUTED_VALUE"""),"➖")</f>
        <v>➖</v>
      </c>
      <c r="I394" s="231" t="str">
        <f>IFERROR(__xludf.DUMMYFUNCTION("""COMPUTED_VALUE"""),"✅")</f>
        <v>✅</v>
      </c>
      <c r="J394" s="231" t="str">
        <f>IFERROR(__xludf.DUMMYFUNCTION("""COMPUTED_VALUE"""),"➖")</f>
        <v>➖</v>
      </c>
      <c r="K394" s="288" t="str">
        <f>IFERROR(__xludf.DUMMYFUNCTION("""COMPUTED_VALUE"""),"➖")</f>
        <v>➖</v>
      </c>
      <c r="L394" s="288" t="str">
        <f>IFERROR(__xludf.DUMMYFUNCTION("""COMPUTED_VALUE"""),"➖")</f>
        <v>➖</v>
      </c>
      <c r="M394" s="288" t="str">
        <f>IFERROR(__xludf.DUMMYFUNCTION("""COMPUTED_VALUE"""),"✅")</f>
        <v>✅</v>
      </c>
      <c r="N394" s="288" t="str">
        <f>IFERROR(__xludf.DUMMYFUNCTION("""COMPUTED_VALUE"""),"✅")</f>
        <v>✅</v>
      </c>
      <c r="O394" s="288" t="str">
        <f>IFERROR(__xludf.DUMMYFUNCTION("""COMPUTED_VALUE"""),"✅")</f>
        <v>✅</v>
      </c>
      <c r="P394" s="288" t="str">
        <f>IFERROR(__xludf.DUMMYFUNCTION("""COMPUTED_VALUE"""),"➖")</f>
        <v>➖</v>
      </c>
      <c r="Q394" s="288" t="str">
        <f>IFERROR(__xludf.DUMMYFUNCTION("""COMPUTED_VALUE"""),"✅")</f>
        <v>✅</v>
      </c>
      <c r="R394" s="257" t="str">
        <f>IFERROR(__xludf.DUMMYFUNCTION("""COMPUTED_VALUE"""),"   ✅")</f>
        <v>✅</v>
      </c>
      <c r="S394" s="258"/>
      <c r="T394" s="255" t="str">
        <f>IFERROR(__xludf.DUMMYFUNCTION("""COMPUTED_VALUE"""),"✅")</f>
        <v>✅</v>
      </c>
      <c r="U394" s="255" t="str">
        <f>IFERROR(__xludf.DUMMYFUNCTION("""COMPUTED_VALUE"""),"➖")</f>
        <v>➖</v>
      </c>
      <c r="V394" s="259"/>
      <c r="W394" s="286"/>
      <c r="X394" s="286"/>
      <c r="Y394" s="286"/>
    </row>
    <row r="395">
      <c r="A395" s="28"/>
      <c r="B395" s="128"/>
      <c r="C395" s="28"/>
      <c r="D395" s="250" t="str">
        <f>IFERROR(__xludf.DUMMYFUNCTION("""COMPUTED_VALUE"""),"   R")</f>
        <v>R</v>
      </c>
      <c r="E395" s="280" t="str">
        <f>IFERROR(__xludf.DUMMYFUNCTION("""COMPUTED_VALUE"""),"B'ELANNA TORRES")</f>
        <v>B'ELANNA TORRES</v>
      </c>
      <c r="F395" s="271" t="str">
        <f>IFERROR(__xludf.DUMMYFUNCTION("""COMPUTED_VALUE"""),"OA")</f>
        <v>OA</v>
      </c>
      <c r="G395" s="281" t="str">
        <f>IFERROR(__xludf.DUMMYFUNCTION("""COMPUTED_VALUE"""),"➖")</f>
        <v>➖</v>
      </c>
      <c r="H395" s="281" t="str">
        <f>IFERROR(__xludf.DUMMYFUNCTION("""COMPUTED_VALUE"""),"➖")</f>
        <v>➖</v>
      </c>
      <c r="I395" s="281" t="str">
        <f>IFERROR(__xludf.DUMMYFUNCTION("""COMPUTED_VALUE"""),"✅")</f>
        <v>✅</v>
      </c>
      <c r="J395" s="281" t="str">
        <f>IFERROR(__xludf.DUMMYFUNCTION("""COMPUTED_VALUE"""),"✅")</f>
        <v>✅</v>
      </c>
      <c r="K395" s="282" t="str">
        <f>IFERROR(__xludf.DUMMYFUNCTION("""COMPUTED_VALUE"""),"✅")</f>
        <v>✅</v>
      </c>
      <c r="L395" s="282" t="str">
        <f>IFERROR(__xludf.DUMMYFUNCTION("""COMPUTED_VALUE"""),"➖")</f>
        <v>➖</v>
      </c>
      <c r="M395" s="282" t="str">
        <f>IFERROR(__xludf.DUMMYFUNCTION("""COMPUTED_VALUE"""),"✅")</f>
        <v>✅</v>
      </c>
      <c r="N395" s="282" t="str">
        <f>IFERROR(__xludf.DUMMYFUNCTION("""COMPUTED_VALUE"""),"✅")</f>
        <v>✅</v>
      </c>
      <c r="O395" s="282" t="str">
        <f>IFERROR(__xludf.DUMMYFUNCTION("""COMPUTED_VALUE"""),"✅")</f>
        <v>✅</v>
      </c>
      <c r="P395" s="282" t="str">
        <f>IFERROR(__xludf.DUMMYFUNCTION("""COMPUTED_VALUE"""),"➖")</f>
        <v>➖</v>
      </c>
      <c r="Q395" s="282" t="str">
        <f>IFERROR(__xludf.DUMMYFUNCTION("""COMPUTED_VALUE"""),"➖")</f>
        <v>➖</v>
      </c>
      <c r="R395" s="283" t="str">
        <f>IFERROR(__xludf.DUMMYFUNCTION("""COMPUTED_VALUE"""),"   ➖")</f>
        <v>➖</v>
      </c>
      <c r="S395" s="284"/>
      <c r="T395" s="285" t="str">
        <f>IFERROR(__xludf.DUMMYFUNCTION("""COMPUTED_VALUE"""),"➖")</f>
        <v>➖</v>
      </c>
      <c r="U395" s="285" t="str">
        <f>IFERROR(__xludf.DUMMYFUNCTION("""COMPUTED_VALUE"""),"➖")</f>
        <v>➖</v>
      </c>
      <c r="V395" s="259"/>
      <c r="W395" s="286"/>
      <c r="X395" s="286"/>
      <c r="Y395" s="286"/>
    </row>
    <row r="396">
      <c r="A396" s="28"/>
      <c r="B396" s="132"/>
      <c r="C396" s="28"/>
      <c r="D396" s="260" t="str">
        <f>IFERROR(__xludf.DUMMYFUNCTION("""COMPUTED_VALUE"""),"   R")</f>
        <v>R</v>
      </c>
      <c r="E396" s="287" t="str">
        <f>IFERROR(__xludf.DUMMYFUNCTION("""COMPUTED_VALUE"""),"B'ELANNA TORRES")</f>
        <v>B'ELANNA TORRES</v>
      </c>
      <c r="F396" s="270" t="str">
        <f>IFERROR(__xludf.DUMMYFUNCTION("""COMPUTED_VALUE"""),"BDA")</f>
        <v>BDA</v>
      </c>
      <c r="G396" s="231" t="str">
        <f>IFERROR(__xludf.DUMMYFUNCTION("""COMPUTED_VALUE"""),"➖")</f>
        <v>➖</v>
      </c>
      <c r="H396" s="231" t="str">
        <f>IFERROR(__xludf.DUMMYFUNCTION("""COMPUTED_VALUE"""),"➖")</f>
        <v>➖</v>
      </c>
      <c r="I396" s="231" t="str">
        <f>IFERROR(__xludf.DUMMYFUNCTION("""COMPUTED_VALUE"""),"✅")</f>
        <v>✅</v>
      </c>
      <c r="J396" s="231" t="str">
        <f>IFERROR(__xludf.DUMMYFUNCTION("""COMPUTED_VALUE"""),"✅")</f>
        <v>✅</v>
      </c>
      <c r="K396" s="288" t="str">
        <f>IFERROR(__xludf.DUMMYFUNCTION("""COMPUTED_VALUE"""),"✅")</f>
        <v>✅</v>
      </c>
      <c r="L396" s="288" t="str">
        <f>IFERROR(__xludf.DUMMYFUNCTION("""COMPUTED_VALUE"""),"➖")</f>
        <v>➖</v>
      </c>
      <c r="M396" s="288" t="str">
        <f>IFERROR(__xludf.DUMMYFUNCTION("""COMPUTED_VALUE"""),"✅")</f>
        <v>✅</v>
      </c>
      <c r="N396" s="288" t="str">
        <f>IFERROR(__xludf.DUMMYFUNCTION("""COMPUTED_VALUE"""),"✅")</f>
        <v>✅</v>
      </c>
      <c r="O396" s="288" t="str">
        <f>IFERROR(__xludf.DUMMYFUNCTION("""COMPUTED_VALUE"""),"✅")</f>
        <v>✅</v>
      </c>
      <c r="P396" s="288" t="str">
        <f>IFERROR(__xludf.DUMMYFUNCTION("""COMPUTED_VALUE"""),"➖")</f>
        <v>➖</v>
      </c>
      <c r="Q396" s="288" t="str">
        <f>IFERROR(__xludf.DUMMYFUNCTION("""COMPUTED_VALUE"""),"➖")</f>
        <v>➖</v>
      </c>
      <c r="R396" s="257" t="str">
        <f>IFERROR(__xludf.DUMMYFUNCTION("""COMPUTED_VALUE"""),"   ➖")</f>
        <v>➖</v>
      </c>
      <c r="S396" s="258"/>
      <c r="T396" s="255" t="str">
        <f>IFERROR(__xludf.DUMMYFUNCTION("""COMPUTED_VALUE"""),"➖")</f>
        <v>➖</v>
      </c>
      <c r="U396" s="255" t="str">
        <f>IFERROR(__xludf.DUMMYFUNCTION("""COMPUTED_VALUE"""),"➖")</f>
        <v>➖</v>
      </c>
      <c r="V396" s="259"/>
      <c r="W396" s="286"/>
      <c r="X396" s="286"/>
      <c r="Y396" s="286"/>
    </row>
    <row r="397">
      <c r="A397" s="28"/>
      <c r="B397" s="128"/>
      <c r="C397" s="28"/>
      <c r="D397" s="250" t="str">
        <f>IFERROR(__xludf.DUMMYFUNCTION("""COMPUTED_VALUE"""),"   E")</f>
        <v>E</v>
      </c>
      <c r="E397" s="280" t="str">
        <f>IFERROR(__xludf.DUMMYFUNCTION("""COMPUTED_VALUE"""),"KATHRYN JANEWAY")</f>
        <v>KATHRYN JANEWAY</v>
      </c>
      <c r="F397" s="271" t="str">
        <f>IFERROR(__xludf.DUMMYFUNCTION("""COMPUTED_VALUE"""),"CM")</f>
        <v>CM</v>
      </c>
      <c r="G397" s="281" t="str">
        <f>IFERROR(__xludf.DUMMYFUNCTION("""COMPUTED_VALUE"""),"➖")</f>
        <v>➖</v>
      </c>
      <c r="H397" s="281" t="str">
        <f>IFERROR(__xludf.DUMMYFUNCTION("""COMPUTED_VALUE"""),"➖")</f>
        <v>➖</v>
      </c>
      <c r="I397" s="281" t="str">
        <f>IFERROR(__xludf.DUMMYFUNCTION("""COMPUTED_VALUE"""),"✅")</f>
        <v>✅</v>
      </c>
      <c r="J397" s="281" t="str">
        <f>IFERROR(__xludf.DUMMYFUNCTION("""COMPUTED_VALUE"""),"✅")</f>
        <v>✅</v>
      </c>
      <c r="K397" s="282" t="str">
        <f>IFERROR(__xludf.DUMMYFUNCTION("""COMPUTED_VALUE"""),"✅")</f>
        <v>✅</v>
      </c>
      <c r="L397" s="282" t="str">
        <f>IFERROR(__xludf.DUMMYFUNCTION("""COMPUTED_VALUE"""),"➖")</f>
        <v>➖</v>
      </c>
      <c r="M397" s="282" t="str">
        <f>IFERROR(__xludf.DUMMYFUNCTION("""COMPUTED_VALUE"""),"✅")</f>
        <v>✅</v>
      </c>
      <c r="N397" s="282" t="str">
        <f>IFERROR(__xludf.DUMMYFUNCTION("""COMPUTED_VALUE"""),"✅")</f>
        <v>✅</v>
      </c>
      <c r="O397" s="282" t="str">
        <f>IFERROR(__xludf.DUMMYFUNCTION("""COMPUTED_VALUE"""),"✅")</f>
        <v>✅</v>
      </c>
      <c r="P397" s="282" t="str">
        <f>IFERROR(__xludf.DUMMYFUNCTION("""COMPUTED_VALUE"""),"➖")</f>
        <v>➖</v>
      </c>
      <c r="Q397" s="282" t="str">
        <f>IFERROR(__xludf.DUMMYFUNCTION("""COMPUTED_VALUE"""),"➖")</f>
        <v>➖</v>
      </c>
      <c r="R397" s="283" t="str">
        <f>IFERROR(__xludf.DUMMYFUNCTION("""COMPUTED_VALUE"""),"   ➖")</f>
        <v>➖</v>
      </c>
      <c r="S397" s="284"/>
      <c r="T397" s="285" t="str">
        <f>IFERROR(__xludf.DUMMYFUNCTION("""COMPUTED_VALUE"""),"➖")</f>
        <v>➖</v>
      </c>
      <c r="U397" s="285" t="str">
        <f>IFERROR(__xludf.DUMMYFUNCTION("""COMPUTED_VALUE"""),"➖")</f>
        <v>➖</v>
      </c>
      <c r="V397" s="259"/>
      <c r="W397" s="286"/>
      <c r="X397" s="286"/>
      <c r="Y397" s="286"/>
    </row>
    <row r="398">
      <c r="A398" s="28"/>
      <c r="B398" s="132"/>
      <c r="C398" s="28"/>
      <c r="D398" s="260" t="str">
        <f>IFERROR(__xludf.DUMMYFUNCTION("""COMPUTED_VALUE"""),"   E")</f>
        <v>E</v>
      </c>
      <c r="E398" s="287" t="str">
        <f>IFERROR(__xludf.DUMMYFUNCTION("""COMPUTED_VALUE"""),"KATHRYN JANEWAY")</f>
        <v>KATHRYN JANEWAY</v>
      </c>
      <c r="F398" s="270" t="str">
        <f>IFERROR(__xludf.DUMMYFUNCTION("""COMPUTED_VALUE"""),"OA")</f>
        <v>OA</v>
      </c>
      <c r="G398" s="231" t="str">
        <f>IFERROR(__xludf.DUMMYFUNCTION("""COMPUTED_VALUE"""),"➖")</f>
        <v>➖</v>
      </c>
      <c r="H398" s="231" t="str">
        <f>IFERROR(__xludf.DUMMYFUNCTION("""COMPUTED_VALUE"""),"➖")</f>
        <v>➖</v>
      </c>
      <c r="I398" s="231" t="str">
        <f>IFERROR(__xludf.DUMMYFUNCTION("""COMPUTED_VALUE"""),"✅")</f>
        <v>✅</v>
      </c>
      <c r="J398" s="231" t="str">
        <f>IFERROR(__xludf.DUMMYFUNCTION("""COMPUTED_VALUE"""),"✅")</f>
        <v>✅</v>
      </c>
      <c r="K398" s="288" t="str">
        <f>IFERROR(__xludf.DUMMYFUNCTION("""COMPUTED_VALUE"""),"✅")</f>
        <v>✅</v>
      </c>
      <c r="L398" s="288" t="str">
        <f>IFERROR(__xludf.DUMMYFUNCTION("""COMPUTED_VALUE"""),"➖")</f>
        <v>➖</v>
      </c>
      <c r="M398" s="288" t="str">
        <f>IFERROR(__xludf.DUMMYFUNCTION("""COMPUTED_VALUE"""),"✅")</f>
        <v>✅</v>
      </c>
      <c r="N398" s="288" t="str">
        <f>IFERROR(__xludf.DUMMYFUNCTION("""COMPUTED_VALUE"""),"✅")</f>
        <v>✅</v>
      </c>
      <c r="O398" s="288" t="str">
        <f>IFERROR(__xludf.DUMMYFUNCTION("""COMPUTED_VALUE"""),"✅")</f>
        <v>✅</v>
      </c>
      <c r="P398" s="288" t="str">
        <f>IFERROR(__xludf.DUMMYFUNCTION("""COMPUTED_VALUE"""),"➖")</f>
        <v>➖</v>
      </c>
      <c r="Q398" s="288" t="str">
        <f>IFERROR(__xludf.DUMMYFUNCTION("""COMPUTED_VALUE"""),"➖")</f>
        <v>➖</v>
      </c>
      <c r="R398" s="257" t="str">
        <f>IFERROR(__xludf.DUMMYFUNCTION("""COMPUTED_VALUE"""),"   ➖")</f>
        <v>➖</v>
      </c>
      <c r="S398" s="258"/>
      <c r="T398" s="255" t="str">
        <f>IFERROR(__xludf.DUMMYFUNCTION("""COMPUTED_VALUE"""),"➖")</f>
        <v>➖</v>
      </c>
      <c r="U398" s="255" t="str">
        <f>IFERROR(__xludf.DUMMYFUNCTION("""COMPUTED_VALUE"""),"➖")</f>
        <v>➖</v>
      </c>
      <c r="V398" s="259"/>
      <c r="W398" s="286"/>
      <c r="X398" s="286"/>
      <c r="Y398" s="286"/>
    </row>
    <row r="399">
      <c r="A399" s="28"/>
      <c r="B399" s="128"/>
      <c r="C399" s="28"/>
      <c r="D399" s="250" t="str">
        <f>IFERROR(__xludf.DUMMYFUNCTION("""COMPUTED_VALUE"""),"   R")</f>
        <v>R</v>
      </c>
      <c r="E399" s="280" t="str">
        <f>IFERROR(__xludf.DUMMYFUNCTION("""COMPUTED_VALUE"""),"TOM PARIS")</f>
        <v>TOM PARIS</v>
      </c>
      <c r="F399" s="271" t="str">
        <f>IFERROR(__xludf.DUMMYFUNCTION("""COMPUTED_VALUE"""),"OA")</f>
        <v>OA</v>
      </c>
      <c r="G399" s="281" t="str">
        <f>IFERROR(__xludf.DUMMYFUNCTION("""COMPUTED_VALUE"""),"➖")</f>
        <v>➖</v>
      </c>
      <c r="H399" s="281" t="str">
        <f>IFERROR(__xludf.DUMMYFUNCTION("""COMPUTED_VALUE"""),"➖")</f>
        <v>➖</v>
      </c>
      <c r="I399" s="281" t="str">
        <f>IFERROR(__xludf.DUMMYFUNCTION("""COMPUTED_VALUE"""),"✅")</f>
        <v>✅</v>
      </c>
      <c r="J399" s="281" t="str">
        <f>IFERROR(__xludf.DUMMYFUNCTION("""COMPUTED_VALUE"""),"✅")</f>
        <v>✅</v>
      </c>
      <c r="K399" s="282" t="str">
        <f>IFERROR(__xludf.DUMMYFUNCTION("""COMPUTED_VALUE"""),"✅")</f>
        <v>✅</v>
      </c>
      <c r="L399" s="282" t="str">
        <f>IFERROR(__xludf.DUMMYFUNCTION("""COMPUTED_VALUE"""),"➖")</f>
        <v>➖</v>
      </c>
      <c r="M399" s="282" t="str">
        <f>IFERROR(__xludf.DUMMYFUNCTION("""COMPUTED_VALUE"""),"✅")</f>
        <v>✅</v>
      </c>
      <c r="N399" s="282" t="str">
        <f>IFERROR(__xludf.DUMMYFUNCTION("""COMPUTED_VALUE"""),"✅")</f>
        <v>✅</v>
      </c>
      <c r="O399" s="282" t="str">
        <f>IFERROR(__xludf.DUMMYFUNCTION("""COMPUTED_VALUE"""),"✅")</f>
        <v>✅</v>
      </c>
      <c r="P399" s="282" t="str">
        <f>IFERROR(__xludf.DUMMYFUNCTION("""COMPUTED_VALUE"""),"➖")</f>
        <v>➖</v>
      </c>
      <c r="Q399" s="282" t="str">
        <f>IFERROR(__xludf.DUMMYFUNCTION("""COMPUTED_VALUE"""),"➖")</f>
        <v>➖</v>
      </c>
      <c r="R399" s="283" t="str">
        <f>IFERROR(__xludf.DUMMYFUNCTION("""COMPUTED_VALUE"""),"   ➖")</f>
        <v>➖</v>
      </c>
      <c r="S399" s="284"/>
      <c r="T399" s="285" t="str">
        <f>IFERROR(__xludf.DUMMYFUNCTION("""COMPUTED_VALUE"""),"➖")</f>
        <v>➖</v>
      </c>
      <c r="U399" s="285" t="str">
        <f>IFERROR(__xludf.DUMMYFUNCTION("""COMPUTED_VALUE"""),"➖")</f>
        <v>➖</v>
      </c>
      <c r="V399" s="259"/>
      <c r="W399" s="286"/>
      <c r="X399" s="286"/>
      <c r="Y399" s="286"/>
    </row>
    <row r="400">
      <c r="A400" s="28"/>
      <c r="B400" s="132"/>
      <c r="C400" s="28"/>
      <c r="D400" s="260" t="str">
        <f>IFERROR(__xludf.DUMMYFUNCTION("""COMPUTED_VALUE"""),"   R")</f>
        <v>R</v>
      </c>
      <c r="E400" s="287" t="str">
        <f>IFERROR(__xludf.DUMMYFUNCTION("""COMPUTED_VALUE"""),"TOM PARIS")</f>
        <v>TOM PARIS</v>
      </c>
      <c r="F400" s="270" t="str">
        <f>IFERROR(__xludf.DUMMYFUNCTION("""COMPUTED_VALUE"""),"BDA")</f>
        <v>BDA</v>
      </c>
      <c r="G400" s="231" t="str">
        <f>IFERROR(__xludf.DUMMYFUNCTION("""COMPUTED_VALUE"""),"➖")</f>
        <v>➖</v>
      </c>
      <c r="H400" s="231" t="str">
        <f>IFERROR(__xludf.DUMMYFUNCTION("""COMPUTED_VALUE"""),"➖")</f>
        <v>➖</v>
      </c>
      <c r="I400" s="231" t="str">
        <f>IFERROR(__xludf.DUMMYFUNCTION("""COMPUTED_VALUE"""),"✅")</f>
        <v>✅</v>
      </c>
      <c r="J400" s="231" t="str">
        <f>IFERROR(__xludf.DUMMYFUNCTION("""COMPUTED_VALUE"""),"✅")</f>
        <v>✅</v>
      </c>
      <c r="K400" s="288" t="str">
        <f>IFERROR(__xludf.DUMMYFUNCTION("""COMPUTED_VALUE"""),"✅")</f>
        <v>✅</v>
      </c>
      <c r="L400" s="288" t="str">
        <f>IFERROR(__xludf.DUMMYFUNCTION("""COMPUTED_VALUE"""),"➖")</f>
        <v>➖</v>
      </c>
      <c r="M400" s="288" t="str">
        <f>IFERROR(__xludf.DUMMYFUNCTION("""COMPUTED_VALUE"""),"✅")</f>
        <v>✅</v>
      </c>
      <c r="N400" s="288" t="str">
        <f>IFERROR(__xludf.DUMMYFUNCTION("""COMPUTED_VALUE"""),"✅")</f>
        <v>✅</v>
      </c>
      <c r="O400" s="288" t="str">
        <f>IFERROR(__xludf.DUMMYFUNCTION("""COMPUTED_VALUE"""),"✅")</f>
        <v>✅</v>
      </c>
      <c r="P400" s="288" t="str">
        <f>IFERROR(__xludf.DUMMYFUNCTION("""COMPUTED_VALUE"""),"➖")</f>
        <v>➖</v>
      </c>
      <c r="Q400" s="288" t="str">
        <f>IFERROR(__xludf.DUMMYFUNCTION("""COMPUTED_VALUE"""),"➖")</f>
        <v>➖</v>
      </c>
      <c r="R400" s="257" t="str">
        <f>IFERROR(__xludf.DUMMYFUNCTION("""COMPUTED_VALUE"""),"   ➖")</f>
        <v>➖</v>
      </c>
      <c r="S400" s="258"/>
      <c r="T400" s="255" t="str">
        <f>IFERROR(__xludf.DUMMYFUNCTION("""COMPUTED_VALUE"""),"➖")</f>
        <v>➖</v>
      </c>
      <c r="U400" s="255" t="str">
        <f>IFERROR(__xludf.DUMMYFUNCTION("""COMPUTED_VALUE"""),"➖")</f>
        <v>➖</v>
      </c>
      <c r="V400" s="259"/>
      <c r="W400" s="286"/>
      <c r="X400" s="286"/>
      <c r="Y400" s="286"/>
    </row>
    <row r="401">
      <c r="A401" s="28"/>
      <c r="B401" s="128"/>
      <c r="C401" s="28"/>
      <c r="D401" s="250" t="str">
        <f>IFERROR(__xludf.DUMMYFUNCTION("""COMPUTED_VALUE"""),"   R")</f>
        <v>R</v>
      </c>
      <c r="E401" s="280" t="str">
        <f>IFERROR(__xludf.DUMMYFUNCTION("""COMPUTED_VALUE"""),"HARRY KIM")</f>
        <v>HARRY KIM</v>
      </c>
      <c r="F401" s="271" t="str">
        <f>IFERROR(__xludf.DUMMYFUNCTION("""COMPUTED_VALUE"""),"OA")</f>
        <v>OA</v>
      </c>
      <c r="G401" s="281" t="str">
        <f>IFERROR(__xludf.DUMMYFUNCTION("""COMPUTED_VALUE"""),"➖")</f>
        <v>➖</v>
      </c>
      <c r="H401" s="281" t="str">
        <f>IFERROR(__xludf.DUMMYFUNCTION("""COMPUTED_VALUE"""),"➖")</f>
        <v>➖</v>
      </c>
      <c r="I401" s="281" t="str">
        <f>IFERROR(__xludf.DUMMYFUNCTION("""COMPUTED_VALUE"""),"✴️")</f>
        <v>✴️</v>
      </c>
      <c r="J401" s="281" t="str">
        <f>IFERROR(__xludf.DUMMYFUNCTION("""COMPUTED_VALUE"""),"➖")</f>
        <v>➖</v>
      </c>
      <c r="K401" s="282" t="str">
        <f>IFERROR(__xludf.DUMMYFUNCTION("""COMPUTED_VALUE"""),"➖")</f>
        <v>➖</v>
      </c>
      <c r="L401" s="282" t="str">
        <f>IFERROR(__xludf.DUMMYFUNCTION("""COMPUTED_VALUE"""),"➖")</f>
        <v>➖</v>
      </c>
      <c r="M401" s="282" t="str">
        <f>IFERROR(__xludf.DUMMYFUNCTION("""COMPUTED_VALUE"""),"✴️")</f>
        <v>✴️</v>
      </c>
      <c r="N401" s="282" t="str">
        <f>IFERROR(__xludf.DUMMYFUNCTION("""COMPUTED_VALUE"""),"✴️")</f>
        <v>✴️</v>
      </c>
      <c r="O401" s="282" t="str">
        <f>IFERROR(__xludf.DUMMYFUNCTION("""COMPUTED_VALUE"""),"➖")</f>
        <v>➖</v>
      </c>
      <c r="P401" s="282" t="str">
        <f>IFERROR(__xludf.DUMMYFUNCTION("""COMPUTED_VALUE"""),"➖")</f>
        <v>➖</v>
      </c>
      <c r="Q401" s="282" t="str">
        <f>IFERROR(__xludf.DUMMYFUNCTION("""COMPUTED_VALUE"""),"➖")</f>
        <v>➖</v>
      </c>
      <c r="R401" s="283" t="str">
        <f>IFERROR(__xludf.DUMMYFUNCTION("""COMPUTED_VALUE"""),"   ➖")</f>
        <v>➖</v>
      </c>
      <c r="S401" s="284" t="str">
        <f>IFERROR(__xludf.DUMMYFUNCTION("""COMPUTED_VALUE"""),"FactionPointsGain")</f>
        <v>FactionPointsGain</v>
      </c>
      <c r="T401" s="285" t="str">
        <f>IFERROR(__xludf.DUMMYFUNCTION("""COMPUTED_VALUE"""),"✅")</f>
        <v>✅</v>
      </c>
      <c r="U401" s="285" t="str">
        <f>IFERROR(__xludf.DUMMYFUNCTION("""COMPUTED_VALUE"""),"➖")</f>
        <v>➖</v>
      </c>
      <c r="V401" s="259"/>
      <c r="W401" s="286"/>
      <c r="X401" s="286"/>
      <c r="Y401" s="286"/>
    </row>
    <row r="402">
      <c r="A402" s="28"/>
      <c r="B402" s="132"/>
      <c r="C402" s="28"/>
      <c r="D402" s="260" t="str">
        <f>IFERROR(__xludf.DUMMYFUNCTION("""COMPUTED_VALUE"""),"   R")</f>
        <v>R</v>
      </c>
      <c r="E402" s="287" t="str">
        <f>IFERROR(__xludf.DUMMYFUNCTION("""COMPUTED_VALUE"""),"HARRY KIM")</f>
        <v>HARRY KIM</v>
      </c>
      <c r="F402" s="270" t="str">
        <f>IFERROR(__xludf.DUMMYFUNCTION("""COMPUTED_VALUE"""),"BDA")</f>
        <v>BDA</v>
      </c>
      <c r="G402" s="231" t="str">
        <f>IFERROR(__xludf.DUMMYFUNCTION("""COMPUTED_VALUE"""),"➖")</f>
        <v>➖</v>
      </c>
      <c r="H402" s="231" t="str">
        <f>IFERROR(__xludf.DUMMYFUNCTION("""COMPUTED_VALUE"""),"➖")</f>
        <v>➖</v>
      </c>
      <c r="I402" s="231" t="str">
        <f>IFERROR(__xludf.DUMMYFUNCTION("""COMPUTED_VALUE"""),"✅")</f>
        <v>✅</v>
      </c>
      <c r="J402" s="231" t="str">
        <f>IFERROR(__xludf.DUMMYFUNCTION("""COMPUTED_VALUE"""),"✅")</f>
        <v>✅</v>
      </c>
      <c r="K402" s="288" t="str">
        <f>IFERROR(__xludf.DUMMYFUNCTION("""COMPUTED_VALUE"""),"✅")</f>
        <v>✅</v>
      </c>
      <c r="L402" s="288" t="str">
        <f>IFERROR(__xludf.DUMMYFUNCTION("""COMPUTED_VALUE"""),"➖")</f>
        <v>➖</v>
      </c>
      <c r="M402" s="288" t="str">
        <f>IFERROR(__xludf.DUMMYFUNCTION("""COMPUTED_VALUE"""),"✅")</f>
        <v>✅</v>
      </c>
      <c r="N402" s="288" t="str">
        <f>IFERROR(__xludf.DUMMYFUNCTION("""COMPUTED_VALUE"""),"✅")</f>
        <v>✅</v>
      </c>
      <c r="O402" s="288" t="str">
        <f>IFERROR(__xludf.DUMMYFUNCTION("""COMPUTED_VALUE"""),"✅")</f>
        <v>✅</v>
      </c>
      <c r="P402" s="288" t="str">
        <f>IFERROR(__xludf.DUMMYFUNCTION("""COMPUTED_VALUE"""),"➖")</f>
        <v>➖</v>
      </c>
      <c r="Q402" s="288" t="str">
        <f>IFERROR(__xludf.DUMMYFUNCTION("""COMPUTED_VALUE"""),"➖")</f>
        <v>➖</v>
      </c>
      <c r="R402" s="257" t="str">
        <f>IFERROR(__xludf.DUMMYFUNCTION("""COMPUTED_VALUE"""),"   ➖")</f>
        <v>➖</v>
      </c>
      <c r="S402" s="258"/>
      <c r="T402" s="255" t="str">
        <f>IFERROR(__xludf.DUMMYFUNCTION("""COMPUTED_VALUE"""),"➖")</f>
        <v>➖</v>
      </c>
      <c r="U402" s="255" t="str">
        <f>IFERROR(__xludf.DUMMYFUNCTION("""COMPUTED_VALUE"""),"➖")</f>
        <v>➖</v>
      </c>
      <c r="V402" s="259"/>
      <c r="W402" s="286"/>
      <c r="X402" s="286"/>
      <c r="Y402" s="286"/>
    </row>
    <row r="403">
      <c r="A403" s="28"/>
      <c r="B403" s="128"/>
      <c r="C403" s="28"/>
      <c r="D403" s="250" t="str">
        <f>IFERROR(__xludf.DUMMYFUNCTION("""COMPUTED_VALUE"""),"   E")</f>
        <v>E</v>
      </c>
      <c r="E403" s="280" t="str">
        <f>IFERROR(__xludf.DUMMYFUNCTION("""COMPUTED_VALUE"""),"CHAKOTAY")</f>
        <v>CHAKOTAY</v>
      </c>
      <c r="F403" s="271" t="str">
        <f>IFERROR(__xludf.DUMMYFUNCTION("""COMPUTED_VALUE"""),"CM")</f>
        <v>CM</v>
      </c>
      <c r="G403" s="281" t="str">
        <f>IFERROR(__xludf.DUMMYFUNCTION("""COMPUTED_VALUE"""),"➖")</f>
        <v>➖</v>
      </c>
      <c r="H403" s="281" t="str">
        <f>IFERROR(__xludf.DUMMYFUNCTION("""COMPUTED_VALUE"""),"➖")</f>
        <v>➖</v>
      </c>
      <c r="I403" s="281" t="str">
        <f>IFERROR(__xludf.DUMMYFUNCTION("""COMPUTED_VALUE"""),"➖")</f>
        <v>➖</v>
      </c>
      <c r="J403" s="281" t="str">
        <f>IFERROR(__xludf.DUMMYFUNCTION("""COMPUTED_VALUE"""),"➖")</f>
        <v>➖</v>
      </c>
      <c r="K403" s="282" t="str">
        <f>IFERROR(__xludf.DUMMYFUNCTION("""COMPUTED_VALUE"""),"➖")</f>
        <v>➖</v>
      </c>
      <c r="L403" s="282" t="str">
        <f>IFERROR(__xludf.DUMMYFUNCTION("""COMPUTED_VALUE"""),"➖")</f>
        <v>➖</v>
      </c>
      <c r="M403" s="282" t="str">
        <f>IFERROR(__xludf.DUMMYFUNCTION("""COMPUTED_VALUE"""),"✅")</f>
        <v>✅</v>
      </c>
      <c r="N403" s="282" t="str">
        <f>IFERROR(__xludf.DUMMYFUNCTION("""COMPUTED_VALUE"""),"✅")</f>
        <v>✅</v>
      </c>
      <c r="O403" s="282" t="str">
        <f>IFERROR(__xludf.DUMMYFUNCTION("""COMPUTED_VALUE"""),"➖")</f>
        <v>➖</v>
      </c>
      <c r="P403" s="282" t="str">
        <f>IFERROR(__xludf.DUMMYFUNCTION("""COMPUTED_VALUE"""),"➖")</f>
        <v>➖</v>
      </c>
      <c r="Q403" s="282" t="str">
        <f>IFERROR(__xludf.DUMMYFUNCTION("""COMPUTED_VALUE"""),"➖")</f>
        <v>➖</v>
      </c>
      <c r="R403" s="283" t="str">
        <f>IFERROR(__xludf.DUMMYFUNCTION("""COMPUTED_VALUE"""),"   ➖")</f>
        <v>➖</v>
      </c>
      <c r="S403" s="284"/>
      <c r="T403" s="285" t="str">
        <f>IFERROR(__xludf.DUMMYFUNCTION("""COMPUTED_VALUE"""),"➖")</f>
        <v>➖</v>
      </c>
      <c r="U403" s="285" t="str">
        <f>IFERROR(__xludf.DUMMYFUNCTION("""COMPUTED_VALUE"""),"➖")</f>
        <v>➖</v>
      </c>
      <c r="V403" s="259"/>
      <c r="W403" s="286"/>
      <c r="X403" s="286"/>
      <c r="Y403" s="286"/>
    </row>
    <row r="404">
      <c r="A404" s="28"/>
      <c r="B404" s="132"/>
      <c r="C404" s="28"/>
      <c r="D404" s="260" t="str">
        <f>IFERROR(__xludf.DUMMYFUNCTION("""COMPUTED_VALUE"""),"   E")</f>
        <v>E</v>
      </c>
      <c r="E404" s="287" t="str">
        <f>IFERROR(__xludf.DUMMYFUNCTION("""COMPUTED_VALUE"""),"CHAKOTAY")</f>
        <v>CHAKOTAY</v>
      </c>
      <c r="F404" s="270" t="str">
        <f>IFERROR(__xludf.DUMMYFUNCTION("""COMPUTED_VALUE"""),"OA")</f>
        <v>OA</v>
      </c>
      <c r="G404" s="231" t="str">
        <f>IFERROR(__xludf.DUMMYFUNCTION("""COMPUTED_VALUE"""),"➖")</f>
        <v>➖</v>
      </c>
      <c r="H404" s="231" t="str">
        <f>IFERROR(__xludf.DUMMYFUNCTION("""COMPUTED_VALUE"""),"➖")</f>
        <v>➖</v>
      </c>
      <c r="I404" s="231" t="str">
        <f>IFERROR(__xludf.DUMMYFUNCTION("""COMPUTED_VALUE"""),"➖")</f>
        <v>➖</v>
      </c>
      <c r="J404" s="231" t="str">
        <f>IFERROR(__xludf.DUMMYFUNCTION("""COMPUTED_VALUE"""),"➖")</f>
        <v>➖</v>
      </c>
      <c r="K404" s="288" t="str">
        <f>IFERROR(__xludf.DUMMYFUNCTION("""COMPUTED_VALUE"""),"➖")</f>
        <v>➖</v>
      </c>
      <c r="L404" s="288" t="str">
        <f>IFERROR(__xludf.DUMMYFUNCTION("""COMPUTED_VALUE"""),"➖")</f>
        <v>➖</v>
      </c>
      <c r="M404" s="288" t="str">
        <f>IFERROR(__xludf.DUMMYFUNCTION("""COMPUTED_VALUE"""),"✅")</f>
        <v>✅</v>
      </c>
      <c r="N404" s="288" t="str">
        <f>IFERROR(__xludf.DUMMYFUNCTION("""COMPUTED_VALUE"""),"✅")</f>
        <v>✅</v>
      </c>
      <c r="O404" s="288" t="str">
        <f>IFERROR(__xludf.DUMMYFUNCTION("""COMPUTED_VALUE"""),"➖")</f>
        <v>➖</v>
      </c>
      <c r="P404" s="288" t="str">
        <f>IFERROR(__xludf.DUMMYFUNCTION("""COMPUTED_VALUE"""),"➖")</f>
        <v>➖</v>
      </c>
      <c r="Q404" s="288" t="str">
        <f>IFERROR(__xludf.DUMMYFUNCTION("""COMPUTED_VALUE"""),"➖")</f>
        <v>➖</v>
      </c>
      <c r="R404" s="257" t="str">
        <f>IFERROR(__xludf.DUMMYFUNCTION("""COMPUTED_VALUE"""),"   ➖")</f>
        <v>➖</v>
      </c>
      <c r="S404" s="258"/>
      <c r="T404" s="255" t="str">
        <f>IFERROR(__xludf.DUMMYFUNCTION("""COMPUTED_VALUE"""),"➖")</f>
        <v>➖</v>
      </c>
      <c r="U404" s="255" t="str">
        <f>IFERROR(__xludf.DUMMYFUNCTION("""COMPUTED_VALUE"""),"➖")</f>
        <v>➖</v>
      </c>
      <c r="V404" s="259"/>
      <c r="W404" s="286"/>
      <c r="X404" s="286"/>
      <c r="Y404" s="286"/>
    </row>
    <row r="405">
      <c r="A405" s="28"/>
      <c r="B405" s="128"/>
      <c r="C405" s="28"/>
      <c r="D405" s="250" t="str">
        <f>IFERROR(__xludf.DUMMYFUNCTION("""COMPUTED_VALUE"""),"   R")</f>
        <v>R</v>
      </c>
      <c r="E405" s="280" t="str">
        <f>IFERROR(__xludf.DUMMYFUNCTION("""COMPUTED_VALUE"""),"TUVOK")</f>
        <v>TUVOK</v>
      </c>
      <c r="F405" s="271" t="str">
        <f>IFERROR(__xludf.DUMMYFUNCTION("""COMPUTED_VALUE"""),"OA")</f>
        <v>OA</v>
      </c>
      <c r="G405" s="281" t="str">
        <f>IFERROR(__xludf.DUMMYFUNCTION("""COMPUTED_VALUE"""),"➖")</f>
        <v>➖</v>
      </c>
      <c r="H405" s="281" t="str">
        <f>IFERROR(__xludf.DUMMYFUNCTION("""COMPUTED_VALUE"""),"➖")</f>
        <v>➖</v>
      </c>
      <c r="I405" s="281" t="str">
        <f>IFERROR(__xludf.DUMMYFUNCTION("""COMPUTED_VALUE"""),"➖")</f>
        <v>➖</v>
      </c>
      <c r="J405" s="281" t="str">
        <f>IFERROR(__xludf.DUMMYFUNCTION("""COMPUTED_VALUE"""),"➖")</f>
        <v>➖</v>
      </c>
      <c r="K405" s="282" t="str">
        <f>IFERROR(__xludf.DUMMYFUNCTION("""COMPUTED_VALUE"""),"➖")</f>
        <v>➖</v>
      </c>
      <c r="L405" s="282" t="str">
        <f>IFERROR(__xludf.DUMMYFUNCTION("""COMPUTED_VALUE"""),"➖")</f>
        <v>➖</v>
      </c>
      <c r="M405" s="282" t="str">
        <f>IFERROR(__xludf.DUMMYFUNCTION("""COMPUTED_VALUE"""),"✴️")</f>
        <v>✴️</v>
      </c>
      <c r="N405" s="282" t="str">
        <f>IFERROR(__xludf.DUMMYFUNCTION("""COMPUTED_VALUE"""),"➖")</f>
        <v>➖</v>
      </c>
      <c r="O405" s="282" t="str">
        <f>IFERROR(__xludf.DUMMYFUNCTION("""COMPUTED_VALUE"""),"➖")</f>
        <v>➖</v>
      </c>
      <c r="P405" s="282" t="str">
        <f>IFERROR(__xludf.DUMMYFUNCTION("""COMPUTED_VALUE"""),"➖")</f>
        <v>➖</v>
      </c>
      <c r="Q405" s="282" t="str">
        <f>IFERROR(__xludf.DUMMYFUNCTION("""COMPUTED_VALUE"""),"➖")</f>
        <v>➖</v>
      </c>
      <c r="R405" s="283" t="str">
        <f>IFERROR(__xludf.DUMMYFUNCTION("""COMPUTED_VALUE"""),"   ➖")</f>
        <v>➖</v>
      </c>
      <c r="S405" s="284" t="str">
        <f>IFERROR(__xludf.DUMMYFUNCTION("""COMPUTED_VALUE"""),"ArtifactTokenLoot")</f>
        <v>ArtifactTokenLoot</v>
      </c>
      <c r="T405" s="285" t="str">
        <f>IFERROR(__xludf.DUMMYFUNCTION("""COMPUTED_VALUE"""),"✅")</f>
        <v>✅</v>
      </c>
      <c r="U405" s="285" t="str">
        <f>IFERROR(__xludf.DUMMYFUNCTION("""COMPUTED_VALUE"""),"➖")</f>
        <v>➖</v>
      </c>
      <c r="V405" s="259"/>
      <c r="W405" s="286"/>
      <c r="X405" s="286"/>
      <c r="Y405" s="286"/>
    </row>
    <row r="406">
      <c r="A406" s="28"/>
      <c r="B406" s="132"/>
      <c r="C406" s="28"/>
      <c r="D406" s="260" t="str">
        <f>IFERROR(__xludf.DUMMYFUNCTION("""COMPUTED_VALUE"""),"   R")</f>
        <v>R</v>
      </c>
      <c r="E406" s="287" t="str">
        <f>IFERROR(__xludf.DUMMYFUNCTION("""COMPUTED_VALUE"""),"TUVOK")</f>
        <v>TUVOK</v>
      </c>
      <c r="F406" s="270" t="str">
        <f>IFERROR(__xludf.DUMMYFUNCTION("""COMPUTED_VALUE"""),"BDA")</f>
        <v>BDA</v>
      </c>
      <c r="G406" s="231" t="str">
        <f>IFERROR(__xludf.DUMMYFUNCTION("""COMPUTED_VALUE"""),"➖")</f>
        <v>➖</v>
      </c>
      <c r="H406" s="231" t="str">
        <f>IFERROR(__xludf.DUMMYFUNCTION("""COMPUTED_VALUE"""),"➖")</f>
        <v>➖</v>
      </c>
      <c r="I406" s="231" t="str">
        <f>IFERROR(__xludf.DUMMYFUNCTION("""COMPUTED_VALUE"""),"➖")</f>
        <v>➖</v>
      </c>
      <c r="J406" s="231" t="str">
        <f>IFERROR(__xludf.DUMMYFUNCTION("""COMPUTED_VALUE"""),"➖")</f>
        <v>➖</v>
      </c>
      <c r="K406" s="288" t="str">
        <f>IFERROR(__xludf.DUMMYFUNCTION("""COMPUTED_VALUE"""),"➖")</f>
        <v>➖</v>
      </c>
      <c r="L406" s="288" t="str">
        <f>IFERROR(__xludf.DUMMYFUNCTION("""COMPUTED_VALUE"""),"➖")</f>
        <v>➖</v>
      </c>
      <c r="M406" s="288" t="str">
        <f>IFERROR(__xludf.DUMMYFUNCTION("""COMPUTED_VALUE"""),"➖")</f>
        <v>➖</v>
      </c>
      <c r="N406" s="288" t="str">
        <f>IFERROR(__xludf.DUMMYFUNCTION("""COMPUTED_VALUE"""),"➖")</f>
        <v>➖</v>
      </c>
      <c r="O406" s="288" t="str">
        <f>IFERROR(__xludf.DUMMYFUNCTION("""COMPUTED_VALUE"""),"➖")</f>
        <v>➖</v>
      </c>
      <c r="P406" s="288" t="str">
        <f>IFERROR(__xludf.DUMMYFUNCTION("""COMPUTED_VALUE"""),"➖")</f>
        <v>➖</v>
      </c>
      <c r="Q406" s="288" t="str">
        <f>IFERROR(__xludf.DUMMYFUNCTION("""COMPUTED_VALUE"""),"➖")</f>
        <v>➖</v>
      </c>
      <c r="R406" s="257" t="str">
        <f>IFERROR(__xludf.DUMMYFUNCTION("""COMPUTED_VALUE"""),"   ➖")</f>
        <v>➖</v>
      </c>
      <c r="S406" s="258"/>
      <c r="T406" s="255" t="str">
        <f>IFERROR(__xludf.DUMMYFUNCTION("""COMPUTED_VALUE"""),"➖")</f>
        <v>➖</v>
      </c>
      <c r="U406" s="255" t="str">
        <f>IFERROR(__xludf.DUMMYFUNCTION("""COMPUTED_VALUE"""),"✅")</f>
        <v>✅</v>
      </c>
      <c r="V406" s="259"/>
      <c r="W406" s="286"/>
      <c r="X406" s="286"/>
      <c r="Y406" s="286"/>
    </row>
    <row r="407">
      <c r="A407" s="28"/>
      <c r="B407" s="128"/>
      <c r="C407" s="28"/>
      <c r="D407" s="250" t="str">
        <f>IFERROR(__xludf.DUMMYFUNCTION("""COMPUTED_VALUE"""),"   E")</f>
        <v>E</v>
      </c>
      <c r="E407" s="280" t="str">
        <f>IFERROR(__xludf.DUMMYFUNCTION("""COMPUTED_VALUE"""),"SEVEN OF NINE")</f>
        <v>SEVEN OF NINE</v>
      </c>
      <c r="F407" s="271" t="str">
        <f>IFERROR(__xludf.DUMMYFUNCTION("""COMPUTED_VALUE"""),"OA")</f>
        <v>OA</v>
      </c>
      <c r="G407" s="281" t="str">
        <f>IFERROR(__xludf.DUMMYFUNCTION("""COMPUTED_VALUE"""),"➖")</f>
        <v>➖</v>
      </c>
      <c r="H407" s="281" t="str">
        <f>IFERROR(__xludf.DUMMYFUNCTION("""COMPUTED_VALUE"""),"➖")</f>
        <v>➖</v>
      </c>
      <c r="I407" s="281" t="str">
        <f>IFERROR(__xludf.DUMMYFUNCTION("""COMPUTED_VALUE"""),"➖")</f>
        <v>➖</v>
      </c>
      <c r="J407" s="281" t="str">
        <f>IFERROR(__xludf.DUMMYFUNCTION("""COMPUTED_VALUE"""),"➖")</f>
        <v>➖</v>
      </c>
      <c r="K407" s="282" t="str">
        <f>IFERROR(__xludf.DUMMYFUNCTION("""COMPUTED_VALUE"""),"➖")</f>
        <v>➖</v>
      </c>
      <c r="L407" s="282" t="str">
        <f>IFERROR(__xludf.DUMMYFUNCTION("""COMPUTED_VALUE"""),"➖")</f>
        <v>➖</v>
      </c>
      <c r="M407" s="282" t="str">
        <f>IFERROR(__xludf.DUMMYFUNCTION("""COMPUTED_VALUE"""),"✅")</f>
        <v>✅</v>
      </c>
      <c r="N407" s="282" t="str">
        <f>IFERROR(__xludf.DUMMYFUNCTION("""COMPUTED_VALUE"""),"✅")</f>
        <v>✅</v>
      </c>
      <c r="O407" s="282" t="str">
        <f>IFERROR(__xludf.DUMMYFUNCTION("""COMPUTED_VALUE"""),"➖")</f>
        <v>➖</v>
      </c>
      <c r="P407" s="282" t="str">
        <f>IFERROR(__xludf.DUMMYFUNCTION("""COMPUTED_VALUE"""),"➖")</f>
        <v>➖</v>
      </c>
      <c r="Q407" s="282" t="str">
        <f>IFERROR(__xludf.DUMMYFUNCTION("""COMPUTED_VALUE"""),"➖")</f>
        <v>➖</v>
      </c>
      <c r="R407" s="283" t="str">
        <f>IFERROR(__xludf.DUMMYFUNCTION("""COMPUTED_VALUE"""),"   ➖")</f>
        <v>➖</v>
      </c>
      <c r="S407" s="284"/>
      <c r="T407" s="285" t="str">
        <f>IFERROR(__xludf.DUMMYFUNCTION("""COMPUTED_VALUE"""),"➖")</f>
        <v>➖</v>
      </c>
      <c r="U407" s="285" t="str">
        <f>IFERROR(__xludf.DUMMYFUNCTION("""COMPUTED_VALUE"""),"➖")</f>
        <v>➖</v>
      </c>
      <c r="V407" s="259"/>
      <c r="W407" s="286"/>
      <c r="X407" s="286"/>
      <c r="Y407" s="286"/>
    </row>
    <row r="408">
      <c r="A408" s="28"/>
      <c r="B408" s="132"/>
      <c r="C408" s="28"/>
      <c r="D408" s="260" t="str">
        <f>IFERROR(__xludf.DUMMYFUNCTION("""COMPUTED_VALUE"""),"   E")</f>
        <v>E</v>
      </c>
      <c r="E408" s="287" t="str">
        <f>IFERROR(__xludf.DUMMYFUNCTION("""COMPUTED_VALUE"""),"SEVEN OF NINE")</f>
        <v>SEVEN OF NINE</v>
      </c>
      <c r="F408" s="270" t="str">
        <f>IFERROR(__xludf.DUMMYFUNCTION("""COMPUTED_VALUE"""),"BDA")</f>
        <v>BDA</v>
      </c>
      <c r="G408" s="231" t="str">
        <f>IFERROR(__xludf.DUMMYFUNCTION("""COMPUTED_VALUE"""),"✅")</f>
        <v>✅</v>
      </c>
      <c r="H408" s="231" t="str">
        <f>IFERROR(__xludf.DUMMYFUNCTION("""COMPUTED_VALUE"""),"✅")</f>
        <v>✅</v>
      </c>
      <c r="I408" s="231" t="str">
        <f>IFERROR(__xludf.DUMMYFUNCTION("""COMPUTED_VALUE"""),"➖")</f>
        <v>➖</v>
      </c>
      <c r="J408" s="231" t="str">
        <f>IFERROR(__xludf.DUMMYFUNCTION("""COMPUTED_VALUE"""),"➖")</f>
        <v>➖</v>
      </c>
      <c r="K408" s="288" t="str">
        <f>IFERROR(__xludf.DUMMYFUNCTION("""COMPUTED_VALUE"""),"➖")</f>
        <v>➖</v>
      </c>
      <c r="L408" s="288" t="str">
        <f>IFERROR(__xludf.DUMMYFUNCTION("""COMPUTED_VALUE"""),"➖")</f>
        <v>➖</v>
      </c>
      <c r="M408" s="288" t="str">
        <f>IFERROR(__xludf.DUMMYFUNCTION("""COMPUTED_VALUE"""),"➖")</f>
        <v>➖</v>
      </c>
      <c r="N408" s="288" t="str">
        <f>IFERROR(__xludf.DUMMYFUNCTION("""COMPUTED_VALUE"""),"➖")</f>
        <v>➖</v>
      </c>
      <c r="O408" s="288" t="str">
        <f>IFERROR(__xludf.DUMMYFUNCTION("""COMPUTED_VALUE"""),"➖")</f>
        <v>➖</v>
      </c>
      <c r="P408" s="288" t="str">
        <f>IFERROR(__xludf.DUMMYFUNCTION("""COMPUTED_VALUE"""),"➖")</f>
        <v>➖</v>
      </c>
      <c r="Q408" s="288" t="str">
        <f>IFERROR(__xludf.DUMMYFUNCTION("""COMPUTED_VALUE"""),"➖")</f>
        <v>➖</v>
      </c>
      <c r="R408" s="257" t="str">
        <f>IFERROR(__xludf.DUMMYFUNCTION("""COMPUTED_VALUE"""),"   ➖")</f>
        <v>➖</v>
      </c>
      <c r="S408" s="258"/>
      <c r="T408" s="255" t="str">
        <f>IFERROR(__xludf.DUMMYFUNCTION("""COMPUTED_VALUE"""),"➖")</f>
        <v>➖</v>
      </c>
      <c r="U408" s="255" t="str">
        <f>IFERROR(__xludf.DUMMYFUNCTION("""COMPUTED_VALUE"""),"➖")</f>
        <v>➖</v>
      </c>
      <c r="V408" s="259"/>
      <c r="W408" s="286"/>
      <c r="X408" s="286"/>
      <c r="Y408" s="286"/>
    </row>
    <row r="409">
      <c r="A409" s="28"/>
      <c r="B409" s="128"/>
      <c r="C409" s="28"/>
      <c r="D409" s="250" t="str">
        <f>IFERROR(__xludf.DUMMYFUNCTION("""COMPUTED_VALUE"""),"   R")</f>
        <v>R</v>
      </c>
      <c r="E409" s="280" t="str">
        <f>IFERROR(__xludf.DUMMYFUNCTION("""COMPUTED_VALUE"""),"NEELIX")</f>
        <v>NEELIX</v>
      </c>
      <c r="F409" s="271" t="str">
        <f>IFERROR(__xludf.DUMMYFUNCTION("""COMPUTED_VALUE"""),"OA")</f>
        <v>OA</v>
      </c>
      <c r="G409" s="281" t="str">
        <f>IFERROR(__xludf.DUMMYFUNCTION("""COMPUTED_VALUE"""),"➖")</f>
        <v>➖</v>
      </c>
      <c r="H409" s="281" t="str">
        <f>IFERROR(__xludf.DUMMYFUNCTION("""COMPUTED_VALUE"""),"➖")</f>
        <v>➖</v>
      </c>
      <c r="I409" s="281" t="str">
        <f>IFERROR(__xludf.DUMMYFUNCTION("""COMPUTED_VALUE"""),"➖")</f>
        <v>➖</v>
      </c>
      <c r="J409" s="281" t="str">
        <f>IFERROR(__xludf.DUMMYFUNCTION("""COMPUTED_VALUE"""),"➖")</f>
        <v>➖</v>
      </c>
      <c r="K409" s="282" t="str">
        <f>IFERROR(__xludf.DUMMYFUNCTION("""COMPUTED_VALUE"""),"➖")</f>
        <v>➖</v>
      </c>
      <c r="L409" s="282" t="str">
        <f>IFERROR(__xludf.DUMMYFUNCTION("""COMPUTED_VALUE"""),"➖")</f>
        <v>➖</v>
      </c>
      <c r="M409" s="282" t="str">
        <f>IFERROR(__xludf.DUMMYFUNCTION("""COMPUTED_VALUE"""),"➖")</f>
        <v>➖</v>
      </c>
      <c r="N409" s="282" t="str">
        <f>IFERROR(__xludf.DUMMYFUNCTION("""COMPUTED_VALUE"""),"➖")</f>
        <v>➖</v>
      </c>
      <c r="O409" s="282" t="str">
        <f>IFERROR(__xludf.DUMMYFUNCTION("""COMPUTED_VALUE"""),"➖")</f>
        <v>➖</v>
      </c>
      <c r="P409" s="282" t="str">
        <f>IFERROR(__xludf.DUMMYFUNCTION("""COMPUTED_VALUE"""),"➖")</f>
        <v>➖</v>
      </c>
      <c r="Q409" s="282" t="str">
        <f>IFERROR(__xludf.DUMMYFUNCTION("""COMPUTED_VALUE"""),"➖")</f>
        <v>➖</v>
      </c>
      <c r="R409" s="283" t="str">
        <f>IFERROR(__xludf.DUMMYFUNCTION("""COMPUTED_VALUE"""),"   ➖")</f>
        <v>➖</v>
      </c>
      <c r="S409" s="284"/>
      <c r="T409" s="285" t="str">
        <f>IFERROR(__xludf.DUMMYFUNCTION("""COMPUTED_VALUE"""),"➖")</f>
        <v>➖</v>
      </c>
      <c r="U409" s="285" t="str">
        <f>IFERROR(__xludf.DUMMYFUNCTION("""COMPUTED_VALUE"""),"✅")</f>
        <v>✅</v>
      </c>
      <c r="V409" s="259"/>
      <c r="W409" s="286"/>
      <c r="X409" s="286"/>
      <c r="Y409" s="286"/>
    </row>
    <row r="410">
      <c r="A410" s="28"/>
      <c r="B410" s="132"/>
      <c r="C410" s="28"/>
      <c r="D410" s="260" t="str">
        <f>IFERROR(__xludf.DUMMYFUNCTION("""COMPUTED_VALUE"""),"   R")</f>
        <v>R</v>
      </c>
      <c r="E410" s="287" t="str">
        <f>IFERROR(__xludf.DUMMYFUNCTION("""COMPUTED_VALUE"""),"NEELIX")</f>
        <v>NEELIX</v>
      </c>
      <c r="F410" s="270" t="str">
        <f>IFERROR(__xludf.DUMMYFUNCTION("""COMPUTED_VALUE"""),"BDA")</f>
        <v>BDA</v>
      </c>
      <c r="G410" s="231" t="str">
        <f>IFERROR(__xludf.DUMMYFUNCTION("""COMPUTED_VALUE"""),"➖")</f>
        <v>➖</v>
      </c>
      <c r="H410" s="231" t="str">
        <f>IFERROR(__xludf.DUMMYFUNCTION("""COMPUTED_VALUE"""),"➖")</f>
        <v>➖</v>
      </c>
      <c r="I410" s="231" t="str">
        <f>IFERROR(__xludf.DUMMYFUNCTION("""COMPUTED_VALUE"""),"✴️")</f>
        <v>✴️</v>
      </c>
      <c r="J410" s="231" t="str">
        <f>IFERROR(__xludf.DUMMYFUNCTION("""COMPUTED_VALUE"""),"✴️")</f>
        <v>✴️</v>
      </c>
      <c r="K410" s="288" t="str">
        <f>IFERROR(__xludf.DUMMYFUNCTION("""COMPUTED_VALUE"""),"✴️")</f>
        <v>✴️</v>
      </c>
      <c r="L410" s="288" t="str">
        <f>IFERROR(__xludf.DUMMYFUNCTION("""COMPUTED_VALUE"""),"➖")</f>
        <v>➖</v>
      </c>
      <c r="M410" s="288" t="str">
        <f>IFERROR(__xludf.DUMMYFUNCTION("""COMPUTED_VALUE"""),"✴️")</f>
        <v>✴️</v>
      </c>
      <c r="N410" s="288" t="str">
        <f>IFERROR(__xludf.DUMMYFUNCTION("""COMPUTED_VALUE"""),"✴️")</f>
        <v>✴️</v>
      </c>
      <c r="O410" s="288" t="str">
        <f>IFERROR(__xludf.DUMMYFUNCTION("""COMPUTED_VALUE"""),"✴️")</f>
        <v>✴️</v>
      </c>
      <c r="P410" s="288" t="str">
        <f>IFERROR(__xludf.DUMMYFUNCTION("""COMPUTED_VALUE"""),"➖")</f>
        <v>➖</v>
      </c>
      <c r="Q410" s="288" t="str">
        <f>IFERROR(__xludf.DUMMYFUNCTION("""COMPUTED_VALUE"""),"➖")</f>
        <v>➖</v>
      </c>
      <c r="R410" s="257" t="str">
        <f>IFERROR(__xludf.DUMMYFUNCTION("""COMPUTED_VALUE"""),"   ➖")</f>
        <v>➖</v>
      </c>
      <c r="S410" s="258" t="str">
        <f>IFERROR(__xludf.DUMMYFUNCTION("""COMPUTED_VALUE"""),"SelfOfficerTalNotOnBridge")</f>
        <v>SelfOfficerTalNotOnBridge</v>
      </c>
      <c r="T410" s="255" t="str">
        <f>IFERROR(__xludf.DUMMYFUNCTION("""COMPUTED_VALUE"""),"➖")</f>
        <v>➖</v>
      </c>
      <c r="U410" s="255" t="str">
        <f>IFERROR(__xludf.DUMMYFUNCTION("""COMPUTED_VALUE"""),"➖")</f>
        <v>➖</v>
      </c>
      <c r="V410" s="259"/>
      <c r="W410" s="286"/>
      <c r="X410" s="286"/>
      <c r="Y410" s="286"/>
    </row>
    <row r="411">
      <c r="A411" s="28"/>
      <c r="B411" s="128"/>
      <c r="C411" s="28"/>
      <c r="D411" s="250" t="str">
        <f>IFERROR(__xludf.DUMMYFUNCTION("""COMPUTED_VALUE"""),"   E")</f>
        <v>E</v>
      </c>
      <c r="E411" s="280" t="str">
        <f>IFERROR(__xludf.DUMMYFUNCTION("""COMPUTED_VALUE"""),"CAROL FREEMAN")</f>
        <v>CAROL FREEMAN</v>
      </c>
      <c r="F411" s="271" t="str">
        <f>IFERROR(__xludf.DUMMYFUNCTION("""COMPUTED_VALUE"""),"CM")</f>
        <v>CM</v>
      </c>
      <c r="G411" s="281" t="str">
        <f>IFERROR(__xludf.DUMMYFUNCTION("""COMPUTED_VALUE"""),"✅")</f>
        <v>✅</v>
      </c>
      <c r="H411" s="281" t="str">
        <f>IFERROR(__xludf.DUMMYFUNCTION("""COMPUTED_VALUE"""),"✅")</f>
        <v>✅</v>
      </c>
      <c r="I411" s="281" t="str">
        <f>IFERROR(__xludf.DUMMYFUNCTION("""COMPUTED_VALUE"""),"➖")</f>
        <v>➖</v>
      </c>
      <c r="J411" s="281" t="str">
        <f>IFERROR(__xludf.DUMMYFUNCTION("""COMPUTED_VALUE"""),"➖")</f>
        <v>➖</v>
      </c>
      <c r="K411" s="282" t="str">
        <f>IFERROR(__xludf.DUMMYFUNCTION("""COMPUTED_VALUE"""),"➖")</f>
        <v>➖</v>
      </c>
      <c r="L411" s="282" t="str">
        <f>IFERROR(__xludf.DUMMYFUNCTION("""COMPUTED_VALUE"""),"➖")</f>
        <v>➖</v>
      </c>
      <c r="M411" s="282" t="str">
        <f>IFERROR(__xludf.DUMMYFUNCTION("""COMPUTED_VALUE"""),"➖")</f>
        <v>➖</v>
      </c>
      <c r="N411" s="282" t="str">
        <f>IFERROR(__xludf.DUMMYFUNCTION("""COMPUTED_VALUE"""),"➖")</f>
        <v>➖</v>
      </c>
      <c r="O411" s="282" t="str">
        <f>IFERROR(__xludf.DUMMYFUNCTION("""COMPUTED_VALUE"""),"➖")</f>
        <v>➖</v>
      </c>
      <c r="P411" s="282" t="str">
        <f>IFERROR(__xludf.DUMMYFUNCTION("""COMPUTED_VALUE"""),"➖")</f>
        <v>➖</v>
      </c>
      <c r="Q411" s="282" t="str">
        <f>IFERROR(__xludf.DUMMYFUNCTION("""COMPUTED_VALUE"""),"➖")</f>
        <v>➖</v>
      </c>
      <c r="R411" s="283" t="str">
        <f>IFERROR(__xludf.DUMMYFUNCTION("""COMPUTED_VALUE"""),"   ➖")</f>
        <v>➖</v>
      </c>
      <c r="S411" s="284"/>
      <c r="T411" s="285" t="str">
        <f>IFERROR(__xludf.DUMMYFUNCTION("""COMPUTED_VALUE"""),"➖")</f>
        <v>➖</v>
      </c>
      <c r="U411" s="285" t="str">
        <f>IFERROR(__xludf.DUMMYFUNCTION("""COMPUTED_VALUE"""),"➖")</f>
        <v>➖</v>
      </c>
      <c r="V411" s="259"/>
      <c r="W411" s="286"/>
      <c r="X411" s="286"/>
      <c r="Y411" s="286"/>
    </row>
    <row r="412">
      <c r="A412" s="28"/>
      <c r="B412" s="132"/>
      <c r="C412" s="28"/>
      <c r="D412" s="260" t="str">
        <f>IFERROR(__xludf.DUMMYFUNCTION("""COMPUTED_VALUE"""),"   E")</f>
        <v>E</v>
      </c>
      <c r="E412" s="287" t="str">
        <f>IFERROR(__xludf.DUMMYFUNCTION("""COMPUTED_VALUE"""),"CAROL FREEMAN")</f>
        <v>CAROL FREEMAN</v>
      </c>
      <c r="F412" s="270" t="str">
        <f>IFERROR(__xludf.DUMMYFUNCTION("""COMPUTED_VALUE"""),"OA")</f>
        <v>OA</v>
      </c>
      <c r="G412" s="231" t="str">
        <f>IFERROR(__xludf.DUMMYFUNCTION("""COMPUTED_VALUE"""),"✴️")</f>
        <v>✴️</v>
      </c>
      <c r="H412" s="231" t="str">
        <f>IFERROR(__xludf.DUMMYFUNCTION("""COMPUTED_VALUE"""),"✴️")</f>
        <v>✴️</v>
      </c>
      <c r="I412" s="231" t="str">
        <f>IFERROR(__xludf.DUMMYFUNCTION("""COMPUTED_VALUE"""),"➖")</f>
        <v>➖</v>
      </c>
      <c r="J412" s="231" t="str">
        <f>IFERROR(__xludf.DUMMYFUNCTION("""COMPUTED_VALUE"""),"➖")</f>
        <v>➖</v>
      </c>
      <c r="K412" s="288" t="str">
        <f>IFERROR(__xludf.DUMMYFUNCTION("""COMPUTED_VALUE"""),"➖")</f>
        <v>➖</v>
      </c>
      <c r="L412" s="288" t="str">
        <f>IFERROR(__xludf.DUMMYFUNCTION("""COMPUTED_VALUE"""),"➖")</f>
        <v>➖</v>
      </c>
      <c r="M412" s="288" t="str">
        <f>IFERROR(__xludf.DUMMYFUNCTION("""COMPUTED_VALUE"""),"➖")</f>
        <v>➖</v>
      </c>
      <c r="N412" s="288" t="str">
        <f>IFERROR(__xludf.DUMMYFUNCTION("""COMPUTED_VALUE"""),"➖")</f>
        <v>➖</v>
      </c>
      <c r="O412" s="288" t="str">
        <f>IFERROR(__xludf.DUMMYFUNCTION("""COMPUTED_VALUE"""),"➖")</f>
        <v>➖</v>
      </c>
      <c r="P412" s="288" t="str">
        <f>IFERROR(__xludf.DUMMYFUNCTION("""COMPUTED_VALUE"""),"➖")</f>
        <v>➖</v>
      </c>
      <c r="Q412" s="288" t="str">
        <f>IFERROR(__xludf.DUMMYFUNCTION("""COMPUTED_VALUE"""),"➖")</f>
        <v>➖</v>
      </c>
      <c r="R412" s="257" t="str">
        <f>IFERROR(__xludf.DUMMYFUNCTION("""COMPUTED_VALUE"""),"   ➖")</f>
        <v>➖</v>
      </c>
      <c r="S412" s="258" t="str">
        <f>IFERROR(__xludf.DUMMYFUNCTION("""COMPUTED_VALUE"""),"TargetStateAny")</f>
        <v>TargetStateAny</v>
      </c>
      <c r="T412" s="255" t="str">
        <f>IFERROR(__xludf.DUMMYFUNCTION("""COMPUTED_VALUE"""),"➖")</f>
        <v>➖</v>
      </c>
      <c r="U412" s="255" t="str">
        <f>IFERROR(__xludf.DUMMYFUNCTION("""COMPUTED_VALUE"""),"➖")</f>
        <v>➖</v>
      </c>
      <c r="V412" s="259"/>
      <c r="W412" s="286"/>
      <c r="X412" s="286"/>
      <c r="Y412" s="286"/>
    </row>
    <row r="413">
      <c r="A413" s="28"/>
      <c r="B413" s="128"/>
      <c r="C413" s="28"/>
      <c r="D413" s="250" t="str">
        <f>IFERROR(__xludf.DUMMYFUNCTION("""COMPUTED_VALUE"""),"   E")</f>
        <v>E</v>
      </c>
      <c r="E413" s="280" t="str">
        <f>IFERROR(__xludf.DUMMYFUNCTION("""COMPUTED_VALUE"""),"JACK RANSOM")</f>
        <v>JACK RANSOM</v>
      </c>
      <c r="F413" s="271" t="str">
        <f>IFERROR(__xludf.DUMMYFUNCTION("""COMPUTED_VALUE"""),"OA")</f>
        <v>OA</v>
      </c>
      <c r="G413" s="281" t="str">
        <f>IFERROR(__xludf.DUMMYFUNCTION("""COMPUTED_VALUE"""),"✴️")</f>
        <v>✴️</v>
      </c>
      <c r="H413" s="281" t="str">
        <f>IFERROR(__xludf.DUMMYFUNCTION("""COMPUTED_VALUE"""),"✴️")</f>
        <v>✴️</v>
      </c>
      <c r="I413" s="281" t="str">
        <f>IFERROR(__xludf.DUMMYFUNCTION("""COMPUTED_VALUE"""),"➖")</f>
        <v>➖</v>
      </c>
      <c r="J413" s="281" t="str">
        <f>IFERROR(__xludf.DUMMYFUNCTION("""COMPUTED_VALUE"""),"➖")</f>
        <v>➖</v>
      </c>
      <c r="K413" s="282" t="str">
        <f>IFERROR(__xludf.DUMMYFUNCTION("""COMPUTED_VALUE"""),"➖")</f>
        <v>➖</v>
      </c>
      <c r="L413" s="282" t="str">
        <f>IFERROR(__xludf.DUMMYFUNCTION("""COMPUTED_VALUE"""),"➖")</f>
        <v>➖</v>
      </c>
      <c r="M413" s="282" t="str">
        <f>IFERROR(__xludf.DUMMYFUNCTION("""COMPUTED_VALUE"""),"➖")</f>
        <v>➖</v>
      </c>
      <c r="N413" s="282" t="str">
        <f>IFERROR(__xludf.DUMMYFUNCTION("""COMPUTED_VALUE"""),"➖")</f>
        <v>➖</v>
      </c>
      <c r="O413" s="282" t="str">
        <f>IFERROR(__xludf.DUMMYFUNCTION("""COMPUTED_VALUE"""),"➖")</f>
        <v>➖</v>
      </c>
      <c r="P413" s="282" t="str">
        <f>IFERROR(__xludf.DUMMYFUNCTION("""COMPUTED_VALUE"""),"➖")</f>
        <v>➖</v>
      </c>
      <c r="Q413" s="282" t="str">
        <f>IFERROR(__xludf.DUMMYFUNCTION("""COMPUTED_VALUE"""),"➖")</f>
        <v>➖</v>
      </c>
      <c r="R413" s="283" t="str">
        <f>IFERROR(__xludf.DUMMYFUNCTION("""COMPUTED_VALUE"""),"   ➖")</f>
        <v>➖</v>
      </c>
      <c r="S413" s="284" t="str">
        <f>IFERROR(__xludf.DUMMYFUNCTION("""COMPUTED_VALUE"""),"SelfExplorer, SelfHasMorale")</f>
        <v>SelfExplorer, SelfHasMorale</v>
      </c>
      <c r="T413" s="285" t="str">
        <f>IFERROR(__xludf.DUMMYFUNCTION("""COMPUTED_VALUE"""),"➖")</f>
        <v>➖</v>
      </c>
      <c r="U413" s="285" t="str">
        <f>IFERROR(__xludf.DUMMYFUNCTION("""COMPUTED_VALUE"""),"➖")</f>
        <v>➖</v>
      </c>
      <c r="V413" s="259"/>
      <c r="W413" s="286"/>
      <c r="X413" s="286"/>
      <c r="Y413" s="286"/>
    </row>
    <row r="414">
      <c r="A414" s="28"/>
      <c r="B414" s="132"/>
      <c r="C414" s="28"/>
      <c r="D414" s="260" t="str">
        <f>IFERROR(__xludf.DUMMYFUNCTION("""COMPUTED_VALUE"""),"   E")</f>
        <v>E</v>
      </c>
      <c r="E414" s="287" t="str">
        <f>IFERROR(__xludf.DUMMYFUNCTION("""COMPUTED_VALUE"""),"JACK RANSOM")</f>
        <v>JACK RANSOM</v>
      </c>
      <c r="F414" s="270" t="str">
        <f>IFERROR(__xludf.DUMMYFUNCTION("""COMPUTED_VALUE"""),"BDA")</f>
        <v>BDA</v>
      </c>
      <c r="G414" s="231" t="str">
        <f>IFERROR(__xludf.DUMMYFUNCTION("""COMPUTED_VALUE"""),"✴️")</f>
        <v>✴️</v>
      </c>
      <c r="H414" s="231" t="str">
        <f>IFERROR(__xludf.DUMMYFUNCTION("""COMPUTED_VALUE"""),"✴️")</f>
        <v>✴️</v>
      </c>
      <c r="I414" s="231" t="str">
        <f>IFERROR(__xludf.DUMMYFUNCTION("""COMPUTED_VALUE"""),"➖")</f>
        <v>➖</v>
      </c>
      <c r="J414" s="231" t="str">
        <f>IFERROR(__xludf.DUMMYFUNCTION("""COMPUTED_VALUE"""),"➖")</f>
        <v>➖</v>
      </c>
      <c r="K414" s="288" t="str">
        <f>IFERROR(__xludf.DUMMYFUNCTION("""COMPUTED_VALUE"""),"➖")</f>
        <v>➖</v>
      </c>
      <c r="L414" s="288" t="str">
        <f>IFERROR(__xludf.DUMMYFUNCTION("""COMPUTED_VALUE"""),"➖")</f>
        <v>➖</v>
      </c>
      <c r="M414" s="288" t="str">
        <f>IFERROR(__xludf.DUMMYFUNCTION("""COMPUTED_VALUE"""),"➖")</f>
        <v>➖</v>
      </c>
      <c r="N414" s="288" t="str">
        <f>IFERROR(__xludf.DUMMYFUNCTION("""COMPUTED_VALUE"""),"➖")</f>
        <v>➖</v>
      </c>
      <c r="O414" s="288" t="str">
        <f>IFERROR(__xludf.DUMMYFUNCTION("""COMPUTED_VALUE"""),"➖")</f>
        <v>➖</v>
      </c>
      <c r="P414" s="288" t="str">
        <f>IFERROR(__xludf.DUMMYFUNCTION("""COMPUTED_VALUE"""),"➖")</f>
        <v>➖</v>
      </c>
      <c r="Q414" s="288" t="str">
        <f>IFERROR(__xludf.DUMMYFUNCTION("""COMPUTED_VALUE"""),"➖")</f>
        <v>➖</v>
      </c>
      <c r="R414" s="257" t="str">
        <f>IFERROR(__xludf.DUMMYFUNCTION("""COMPUTED_VALUE"""),"   ➖")</f>
        <v>➖</v>
      </c>
      <c r="S414" s="258" t="str">
        <f>IFERROR(__xludf.DUMMYFUNCTION("""COMPUTED_VALUE"""),"SelfInterceptor, TargetHasHullBreach")</f>
        <v>SelfInterceptor, TargetHasHullBreach</v>
      </c>
      <c r="T414" s="255" t="str">
        <f>IFERROR(__xludf.DUMMYFUNCTION("""COMPUTED_VALUE"""),"➖")</f>
        <v>➖</v>
      </c>
      <c r="U414" s="255" t="str">
        <f>IFERROR(__xludf.DUMMYFUNCTION("""COMPUTED_VALUE"""),"➖")</f>
        <v>➖</v>
      </c>
      <c r="V414" s="259"/>
      <c r="W414" s="286"/>
      <c r="X414" s="286"/>
      <c r="Y414" s="286"/>
    </row>
    <row r="415">
      <c r="A415" s="28"/>
      <c r="B415" s="128"/>
      <c r="C415" s="28"/>
      <c r="D415" s="250" t="str">
        <f>IFERROR(__xludf.DUMMYFUNCTION("""COMPUTED_VALUE"""),"   E")</f>
        <v>E</v>
      </c>
      <c r="E415" s="280" t="str">
        <f>IFERROR(__xludf.DUMMYFUNCTION("""COMPUTED_VALUE"""),"ANDY BILLUPS")</f>
        <v>ANDY BILLUPS</v>
      </c>
      <c r="F415" s="271" t="str">
        <f>IFERROR(__xludf.DUMMYFUNCTION("""COMPUTED_VALUE"""),"OA")</f>
        <v>OA</v>
      </c>
      <c r="G415" s="281" t="str">
        <f>IFERROR(__xludf.DUMMYFUNCTION("""COMPUTED_VALUE"""),"✴️")</f>
        <v>✴️</v>
      </c>
      <c r="H415" s="281" t="str">
        <f>IFERROR(__xludf.DUMMYFUNCTION("""COMPUTED_VALUE"""),"✴️")</f>
        <v>✴️</v>
      </c>
      <c r="I415" s="281" t="str">
        <f>IFERROR(__xludf.DUMMYFUNCTION("""COMPUTED_VALUE"""),"➖")</f>
        <v>➖</v>
      </c>
      <c r="J415" s="281" t="str">
        <f>IFERROR(__xludf.DUMMYFUNCTION("""COMPUTED_VALUE"""),"➖")</f>
        <v>➖</v>
      </c>
      <c r="K415" s="282" t="str">
        <f>IFERROR(__xludf.DUMMYFUNCTION("""COMPUTED_VALUE"""),"➖")</f>
        <v>➖</v>
      </c>
      <c r="L415" s="282" t="str">
        <f>IFERROR(__xludf.DUMMYFUNCTION("""COMPUTED_VALUE"""),"➖")</f>
        <v>➖</v>
      </c>
      <c r="M415" s="282" t="str">
        <f>IFERROR(__xludf.DUMMYFUNCTION("""COMPUTED_VALUE"""),"➖")</f>
        <v>➖</v>
      </c>
      <c r="N415" s="282" t="str">
        <f>IFERROR(__xludf.DUMMYFUNCTION("""COMPUTED_VALUE"""),"➖")</f>
        <v>➖</v>
      </c>
      <c r="O415" s="282" t="str">
        <f>IFERROR(__xludf.DUMMYFUNCTION("""COMPUTED_VALUE"""),"➖")</f>
        <v>➖</v>
      </c>
      <c r="P415" s="282" t="str">
        <f>IFERROR(__xludf.DUMMYFUNCTION("""COMPUTED_VALUE"""),"➖")</f>
        <v>➖</v>
      </c>
      <c r="Q415" s="282" t="str">
        <f>IFERROR(__xludf.DUMMYFUNCTION("""COMPUTED_VALUE"""),"➖")</f>
        <v>➖</v>
      </c>
      <c r="R415" s="283" t="str">
        <f>IFERROR(__xludf.DUMMYFUNCTION("""COMPUTED_VALUE"""),"   ➖")</f>
        <v>➖</v>
      </c>
      <c r="S415" s="284" t="str">
        <f>IFERROR(__xludf.DUMMYFUNCTION("""COMPUTED_VALUE"""),"SelfInterceptor, TargetHasHullBreach")</f>
        <v>SelfInterceptor, TargetHasHullBreach</v>
      </c>
      <c r="T415" s="285" t="str">
        <f>IFERROR(__xludf.DUMMYFUNCTION("""COMPUTED_VALUE"""),"➖")</f>
        <v>➖</v>
      </c>
      <c r="U415" s="285" t="str">
        <f>IFERROR(__xludf.DUMMYFUNCTION("""COMPUTED_VALUE"""),"➖")</f>
        <v>➖</v>
      </c>
      <c r="V415" s="259"/>
      <c r="W415" s="286"/>
      <c r="X415" s="286"/>
      <c r="Y415" s="286"/>
    </row>
    <row r="416">
      <c r="A416" s="28"/>
      <c r="B416" s="132"/>
      <c r="C416" s="28"/>
      <c r="D416" s="260" t="str">
        <f>IFERROR(__xludf.DUMMYFUNCTION("""COMPUTED_VALUE"""),"   E")</f>
        <v>E</v>
      </c>
      <c r="E416" s="287" t="str">
        <f>IFERROR(__xludf.DUMMYFUNCTION("""COMPUTED_VALUE"""),"ANDY BILLUPS")</f>
        <v>ANDY BILLUPS</v>
      </c>
      <c r="F416" s="270" t="str">
        <f>IFERROR(__xludf.DUMMYFUNCTION("""COMPUTED_VALUE"""),"BDA")</f>
        <v>BDA</v>
      </c>
      <c r="G416" s="231" t="str">
        <f>IFERROR(__xludf.DUMMYFUNCTION("""COMPUTED_VALUE"""),"✴️")</f>
        <v>✴️</v>
      </c>
      <c r="H416" s="231" t="str">
        <f>IFERROR(__xludf.DUMMYFUNCTION("""COMPUTED_VALUE"""),"✴️")</f>
        <v>✴️</v>
      </c>
      <c r="I416" s="231" t="str">
        <f>IFERROR(__xludf.DUMMYFUNCTION("""COMPUTED_VALUE"""),"➖")</f>
        <v>➖</v>
      </c>
      <c r="J416" s="231" t="str">
        <f>IFERROR(__xludf.DUMMYFUNCTION("""COMPUTED_VALUE"""),"➖")</f>
        <v>➖</v>
      </c>
      <c r="K416" s="288" t="str">
        <f>IFERROR(__xludf.DUMMYFUNCTION("""COMPUTED_VALUE"""),"➖")</f>
        <v>➖</v>
      </c>
      <c r="L416" s="288" t="str">
        <f>IFERROR(__xludf.DUMMYFUNCTION("""COMPUTED_VALUE"""),"➖")</f>
        <v>➖</v>
      </c>
      <c r="M416" s="288" t="str">
        <f>IFERROR(__xludf.DUMMYFUNCTION("""COMPUTED_VALUE"""),"➖")</f>
        <v>➖</v>
      </c>
      <c r="N416" s="288" t="str">
        <f>IFERROR(__xludf.DUMMYFUNCTION("""COMPUTED_VALUE"""),"➖")</f>
        <v>➖</v>
      </c>
      <c r="O416" s="288" t="str">
        <f>IFERROR(__xludf.DUMMYFUNCTION("""COMPUTED_VALUE"""),"➖")</f>
        <v>➖</v>
      </c>
      <c r="P416" s="288" t="str">
        <f>IFERROR(__xludf.DUMMYFUNCTION("""COMPUTED_VALUE"""),"➖")</f>
        <v>➖</v>
      </c>
      <c r="Q416" s="288" t="str">
        <f>IFERROR(__xludf.DUMMYFUNCTION("""COMPUTED_VALUE"""),"➖")</f>
        <v>➖</v>
      </c>
      <c r="R416" s="257" t="str">
        <f>IFERROR(__xludf.DUMMYFUNCTION("""COMPUTED_VALUE"""),"   ➖")</f>
        <v>➖</v>
      </c>
      <c r="S416" s="258" t="str">
        <f>IFERROR(__xludf.DUMMYFUNCTION("""COMPUTED_VALUE"""),"SelfBattleship, TargetHasBurning")</f>
        <v>SelfBattleship, TargetHasBurning</v>
      </c>
      <c r="T416" s="255" t="str">
        <f>IFERROR(__xludf.DUMMYFUNCTION("""COMPUTED_VALUE"""),"➖")</f>
        <v>➖</v>
      </c>
      <c r="U416" s="255" t="str">
        <f>IFERROR(__xludf.DUMMYFUNCTION("""COMPUTED_VALUE"""),"➖")</f>
        <v>➖</v>
      </c>
      <c r="V416" s="259"/>
      <c r="W416" s="286"/>
      <c r="X416" s="286"/>
      <c r="Y416" s="286"/>
    </row>
    <row r="417">
      <c r="A417" s="28"/>
      <c r="B417" s="128"/>
      <c r="C417" s="28"/>
      <c r="D417" s="250" t="str">
        <f>IFERROR(__xludf.DUMMYFUNCTION("""COMPUTED_VALUE"""),"   E")</f>
        <v>E</v>
      </c>
      <c r="E417" s="280" t="str">
        <f>IFERROR(__xludf.DUMMYFUNCTION("""COMPUTED_VALUE"""),"SHAXS")</f>
        <v>SHAXS</v>
      </c>
      <c r="F417" s="271" t="str">
        <f>IFERROR(__xludf.DUMMYFUNCTION("""COMPUTED_VALUE"""),"OA")</f>
        <v>OA</v>
      </c>
      <c r="G417" s="281" t="str">
        <f>IFERROR(__xludf.DUMMYFUNCTION("""COMPUTED_VALUE"""),"✴️")</f>
        <v>✴️</v>
      </c>
      <c r="H417" s="281" t="str">
        <f>IFERROR(__xludf.DUMMYFUNCTION("""COMPUTED_VALUE"""),"✴️")</f>
        <v>✴️</v>
      </c>
      <c r="I417" s="281" t="str">
        <f>IFERROR(__xludf.DUMMYFUNCTION("""COMPUTED_VALUE"""),"➖")</f>
        <v>➖</v>
      </c>
      <c r="J417" s="281" t="str">
        <f>IFERROR(__xludf.DUMMYFUNCTION("""COMPUTED_VALUE"""),"➖")</f>
        <v>➖</v>
      </c>
      <c r="K417" s="282" t="str">
        <f>IFERROR(__xludf.DUMMYFUNCTION("""COMPUTED_VALUE"""),"➖")</f>
        <v>➖</v>
      </c>
      <c r="L417" s="282" t="str">
        <f>IFERROR(__xludf.DUMMYFUNCTION("""COMPUTED_VALUE"""),"➖")</f>
        <v>➖</v>
      </c>
      <c r="M417" s="282" t="str">
        <f>IFERROR(__xludf.DUMMYFUNCTION("""COMPUTED_VALUE"""),"➖")</f>
        <v>➖</v>
      </c>
      <c r="N417" s="282" t="str">
        <f>IFERROR(__xludf.DUMMYFUNCTION("""COMPUTED_VALUE"""),"➖")</f>
        <v>➖</v>
      </c>
      <c r="O417" s="282" t="str">
        <f>IFERROR(__xludf.DUMMYFUNCTION("""COMPUTED_VALUE"""),"➖")</f>
        <v>➖</v>
      </c>
      <c r="P417" s="282" t="str">
        <f>IFERROR(__xludf.DUMMYFUNCTION("""COMPUTED_VALUE"""),"➖")</f>
        <v>➖</v>
      </c>
      <c r="Q417" s="282" t="str">
        <f>IFERROR(__xludf.DUMMYFUNCTION("""COMPUTED_VALUE"""),"➖")</f>
        <v>➖</v>
      </c>
      <c r="R417" s="283" t="str">
        <f>IFERROR(__xludf.DUMMYFUNCTION("""COMPUTED_VALUE"""),"   ➖")</f>
        <v>➖</v>
      </c>
      <c r="S417" s="284" t="str">
        <f>IFERROR(__xludf.DUMMYFUNCTION("""COMPUTED_VALUE"""),"SelfBattleship, TargetHasBurning")</f>
        <v>SelfBattleship, TargetHasBurning</v>
      </c>
      <c r="T417" s="285" t="str">
        <f>IFERROR(__xludf.DUMMYFUNCTION("""COMPUTED_VALUE"""),"➖")</f>
        <v>➖</v>
      </c>
      <c r="U417" s="285" t="str">
        <f>IFERROR(__xludf.DUMMYFUNCTION("""COMPUTED_VALUE"""),"➖")</f>
        <v>➖</v>
      </c>
      <c r="V417" s="259"/>
      <c r="W417" s="286"/>
      <c r="X417" s="286"/>
      <c r="Y417" s="286"/>
    </row>
    <row r="418">
      <c r="A418" s="28"/>
      <c r="B418" s="132"/>
      <c r="C418" s="28"/>
      <c r="D418" s="260" t="str">
        <f>IFERROR(__xludf.DUMMYFUNCTION("""COMPUTED_VALUE"""),"   E")</f>
        <v>E</v>
      </c>
      <c r="E418" s="287" t="str">
        <f>IFERROR(__xludf.DUMMYFUNCTION("""COMPUTED_VALUE"""),"SHAXS")</f>
        <v>SHAXS</v>
      </c>
      <c r="F418" s="270" t="str">
        <f>IFERROR(__xludf.DUMMYFUNCTION("""COMPUTED_VALUE"""),"BDA")</f>
        <v>BDA</v>
      </c>
      <c r="G418" s="231" t="str">
        <f>IFERROR(__xludf.DUMMYFUNCTION("""COMPUTED_VALUE"""),"✴️")</f>
        <v>✴️</v>
      </c>
      <c r="H418" s="231" t="str">
        <f>IFERROR(__xludf.DUMMYFUNCTION("""COMPUTED_VALUE"""),"✴️")</f>
        <v>✴️</v>
      </c>
      <c r="I418" s="231" t="str">
        <f>IFERROR(__xludf.DUMMYFUNCTION("""COMPUTED_VALUE"""),"➖")</f>
        <v>➖</v>
      </c>
      <c r="J418" s="231" t="str">
        <f>IFERROR(__xludf.DUMMYFUNCTION("""COMPUTED_VALUE"""),"➖")</f>
        <v>➖</v>
      </c>
      <c r="K418" s="288" t="str">
        <f>IFERROR(__xludf.DUMMYFUNCTION("""COMPUTED_VALUE"""),"➖")</f>
        <v>➖</v>
      </c>
      <c r="L418" s="288" t="str">
        <f>IFERROR(__xludf.DUMMYFUNCTION("""COMPUTED_VALUE"""),"➖")</f>
        <v>➖</v>
      </c>
      <c r="M418" s="288" t="str">
        <f>IFERROR(__xludf.DUMMYFUNCTION("""COMPUTED_VALUE"""),"➖")</f>
        <v>➖</v>
      </c>
      <c r="N418" s="288" t="str">
        <f>IFERROR(__xludf.DUMMYFUNCTION("""COMPUTED_VALUE"""),"➖")</f>
        <v>➖</v>
      </c>
      <c r="O418" s="288" t="str">
        <f>IFERROR(__xludf.DUMMYFUNCTION("""COMPUTED_VALUE"""),"➖")</f>
        <v>➖</v>
      </c>
      <c r="P418" s="288" t="str">
        <f>IFERROR(__xludf.DUMMYFUNCTION("""COMPUTED_VALUE"""),"➖")</f>
        <v>➖</v>
      </c>
      <c r="Q418" s="288" t="str">
        <f>IFERROR(__xludf.DUMMYFUNCTION("""COMPUTED_VALUE"""),"➖")</f>
        <v>➖</v>
      </c>
      <c r="R418" s="257" t="str">
        <f>IFERROR(__xludf.DUMMYFUNCTION("""COMPUTED_VALUE"""),"   ➖")</f>
        <v>➖</v>
      </c>
      <c r="S418" s="258" t="str">
        <f>IFERROR(__xludf.DUMMYFUNCTION("""COMPUTED_VALUE"""),"SelfExplorer, SelfHasMorale")</f>
        <v>SelfExplorer, SelfHasMorale</v>
      </c>
      <c r="T418" s="255" t="str">
        <f>IFERROR(__xludf.DUMMYFUNCTION("""COMPUTED_VALUE"""),"➖")</f>
        <v>➖</v>
      </c>
      <c r="U418" s="255" t="str">
        <f>IFERROR(__xludf.DUMMYFUNCTION("""COMPUTED_VALUE"""),"➖")</f>
        <v>➖</v>
      </c>
      <c r="V418" s="259"/>
      <c r="W418" s="286"/>
      <c r="X418" s="286"/>
      <c r="Y418" s="286"/>
    </row>
    <row r="419">
      <c r="A419" s="28"/>
      <c r="B419" s="128"/>
      <c r="C419" s="28"/>
      <c r="D419" s="250" t="str">
        <f>IFERROR(__xludf.DUMMYFUNCTION("""COMPUTED_VALUE"""),"   E")</f>
        <v>E</v>
      </c>
      <c r="E419" s="280" t="str">
        <f>IFERROR(__xludf.DUMMYFUNCTION("""COMPUTED_VALUE"""),"DOCTOR T'ANA")</f>
        <v>DOCTOR T'ANA</v>
      </c>
      <c r="F419" s="271" t="str">
        <f>IFERROR(__xludf.DUMMYFUNCTION("""COMPUTED_VALUE"""),"OA")</f>
        <v>OA</v>
      </c>
      <c r="G419" s="281" t="str">
        <f>IFERROR(__xludf.DUMMYFUNCTION("""COMPUTED_VALUE"""),"✅")</f>
        <v>✅</v>
      </c>
      <c r="H419" s="281" t="str">
        <f>IFERROR(__xludf.DUMMYFUNCTION("""COMPUTED_VALUE"""),"✅")</f>
        <v>✅</v>
      </c>
      <c r="I419" s="281" t="str">
        <f>IFERROR(__xludf.DUMMYFUNCTION("""COMPUTED_VALUE"""),"➖")</f>
        <v>➖</v>
      </c>
      <c r="J419" s="281" t="str">
        <f>IFERROR(__xludf.DUMMYFUNCTION("""COMPUTED_VALUE"""),"➖")</f>
        <v>➖</v>
      </c>
      <c r="K419" s="282" t="str">
        <f>IFERROR(__xludf.DUMMYFUNCTION("""COMPUTED_VALUE"""),"➖")</f>
        <v>➖</v>
      </c>
      <c r="L419" s="282" t="str">
        <f>IFERROR(__xludf.DUMMYFUNCTION("""COMPUTED_VALUE"""),"➖")</f>
        <v>➖</v>
      </c>
      <c r="M419" s="282" t="str">
        <f>IFERROR(__xludf.DUMMYFUNCTION("""COMPUTED_VALUE"""),"➖")</f>
        <v>➖</v>
      </c>
      <c r="N419" s="282" t="str">
        <f>IFERROR(__xludf.DUMMYFUNCTION("""COMPUTED_VALUE"""),"➖")</f>
        <v>➖</v>
      </c>
      <c r="O419" s="282" t="str">
        <f>IFERROR(__xludf.DUMMYFUNCTION("""COMPUTED_VALUE"""),"➖")</f>
        <v>➖</v>
      </c>
      <c r="P419" s="282" t="str">
        <f>IFERROR(__xludf.DUMMYFUNCTION("""COMPUTED_VALUE"""),"➖")</f>
        <v>➖</v>
      </c>
      <c r="Q419" s="282" t="str">
        <f>IFERROR(__xludf.DUMMYFUNCTION("""COMPUTED_VALUE"""),"➖")</f>
        <v>➖</v>
      </c>
      <c r="R419" s="283" t="str">
        <f>IFERROR(__xludf.DUMMYFUNCTION("""COMPUTED_VALUE"""),"   ➖")</f>
        <v>➖</v>
      </c>
      <c r="S419" s="284"/>
      <c r="T419" s="285" t="str">
        <f>IFERROR(__xludf.DUMMYFUNCTION("""COMPUTED_VALUE"""),"➖")</f>
        <v>➖</v>
      </c>
      <c r="U419" s="285" t="str">
        <f>IFERROR(__xludf.DUMMYFUNCTION("""COMPUTED_VALUE"""),"➖")</f>
        <v>➖</v>
      </c>
      <c r="V419" s="259"/>
      <c r="W419" s="286"/>
      <c r="X419" s="286"/>
      <c r="Y419" s="286"/>
    </row>
    <row r="420">
      <c r="A420" s="28"/>
      <c r="B420" s="132"/>
      <c r="C420" s="28"/>
      <c r="D420" s="260" t="str">
        <f>IFERROR(__xludf.DUMMYFUNCTION("""COMPUTED_VALUE"""),"   E")</f>
        <v>E</v>
      </c>
      <c r="E420" s="287" t="str">
        <f>IFERROR(__xludf.DUMMYFUNCTION("""COMPUTED_VALUE"""),"DOCTOR T'ANA")</f>
        <v>DOCTOR T'ANA</v>
      </c>
      <c r="F420" s="270" t="str">
        <f>IFERROR(__xludf.DUMMYFUNCTION("""COMPUTED_VALUE"""),"BDA")</f>
        <v>BDA</v>
      </c>
      <c r="G420" s="231" t="str">
        <f>IFERROR(__xludf.DUMMYFUNCTION("""COMPUTED_VALUE"""),"✅")</f>
        <v>✅</v>
      </c>
      <c r="H420" s="231" t="str">
        <f>IFERROR(__xludf.DUMMYFUNCTION("""COMPUTED_VALUE"""),"✅")</f>
        <v>✅</v>
      </c>
      <c r="I420" s="231" t="str">
        <f>IFERROR(__xludf.DUMMYFUNCTION("""COMPUTED_VALUE"""),"➖")</f>
        <v>➖</v>
      </c>
      <c r="J420" s="231" t="str">
        <f>IFERROR(__xludf.DUMMYFUNCTION("""COMPUTED_VALUE"""),"➖")</f>
        <v>➖</v>
      </c>
      <c r="K420" s="288" t="str">
        <f>IFERROR(__xludf.DUMMYFUNCTION("""COMPUTED_VALUE"""),"➖")</f>
        <v>➖</v>
      </c>
      <c r="L420" s="288" t="str">
        <f>IFERROR(__xludf.DUMMYFUNCTION("""COMPUTED_VALUE"""),"➖")</f>
        <v>➖</v>
      </c>
      <c r="M420" s="288" t="str">
        <f>IFERROR(__xludf.DUMMYFUNCTION("""COMPUTED_VALUE"""),"➖")</f>
        <v>➖</v>
      </c>
      <c r="N420" s="288" t="str">
        <f>IFERROR(__xludf.DUMMYFUNCTION("""COMPUTED_VALUE"""),"➖")</f>
        <v>➖</v>
      </c>
      <c r="O420" s="288" t="str">
        <f>IFERROR(__xludf.DUMMYFUNCTION("""COMPUTED_VALUE"""),"➖")</f>
        <v>➖</v>
      </c>
      <c r="P420" s="288" t="str">
        <f>IFERROR(__xludf.DUMMYFUNCTION("""COMPUTED_VALUE"""),"➖")</f>
        <v>➖</v>
      </c>
      <c r="Q420" s="288" t="str">
        <f>IFERROR(__xludf.DUMMYFUNCTION("""COMPUTED_VALUE"""),"➖")</f>
        <v>➖</v>
      </c>
      <c r="R420" s="257" t="str">
        <f>IFERROR(__xludf.DUMMYFUNCTION("""COMPUTED_VALUE"""),"   ➖")</f>
        <v>➖</v>
      </c>
      <c r="S420" s="258"/>
      <c r="T420" s="255" t="str">
        <f>IFERROR(__xludf.DUMMYFUNCTION("""COMPUTED_VALUE"""),"➖")</f>
        <v>➖</v>
      </c>
      <c r="U420" s="255" t="str">
        <f>IFERROR(__xludf.DUMMYFUNCTION("""COMPUTED_VALUE"""),"➖")</f>
        <v>➖</v>
      </c>
      <c r="V420" s="259"/>
      <c r="W420" s="286"/>
      <c r="X420" s="286"/>
      <c r="Y420" s="286"/>
    </row>
    <row r="421">
      <c r="A421" s="28"/>
      <c r="B421" s="128"/>
      <c r="C421" s="28"/>
      <c r="D421" s="250" t="str">
        <f>IFERROR(__xludf.DUMMYFUNCTION("""COMPUTED_VALUE"""),"   R")</f>
        <v>R</v>
      </c>
      <c r="E421" s="280" t="str">
        <f>IFERROR(__xludf.DUMMYFUNCTION("""COMPUTED_VALUE"""),"ALONZO FREEMAN")</f>
        <v>ALONZO FREEMAN</v>
      </c>
      <c r="F421" s="271" t="str">
        <f>IFERROR(__xludf.DUMMYFUNCTION("""COMPUTED_VALUE"""),"OA")</f>
        <v>OA</v>
      </c>
      <c r="G421" s="281" t="str">
        <f>IFERROR(__xludf.DUMMYFUNCTION("""COMPUTED_VALUE"""),"➖")</f>
        <v>➖</v>
      </c>
      <c r="H421" s="281" t="str">
        <f>IFERROR(__xludf.DUMMYFUNCTION("""COMPUTED_VALUE"""),"➖")</f>
        <v>➖</v>
      </c>
      <c r="I421" s="281" t="str">
        <f>IFERROR(__xludf.DUMMYFUNCTION("""COMPUTED_VALUE"""),"➖")</f>
        <v>➖</v>
      </c>
      <c r="J421" s="281" t="str">
        <f>IFERROR(__xludf.DUMMYFUNCTION("""COMPUTED_VALUE"""),"➖")</f>
        <v>➖</v>
      </c>
      <c r="K421" s="282" t="str">
        <f>IFERROR(__xludf.DUMMYFUNCTION("""COMPUTED_VALUE"""),"➖")</f>
        <v>➖</v>
      </c>
      <c r="L421" s="282" t="str">
        <f>IFERROR(__xludf.DUMMYFUNCTION("""COMPUTED_VALUE"""),"➖")</f>
        <v>➖</v>
      </c>
      <c r="M421" s="282" t="str">
        <f>IFERROR(__xludf.DUMMYFUNCTION("""COMPUTED_VALUE"""),"➖")</f>
        <v>➖</v>
      </c>
      <c r="N421" s="282" t="str">
        <f>IFERROR(__xludf.DUMMYFUNCTION("""COMPUTED_VALUE"""),"➖")</f>
        <v>➖</v>
      </c>
      <c r="O421" s="282" t="str">
        <f>IFERROR(__xludf.DUMMYFUNCTION("""COMPUTED_VALUE"""),"➖")</f>
        <v>➖</v>
      </c>
      <c r="P421" s="282" t="str">
        <f>IFERROR(__xludf.DUMMYFUNCTION("""COMPUTED_VALUE"""),"➖")</f>
        <v>➖</v>
      </c>
      <c r="Q421" s="282" t="str">
        <f>IFERROR(__xludf.DUMMYFUNCTION("""COMPUTED_VALUE"""),"➖")</f>
        <v>➖</v>
      </c>
      <c r="R421" s="283" t="str">
        <f>IFERROR(__xludf.DUMMYFUNCTION("""COMPUTED_VALUE"""),"   ➖")</f>
        <v>➖</v>
      </c>
      <c r="S421" s="284"/>
      <c r="T421" s="285" t="str">
        <f>IFERROR(__xludf.DUMMYFUNCTION("""COMPUTED_VALUE"""),"➖")</f>
        <v>➖</v>
      </c>
      <c r="U421" s="285" t="str">
        <f>IFERROR(__xludf.DUMMYFUNCTION("""COMPUTED_VALUE"""),"✅")</f>
        <v>✅</v>
      </c>
      <c r="V421" s="259"/>
      <c r="W421" s="286"/>
      <c r="X421" s="286"/>
      <c r="Y421" s="286"/>
    </row>
    <row r="422">
      <c r="A422" s="28"/>
      <c r="B422" s="132"/>
      <c r="C422" s="28"/>
      <c r="D422" s="260" t="str">
        <f>IFERROR(__xludf.DUMMYFUNCTION("""COMPUTED_VALUE"""),"   R")</f>
        <v>R</v>
      </c>
      <c r="E422" s="287" t="str">
        <f>IFERROR(__xludf.DUMMYFUNCTION("""COMPUTED_VALUE"""),"ALONZO FREEMAN")</f>
        <v>ALONZO FREEMAN</v>
      </c>
      <c r="F422" s="270" t="str">
        <f>IFERROR(__xludf.DUMMYFUNCTION("""COMPUTED_VALUE"""),"BDA")</f>
        <v>BDA</v>
      </c>
      <c r="G422" s="231" t="str">
        <f>IFERROR(__xludf.DUMMYFUNCTION("""COMPUTED_VALUE"""),"➖")</f>
        <v>➖</v>
      </c>
      <c r="H422" s="231" t="str">
        <f>IFERROR(__xludf.DUMMYFUNCTION("""COMPUTED_VALUE"""),"➖")</f>
        <v>➖</v>
      </c>
      <c r="I422" s="231" t="str">
        <f>IFERROR(__xludf.DUMMYFUNCTION("""COMPUTED_VALUE"""),"✴️")</f>
        <v>✴️</v>
      </c>
      <c r="J422" s="231" t="str">
        <f>IFERROR(__xludf.DUMMYFUNCTION("""COMPUTED_VALUE"""),"➖")</f>
        <v>➖</v>
      </c>
      <c r="K422" s="288" t="str">
        <f>IFERROR(__xludf.DUMMYFUNCTION("""COMPUTED_VALUE"""),"➖")</f>
        <v>➖</v>
      </c>
      <c r="L422" s="288" t="str">
        <f>IFERROR(__xludf.DUMMYFUNCTION("""COMPUTED_VALUE"""),"➖")</f>
        <v>➖</v>
      </c>
      <c r="M422" s="288" t="str">
        <f>IFERROR(__xludf.DUMMYFUNCTION("""COMPUTED_VALUE"""),"✴️")</f>
        <v>✴️</v>
      </c>
      <c r="N422" s="288" t="str">
        <f>IFERROR(__xludf.DUMMYFUNCTION("""COMPUTED_VALUE"""),"✴️")</f>
        <v>✴️</v>
      </c>
      <c r="O422" s="288" t="str">
        <f>IFERROR(__xludf.DUMMYFUNCTION("""COMPUTED_VALUE"""),"➖")</f>
        <v>➖</v>
      </c>
      <c r="P422" s="288" t="str">
        <f>IFERROR(__xludf.DUMMYFUNCTION("""COMPUTED_VALUE"""),"➖")</f>
        <v>➖</v>
      </c>
      <c r="Q422" s="288" t="str">
        <f>IFERROR(__xludf.DUMMYFUNCTION("""COMPUTED_VALUE"""),"➖")</f>
        <v>➖</v>
      </c>
      <c r="R422" s="257" t="str">
        <f>IFERROR(__xludf.DUMMYFUNCTION("""COMPUTED_VALUE"""),"   ➖")</f>
        <v>➖</v>
      </c>
      <c r="S422" s="258" t="str">
        <f>IFERROR(__xludf.DUMMYFUNCTION("""COMPUTED_VALUE"""),"FactionPointsGain")</f>
        <v>FactionPointsGain</v>
      </c>
      <c r="T422" s="255" t="str">
        <f>IFERROR(__xludf.DUMMYFUNCTION("""COMPUTED_VALUE"""),"✅")</f>
        <v>✅</v>
      </c>
      <c r="U422" s="255" t="str">
        <f>IFERROR(__xludf.DUMMYFUNCTION("""COMPUTED_VALUE"""),"➖")</f>
        <v>➖</v>
      </c>
      <c r="V422" s="259"/>
      <c r="W422" s="286"/>
      <c r="X422" s="286"/>
      <c r="Y422" s="286"/>
    </row>
    <row r="423">
      <c r="A423" s="28"/>
      <c r="B423" s="128"/>
      <c r="C423" s="28"/>
      <c r="D423" s="250" t="str">
        <f>IFERROR(__xludf.DUMMYFUNCTION("""COMPUTED_VALUE"""),"   E")</f>
        <v>E</v>
      </c>
      <c r="E423" s="280" t="str">
        <f>IFERROR(__xludf.DUMMYFUNCTION("""COMPUTED_VALUE"""),"ENT-E PICARD")</f>
        <v>ENT-E PICARD</v>
      </c>
      <c r="F423" s="271" t="str">
        <f>IFERROR(__xludf.DUMMYFUNCTION("""COMPUTED_VALUE"""),"CM")</f>
        <v>CM</v>
      </c>
      <c r="G423" s="281" t="str">
        <f>IFERROR(__xludf.DUMMYFUNCTION("""COMPUTED_VALUE"""),"➖")</f>
        <v>➖</v>
      </c>
      <c r="H423" s="281" t="str">
        <f>IFERROR(__xludf.DUMMYFUNCTION("""COMPUTED_VALUE"""),"➖")</f>
        <v>➖</v>
      </c>
      <c r="I423" s="281" t="str">
        <f>IFERROR(__xludf.DUMMYFUNCTION("""COMPUTED_VALUE"""),"✅")</f>
        <v>✅</v>
      </c>
      <c r="J423" s="281" t="str">
        <f>IFERROR(__xludf.DUMMYFUNCTION("""COMPUTED_VALUE"""),"➖")</f>
        <v>➖</v>
      </c>
      <c r="K423" s="282" t="str">
        <f>IFERROR(__xludf.DUMMYFUNCTION("""COMPUTED_VALUE"""),"➖")</f>
        <v>➖</v>
      </c>
      <c r="L423" s="282" t="str">
        <f>IFERROR(__xludf.DUMMYFUNCTION("""COMPUTED_VALUE"""),"➖")</f>
        <v>➖</v>
      </c>
      <c r="M423" s="282" t="str">
        <f>IFERROR(__xludf.DUMMYFUNCTION("""COMPUTED_VALUE"""),"✅")</f>
        <v>✅</v>
      </c>
      <c r="N423" s="282" t="str">
        <f>IFERROR(__xludf.DUMMYFUNCTION("""COMPUTED_VALUE"""),"✅")</f>
        <v>✅</v>
      </c>
      <c r="O423" s="282" t="str">
        <f>IFERROR(__xludf.DUMMYFUNCTION("""COMPUTED_VALUE"""),"✅")</f>
        <v>✅</v>
      </c>
      <c r="P423" s="282" t="str">
        <f>IFERROR(__xludf.DUMMYFUNCTION("""COMPUTED_VALUE"""),"➖")</f>
        <v>➖</v>
      </c>
      <c r="Q423" s="282" t="str">
        <f>IFERROR(__xludf.DUMMYFUNCTION("""COMPUTED_VALUE"""),"✅")</f>
        <v>✅</v>
      </c>
      <c r="R423" s="283" t="str">
        <f>IFERROR(__xludf.DUMMYFUNCTION("""COMPUTED_VALUE"""),"   ✅")</f>
        <v>✅</v>
      </c>
      <c r="S423" s="284"/>
      <c r="T423" s="285" t="str">
        <f>IFERROR(__xludf.DUMMYFUNCTION("""COMPUTED_VALUE"""),"✅")</f>
        <v>✅</v>
      </c>
      <c r="U423" s="285" t="str">
        <f>IFERROR(__xludf.DUMMYFUNCTION("""COMPUTED_VALUE"""),"➖")</f>
        <v>➖</v>
      </c>
      <c r="V423" s="259"/>
      <c r="W423" s="286"/>
      <c r="X423" s="286"/>
      <c r="Y423" s="286"/>
    </row>
    <row r="424">
      <c r="A424" s="28"/>
      <c r="B424" s="132"/>
      <c r="C424" s="28"/>
      <c r="D424" s="260" t="str">
        <f>IFERROR(__xludf.DUMMYFUNCTION("""COMPUTED_VALUE"""),"   E")</f>
        <v>E</v>
      </c>
      <c r="E424" s="287" t="str">
        <f>IFERROR(__xludf.DUMMYFUNCTION("""COMPUTED_VALUE"""),"ENT-E PICARD")</f>
        <v>ENT-E PICARD</v>
      </c>
      <c r="F424" s="270" t="str">
        <f>IFERROR(__xludf.DUMMYFUNCTION("""COMPUTED_VALUE"""),"OA")</f>
        <v>OA</v>
      </c>
      <c r="G424" s="231" t="str">
        <f>IFERROR(__xludf.DUMMYFUNCTION("""COMPUTED_VALUE"""),"➖")</f>
        <v>➖</v>
      </c>
      <c r="H424" s="231" t="str">
        <f>IFERROR(__xludf.DUMMYFUNCTION("""COMPUTED_VALUE"""),"➖")</f>
        <v>➖</v>
      </c>
      <c r="I424" s="231" t="str">
        <f>IFERROR(__xludf.DUMMYFUNCTION("""COMPUTED_VALUE"""),"✅")</f>
        <v>✅</v>
      </c>
      <c r="J424" s="231" t="str">
        <f>IFERROR(__xludf.DUMMYFUNCTION("""COMPUTED_VALUE"""),"✅")</f>
        <v>✅</v>
      </c>
      <c r="K424" s="288" t="str">
        <f>IFERROR(__xludf.DUMMYFUNCTION("""COMPUTED_VALUE"""),"✅")</f>
        <v>✅</v>
      </c>
      <c r="L424" s="288" t="str">
        <f>IFERROR(__xludf.DUMMYFUNCTION("""COMPUTED_VALUE"""),"➖")</f>
        <v>➖</v>
      </c>
      <c r="M424" s="288" t="str">
        <f>IFERROR(__xludf.DUMMYFUNCTION("""COMPUTED_VALUE"""),"➖")</f>
        <v>➖</v>
      </c>
      <c r="N424" s="288" t="str">
        <f>IFERROR(__xludf.DUMMYFUNCTION("""COMPUTED_VALUE"""),"➖")</f>
        <v>➖</v>
      </c>
      <c r="O424" s="288" t="str">
        <f>IFERROR(__xludf.DUMMYFUNCTION("""COMPUTED_VALUE"""),"➖")</f>
        <v>➖</v>
      </c>
      <c r="P424" s="288" t="str">
        <f>IFERROR(__xludf.DUMMYFUNCTION("""COMPUTED_VALUE"""),"➖")</f>
        <v>➖</v>
      </c>
      <c r="Q424" s="288" t="str">
        <f>IFERROR(__xludf.DUMMYFUNCTION("""COMPUTED_VALUE"""),"➖")</f>
        <v>➖</v>
      </c>
      <c r="R424" s="257" t="str">
        <f>IFERROR(__xludf.DUMMYFUNCTION("""COMPUTED_VALUE"""),"   ➖")</f>
        <v>➖</v>
      </c>
      <c r="S424" s="258"/>
      <c r="T424" s="255" t="str">
        <f>IFERROR(__xludf.DUMMYFUNCTION("""COMPUTED_VALUE"""),"➖")</f>
        <v>➖</v>
      </c>
      <c r="U424" s="255" t="str">
        <f>IFERROR(__xludf.DUMMYFUNCTION("""COMPUTED_VALUE"""),"➖")</f>
        <v>➖</v>
      </c>
      <c r="V424" s="259"/>
      <c r="W424" s="286"/>
      <c r="X424" s="286"/>
      <c r="Y424" s="286"/>
    </row>
    <row r="425">
      <c r="A425" s="28"/>
      <c r="B425" s="128"/>
      <c r="C425" s="28"/>
      <c r="D425" s="250" t="str">
        <f>IFERROR(__xludf.DUMMYFUNCTION("""COMPUTED_VALUE"""),"   R")</f>
        <v>R</v>
      </c>
      <c r="E425" s="280" t="str">
        <f>IFERROR(__xludf.DUMMYFUNCTION("""COMPUTED_VALUE"""),"ENT-E DATA")</f>
        <v>ENT-E DATA</v>
      </c>
      <c r="F425" s="271" t="str">
        <f>IFERROR(__xludf.DUMMYFUNCTION("""COMPUTED_VALUE"""),"BDA")</f>
        <v>BDA</v>
      </c>
      <c r="G425" s="281" t="str">
        <f>IFERROR(__xludf.DUMMYFUNCTION("""COMPUTED_VALUE"""),"➖")</f>
        <v>➖</v>
      </c>
      <c r="H425" s="281" t="str">
        <f>IFERROR(__xludf.DUMMYFUNCTION("""COMPUTED_VALUE"""),"➖")</f>
        <v>➖</v>
      </c>
      <c r="I425" s="281" t="str">
        <f>IFERROR(__xludf.DUMMYFUNCTION("""COMPUTED_VALUE"""),"➖")</f>
        <v>➖</v>
      </c>
      <c r="J425" s="281" t="str">
        <f>IFERROR(__xludf.DUMMYFUNCTION("""COMPUTED_VALUE"""),"➖")</f>
        <v>➖</v>
      </c>
      <c r="K425" s="282" t="str">
        <f>IFERROR(__xludf.DUMMYFUNCTION("""COMPUTED_VALUE"""),"➖")</f>
        <v>➖</v>
      </c>
      <c r="L425" s="282" t="str">
        <f>IFERROR(__xludf.DUMMYFUNCTION("""COMPUTED_VALUE"""),"➖")</f>
        <v>➖</v>
      </c>
      <c r="M425" s="282" t="str">
        <f>IFERROR(__xludf.DUMMYFUNCTION("""COMPUTED_VALUE"""),"➖")</f>
        <v>➖</v>
      </c>
      <c r="N425" s="282" t="str">
        <f>IFERROR(__xludf.DUMMYFUNCTION("""COMPUTED_VALUE"""),"➖")</f>
        <v>➖</v>
      </c>
      <c r="O425" s="282" t="str">
        <f>IFERROR(__xludf.DUMMYFUNCTION("""COMPUTED_VALUE"""),"➖")</f>
        <v>➖</v>
      </c>
      <c r="P425" s="282" t="str">
        <f>IFERROR(__xludf.DUMMYFUNCTION("""COMPUTED_VALUE"""),"➖")</f>
        <v>➖</v>
      </c>
      <c r="Q425" s="282" t="str">
        <f>IFERROR(__xludf.DUMMYFUNCTION("""COMPUTED_VALUE"""),"➖")</f>
        <v>➖</v>
      </c>
      <c r="R425" s="283" t="str">
        <f>IFERROR(__xludf.DUMMYFUNCTION("""COMPUTED_VALUE"""),"   ➖")</f>
        <v>➖</v>
      </c>
      <c r="S425" s="284"/>
      <c r="T425" s="285" t="str">
        <f>IFERROR(__xludf.DUMMYFUNCTION("""COMPUTED_VALUE"""),"➖")</f>
        <v>➖</v>
      </c>
      <c r="U425" s="285" t="str">
        <f>IFERROR(__xludf.DUMMYFUNCTION("""COMPUTED_VALUE"""),"✅")</f>
        <v>✅</v>
      </c>
      <c r="V425" s="259"/>
      <c r="W425" s="286"/>
      <c r="X425" s="286"/>
      <c r="Y425" s="286"/>
    </row>
    <row r="426">
      <c r="A426" s="28"/>
      <c r="B426" s="132"/>
      <c r="C426" s="28"/>
      <c r="D426" s="260" t="str">
        <f>IFERROR(__xludf.DUMMYFUNCTION("""COMPUTED_VALUE"""),"   R")</f>
        <v>R</v>
      </c>
      <c r="E426" s="287" t="str">
        <f>IFERROR(__xludf.DUMMYFUNCTION("""COMPUTED_VALUE"""),"ENT-E DATA")</f>
        <v>ENT-E DATA</v>
      </c>
      <c r="F426" s="270" t="str">
        <f>IFERROR(__xludf.DUMMYFUNCTION("""COMPUTED_VALUE"""),"OA")</f>
        <v>OA</v>
      </c>
      <c r="G426" s="231" t="str">
        <f>IFERROR(__xludf.DUMMYFUNCTION("""COMPUTED_VALUE"""),"➖")</f>
        <v>➖</v>
      </c>
      <c r="H426" s="231" t="str">
        <f>IFERROR(__xludf.DUMMYFUNCTION("""COMPUTED_VALUE"""),"➖")</f>
        <v>➖</v>
      </c>
      <c r="I426" s="231" t="str">
        <f>IFERROR(__xludf.DUMMYFUNCTION("""COMPUTED_VALUE"""),"✅")</f>
        <v>✅</v>
      </c>
      <c r="J426" s="231" t="str">
        <f>IFERROR(__xludf.DUMMYFUNCTION("""COMPUTED_VALUE"""),"✅")</f>
        <v>✅</v>
      </c>
      <c r="K426" s="288" t="str">
        <f>IFERROR(__xludf.DUMMYFUNCTION("""COMPUTED_VALUE"""),"✅")</f>
        <v>✅</v>
      </c>
      <c r="L426" s="288" t="str">
        <f>IFERROR(__xludf.DUMMYFUNCTION("""COMPUTED_VALUE"""),"➖")</f>
        <v>➖</v>
      </c>
      <c r="M426" s="288" t="str">
        <f>IFERROR(__xludf.DUMMYFUNCTION("""COMPUTED_VALUE"""),"➖")</f>
        <v>➖</v>
      </c>
      <c r="N426" s="288" t="str">
        <f>IFERROR(__xludf.DUMMYFUNCTION("""COMPUTED_VALUE"""),"➖")</f>
        <v>➖</v>
      </c>
      <c r="O426" s="288" t="str">
        <f>IFERROR(__xludf.DUMMYFUNCTION("""COMPUTED_VALUE"""),"➖")</f>
        <v>➖</v>
      </c>
      <c r="P426" s="288" t="str">
        <f>IFERROR(__xludf.DUMMYFUNCTION("""COMPUTED_VALUE"""),"➖")</f>
        <v>➖</v>
      </c>
      <c r="Q426" s="288" t="str">
        <f>IFERROR(__xludf.DUMMYFUNCTION("""COMPUTED_VALUE"""),"➖")</f>
        <v>➖</v>
      </c>
      <c r="R426" s="257" t="str">
        <f>IFERROR(__xludf.DUMMYFUNCTION("""COMPUTED_VALUE"""),"   ➖")</f>
        <v>➖</v>
      </c>
      <c r="S426" s="258"/>
      <c r="T426" s="255" t="str">
        <f>IFERROR(__xludf.DUMMYFUNCTION("""COMPUTED_VALUE"""),"➖")</f>
        <v>➖</v>
      </c>
      <c r="U426" s="255" t="str">
        <f>IFERROR(__xludf.DUMMYFUNCTION("""COMPUTED_VALUE"""),"➖")</f>
        <v>➖</v>
      </c>
      <c r="V426" s="259"/>
      <c r="W426" s="286"/>
      <c r="X426" s="286"/>
      <c r="Y426" s="286"/>
    </row>
    <row r="427">
      <c r="A427" s="28"/>
      <c r="B427" s="128"/>
      <c r="C427" s="28"/>
      <c r="D427" s="250" t="str">
        <f>IFERROR(__xludf.DUMMYFUNCTION("""COMPUTED_VALUE"""),"   E")</f>
        <v>E</v>
      </c>
      <c r="E427" s="280" t="str">
        <f>IFERROR(__xludf.DUMMYFUNCTION("""COMPUTED_VALUE"""),"ENT-E RIKER")</f>
        <v>ENT-E RIKER</v>
      </c>
      <c r="F427" s="271" t="str">
        <f>IFERROR(__xludf.DUMMYFUNCTION("""COMPUTED_VALUE"""),"CM")</f>
        <v>CM</v>
      </c>
      <c r="G427" s="281" t="str">
        <f>IFERROR(__xludf.DUMMYFUNCTION("""COMPUTED_VALUE"""),"➖")</f>
        <v>➖</v>
      </c>
      <c r="H427" s="281" t="str">
        <f>IFERROR(__xludf.DUMMYFUNCTION("""COMPUTED_VALUE"""),"➖")</f>
        <v>➖</v>
      </c>
      <c r="I427" s="281" t="str">
        <f>IFERROR(__xludf.DUMMYFUNCTION("""COMPUTED_VALUE"""),"➖")</f>
        <v>➖</v>
      </c>
      <c r="J427" s="281" t="str">
        <f>IFERROR(__xludf.DUMMYFUNCTION("""COMPUTED_VALUE"""),"➖")</f>
        <v>➖</v>
      </c>
      <c r="K427" s="282" t="str">
        <f>IFERROR(__xludf.DUMMYFUNCTION("""COMPUTED_VALUE"""),"➖")</f>
        <v>➖</v>
      </c>
      <c r="L427" s="282" t="str">
        <f>IFERROR(__xludf.DUMMYFUNCTION("""COMPUTED_VALUE"""),"➖")</f>
        <v>➖</v>
      </c>
      <c r="M427" s="282" t="str">
        <f>IFERROR(__xludf.DUMMYFUNCTION("""COMPUTED_VALUE"""),"➖")</f>
        <v>➖</v>
      </c>
      <c r="N427" s="282" t="str">
        <f>IFERROR(__xludf.DUMMYFUNCTION("""COMPUTED_VALUE"""),"➖")</f>
        <v>➖</v>
      </c>
      <c r="O427" s="282" t="str">
        <f>IFERROR(__xludf.DUMMYFUNCTION("""COMPUTED_VALUE"""),"➖")</f>
        <v>➖</v>
      </c>
      <c r="P427" s="282" t="str">
        <f>IFERROR(__xludf.DUMMYFUNCTION("""COMPUTED_VALUE"""),"➖")</f>
        <v>➖</v>
      </c>
      <c r="Q427" s="282" t="str">
        <f>IFERROR(__xludf.DUMMYFUNCTION("""COMPUTED_VALUE"""),"➖")</f>
        <v>➖</v>
      </c>
      <c r="R427" s="283" t="str">
        <f>IFERROR(__xludf.DUMMYFUNCTION("""COMPUTED_VALUE"""),"   ➖")</f>
        <v>➖</v>
      </c>
      <c r="S427" s="284"/>
      <c r="T427" s="285" t="str">
        <f>IFERROR(__xludf.DUMMYFUNCTION("""COMPUTED_VALUE"""),"➖")</f>
        <v>➖</v>
      </c>
      <c r="U427" s="285" t="str">
        <f>IFERROR(__xludf.DUMMYFUNCTION("""COMPUTED_VALUE"""),"✅")</f>
        <v>✅</v>
      </c>
      <c r="V427" s="259"/>
      <c r="W427" s="286"/>
      <c r="X427" s="286"/>
      <c r="Y427" s="286"/>
    </row>
    <row r="428">
      <c r="A428" s="28"/>
      <c r="B428" s="132"/>
      <c r="C428" s="28"/>
      <c r="D428" s="260" t="str">
        <f>IFERROR(__xludf.DUMMYFUNCTION("""COMPUTED_VALUE"""),"   E")</f>
        <v>E</v>
      </c>
      <c r="E428" s="287" t="str">
        <f>IFERROR(__xludf.DUMMYFUNCTION("""COMPUTED_VALUE"""),"ENT-E RIKER")</f>
        <v>ENT-E RIKER</v>
      </c>
      <c r="F428" s="270" t="str">
        <f>IFERROR(__xludf.DUMMYFUNCTION("""COMPUTED_VALUE"""),"OA")</f>
        <v>OA</v>
      </c>
      <c r="G428" s="231" t="str">
        <f>IFERROR(__xludf.DUMMYFUNCTION("""COMPUTED_VALUE"""),"✅")</f>
        <v>✅</v>
      </c>
      <c r="H428" s="231" t="str">
        <f>IFERROR(__xludf.DUMMYFUNCTION("""COMPUTED_VALUE"""),"✅")</f>
        <v>✅</v>
      </c>
      <c r="I428" s="231" t="str">
        <f>IFERROR(__xludf.DUMMYFUNCTION("""COMPUTED_VALUE"""),"✅")</f>
        <v>✅</v>
      </c>
      <c r="J428" s="231" t="str">
        <f>IFERROR(__xludf.DUMMYFUNCTION("""COMPUTED_VALUE"""),"✅")</f>
        <v>✅</v>
      </c>
      <c r="K428" s="288" t="str">
        <f>IFERROR(__xludf.DUMMYFUNCTION("""COMPUTED_VALUE"""),"✅")</f>
        <v>✅</v>
      </c>
      <c r="L428" s="288" t="str">
        <f>IFERROR(__xludf.DUMMYFUNCTION("""COMPUTED_VALUE"""),"✅")</f>
        <v>✅</v>
      </c>
      <c r="M428" s="288" t="str">
        <f>IFERROR(__xludf.DUMMYFUNCTION("""COMPUTED_VALUE"""),"✅")</f>
        <v>✅</v>
      </c>
      <c r="N428" s="288" t="str">
        <f>IFERROR(__xludf.DUMMYFUNCTION("""COMPUTED_VALUE"""),"✅")</f>
        <v>✅</v>
      </c>
      <c r="O428" s="288" t="str">
        <f>IFERROR(__xludf.DUMMYFUNCTION("""COMPUTED_VALUE"""),"✅")</f>
        <v>✅</v>
      </c>
      <c r="P428" s="288" t="str">
        <f>IFERROR(__xludf.DUMMYFUNCTION("""COMPUTED_VALUE"""),"✅")</f>
        <v>✅</v>
      </c>
      <c r="Q428" s="288" t="str">
        <f>IFERROR(__xludf.DUMMYFUNCTION("""COMPUTED_VALUE"""),"✅")</f>
        <v>✅</v>
      </c>
      <c r="R428" s="257" t="str">
        <f>IFERROR(__xludf.DUMMYFUNCTION("""COMPUTED_VALUE"""),"   ✅")</f>
        <v>✅</v>
      </c>
      <c r="S428" s="258"/>
      <c r="T428" s="255" t="str">
        <f>IFERROR(__xludf.DUMMYFUNCTION("""COMPUTED_VALUE"""),"➖")</f>
        <v>➖</v>
      </c>
      <c r="U428" s="255" t="str">
        <f>IFERROR(__xludf.DUMMYFUNCTION("""COMPUTED_VALUE"""),"➖")</f>
        <v>➖</v>
      </c>
      <c r="V428" s="259"/>
      <c r="W428" s="286"/>
      <c r="X428" s="286"/>
      <c r="Y428" s="286"/>
    </row>
    <row r="429">
      <c r="A429" s="28"/>
      <c r="B429" s="128"/>
      <c r="C429" s="28"/>
      <c r="D429" s="250" t="str">
        <f>IFERROR(__xludf.DUMMYFUNCTION("""COMPUTED_VALUE"""),"   R")</f>
        <v>R</v>
      </c>
      <c r="E429" s="280" t="str">
        <f>IFERROR(__xludf.DUMMYFUNCTION("""COMPUTED_VALUE"""),"ENT-E TROI")</f>
        <v>ENT-E TROI</v>
      </c>
      <c r="F429" s="271" t="str">
        <f>IFERROR(__xludf.DUMMYFUNCTION("""COMPUTED_VALUE"""),"OA")</f>
        <v>OA</v>
      </c>
      <c r="G429" s="281" t="str">
        <f>IFERROR(__xludf.DUMMYFUNCTION("""COMPUTED_VALUE"""),"➖")</f>
        <v>➖</v>
      </c>
      <c r="H429" s="281" t="str">
        <f>IFERROR(__xludf.DUMMYFUNCTION("""COMPUTED_VALUE"""),"➖")</f>
        <v>➖</v>
      </c>
      <c r="I429" s="281" t="str">
        <f>IFERROR(__xludf.DUMMYFUNCTION("""COMPUTED_VALUE"""),"✅")</f>
        <v>✅</v>
      </c>
      <c r="J429" s="281" t="str">
        <f>IFERROR(__xludf.DUMMYFUNCTION("""COMPUTED_VALUE"""),"✅")</f>
        <v>✅</v>
      </c>
      <c r="K429" s="282" t="str">
        <f>IFERROR(__xludf.DUMMYFUNCTION("""COMPUTED_VALUE"""),"✅")</f>
        <v>✅</v>
      </c>
      <c r="L429" s="282" t="str">
        <f>IFERROR(__xludf.DUMMYFUNCTION("""COMPUTED_VALUE"""),"➖")</f>
        <v>➖</v>
      </c>
      <c r="M429" s="282" t="str">
        <f>IFERROR(__xludf.DUMMYFUNCTION("""COMPUTED_VALUE"""),"➖")</f>
        <v>➖</v>
      </c>
      <c r="N429" s="282" t="str">
        <f>IFERROR(__xludf.DUMMYFUNCTION("""COMPUTED_VALUE"""),"➖")</f>
        <v>➖</v>
      </c>
      <c r="O429" s="282" t="str">
        <f>IFERROR(__xludf.DUMMYFUNCTION("""COMPUTED_VALUE"""),"➖")</f>
        <v>➖</v>
      </c>
      <c r="P429" s="282" t="str">
        <f>IFERROR(__xludf.DUMMYFUNCTION("""COMPUTED_VALUE"""),"➖")</f>
        <v>➖</v>
      </c>
      <c r="Q429" s="282" t="str">
        <f>IFERROR(__xludf.DUMMYFUNCTION("""COMPUTED_VALUE"""),"➖")</f>
        <v>➖</v>
      </c>
      <c r="R429" s="283" t="str">
        <f>IFERROR(__xludf.DUMMYFUNCTION("""COMPUTED_VALUE"""),"   ➖")</f>
        <v>➖</v>
      </c>
      <c r="S429" s="284"/>
      <c r="T429" s="285" t="str">
        <f>IFERROR(__xludf.DUMMYFUNCTION("""COMPUTED_VALUE"""),"➖")</f>
        <v>➖</v>
      </c>
      <c r="U429" s="285" t="str">
        <f>IFERROR(__xludf.DUMMYFUNCTION("""COMPUTED_VALUE"""),"➖")</f>
        <v>➖</v>
      </c>
      <c r="V429" s="259"/>
      <c r="W429" s="286"/>
      <c r="X429" s="286"/>
      <c r="Y429" s="286"/>
    </row>
    <row r="430">
      <c r="A430" s="28"/>
      <c r="B430" s="132"/>
      <c r="C430" s="28"/>
      <c r="D430" s="260" t="str">
        <f>IFERROR(__xludf.DUMMYFUNCTION("""COMPUTED_VALUE"""),"   R")</f>
        <v>R</v>
      </c>
      <c r="E430" s="287" t="str">
        <f>IFERROR(__xludf.DUMMYFUNCTION("""COMPUTED_VALUE"""),"ENT-E TROI")</f>
        <v>ENT-E TROI</v>
      </c>
      <c r="F430" s="270" t="str">
        <f>IFERROR(__xludf.DUMMYFUNCTION("""COMPUTED_VALUE"""),"BDA")</f>
        <v>BDA</v>
      </c>
      <c r="G430" s="231" t="str">
        <f>IFERROR(__xludf.DUMMYFUNCTION("""COMPUTED_VALUE"""),"➖")</f>
        <v>➖</v>
      </c>
      <c r="H430" s="231" t="str">
        <f>IFERROR(__xludf.DUMMYFUNCTION("""COMPUTED_VALUE"""),"➖")</f>
        <v>➖</v>
      </c>
      <c r="I430" s="231" t="str">
        <f>IFERROR(__xludf.DUMMYFUNCTION("""COMPUTED_VALUE"""),"✅")</f>
        <v>✅</v>
      </c>
      <c r="J430" s="231" t="str">
        <f>IFERROR(__xludf.DUMMYFUNCTION("""COMPUTED_VALUE"""),"✅")</f>
        <v>✅</v>
      </c>
      <c r="K430" s="288" t="str">
        <f>IFERROR(__xludf.DUMMYFUNCTION("""COMPUTED_VALUE"""),"✅")</f>
        <v>✅</v>
      </c>
      <c r="L430" s="288" t="str">
        <f>IFERROR(__xludf.DUMMYFUNCTION("""COMPUTED_VALUE"""),"➖")</f>
        <v>➖</v>
      </c>
      <c r="M430" s="288" t="str">
        <f>IFERROR(__xludf.DUMMYFUNCTION("""COMPUTED_VALUE"""),"✅")</f>
        <v>✅</v>
      </c>
      <c r="N430" s="288" t="str">
        <f>IFERROR(__xludf.DUMMYFUNCTION("""COMPUTED_VALUE"""),"✅")</f>
        <v>✅</v>
      </c>
      <c r="O430" s="288" t="str">
        <f>IFERROR(__xludf.DUMMYFUNCTION("""COMPUTED_VALUE"""),"✅")</f>
        <v>✅</v>
      </c>
      <c r="P430" s="288" t="str">
        <f>IFERROR(__xludf.DUMMYFUNCTION("""COMPUTED_VALUE"""),"➖")</f>
        <v>➖</v>
      </c>
      <c r="Q430" s="288" t="str">
        <f>IFERROR(__xludf.DUMMYFUNCTION("""COMPUTED_VALUE"""),"➖")</f>
        <v>➖</v>
      </c>
      <c r="R430" s="257" t="str">
        <f>IFERROR(__xludf.DUMMYFUNCTION("""COMPUTED_VALUE"""),"   ➖")</f>
        <v>➖</v>
      </c>
      <c r="S430" s="258"/>
      <c r="T430" s="255" t="str">
        <f>IFERROR(__xludf.DUMMYFUNCTION("""COMPUTED_VALUE"""),"➖")</f>
        <v>➖</v>
      </c>
      <c r="U430" s="255" t="str">
        <f>IFERROR(__xludf.DUMMYFUNCTION("""COMPUTED_VALUE"""),"➖")</f>
        <v>➖</v>
      </c>
      <c r="V430" s="259"/>
      <c r="W430" s="286"/>
      <c r="X430" s="286"/>
      <c r="Y430" s="286"/>
    </row>
    <row r="431">
      <c r="A431" s="28"/>
      <c r="B431" s="128"/>
      <c r="C431" s="28"/>
      <c r="D431" s="250" t="str">
        <f>IFERROR(__xludf.DUMMYFUNCTION("""COMPUTED_VALUE"""),"   E")</f>
        <v>E</v>
      </c>
      <c r="E431" s="280" t="str">
        <f>IFERROR(__xludf.DUMMYFUNCTION("""COMPUTED_VALUE"""),"TRIP TUCKER")</f>
        <v>TRIP TUCKER</v>
      </c>
      <c r="F431" s="271" t="str">
        <f>IFERROR(__xludf.DUMMYFUNCTION("""COMPUTED_VALUE"""),"OA")</f>
        <v>OA</v>
      </c>
      <c r="G431" s="281" t="str">
        <f>IFERROR(__xludf.DUMMYFUNCTION("""COMPUTED_VALUE"""),"✅")</f>
        <v>✅</v>
      </c>
      <c r="H431" s="281" t="str">
        <f>IFERROR(__xludf.DUMMYFUNCTION("""COMPUTED_VALUE"""),"✅")</f>
        <v>✅</v>
      </c>
      <c r="I431" s="281" t="str">
        <f>IFERROR(__xludf.DUMMYFUNCTION("""COMPUTED_VALUE"""),"✅")</f>
        <v>✅</v>
      </c>
      <c r="J431" s="281" t="str">
        <f>IFERROR(__xludf.DUMMYFUNCTION("""COMPUTED_VALUE"""),"✅")</f>
        <v>✅</v>
      </c>
      <c r="K431" s="282" t="str">
        <f>IFERROR(__xludf.DUMMYFUNCTION("""COMPUTED_VALUE"""),"✅")</f>
        <v>✅</v>
      </c>
      <c r="L431" s="282" t="str">
        <f>IFERROR(__xludf.DUMMYFUNCTION("""COMPUTED_VALUE"""),"✅")</f>
        <v>✅</v>
      </c>
      <c r="M431" s="282" t="str">
        <f>IFERROR(__xludf.DUMMYFUNCTION("""COMPUTED_VALUE"""),"➖")</f>
        <v>➖</v>
      </c>
      <c r="N431" s="282" t="str">
        <f>IFERROR(__xludf.DUMMYFUNCTION("""COMPUTED_VALUE"""),"➖")</f>
        <v>➖</v>
      </c>
      <c r="O431" s="282" t="str">
        <f>IFERROR(__xludf.DUMMYFUNCTION("""COMPUTED_VALUE"""),"➖")</f>
        <v>➖</v>
      </c>
      <c r="P431" s="282" t="str">
        <f>IFERROR(__xludf.DUMMYFUNCTION("""COMPUTED_VALUE"""),"➖")</f>
        <v>➖</v>
      </c>
      <c r="Q431" s="282" t="str">
        <f>IFERROR(__xludf.DUMMYFUNCTION("""COMPUTED_VALUE"""),"✅")</f>
        <v>✅</v>
      </c>
      <c r="R431" s="283" t="str">
        <f>IFERROR(__xludf.DUMMYFUNCTION("""COMPUTED_VALUE"""),"   ✅")</f>
        <v>✅</v>
      </c>
      <c r="S431" s="284"/>
      <c r="T431" s="285" t="str">
        <f>IFERROR(__xludf.DUMMYFUNCTION("""COMPUTED_VALUE"""),"➖")</f>
        <v>➖</v>
      </c>
      <c r="U431" s="285" t="str">
        <f>IFERROR(__xludf.DUMMYFUNCTION("""COMPUTED_VALUE"""),"➖")</f>
        <v>➖</v>
      </c>
      <c r="V431" s="259"/>
      <c r="W431" s="286"/>
      <c r="X431" s="286"/>
      <c r="Y431" s="286"/>
    </row>
    <row r="432">
      <c r="A432" s="28"/>
      <c r="B432" s="132"/>
      <c r="C432" s="28"/>
      <c r="D432" s="260" t="str">
        <f>IFERROR(__xludf.DUMMYFUNCTION("""COMPUTED_VALUE"""),"   E")</f>
        <v>E</v>
      </c>
      <c r="E432" s="287" t="str">
        <f>IFERROR(__xludf.DUMMYFUNCTION("""COMPUTED_VALUE"""),"TRIP TUCKER")</f>
        <v>TRIP TUCKER</v>
      </c>
      <c r="F432" s="270" t="str">
        <f>IFERROR(__xludf.DUMMYFUNCTION("""COMPUTED_VALUE"""),"BDA")</f>
        <v>BDA</v>
      </c>
      <c r="G432" s="231" t="str">
        <f>IFERROR(__xludf.DUMMYFUNCTION("""COMPUTED_VALUE"""),"➖")</f>
        <v>➖</v>
      </c>
      <c r="H432" s="231" t="str">
        <f>IFERROR(__xludf.DUMMYFUNCTION("""COMPUTED_VALUE"""),"➖")</f>
        <v>➖</v>
      </c>
      <c r="I432" s="231" t="str">
        <f>IFERROR(__xludf.DUMMYFUNCTION("""COMPUTED_VALUE"""),"✴️")</f>
        <v>✴️</v>
      </c>
      <c r="J432" s="231" t="str">
        <f>IFERROR(__xludf.DUMMYFUNCTION("""COMPUTED_VALUE"""),"➖")</f>
        <v>➖</v>
      </c>
      <c r="K432" s="288" t="str">
        <f>IFERROR(__xludf.DUMMYFUNCTION("""COMPUTED_VALUE"""),"➖")</f>
        <v>➖</v>
      </c>
      <c r="L432" s="288" t="str">
        <f>IFERROR(__xludf.DUMMYFUNCTION("""COMPUTED_VALUE"""),"➖")</f>
        <v>➖</v>
      </c>
      <c r="M432" s="288" t="str">
        <f>IFERROR(__xludf.DUMMYFUNCTION("""COMPUTED_VALUE"""),"➖")</f>
        <v>➖</v>
      </c>
      <c r="N432" s="288" t="str">
        <f>IFERROR(__xludf.DUMMYFUNCTION("""COMPUTED_VALUE"""),"➖")</f>
        <v>➖</v>
      </c>
      <c r="O432" s="288" t="str">
        <f>IFERROR(__xludf.DUMMYFUNCTION("""COMPUTED_VALUE"""),"➖")</f>
        <v>➖</v>
      </c>
      <c r="P432" s="288" t="str">
        <f>IFERROR(__xludf.DUMMYFUNCTION("""COMPUTED_VALUE"""),"➖")</f>
        <v>➖</v>
      </c>
      <c r="Q432" s="288" t="str">
        <f>IFERROR(__xludf.DUMMYFUNCTION("""COMPUTED_VALUE"""),"➖")</f>
        <v>➖</v>
      </c>
      <c r="R432" s="257" t="str">
        <f>IFERROR(__xludf.DUMMYFUNCTION("""COMPUTED_VALUE"""),"   ➖")</f>
        <v>➖</v>
      </c>
      <c r="S432" s="258" t="str">
        <f>IFERROR(__xludf.DUMMYFUNCTION("""COMPUTED_VALUE"""),"HirogenRelicAndBiotoxinLoot")</f>
        <v>HirogenRelicAndBiotoxinLoot</v>
      </c>
      <c r="T432" s="255" t="str">
        <f>IFERROR(__xludf.DUMMYFUNCTION("""COMPUTED_VALUE"""),"✅")</f>
        <v>✅</v>
      </c>
      <c r="U432" s="255" t="str">
        <f>IFERROR(__xludf.DUMMYFUNCTION("""COMPUTED_VALUE"""),"➖")</f>
        <v>➖</v>
      </c>
      <c r="V432" s="259"/>
      <c r="W432" s="286"/>
      <c r="X432" s="286"/>
      <c r="Y432" s="286"/>
    </row>
    <row r="433">
      <c r="A433" s="28"/>
      <c r="B433" s="128"/>
      <c r="C433" s="28"/>
      <c r="D433" s="250" t="str">
        <f>IFERROR(__xludf.DUMMYFUNCTION("""COMPUTED_VALUE"""),"   R")</f>
        <v>R</v>
      </c>
      <c r="E433" s="280" t="str">
        <f>IFERROR(__xludf.DUMMYFUNCTION("""COMPUTED_VALUE"""),"T'POL")</f>
        <v>T'POL</v>
      </c>
      <c r="F433" s="271" t="str">
        <f>IFERROR(__xludf.DUMMYFUNCTION("""COMPUTED_VALUE"""),"OA")</f>
        <v>OA</v>
      </c>
      <c r="G433" s="281" t="str">
        <f>IFERROR(__xludf.DUMMYFUNCTION("""COMPUTED_VALUE"""),"➖")</f>
        <v>➖</v>
      </c>
      <c r="H433" s="281" t="str">
        <f>IFERROR(__xludf.DUMMYFUNCTION("""COMPUTED_VALUE"""),"➖")</f>
        <v>➖</v>
      </c>
      <c r="I433" s="281" t="str">
        <f>IFERROR(__xludf.DUMMYFUNCTION("""COMPUTED_VALUE"""),"➖")</f>
        <v>➖</v>
      </c>
      <c r="J433" s="281" t="str">
        <f>IFERROR(__xludf.DUMMYFUNCTION("""COMPUTED_VALUE"""),"➖")</f>
        <v>➖</v>
      </c>
      <c r="K433" s="282" t="str">
        <f>IFERROR(__xludf.DUMMYFUNCTION("""COMPUTED_VALUE"""),"➖")</f>
        <v>➖</v>
      </c>
      <c r="L433" s="282" t="str">
        <f>IFERROR(__xludf.DUMMYFUNCTION("""COMPUTED_VALUE"""),"➖")</f>
        <v>➖</v>
      </c>
      <c r="M433" s="282" t="str">
        <f>IFERROR(__xludf.DUMMYFUNCTION("""COMPUTED_VALUE"""),"➖")</f>
        <v>➖</v>
      </c>
      <c r="N433" s="282" t="str">
        <f>IFERROR(__xludf.DUMMYFUNCTION("""COMPUTED_VALUE"""),"➖")</f>
        <v>➖</v>
      </c>
      <c r="O433" s="282" t="str">
        <f>IFERROR(__xludf.DUMMYFUNCTION("""COMPUTED_VALUE"""),"➖")</f>
        <v>➖</v>
      </c>
      <c r="P433" s="282" t="str">
        <f>IFERROR(__xludf.DUMMYFUNCTION("""COMPUTED_VALUE"""),"➖")</f>
        <v>➖</v>
      </c>
      <c r="Q433" s="282" t="str">
        <f>IFERROR(__xludf.DUMMYFUNCTION("""COMPUTED_VALUE"""),"➖")</f>
        <v>➖</v>
      </c>
      <c r="R433" s="283" t="str">
        <f>IFERROR(__xludf.DUMMYFUNCTION("""COMPUTED_VALUE"""),"   ➖")</f>
        <v>➖</v>
      </c>
      <c r="S433" s="284"/>
      <c r="T433" s="285" t="str">
        <f>IFERROR(__xludf.DUMMYFUNCTION("""COMPUTED_VALUE"""),"➖")</f>
        <v>➖</v>
      </c>
      <c r="U433" s="285" t="str">
        <f>IFERROR(__xludf.DUMMYFUNCTION("""COMPUTED_VALUE"""),"✅")</f>
        <v>✅</v>
      </c>
      <c r="V433" s="259"/>
      <c r="W433" s="286"/>
      <c r="X433" s="286"/>
      <c r="Y433" s="286"/>
    </row>
    <row r="434">
      <c r="A434" s="28"/>
      <c r="B434" s="132"/>
      <c r="C434" s="28"/>
      <c r="D434" s="260" t="str">
        <f>IFERROR(__xludf.DUMMYFUNCTION("""COMPUTED_VALUE"""),"   R")</f>
        <v>R</v>
      </c>
      <c r="E434" s="287" t="str">
        <f>IFERROR(__xludf.DUMMYFUNCTION("""COMPUTED_VALUE"""),"T'POL")</f>
        <v>T'POL</v>
      </c>
      <c r="F434" s="270" t="str">
        <f>IFERROR(__xludf.DUMMYFUNCTION("""COMPUTED_VALUE"""),"BDA")</f>
        <v>BDA</v>
      </c>
      <c r="G434" s="231" t="str">
        <f>IFERROR(__xludf.DUMMYFUNCTION("""COMPUTED_VALUE"""),"➖")</f>
        <v>➖</v>
      </c>
      <c r="H434" s="231" t="str">
        <f>IFERROR(__xludf.DUMMYFUNCTION("""COMPUTED_VALUE"""),"➖")</f>
        <v>➖</v>
      </c>
      <c r="I434" s="231" t="str">
        <f>IFERROR(__xludf.DUMMYFUNCTION("""COMPUTED_VALUE"""),"➖")</f>
        <v>➖</v>
      </c>
      <c r="J434" s="231" t="str">
        <f>IFERROR(__xludf.DUMMYFUNCTION("""COMPUTED_VALUE"""),"➖")</f>
        <v>➖</v>
      </c>
      <c r="K434" s="288" t="str">
        <f>IFERROR(__xludf.DUMMYFUNCTION("""COMPUTED_VALUE"""),"➖")</f>
        <v>➖</v>
      </c>
      <c r="L434" s="288" t="str">
        <f>IFERROR(__xludf.DUMMYFUNCTION("""COMPUTED_VALUE"""),"➖")</f>
        <v>➖</v>
      </c>
      <c r="M434" s="288" t="str">
        <f>IFERROR(__xludf.DUMMYFUNCTION("""COMPUTED_VALUE"""),"➖")</f>
        <v>➖</v>
      </c>
      <c r="N434" s="288" t="str">
        <f>IFERROR(__xludf.DUMMYFUNCTION("""COMPUTED_VALUE"""),"➖")</f>
        <v>➖</v>
      </c>
      <c r="O434" s="288" t="str">
        <f>IFERROR(__xludf.DUMMYFUNCTION("""COMPUTED_VALUE"""),"➖")</f>
        <v>➖</v>
      </c>
      <c r="P434" s="288" t="str">
        <f>IFERROR(__xludf.DUMMYFUNCTION("""COMPUTED_VALUE"""),"➖")</f>
        <v>➖</v>
      </c>
      <c r="Q434" s="288" t="str">
        <f>IFERROR(__xludf.DUMMYFUNCTION("""COMPUTED_VALUE"""),"➖")</f>
        <v>➖</v>
      </c>
      <c r="R434" s="257" t="str">
        <f>IFERROR(__xludf.DUMMYFUNCTION("""COMPUTED_VALUE"""),"   ➖")</f>
        <v>➖</v>
      </c>
      <c r="S434" s="258"/>
      <c r="T434" s="255" t="str">
        <f>IFERROR(__xludf.DUMMYFUNCTION("""COMPUTED_VALUE"""),"➖")</f>
        <v>➖</v>
      </c>
      <c r="U434" s="255" t="str">
        <f>IFERROR(__xludf.DUMMYFUNCTION("""COMPUTED_VALUE"""),"✅")</f>
        <v>✅</v>
      </c>
      <c r="V434" s="259"/>
      <c r="W434" s="286"/>
      <c r="X434" s="286"/>
      <c r="Y434" s="286"/>
    </row>
    <row r="435">
      <c r="A435" s="28"/>
      <c r="B435" s="128"/>
      <c r="C435" s="28"/>
      <c r="D435" s="250" t="str">
        <f>IFERROR(__xludf.DUMMYFUNCTION("""COMPUTED_VALUE"""),"   E")</f>
        <v>E</v>
      </c>
      <c r="E435" s="280" t="str">
        <f>IFERROR(__xludf.DUMMYFUNCTION("""COMPUTED_VALUE"""),"JONATHAN ARCHER")</f>
        <v>JONATHAN ARCHER</v>
      </c>
      <c r="F435" s="271" t="str">
        <f>IFERROR(__xludf.DUMMYFUNCTION("""COMPUTED_VALUE"""),"CM")</f>
        <v>CM</v>
      </c>
      <c r="G435" s="281" t="str">
        <f>IFERROR(__xludf.DUMMYFUNCTION("""COMPUTED_VALUE"""),"➖")</f>
        <v>➖</v>
      </c>
      <c r="H435" s="281" t="str">
        <f>IFERROR(__xludf.DUMMYFUNCTION("""COMPUTED_VALUE"""),"➖")</f>
        <v>➖</v>
      </c>
      <c r="I435" s="281" t="str">
        <f>IFERROR(__xludf.DUMMYFUNCTION("""COMPUTED_VALUE"""),"✴️")</f>
        <v>✴️</v>
      </c>
      <c r="J435" s="281" t="str">
        <f>IFERROR(__xludf.DUMMYFUNCTION("""COMPUTED_VALUE"""),"➖")</f>
        <v>➖</v>
      </c>
      <c r="K435" s="282" t="str">
        <f>IFERROR(__xludf.DUMMYFUNCTION("""COMPUTED_VALUE"""),"➖")</f>
        <v>➖</v>
      </c>
      <c r="L435" s="282" t="str">
        <f>IFERROR(__xludf.DUMMYFUNCTION("""COMPUTED_VALUE"""),"➖")</f>
        <v>➖</v>
      </c>
      <c r="M435" s="282" t="str">
        <f>IFERROR(__xludf.DUMMYFUNCTION("""COMPUTED_VALUE"""),"➖")</f>
        <v>➖</v>
      </c>
      <c r="N435" s="282" t="str">
        <f>IFERROR(__xludf.DUMMYFUNCTION("""COMPUTED_VALUE"""),"➖")</f>
        <v>➖</v>
      </c>
      <c r="O435" s="282" t="str">
        <f>IFERROR(__xludf.DUMMYFUNCTION("""COMPUTED_VALUE"""),"➖")</f>
        <v>➖</v>
      </c>
      <c r="P435" s="282" t="str">
        <f>IFERROR(__xludf.DUMMYFUNCTION("""COMPUTED_VALUE"""),"➖")</f>
        <v>➖</v>
      </c>
      <c r="Q435" s="282" t="str">
        <f>IFERROR(__xludf.DUMMYFUNCTION("""COMPUTED_VALUE"""),"➖")</f>
        <v>➖</v>
      </c>
      <c r="R435" s="283" t="str">
        <f>IFERROR(__xludf.DUMMYFUNCTION("""COMPUTED_VALUE"""),"   ➖")</f>
        <v>➖</v>
      </c>
      <c r="S435" s="284" t="str">
        <f>IFERROR(__xludf.DUMMYFUNCTION("""COMPUTED_VALUE"""),"XindiHostileLoot")</f>
        <v>XindiHostileLoot</v>
      </c>
      <c r="T435" s="285" t="str">
        <f>IFERROR(__xludf.DUMMYFUNCTION("""COMPUTED_VALUE"""),"✅")</f>
        <v>✅</v>
      </c>
      <c r="U435" s="285" t="str">
        <f>IFERROR(__xludf.DUMMYFUNCTION("""COMPUTED_VALUE"""),"➖")</f>
        <v>➖</v>
      </c>
      <c r="V435" s="259"/>
      <c r="W435" s="286"/>
      <c r="X435" s="286"/>
      <c r="Y435" s="286"/>
    </row>
    <row r="436">
      <c r="A436" s="28"/>
      <c r="B436" s="132"/>
      <c r="C436" s="28"/>
      <c r="D436" s="260" t="str">
        <f>IFERROR(__xludf.DUMMYFUNCTION("""COMPUTED_VALUE"""),"   E")</f>
        <v>E</v>
      </c>
      <c r="E436" s="287" t="str">
        <f>IFERROR(__xludf.DUMMYFUNCTION("""COMPUTED_VALUE"""),"JONATHAN ARCHER")</f>
        <v>JONATHAN ARCHER</v>
      </c>
      <c r="F436" s="270" t="str">
        <f>IFERROR(__xludf.DUMMYFUNCTION("""COMPUTED_VALUE"""),"OA")</f>
        <v>OA</v>
      </c>
      <c r="G436" s="231" t="str">
        <f>IFERROR(__xludf.DUMMYFUNCTION("""COMPUTED_VALUE"""),"✅")</f>
        <v>✅</v>
      </c>
      <c r="H436" s="231" t="str">
        <f>IFERROR(__xludf.DUMMYFUNCTION("""COMPUTED_VALUE"""),"✅")</f>
        <v>✅</v>
      </c>
      <c r="I436" s="231" t="str">
        <f>IFERROR(__xludf.DUMMYFUNCTION("""COMPUTED_VALUE"""),"✅")</f>
        <v>✅</v>
      </c>
      <c r="J436" s="231" t="str">
        <f>IFERROR(__xludf.DUMMYFUNCTION("""COMPUTED_VALUE"""),"✅")</f>
        <v>✅</v>
      </c>
      <c r="K436" s="288" t="str">
        <f>IFERROR(__xludf.DUMMYFUNCTION("""COMPUTED_VALUE"""),"✅")</f>
        <v>✅</v>
      </c>
      <c r="L436" s="288" t="str">
        <f>IFERROR(__xludf.DUMMYFUNCTION("""COMPUTED_VALUE"""),"✅")</f>
        <v>✅</v>
      </c>
      <c r="M436" s="288" t="str">
        <f>IFERROR(__xludf.DUMMYFUNCTION("""COMPUTED_VALUE"""),"➖")</f>
        <v>➖</v>
      </c>
      <c r="N436" s="288" t="str">
        <f>IFERROR(__xludf.DUMMYFUNCTION("""COMPUTED_VALUE"""),"➖")</f>
        <v>➖</v>
      </c>
      <c r="O436" s="288" t="str">
        <f>IFERROR(__xludf.DUMMYFUNCTION("""COMPUTED_VALUE"""),"➖")</f>
        <v>➖</v>
      </c>
      <c r="P436" s="288" t="str">
        <f>IFERROR(__xludf.DUMMYFUNCTION("""COMPUTED_VALUE"""),"➖")</f>
        <v>➖</v>
      </c>
      <c r="Q436" s="288" t="str">
        <f>IFERROR(__xludf.DUMMYFUNCTION("""COMPUTED_VALUE"""),"✅")</f>
        <v>✅</v>
      </c>
      <c r="R436" s="257" t="str">
        <f>IFERROR(__xludf.DUMMYFUNCTION("""COMPUTED_VALUE"""),"   ✅")</f>
        <v>✅</v>
      </c>
      <c r="S436" s="258"/>
      <c r="T436" s="255" t="str">
        <f>IFERROR(__xludf.DUMMYFUNCTION("""COMPUTED_VALUE"""),"➖")</f>
        <v>➖</v>
      </c>
      <c r="U436" s="255" t="str">
        <f>IFERROR(__xludf.DUMMYFUNCTION("""COMPUTED_VALUE"""),"➖")</f>
        <v>➖</v>
      </c>
      <c r="V436" s="259"/>
      <c r="W436" s="286"/>
      <c r="X436" s="286"/>
      <c r="Y436" s="286"/>
    </row>
    <row r="437">
      <c r="A437" s="28"/>
      <c r="B437" s="128"/>
      <c r="C437" s="28"/>
      <c r="D437" s="250" t="str">
        <f>IFERROR(__xludf.DUMMYFUNCTION("""COMPUTED_VALUE"""),"   R")</f>
        <v>R</v>
      </c>
      <c r="E437" s="280" t="str">
        <f>IFERROR(__xludf.DUMMYFUNCTION("""COMPUTED_VALUE"""),"SHRAN")</f>
        <v>SHRAN</v>
      </c>
      <c r="F437" s="271" t="str">
        <f>IFERROR(__xludf.DUMMYFUNCTION("""COMPUTED_VALUE"""),"OA")</f>
        <v>OA</v>
      </c>
      <c r="G437" s="281" t="str">
        <f>IFERROR(__xludf.DUMMYFUNCTION("""COMPUTED_VALUE"""),"➖")</f>
        <v>➖</v>
      </c>
      <c r="H437" s="281" t="str">
        <f>IFERROR(__xludf.DUMMYFUNCTION("""COMPUTED_VALUE"""),"➖")</f>
        <v>➖</v>
      </c>
      <c r="I437" s="281" t="str">
        <f>IFERROR(__xludf.DUMMYFUNCTION("""COMPUTED_VALUE"""),"➖")</f>
        <v>➖</v>
      </c>
      <c r="J437" s="281" t="str">
        <f>IFERROR(__xludf.DUMMYFUNCTION("""COMPUTED_VALUE"""),"➖")</f>
        <v>➖</v>
      </c>
      <c r="K437" s="282" t="str">
        <f>IFERROR(__xludf.DUMMYFUNCTION("""COMPUTED_VALUE"""),"➖")</f>
        <v>➖</v>
      </c>
      <c r="L437" s="282" t="str">
        <f>IFERROR(__xludf.DUMMYFUNCTION("""COMPUTED_VALUE"""),"➖")</f>
        <v>➖</v>
      </c>
      <c r="M437" s="282" t="str">
        <f>IFERROR(__xludf.DUMMYFUNCTION("""COMPUTED_VALUE"""),"➖")</f>
        <v>➖</v>
      </c>
      <c r="N437" s="282" t="str">
        <f>IFERROR(__xludf.DUMMYFUNCTION("""COMPUTED_VALUE"""),"➖")</f>
        <v>➖</v>
      </c>
      <c r="O437" s="282" t="str">
        <f>IFERROR(__xludf.DUMMYFUNCTION("""COMPUTED_VALUE"""),"➖")</f>
        <v>➖</v>
      </c>
      <c r="P437" s="282" t="str">
        <f>IFERROR(__xludf.DUMMYFUNCTION("""COMPUTED_VALUE"""),"➖")</f>
        <v>➖</v>
      </c>
      <c r="Q437" s="282" t="str">
        <f>IFERROR(__xludf.DUMMYFUNCTION("""COMPUTED_VALUE"""),"➖")</f>
        <v>➖</v>
      </c>
      <c r="R437" s="283" t="str">
        <f>IFERROR(__xludf.DUMMYFUNCTION("""COMPUTED_VALUE"""),"   ➖")</f>
        <v>➖</v>
      </c>
      <c r="S437" s="284"/>
      <c r="T437" s="285" t="str">
        <f>IFERROR(__xludf.DUMMYFUNCTION("""COMPUTED_VALUE"""),"➖")</f>
        <v>➖</v>
      </c>
      <c r="U437" s="285" t="str">
        <f>IFERROR(__xludf.DUMMYFUNCTION("""COMPUTED_VALUE"""),"✅")</f>
        <v>✅</v>
      </c>
      <c r="V437" s="259"/>
      <c r="W437" s="286"/>
      <c r="X437" s="286"/>
      <c r="Y437" s="286"/>
    </row>
    <row r="438">
      <c r="A438" s="28"/>
      <c r="B438" s="132"/>
      <c r="C438" s="28"/>
      <c r="D438" s="260" t="str">
        <f>IFERROR(__xludf.DUMMYFUNCTION("""COMPUTED_VALUE"""),"   R")</f>
        <v>R</v>
      </c>
      <c r="E438" s="287" t="str">
        <f>IFERROR(__xludf.DUMMYFUNCTION("""COMPUTED_VALUE"""),"SHRAN")</f>
        <v>SHRAN</v>
      </c>
      <c r="F438" s="270" t="str">
        <f>IFERROR(__xludf.DUMMYFUNCTION("""COMPUTED_VALUE"""),"BDA")</f>
        <v>BDA</v>
      </c>
      <c r="G438" s="231" t="str">
        <f>IFERROR(__xludf.DUMMYFUNCTION("""COMPUTED_VALUE"""),"➖")</f>
        <v>➖</v>
      </c>
      <c r="H438" s="231" t="str">
        <f>IFERROR(__xludf.DUMMYFUNCTION("""COMPUTED_VALUE"""),"➖")</f>
        <v>➖</v>
      </c>
      <c r="I438" s="231" t="str">
        <f>IFERROR(__xludf.DUMMYFUNCTION("""COMPUTED_VALUE"""),"➖")</f>
        <v>➖</v>
      </c>
      <c r="J438" s="231" t="str">
        <f>IFERROR(__xludf.DUMMYFUNCTION("""COMPUTED_VALUE"""),"➖")</f>
        <v>➖</v>
      </c>
      <c r="K438" s="288" t="str">
        <f>IFERROR(__xludf.DUMMYFUNCTION("""COMPUTED_VALUE"""),"➖")</f>
        <v>➖</v>
      </c>
      <c r="L438" s="288" t="str">
        <f>IFERROR(__xludf.DUMMYFUNCTION("""COMPUTED_VALUE"""),"➖")</f>
        <v>➖</v>
      </c>
      <c r="M438" s="288" t="str">
        <f>IFERROR(__xludf.DUMMYFUNCTION("""COMPUTED_VALUE"""),"➖")</f>
        <v>➖</v>
      </c>
      <c r="N438" s="288" t="str">
        <f>IFERROR(__xludf.DUMMYFUNCTION("""COMPUTED_VALUE"""),"➖")</f>
        <v>➖</v>
      </c>
      <c r="O438" s="288" t="str">
        <f>IFERROR(__xludf.DUMMYFUNCTION("""COMPUTED_VALUE"""),"➖")</f>
        <v>➖</v>
      </c>
      <c r="P438" s="288" t="str">
        <f>IFERROR(__xludf.DUMMYFUNCTION("""COMPUTED_VALUE"""),"➖")</f>
        <v>➖</v>
      </c>
      <c r="Q438" s="288" t="str">
        <f>IFERROR(__xludf.DUMMYFUNCTION("""COMPUTED_VALUE"""),"➖")</f>
        <v>➖</v>
      </c>
      <c r="R438" s="257" t="str">
        <f>IFERROR(__xludf.DUMMYFUNCTION("""COMPUTED_VALUE"""),"   ➖")</f>
        <v>➖</v>
      </c>
      <c r="S438" s="258"/>
      <c r="T438" s="255" t="str">
        <f>IFERROR(__xludf.DUMMYFUNCTION("""COMPUTED_VALUE"""),"➖")</f>
        <v>➖</v>
      </c>
      <c r="U438" s="255" t="str">
        <f>IFERROR(__xludf.DUMMYFUNCTION("""COMPUTED_VALUE"""),"✅")</f>
        <v>✅</v>
      </c>
      <c r="V438" s="259"/>
      <c r="W438" s="286"/>
      <c r="X438" s="286"/>
      <c r="Y438" s="286"/>
    </row>
    <row r="439">
      <c r="A439" s="28"/>
      <c r="B439" s="128"/>
      <c r="C439" s="28"/>
      <c r="D439" s="250" t="str">
        <f>IFERROR(__xludf.DUMMYFUNCTION("""COMPUTED_VALUE"""),"   E")</f>
        <v>E</v>
      </c>
      <c r="E439" s="280" t="str">
        <f>IFERROR(__xludf.DUMMYFUNCTION("""COMPUTED_VALUE"""),"PIC HUGH")</f>
        <v>PIC HUGH</v>
      </c>
      <c r="F439" s="271" t="str">
        <f>IFERROR(__xludf.DUMMYFUNCTION("""COMPUTED_VALUE"""),"OA")</f>
        <v>OA</v>
      </c>
      <c r="G439" s="281" t="str">
        <f>IFERROR(__xludf.DUMMYFUNCTION("""COMPUTED_VALUE"""),"➖")</f>
        <v>➖</v>
      </c>
      <c r="H439" s="281" t="str">
        <f>IFERROR(__xludf.DUMMYFUNCTION("""COMPUTED_VALUE"""),"➖")</f>
        <v>➖</v>
      </c>
      <c r="I439" s="281" t="str">
        <f>IFERROR(__xludf.DUMMYFUNCTION("""COMPUTED_VALUE"""),"➖")</f>
        <v>➖</v>
      </c>
      <c r="J439" s="281" t="str">
        <f>IFERROR(__xludf.DUMMYFUNCTION("""COMPUTED_VALUE"""),"➖")</f>
        <v>➖</v>
      </c>
      <c r="K439" s="282" t="str">
        <f>IFERROR(__xludf.DUMMYFUNCTION("""COMPUTED_VALUE"""),"➖")</f>
        <v>➖</v>
      </c>
      <c r="L439" s="282" t="str">
        <f>IFERROR(__xludf.DUMMYFUNCTION("""COMPUTED_VALUE"""),"➖")</f>
        <v>➖</v>
      </c>
      <c r="M439" s="282" t="str">
        <f>IFERROR(__xludf.DUMMYFUNCTION("""COMPUTED_VALUE"""),"➖")</f>
        <v>➖</v>
      </c>
      <c r="N439" s="282" t="str">
        <f>IFERROR(__xludf.DUMMYFUNCTION("""COMPUTED_VALUE"""),"➖")</f>
        <v>➖</v>
      </c>
      <c r="O439" s="282" t="str">
        <f>IFERROR(__xludf.DUMMYFUNCTION("""COMPUTED_VALUE"""),"➖")</f>
        <v>➖</v>
      </c>
      <c r="P439" s="282" t="str">
        <f>IFERROR(__xludf.DUMMYFUNCTION("""COMPUTED_VALUE"""),"➖")</f>
        <v>➖</v>
      </c>
      <c r="Q439" s="282" t="str">
        <f>IFERROR(__xludf.DUMMYFUNCTION("""COMPUTED_VALUE"""),"➖")</f>
        <v>➖</v>
      </c>
      <c r="R439" s="283" t="str">
        <f>IFERROR(__xludf.DUMMYFUNCTION("""COMPUTED_VALUE"""),"   ➖")</f>
        <v>➖</v>
      </c>
      <c r="S439" s="284"/>
      <c r="T439" s="285" t="str">
        <f>IFERROR(__xludf.DUMMYFUNCTION("""COMPUTED_VALUE"""),"➖")</f>
        <v>➖</v>
      </c>
      <c r="U439" s="285" t="str">
        <f>IFERROR(__xludf.DUMMYFUNCTION("""COMPUTED_VALUE"""),"✅")</f>
        <v>✅</v>
      </c>
      <c r="V439" s="259"/>
      <c r="W439" s="286"/>
      <c r="X439" s="286"/>
      <c r="Y439" s="286"/>
    </row>
    <row r="440">
      <c r="A440" s="28"/>
      <c r="B440" s="132"/>
      <c r="C440" s="28"/>
      <c r="D440" s="260" t="str">
        <f>IFERROR(__xludf.DUMMYFUNCTION("""COMPUTED_VALUE"""),"   E")</f>
        <v>E</v>
      </c>
      <c r="E440" s="287" t="str">
        <f>IFERROR(__xludf.DUMMYFUNCTION("""COMPUTED_VALUE"""),"PIC HUGH")</f>
        <v>PIC HUGH</v>
      </c>
      <c r="F440" s="270" t="str">
        <f>IFERROR(__xludf.DUMMYFUNCTION("""COMPUTED_VALUE"""),"BDA")</f>
        <v>BDA</v>
      </c>
      <c r="G440" s="231" t="str">
        <f>IFERROR(__xludf.DUMMYFUNCTION("""COMPUTED_VALUE"""),"✅")</f>
        <v>✅</v>
      </c>
      <c r="H440" s="231" t="str">
        <f>IFERROR(__xludf.DUMMYFUNCTION("""COMPUTED_VALUE"""),"✅")</f>
        <v>✅</v>
      </c>
      <c r="I440" s="231" t="str">
        <f>IFERROR(__xludf.DUMMYFUNCTION("""COMPUTED_VALUE"""),"✅")</f>
        <v>✅</v>
      </c>
      <c r="J440" s="231" t="str">
        <f>IFERROR(__xludf.DUMMYFUNCTION("""COMPUTED_VALUE"""),"✅")</f>
        <v>✅</v>
      </c>
      <c r="K440" s="288" t="str">
        <f>IFERROR(__xludf.DUMMYFUNCTION("""COMPUTED_VALUE"""),"✅")</f>
        <v>✅</v>
      </c>
      <c r="L440" s="288" t="str">
        <f>IFERROR(__xludf.DUMMYFUNCTION("""COMPUTED_VALUE"""),"✅")</f>
        <v>✅</v>
      </c>
      <c r="M440" s="288" t="str">
        <f>IFERROR(__xludf.DUMMYFUNCTION("""COMPUTED_VALUE"""),"✅")</f>
        <v>✅</v>
      </c>
      <c r="N440" s="288" t="str">
        <f>IFERROR(__xludf.DUMMYFUNCTION("""COMPUTED_VALUE"""),"✅")</f>
        <v>✅</v>
      </c>
      <c r="O440" s="288" t="str">
        <f>IFERROR(__xludf.DUMMYFUNCTION("""COMPUTED_VALUE"""),"✅")</f>
        <v>✅</v>
      </c>
      <c r="P440" s="288" t="str">
        <f>IFERROR(__xludf.DUMMYFUNCTION("""COMPUTED_VALUE"""),"✅")</f>
        <v>✅</v>
      </c>
      <c r="Q440" s="288" t="str">
        <f>IFERROR(__xludf.DUMMYFUNCTION("""COMPUTED_VALUE"""),"✅")</f>
        <v>✅</v>
      </c>
      <c r="R440" s="257" t="str">
        <f>IFERROR(__xludf.DUMMYFUNCTION("""COMPUTED_VALUE"""),"   ✅")</f>
        <v>✅</v>
      </c>
      <c r="S440" s="258"/>
      <c r="T440" s="255" t="str">
        <f>IFERROR(__xludf.DUMMYFUNCTION("""COMPUTED_VALUE"""),"➖")</f>
        <v>➖</v>
      </c>
      <c r="U440" s="255" t="str">
        <f>IFERROR(__xludf.DUMMYFUNCTION("""COMPUTED_VALUE"""),"➖")</f>
        <v>➖</v>
      </c>
      <c r="V440" s="259"/>
      <c r="W440" s="286"/>
      <c r="X440" s="286"/>
      <c r="Y440" s="286"/>
    </row>
    <row r="441">
      <c r="A441" s="28"/>
      <c r="B441" s="128"/>
      <c r="C441" s="28"/>
      <c r="D441" s="250" t="str">
        <f>IFERROR(__xludf.DUMMYFUNCTION("""COMPUTED_VALUE"""),"   R")</f>
        <v>R</v>
      </c>
      <c r="E441" s="280" t="str">
        <f>IFERROR(__xludf.DUMMYFUNCTION("""COMPUTED_VALUE"""),"HOSHI SATO")</f>
        <v>HOSHI SATO</v>
      </c>
      <c r="F441" s="271" t="str">
        <f>IFERROR(__xludf.DUMMYFUNCTION("""COMPUTED_VALUE"""),"OA")</f>
        <v>OA</v>
      </c>
      <c r="G441" s="281" t="str">
        <f>IFERROR(__xludf.DUMMYFUNCTION("""COMPUTED_VALUE"""),"➖")</f>
        <v>➖</v>
      </c>
      <c r="H441" s="281" t="str">
        <f>IFERROR(__xludf.DUMMYFUNCTION("""COMPUTED_VALUE"""),"➖")</f>
        <v>➖</v>
      </c>
      <c r="I441" s="281" t="str">
        <f>IFERROR(__xludf.DUMMYFUNCTION("""COMPUTED_VALUE"""),"➖")</f>
        <v>➖</v>
      </c>
      <c r="J441" s="281" t="str">
        <f>IFERROR(__xludf.DUMMYFUNCTION("""COMPUTED_VALUE"""),"➖")</f>
        <v>➖</v>
      </c>
      <c r="K441" s="282" t="str">
        <f>IFERROR(__xludf.DUMMYFUNCTION("""COMPUTED_VALUE"""),"➖")</f>
        <v>➖</v>
      </c>
      <c r="L441" s="282" t="str">
        <f>IFERROR(__xludf.DUMMYFUNCTION("""COMPUTED_VALUE"""),"➖")</f>
        <v>➖</v>
      </c>
      <c r="M441" s="282" t="str">
        <f>IFERROR(__xludf.DUMMYFUNCTION("""COMPUTED_VALUE"""),"➖")</f>
        <v>➖</v>
      </c>
      <c r="N441" s="282" t="str">
        <f>IFERROR(__xludf.DUMMYFUNCTION("""COMPUTED_VALUE"""),"➖")</f>
        <v>➖</v>
      </c>
      <c r="O441" s="282" t="str">
        <f>IFERROR(__xludf.DUMMYFUNCTION("""COMPUTED_VALUE"""),"➖")</f>
        <v>➖</v>
      </c>
      <c r="P441" s="282" t="str">
        <f>IFERROR(__xludf.DUMMYFUNCTION("""COMPUTED_VALUE"""),"➖")</f>
        <v>➖</v>
      </c>
      <c r="Q441" s="282" t="str">
        <f>IFERROR(__xludf.DUMMYFUNCTION("""COMPUTED_VALUE"""),"➖")</f>
        <v>➖</v>
      </c>
      <c r="R441" s="283" t="str">
        <f>IFERROR(__xludf.DUMMYFUNCTION("""COMPUTED_VALUE"""),"   ➖")</f>
        <v>➖</v>
      </c>
      <c r="S441" s="284"/>
      <c r="T441" s="285" t="str">
        <f>IFERROR(__xludf.DUMMYFUNCTION("""COMPUTED_VALUE"""),"➖")</f>
        <v>➖</v>
      </c>
      <c r="U441" s="285" t="str">
        <f>IFERROR(__xludf.DUMMYFUNCTION("""COMPUTED_VALUE"""),"✅")</f>
        <v>✅</v>
      </c>
      <c r="V441" s="259"/>
      <c r="W441" s="286"/>
      <c r="X441" s="286"/>
      <c r="Y441" s="286"/>
    </row>
    <row r="442">
      <c r="A442" s="28"/>
      <c r="B442" s="132"/>
      <c r="C442" s="28"/>
      <c r="D442" s="260" t="str">
        <f>IFERROR(__xludf.DUMMYFUNCTION("""COMPUTED_VALUE"""),"   R")</f>
        <v>R</v>
      </c>
      <c r="E442" s="287" t="str">
        <f>IFERROR(__xludf.DUMMYFUNCTION("""COMPUTED_VALUE"""),"HOSHI SATO")</f>
        <v>HOSHI SATO</v>
      </c>
      <c r="F442" s="270" t="str">
        <f>IFERROR(__xludf.DUMMYFUNCTION("""COMPUTED_VALUE"""),"BDA")</f>
        <v>BDA</v>
      </c>
      <c r="G442" s="231" t="str">
        <f>IFERROR(__xludf.DUMMYFUNCTION("""COMPUTED_VALUE"""),"➖")</f>
        <v>➖</v>
      </c>
      <c r="H442" s="231" t="str">
        <f>IFERROR(__xludf.DUMMYFUNCTION("""COMPUTED_VALUE"""),"➖")</f>
        <v>➖</v>
      </c>
      <c r="I442" s="231" t="str">
        <f>IFERROR(__xludf.DUMMYFUNCTION("""COMPUTED_VALUE"""),"➖")</f>
        <v>➖</v>
      </c>
      <c r="J442" s="231" t="str">
        <f>IFERROR(__xludf.DUMMYFUNCTION("""COMPUTED_VALUE"""),"➖")</f>
        <v>➖</v>
      </c>
      <c r="K442" s="288" t="str">
        <f>IFERROR(__xludf.DUMMYFUNCTION("""COMPUTED_VALUE"""),"➖")</f>
        <v>➖</v>
      </c>
      <c r="L442" s="288" t="str">
        <f>IFERROR(__xludf.DUMMYFUNCTION("""COMPUTED_VALUE"""),"➖")</f>
        <v>➖</v>
      </c>
      <c r="M442" s="288" t="str">
        <f>IFERROR(__xludf.DUMMYFUNCTION("""COMPUTED_VALUE"""),"➖")</f>
        <v>➖</v>
      </c>
      <c r="N442" s="288" t="str">
        <f>IFERROR(__xludf.DUMMYFUNCTION("""COMPUTED_VALUE"""),"➖")</f>
        <v>➖</v>
      </c>
      <c r="O442" s="288" t="str">
        <f>IFERROR(__xludf.DUMMYFUNCTION("""COMPUTED_VALUE"""),"➖")</f>
        <v>➖</v>
      </c>
      <c r="P442" s="288" t="str">
        <f>IFERROR(__xludf.DUMMYFUNCTION("""COMPUTED_VALUE"""),"➖")</f>
        <v>➖</v>
      </c>
      <c r="Q442" s="288" t="str">
        <f>IFERROR(__xludf.DUMMYFUNCTION("""COMPUTED_VALUE"""),"➖")</f>
        <v>➖</v>
      </c>
      <c r="R442" s="257" t="str">
        <f>IFERROR(__xludf.DUMMYFUNCTION("""COMPUTED_VALUE"""),"   ➖")</f>
        <v>➖</v>
      </c>
      <c r="S442" s="258"/>
      <c r="T442" s="255" t="str">
        <f>IFERROR(__xludf.DUMMYFUNCTION("""COMPUTED_VALUE"""),"➖")</f>
        <v>➖</v>
      </c>
      <c r="U442" s="255" t="str">
        <f>IFERROR(__xludf.DUMMYFUNCTION("""COMPUTED_VALUE"""),"✅")</f>
        <v>✅</v>
      </c>
      <c r="V442" s="259"/>
      <c r="W442" s="286"/>
      <c r="X442" s="286"/>
      <c r="Y442" s="286"/>
    </row>
    <row r="443">
      <c r="A443" s="28"/>
      <c r="B443" s="128"/>
      <c r="C443" s="28"/>
      <c r="D443" s="250" t="str">
        <f>IFERROR(__xludf.DUMMYFUNCTION("""COMPUTED_VALUE"""),"   E")</f>
        <v>E</v>
      </c>
      <c r="E443" s="280" t="str">
        <f>IFERROR(__xludf.DUMMYFUNCTION("""COMPUTED_VALUE"""),"PHLOX")</f>
        <v>PHLOX</v>
      </c>
      <c r="F443" s="271" t="str">
        <f>IFERROR(__xludf.DUMMYFUNCTION("""COMPUTED_VALUE"""),"OA")</f>
        <v>OA</v>
      </c>
      <c r="G443" s="281" t="str">
        <f>IFERROR(__xludf.DUMMYFUNCTION("""COMPUTED_VALUE"""),"✅")</f>
        <v>✅</v>
      </c>
      <c r="H443" s="281" t="str">
        <f>IFERROR(__xludf.DUMMYFUNCTION("""COMPUTED_VALUE"""),"➖")</f>
        <v>➖</v>
      </c>
      <c r="I443" s="281" t="str">
        <f>IFERROR(__xludf.DUMMYFUNCTION("""COMPUTED_VALUE"""),"✅")</f>
        <v>✅</v>
      </c>
      <c r="J443" s="281" t="str">
        <f>IFERROR(__xludf.DUMMYFUNCTION("""COMPUTED_VALUE"""),"✅")</f>
        <v>✅</v>
      </c>
      <c r="K443" s="282" t="str">
        <f>IFERROR(__xludf.DUMMYFUNCTION("""COMPUTED_VALUE"""),"✅")</f>
        <v>✅</v>
      </c>
      <c r="L443" s="282" t="str">
        <f>IFERROR(__xludf.DUMMYFUNCTION("""COMPUTED_VALUE"""),"✅")</f>
        <v>✅</v>
      </c>
      <c r="M443" s="282" t="str">
        <f>IFERROR(__xludf.DUMMYFUNCTION("""COMPUTED_VALUE"""),"➖")</f>
        <v>➖</v>
      </c>
      <c r="N443" s="282" t="str">
        <f>IFERROR(__xludf.DUMMYFUNCTION("""COMPUTED_VALUE"""),"➖")</f>
        <v>➖</v>
      </c>
      <c r="O443" s="282" t="str">
        <f>IFERROR(__xludf.DUMMYFUNCTION("""COMPUTED_VALUE"""),"➖")</f>
        <v>➖</v>
      </c>
      <c r="P443" s="282" t="str">
        <f>IFERROR(__xludf.DUMMYFUNCTION("""COMPUTED_VALUE"""),"➖")</f>
        <v>➖</v>
      </c>
      <c r="Q443" s="282" t="str">
        <f>IFERROR(__xludf.DUMMYFUNCTION("""COMPUTED_VALUE"""),"✅")</f>
        <v>✅</v>
      </c>
      <c r="R443" s="283" t="str">
        <f>IFERROR(__xludf.DUMMYFUNCTION("""COMPUTED_VALUE"""),"   ✅")</f>
        <v>✅</v>
      </c>
      <c r="S443" s="284"/>
      <c r="T443" s="285" t="str">
        <f>IFERROR(__xludf.DUMMYFUNCTION("""COMPUTED_VALUE"""),"➖")</f>
        <v>➖</v>
      </c>
      <c r="U443" s="285" t="str">
        <f>IFERROR(__xludf.DUMMYFUNCTION("""COMPUTED_VALUE"""),"➖")</f>
        <v>➖</v>
      </c>
      <c r="V443" s="259"/>
      <c r="W443" s="286"/>
      <c r="X443" s="286"/>
      <c r="Y443" s="286"/>
    </row>
    <row r="444">
      <c r="A444" s="28"/>
      <c r="B444" s="132"/>
      <c r="C444" s="28"/>
      <c r="D444" s="260" t="str">
        <f>IFERROR(__xludf.DUMMYFUNCTION("""COMPUTED_VALUE"""),"   E")</f>
        <v>E</v>
      </c>
      <c r="E444" s="287" t="str">
        <f>IFERROR(__xludf.DUMMYFUNCTION("""COMPUTED_VALUE"""),"PHLOX")</f>
        <v>PHLOX</v>
      </c>
      <c r="F444" s="270" t="str">
        <f>IFERROR(__xludf.DUMMYFUNCTION("""COMPUTED_VALUE"""),"BDA")</f>
        <v>BDA</v>
      </c>
      <c r="G444" s="231" t="str">
        <f>IFERROR(__xludf.DUMMYFUNCTION("""COMPUTED_VALUE"""),"✅")</f>
        <v>✅</v>
      </c>
      <c r="H444" s="231" t="str">
        <f>IFERROR(__xludf.DUMMYFUNCTION("""COMPUTED_VALUE"""),"✅")</f>
        <v>✅</v>
      </c>
      <c r="I444" s="231" t="str">
        <f>IFERROR(__xludf.DUMMYFUNCTION("""COMPUTED_VALUE"""),"✅")</f>
        <v>✅</v>
      </c>
      <c r="J444" s="231" t="str">
        <f>IFERROR(__xludf.DUMMYFUNCTION("""COMPUTED_VALUE"""),"✅")</f>
        <v>✅</v>
      </c>
      <c r="K444" s="288" t="str">
        <f>IFERROR(__xludf.DUMMYFUNCTION("""COMPUTED_VALUE"""),"✅")</f>
        <v>✅</v>
      </c>
      <c r="L444" s="288" t="str">
        <f>IFERROR(__xludf.DUMMYFUNCTION("""COMPUTED_VALUE"""),"✅")</f>
        <v>✅</v>
      </c>
      <c r="M444" s="288" t="str">
        <f>IFERROR(__xludf.DUMMYFUNCTION("""COMPUTED_VALUE"""),"✅")</f>
        <v>✅</v>
      </c>
      <c r="N444" s="288" t="str">
        <f>IFERROR(__xludf.DUMMYFUNCTION("""COMPUTED_VALUE"""),"✅")</f>
        <v>✅</v>
      </c>
      <c r="O444" s="288" t="str">
        <f>IFERROR(__xludf.DUMMYFUNCTION("""COMPUTED_VALUE"""),"✅")</f>
        <v>✅</v>
      </c>
      <c r="P444" s="288" t="str">
        <f>IFERROR(__xludf.DUMMYFUNCTION("""COMPUTED_VALUE"""),"✅")</f>
        <v>✅</v>
      </c>
      <c r="Q444" s="288" t="str">
        <f>IFERROR(__xludf.DUMMYFUNCTION("""COMPUTED_VALUE"""),"✅")</f>
        <v>✅</v>
      </c>
      <c r="R444" s="257" t="str">
        <f>IFERROR(__xludf.DUMMYFUNCTION("""COMPUTED_VALUE"""),"   ✅")</f>
        <v>✅</v>
      </c>
      <c r="S444" s="258"/>
      <c r="T444" s="255" t="str">
        <f>IFERROR(__xludf.DUMMYFUNCTION("""COMPUTED_VALUE"""),"➖")</f>
        <v>➖</v>
      </c>
      <c r="U444" s="255" t="str">
        <f>IFERROR(__xludf.DUMMYFUNCTION("""COMPUTED_VALUE"""),"➖")</f>
        <v>➖</v>
      </c>
      <c r="V444" s="259"/>
      <c r="W444" s="286"/>
      <c r="X444" s="286"/>
      <c r="Y444" s="286"/>
    </row>
    <row r="445">
      <c r="A445" s="28"/>
      <c r="B445" s="128"/>
      <c r="C445" s="28"/>
      <c r="D445" s="250" t="str">
        <f>IFERROR(__xludf.DUMMYFUNCTION("""COMPUTED_VALUE"""),"   E")</f>
        <v>E</v>
      </c>
      <c r="E445" s="280" t="str">
        <f>IFERROR(__xludf.DUMMYFUNCTION("""COMPUTED_VALUE"""),"SNW M’BENGA")</f>
        <v>SNW M’BENGA</v>
      </c>
      <c r="F445" s="271" t="str">
        <f>IFERROR(__xludf.DUMMYFUNCTION("""COMPUTED_VALUE"""),"CM")</f>
        <v>CM</v>
      </c>
      <c r="G445" s="281" t="str">
        <f>IFERROR(__xludf.DUMMYFUNCTION("""COMPUTED_VALUE"""),"➖")</f>
        <v>➖</v>
      </c>
      <c r="H445" s="281" t="str">
        <f>IFERROR(__xludf.DUMMYFUNCTION("""COMPUTED_VALUE"""),"➖")</f>
        <v>➖</v>
      </c>
      <c r="I445" s="281" t="str">
        <f>IFERROR(__xludf.DUMMYFUNCTION("""COMPUTED_VALUE"""),"✅")</f>
        <v>✅</v>
      </c>
      <c r="J445" s="281" t="str">
        <f>IFERROR(__xludf.DUMMYFUNCTION("""COMPUTED_VALUE"""),"✅")</f>
        <v>✅</v>
      </c>
      <c r="K445" s="282" t="str">
        <f>IFERROR(__xludf.DUMMYFUNCTION("""COMPUTED_VALUE"""),"✅")</f>
        <v>✅</v>
      </c>
      <c r="L445" s="282" t="str">
        <f>IFERROR(__xludf.DUMMYFUNCTION("""COMPUTED_VALUE"""),"➖")</f>
        <v>➖</v>
      </c>
      <c r="M445" s="282" t="str">
        <f>IFERROR(__xludf.DUMMYFUNCTION("""COMPUTED_VALUE"""),"➖")</f>
        <v>➖</v>
      </c>
      <c r="N445" s="282" t="str">
        <f>IFERROR(__xludf.DUMMYFUNCTION("""COMPUTED_VALUE"""),"➖")</f>
        <v>➖</v>
      </c>
      <c r="O445" s="282" t="str">
        <f>IFERROR(__xludf.DUMMYFUNCTION("""COMPUTED_VALUE"""),"➖")</f>
        <v>➖</v>
      </c>
      <c r="P445" s="282" t="str">
        <f>IFERROR(__xludf.DUMMYFUNCTION("""COMPUTED_VALUE"""),"➖")</f>
        <v>➖</v>
      </c>
      <c r="Q445" s="282" t="str">
        <f>IFERROR(__xludf.DUMMYFUNCTION("""COMPUTED_VALUE"""),"➖")</f>
        <v>➖</v>
      </c>
      <c r="R445" s="283" t="str">
        <f>IFERROR(__xludf.DUMMYFUNCTION("""COMPUTED_VALUE"""),"   ➖")</f>
        <v>➖</v>
      </c>
      <c r="S445" s="284"/>
      <c r="T445" s="285" t="str">
        <f>IFERROR(__xludf.DUMMYFUNCTION("""COMPUTED_VALUE"""),"➖")</f>
        <v>➖</v>
      </c>
      <c r="U445" s="285" t="str">
        <f>IFERROR(__xludf.DUMMYFUNCTION("""COMPUTED_VALUE"""),"➖")</f>
        <v>➖</v>
      </c>
      <c r="V445" s="259"/>
      <c r="W445" s="286"/>
      <c r="X445" s="286"/>
      <c r="Y445" s="286"/>
    </row>
    <row r="446">
      <c r="A446" s="28"/>
      <c r="B446" s="132"/>
      <c r="C446" s="28"/>
      <c r="D446" s="260" t="str">
        <f>IFERROR(__xludf.DUMMYFUNCTION("""COMPUTED_VALUE"""),"   E")</f>
        <v>E</v>
      </c>
      <c r="E446" s="287" t="str">
        <f>IFERROR(__xludf.DUMMYFUNCTION("""COMPUTED_VALUE"""),"SNW M’BENGA")</f>
        <v>SNW M’BENGA</v>
      </c>
      <c r="F446" s="270" t="str">
        <f>IFERROR(__xludf.DUMMYFUNCTION("""COMPUTED_VALUE"""),"OA")</f>
        <v>OA</v>
      </c>
      <c r="G446" s="231" t="str">
        <f>IFERROR(__xludf.DUMMYFUNCTION("""COMPUTED_VALUE"""),"➖")</f>
        <v>➖</v>
      </c>
      <c r="H446" s="231" t="str">
        <f>IFERROR(__xludf.DUMMYFUNCTION("""COMPUTED_VALUE"""),"➖")</f>
        <v>➖</v>
      </c>
      <c r="I446" s="231" t="str">
        <f>IFERROR(__xludf.DUMMYFUNCTION("""COMPUTED_VALUE"""),"✅")</f>
        <v>✅</v>
      </c>
      <c r="J446" s="231" t="str">
        <f>IFERROR(__xludf.DUMMYFUNCTION("""COMPUTED_VALUE"""),"✅")</f>
        <v>✅</v>
      </c>
      <c r="K446" s="288" t="str">
        <f>IFERROR(__xludf.DUMMYFUNCTION("""COMPUTED_VALUE"""),"✅")</f>
        <v>✅</v>
      </c>
      <c r="L446" s="288" t="str">
        <f>IFERROR(__xludf.DUMMYFUNCTION("""COMPUTED_VALUE"""),"➖")</f>
        <v>➖</v>
      </c>
      <c r="M446" s="288" t="str">
        <f>IFERROR(__xludf.DUMMYFUNCTION("""COMPUTED_VALUE"""),"➖")</f>
        <v>➖</v>
      </c>
      <c r="N446" s="288" t="str">
        <f>IFERROR(__xludf.DUMMYFUNCTION("""COMPUTED_VALUE"""),"➖")</f>
        <v>➖</v>
      </c>
      <c r="O446" s="288" t="str">
        <f>IFERROR(__xludf.DUMMYFUNCTION("""COMPUTED_VALUE"""),"➖")</f>
        <v>➖</v>
      </c>
      <c r="P446" s="288" t="str">
        <f>IFERROR(__xludf.DUMMYFUNCTION("""COMPUTED_VALUE"""),"➖")</f>
        <v>➖</v>
      </c>
      <c r="Q446" s="288" t="str">
        <f>IFERROR(__xludf.DUMMYFUNCTION("""COMPUTED_VALUE"""),"➖")</f>
        <v>➖</v>
      </c>
      <c r="R446" s="257" t="str">
        <f>IFERROR(__xludf.DUMMYFUNCTION("""COMPUTED_VALUE"""),"   ➖")</f>
        <v>➖</v>
      </c>
      <c r="S446" s="258"/>
      <c r="T446" s="255" t="str">
        <f>IFERROR(__xludf.DUMMYFUNCTION("""COMPUTED_VALUE"""),"➖")</f>
        <v>➖</v>
      </c>
      <c r="U446" s="255" t="str">
        <f>IFERROR(__xludf.DUMMYFUNCTION("""COMPUTED_VALUE"""),"➖")</f>
        <v>➖</v>
      </c>
      <c r="V446" s="259"/>
      <c r="W446" s="286"/>
      <c r="X446" s="286"/>
      <c r="Y446" s="286"/>
    </row>
    <row r="447">
      <c r="A447" s="28"/>
      <c r="B447" s="128"/>
      <c r="C447" s="28"/>
      <c r="D447" s="250" t="str">
        <f>IFERROR(__xludf.DUMMYFUNCTION("""COMPUTED_VALUE"""),"   R")</f>
        <v>R</v>
      </c>
      <c r="E447" s="280" t="str">
        <f>IFERROR(__xludf.DUMMYFUNCTION("""COMPUTED_VALUE"""),"SNW NURSE CHAPEL")</f>
        <v>SNW NURSE CHAPEL</v>
      </c>
      <c r="F447" s="271" t="str">
        <f>IFERROR(__xludf.DUMMYFUNCTION("""COMPUTED_VALUE"""),"OA")</f>
        <v>OA</v>
      </c>
      <c r="G447" s="281" t="str">
        <f>IFERROR(__xludf.DUMMYFUNCTION("""COMPUTED_VALUE"""),"➖")</f>
        <v>➖</v>
      </c>
      <c r="H447" s="281" t="str">
        <f>IFERROR(__xludf.DUMMYFUNCTION("""COMPUTED_VALUE"""),"➖")</f>
        <v>➖</v>
      </c>
      <c r="I447" s="281" t="str">
        <f>IFERROR(__xludf.DUMMYFUNCTION("""COMPUTED_VALUE"""),"✴️")</f>
        <v>✴️</v>
      </c>
      <c r="J447" s="281" t="str">
        <f>IFERROR(__xludf.DUMMYFUNCTION("""COMPUTED_VALUE"""),"➖")</f>
        <v>➖</v>
      </c>
      <c r="K447" s="282" t="str">
        <f>IFERROR(__xludf.DUMMYFUNCTION("""COMPUTED_VALUE"""),"➖")</f>
        <v>➖</v>
      </c>
      <c r="L447" s="282" t="str">
        <f>IFERROR(__xludf.DUMMYFUNCTION("""COMPUTED_VALUE"""),"➖")</f>
        <v>➖</v>
      </c>
      <c r="M447" s="282" t="str">
        <f>IFERROR(__xludf.DUMMYFUNCTION("""COMPUTED_VALUE"""),"➖")</f>
        <v>➖</v>
      </c>
      <c r="N447" s="282" t="str">
        <f>IFERROR(__xludf.DUMMYFUNCTION("""COMPUTED_VALUE"""),"➖")</f>
        <v>➖</v>
      </c>
      <c r="O447" s="282" t="str">
        <f>IFERROR(__xludf.DUMMYFUNCTION("""COMPUTED_VALUE"""),"➖")</f>
        <v>➖</v>
      </c>
      <c r="P447" s="282" t="str">
        <f>IFERROR(__xludf.DUMMYFUNCTION("""COMPUTED_VALUE"""),"➖")</f>
        <v>➖</v>
      </c>
      <c r="Q447" s="282" t="str">
        <f>IFERROR(__xludf.DUMMYFUNCTION("""COMPUTED_VALUE"""),"➖")</f>
        <v>➖</v>
      </c>
      <c r="R447" s="283" t="str">
        <f>IFERROR(__xludf.DUMMYFUNCTION("""COMPUTED_VALUE"""),"   ➖")</f>
        <v>➖</v>
      </c>
      <c r="S447" s="284" t="str">
        <f>IFERROR(__xludf.DUMMYFUNCTION("""COMPUTED_VALUE"""),"GornHostileVolatileLoot")</f>
        <v>GornHostileVolatileLoot</v>
      </c>
      <c r="T447" s="285" t="str">
        <f>IFERROR(__xludf.DUMMYFUNCTION("""COMPUTED_VALUE"""),"✅")</f>
        <v>✅</v>
      </c>
      <c r="U447" s="285" t="str">
        <f>IFERROR(__xludf.DUMMYFUNCTION("""COMPUTED_VALUE"""),"➖")</f>
        <v>➖</v>
      </c>
      <c r="V447" s="259"/>
      <c r="W447" s="286"/>
      <c r="X447" s="286"/>
      <c r="Y447" s="286"/>
    </row>
    <row r="448">
      <c r="A448" s="28"/>
      <c r="B448" s="132"/>
      <c r="C448" s="28"/>
      <c r="D448" s="260" t="str">
        <f>IFERROR(__xludf.DUMMYFUNCTION("""COMPUTED_VALUE"""),"   R")</f>
        <v>R</v>
      </c>
      <c r="E448" s="287" t="str">
        <f>IFERROR(__xludf.DUMMYFUNCTION("""COMPUTED_VALUE"""),"SNW NURSE CHAPEL")</f>
        <v>SNW NURSE CHAPEL</v>
      </c>
      <c r="F448" s="270" t="str">
        <f>IFERROR(__xludf.DUMMYFUNCTION("""COMPUTED_VALUE"""),"BDA")</f>
        <v>BDA</v>
      </c>
      <c r="G448" s="231" t="str">
        <f>IFERROR(__xludf.DUMMYFUNCTION("""COMPUTED_VALUE"""),"➖")</f>
        <v>➖</v>
      </c>
      <c r="H448" s="231" t="str">
        <f>IFERROR(__xludf.DUMMYFUNCTION("""COMPUTED_VALUE"""),"➖")</f>
        <v>➖</v>
      </c>
      <c r="I448" s="231" t="str">
        <f>IFERROR(__xludf.DUMMYFUNCTION("""COMPUTED_VALUE"""),"✅")</f>
        <v>✅</v>
      </c>
      <c r="J448" s="231" t="str">
        <f>IFERROR(__xludf.DUMMYFUNCTION("""COMPUTED_VALUE"""),"✅")</f>
        <v>✅</v>
      </c>
      <c r="K448" s="288" t="str">
        <f>IFERROR(__xludf.DUMMYFUNCTION("""COMPUTED_VALUE"""),"✅")</f>
        <v>✅</v>
      </c>
      <c r="L448" s="288" t="str">
        <f>IFERROR(__xludf.DUMMYFUNCTION("""COMPUTED_VALUE"""),"➖")</f>
        <v>➖</v>
      </c>
      <c r="M448" s="288" t="str">
        <f>IFERROR(__xludf.DUMMYFUNCTION("""COMPUTED_VALUE"""),"➖")</f>
        <v>➖</v>
      </c>
      <c r="N448" s="288" t="str">
        <f>IFERROR(__xludf.DUMMYFUNCTION("""COMPUTED_VALUE"""),"➖")</f>
        <v>➖</v>
      </c>
      <c r="O448" s="288" t="str">
        <f>IFERROR(__xludf.DUMMYFUNCTION("""COMPUTED_VALUE"""),"➖")</f>
        <v>➖</v>
      </c>
      <c r="P448" s="288" t="str">
        <f>IFERROR(__xludf.DUMMYFUNCTION("""COMPUTED_VALUE"""),"➖")</f>
        <v>➖</v>
      </c>
      <c r="Q448" s="288" t="str">
        <f>IFERROR(__xludf.DUMMYFUNCTION("""COMPUTED_VALUE"""),"➖")</f>
        <v>➖</v>
      </c>
      <c r="R448" s="257" t="str">
        <f>IFERROR(__xludf.DUMMYFUNCTION("""COMPUTED_VALUE"""),"   ➖")</f>
        <v>➖</v>
      </c>
      <c r="S448" s="258"/>
      <c r="T448" s="255" t="str">
        <f>IFERROR(__xludf.DUMMYFUNCTION("""COMPUTED_VALUE"""),"➖")</f>
        <v>➖</v>
      </c>
      <c r="U448" s="255" t="str">
        <f>IFERROR(__xludf.DUMMYFUNCTION("""COMPUTED_VALUE"""),"➖")</f>
        <v>➖</v>
      </c>
      <c r="V448" s="259"/>
      <c r="W448" s="286"/>
      <c r="X448" s="286"/>
      <c r="Y448" s="286"/>
    </row>
    <row r="449">
      <c r="A449" s="28"/>
      <c r="B449" s="128"/>
      <c r="C449" s="28"/>
      <c r="D449" s="250" t="str">
        <f>IFERROR(__xludf.DUMMYFUNCTION("""COMPUTED_VALUE"""),"   E")</f>
        <v>E</v>
      </c>
      <c r="E449" s="280" t="str">
        <f>IFERROR(__xludf.DUMMYFUNCTION("""COMPUTED_VALUE"""),"SNW SAM KIRK")</f>
        <v>SNW SAM KIRK</v>
      </c>
      <c r="F449" s="271" t="str">
        <f>IFERROR(__xludf.DUMMYFUNCTION("""COMPUTED_VALUE"""),"CM")</f>
        <v>CM</v>
      </c>
      <c r="G449" s="281" t="str">
        <f>IFERROR(__xludf.DUMMYFUNCTION("""COMPUTED_VALUE"""),"➖")</f>
        <v>➖</v>
      </c>
      <c r="H449" s="281" t="str">
        <f>IFERROR(__xludf.DUMMYFUNCTION("""COMPUTED_VALUE"""),"➖")</f>
        <v>➖</v>
      </c>
      <c r="I449" s="281" t="str">
        <f>IFERROR(__xludf.DUMMYFUNCTION("""COMPUTED_VALUE"""),"✅")</f>
        <v>✅</v>
      </c>
      <c r="J449" s="281" t="str">
        <f>IFERROR(__xludf.DUMMYFUNCTION("""COMPUTED_VALUE"""),"✅")</f>
        <v>✅</v>
      </c>
      <c r="K449" s="282" t="str">
        <f>IFERROR(__xludf.DUMMYFUNCTION("""COMPUTED_VALUE"""),"✅")</f>
        <v>✅</v>
      </c>
      <c r="L449" s="282" t="str">
        <f>IFERROR(__xludf.DUMMYFUNCTION("""COMPUTED_VALUE"""),"➖")</f>
        <v>➖</v>
      </c>
      <c r="M449" s="282" t="str">
        <f>IFERROR(__xludf.DUMMYFUNCTION("""COMPUTED_VALUE"""),"➖")</f>
        <v>➖</v>
      </c>
      <c r="N449" s="282" t="str">
        <f>IFERROR(__xludf.DUMMYFUNCTION("""COMPUTED_VALUE"""),"➖")</f>
        <v>➖</v>
      </c>
      <c r="O449" s="282" t="str">
        <f>IFERROR(__xludf.DUMMYFUNCTION("""COMPUTED_VALUE"""),"➖")</f>
        <v>➖</v>
      </c>
      <c r="P449" s="282" t="str">
        <f>IFERROR(__xludf.DUMMYFUNCTION("""COMPUTED_VALUE"""),"➖")</f>
        <v>➖</v>
      </c>
      <c r="Q449" s="282" t="str">
        <f>IFERROR(__xludf.DUMMYFUNCTION("""COMPUTED_VALUE"""),"➖")</f>
        <v>➖</v>
      </c>
      <c r="R449" s="283" t="str">
        <f>IFERROR(__xludf.DUMMYFUNCTION("""COMPUTED_VALUE"""),"   ➖")</f>
        <v>➖</v>
      </c>
      <c r="S449" s="284"/>
      <c r="T449" s="285" t="str">
        <f>IFERROR(__xludf.DUMMYFUNCTION("""COMPUTED_VALUE"""),"➖")</f>
        <v>➖</v>
      </c>
      <c r="U449" s="285" t="str">
        <f>IFERROR(__xludf.DUMMYFUNCTION("""COMPUTED_VALUE"""),"➖")</f>
        <v>➖</v>
      </c>
      <c r="V449" s="259"/>
      <c r="W449" s="286"/>
      <c r="X449" s="286"/>
      <c r="Y449" s="286"/>
    </row>
    <row r="450">
      <c r="A450" s="28"/>
      <c r="B450" s="132"/>
      <c r="C450" s="28"/>
      <c r="D450" s="260" t="str">
        <f>IFERROR(__xludf.DUMMYFUNCTION("""COMPUTED_VALUE"""),"   E")</f>
        <v>E</v>
      </c>
      <c r="E450" s="287" t="str">
        <f>IFERROR(__xludf.DUMMYFUNCTION("""COMPUTED_VALUE"""),"SNW SAM KIRK")</f>
        <v>SNW SAM KIRK</v>
      </c>
      <c r="F450" s="270" t="str">
        <f>IFERROR(__xludf.DUMMYFUNCTION("""COMPUTED_VALUE"""),"OA")</f>
        <v>OA</v>
      </c>
      <c r="G450" s="231" t="str">
        <f>IFERROR(__xludf.DUMMYFUNCTION("""COMPUTED_VALUE"""),"➖")</f>
        <v>➖</v>
      </c>
      <c r="H450" s="231" t="str">
        <f>IFERROR(__xludf.DUMMYFUNCTION("""COMPUTED_VALUE"""),"➖")</f>
        <v>➖</v>
      </c>
      <c r="I450" s="231" t="str">
        <f>IFERROR(__xludf.DUMMYFUNCTION("""COMPUTED_VALUE"""),"✅")</f>
        <v>✅</v>
      </c>
      <c r="J450" s="231" t="str">
        <f>IFERROR(__xludf.DUMMYFUNCTION("""COMPUTED_VALUE"""),"✅")</f>
        <v>✅</v>
      </c>
      <c r="K450" s="288" t="str">
        <f>IFERROR(__xludf.DUMMYFUNCTION("""COMPUTED_VALUE"""),"✅")</f>
        <v>✅</v>
      </c>
      <c r="L450" s="288" t="str">
        <f>IFERROR(__xludf.DUMMYFUNCTION("""COMPUTED_VALUE"""),"➖")</f>
        <v>➖</v>
      </c>
      <c r="M450" s="288" t="str">
        <f>IFERROR(__xludf.DUMMYFUNCTION("""COMPUTED_VALUE"""),"➖")</f>
        <v>➖</v>
      </c>
      <c r="N450" s="288" t="str">
        <f>IFERROR(__xludf.DUMMYFUNCTION("""COMPUTED_VALUE"""),"➖")</f>
        <v>➖</v>
      </c>
      <c r="O450" s="288" t="str">
        <f>IFERROR(__xludf.DUMMYFUNCTION("""COMPUTED_VALUE"""),"➖")</f>
        <v>➖</v>
      </c>
      <c r="P450" s="288" t="str">
        <f>IFERROR(__xludf.DUMMYFUNCTION("""COMPUTED_VALUE"""),"➖")</f>
        <v>➖</v>
      </c>
      <c r="Q450" s="288" t="str">
        <f>IFERROR(__xludf.DUMMYFUNCTION("""COMPUTED_VALUE"""),"➖")</f>
        <v>➖</v>
      </c>
      <c r="R450" s="257" t="str">
        <f>IFERROR(__xludf.DUMMYFUNCTION("""COMPUTED_VALUE"""),"   ➖")</f>
        <v>➖</v>
      </c>
      <c r="S450" s="258"/>
      <c r="T450" s="255" t="str">
        <f>IFERROR(__xludf.DUMMYFUNCTION("""COMPUTED_VALUE"""),"➖")</f>
        <v>➖</v>
      </c>
      <c r="U450" s="255" t="str">
        <f>IFERROR(__xludf.DUMMYFUNCTION("""COMPUTED_VALUE"""),"➖")</f>
        <v>➖</v>
      </c>
      <c r="V450" s="259"/>
      <c r="W450" s="286"/>
      <c r="X450" s="286"/>
      <c r="Y450" s="286"/>
    </row>
    <row r="451">
      <c r="A451" s="28"/>
      <c r="B451" s="128"/>
      <c r="C451" s="28"/>
      <c r="D451" s="250" t="str">
        <f>IFERROR(__xludf.DUMMYFUNCTION("""COMPUTED_VALUE"""),"   E")</f>
        <v>E</v>
      </c>
      <c r="E451" s="280" t="str">
        <f>IFERROR(__xludf.DUMMYFUNCTION("""COMPUTED_VALUE"""),"SNW JAMES KIRK")</f>
        <v>SNW JAMES KIRK</v>
      </c>
      <c r="F451" s="271" t="str">
        <f>IFERROR(__xludf.DUMMYFUNCTION("""COMPUTED_VALUE"""),"CM")</f>
        <v>CM</v>
      </c>
      <c r="G451" s="281" t="str">
        <f>IFERROR(__xludf.DUMMYFUNCTION("""COMPUTED_VALUE"""),"➖")</f>
        <v>➖</v>
      </c>
      <c r="H451" s="281" t="str">
        <f>IFERROR(__xludf.DUMMYFUNCTION("""COMPUTED_VALUE"""),"➖")</f>
        <v>➖</v>
      </c>
      <c r="I451" s="281" t="str">
        <f>IFERROR(__xludf.DUMMYFUNCTION("""COMPUTED_VALUE"""),"✅")</f>
        <v>✅</v>
      </c>
      <c r="J451" s="281" t="str">
        <f>IFERROR(__xludf.DUMMYFUNCTION("""COMPUTED_VALUE"""),"✅")</f>
        <v>✅</v>
      </c>
      <c r="K451" s="282" t="str">
        <f>IFERROR(__xludf.DUMMYFUNCTION("""COMPUTED_VALUE"""),"✅")</f>
        <v>✅</v>
      </c>
      <c r="L451" s="282" t="str">
        <f>IFERROR(__xludf.DUMMYFUNCTION("""COMPUTED_VALUE"""),"➖")</f>
        <v>➖</v>
      </c>
      <c r="M451" s="282" t="str">
        <f>IFERROR(__xludf.DUMMYFUNCTION("""COMPUTED_VALUE"""),"➖")</f>
        <v>➖</v>
      </c>
      <c r="N451" s="282" t="str">
        <f>IFERROR(__xludf.DUMMYFUNCTION("""COMPUTED_VALUE"""),"➖")</f>
        <v>➖</v>
      </c>
      <c r="O451" s="282" t="str">
        <f>IFERROR(__xludf.DUMMYFUNCTION("""COMPUTED_VALUE"""),"➖")</f>
        <v>➖</v>
      </c>
      <c r="P451" s="282" t="str">
        <f>IFERROR(__xludf.DUMMYFUNCTION("""COMPUTED_VALUE"""),"➖")</f>
        <v>➖</v>
      </c>
      <c r="Q451" s="282" t="str">
        <f>IFERROR(__xludf.DUMMYFUNCTION("""COMPUTED_VALUE"""),"➖")</f>
        <v>➖</v>
      </c>
      <c r="R451" s="283" t="str">
        <f>IFERROR(__xludf.DUMMYFUNCTION("""COMPUTED_VALUE"""),"   ➖")</f>
        <v>➖</v>
      </c>
      <c r="S451" s="284"/>
      <c r="T451" s="285" t="str">
        <f>IFERROR(__xludf.DUMMYFUNCTION("""COMPUTED_VALUE"""),"➖")</f>
        <v>➖</v>
      </c>
      <c r="U451" s="285" t="str">
        <f>IFERROR(__xludf.DUMMYFUNCTION("""COMPUTED_VALUE"""),"➖")</f>
        <v>➖</v>
      </c>
      <c r="V451" s="259"/>
      <c r="W451" s="286"/>
      <c r="X451" s="286"/>
      <c r="Y451" s="286"/>
    </row>
    <row r="452">
      <c r="A452" s="28"/>
      <c r="B452" s="132"/>
      <c r="C452" s="28"/>
      <c r="D452" s="260" t="str">
        <f>IFERROR(__xludf.DUMMYFUNCTION("""COMPUTED_VALUE"""),"   E")</f>
        <v>E</v>
      </c>
      <c r="E452" s="287" t="str">
        <f>IFERROR(__xludf.DUMMYFUNCTION("""COMPUTED_VALUE"""),"SNW JAMES KIRK")</f>
        <v>SNW JAMES KIRK</v>
      </c>
      <c r="F452" s="270" t="str">
        <f>IFERROR(__xludf.DUMMYFUNCTION("""COMPUTED_VALUE"""),"OA")</f>
        <v>OA</v>
      </c>
      <c r="G452" s="231" t="str">
        <f>IFERROR(__xludf.DUMMYFUNCTION("""COMPUTED_VALUE"""),"➖")</f>
        <v>➖</v>
      </c>
      <c r="H452" s="231" t="str">
        <f>IFERROR(__xludf.DUMMYFUNCTION("""COMPUTED_VALUE"""),"➖")</f>
        <v>➖</v>
      </c>
      <c r="I452" s="231" t="str">
        <f>IFERROR(__xludf.DUMMYFUNCTION("""COMPUTED_VALUE"""),"✅")</f>
        <v>✅</v>
      </c>
      <c r="J452" s="231" t="str">
        <f>IFERROR(__xludf.DUMMYFUNCTION("""COMPUTED_VALUE"""),"✅")</f>
        <v>✅</v>
      </c>
      <c r="K452" s="288" t="str">
        <f>IFERROR(__xludf.DUMMYFUNCTION("""COMPUTED_VALUE"""),"✅")</f>
        <v>✅</v>
      </c>
      <c r="L452" s="288" t="str">
        <f>IFERROR(__xludf.DUMMYFUNCTION("""COMPUTED_VALUE"""),"➖")</f>
        <v>➖</v>
      </c>
      <c r="M452" s="288" t="str">
        <f>IFERROR(__xludf.DUMMYFUNCTION("""COMPUTED_VALUE"""),"➖")</f>
        <v>➖</v>
      </c>
      <c r="N452" s="288" t="str">
        <f>IFERROR(__xludf.DUMMYFUNCTION("""COMPUTED_VALUE"""),"➖")</f>
        <v>➖</v>
      </c>
      <c r="O452" s="288" t="str">
        <f>IFERROR(__xludf.DUMMYFUNCTION("""COMPUTED_VALUE"""),"➖")</f>
        <v>➖</v>
      </c>
      <c r="P452" s="288" t="str">
        <f>IFERROR(__xludf.DUMMYFUNCTION("""COMPUTED_VALUE"""),"➖")</f>
        <v>➖</v>
      </c>
      <c r="Q452" s="288" t="str">
        <f>IFERROR(__xludf.DUMMYFUNCTION("""COMPUTED_VALUE"""),"➖")</f>
        <v>➖</v>
      </c>
      <c r="R452" s="257" t="str">
        <f>IFERROR(__xludf.DUMMYFUNCTION("""COMPUTED_VALUE"""),"   ➖")</f>
        <v>➖</v>
      </c>
      <c r="S452" s="258"/>
      <c r="T452" s="255" t="str">
        <f>IFERROR(__xludf.DUMMYFUNCTION("""COMPUTED_VALUE"""),"➖")</f>
        <v>➖</v>
      </c>
      <c r="U452" s="255" t="str">
        <f>IFERROR(__xludf.DUMMYFUNCTION("""COMPUTED_VALUE"""),"➖")</f>
        <v>➖</v>
      </c>
      <c r="V452" s="259"/>
      <c r="W452" s="286"/>
      <c r="X452" s="286"/>
      <c r="Y452" s="286"/>
    </row>
    <row r="453">
      <c r="A453" s="28"/>
      <c r="B453" s="128"/>
      <c r="C453" s="28"/>
      <c r="D453" s="250" t="str">
        <f>IFERROR(__xludf.DUMMYFUNCTION("""COMPUTED_VALUE"""),"   R")</f>
        <v>R</v>
      </c>
      <c r="E453" s="280" t="str">
        <f>IFERROR(__xludf.DUMMYFUNCTION("""COMPUTED_VALUE"""),"SNW PELIA")</f>
        <v>SNW PELIA</v>
      </c>
      <c r="F453" s="271" t="str">
        <f>IFERROR(__xludf.DUMMYFUNCTION("""COMPUTED_VALUE"""),"OA")</f>
        <v>OA</v>
      </c>
      <c r="G453" s="281" t="str">
        <f>IFERROR(__xludf.DUMMYFUNCTION("""COMPUTED_VALUE"""),"➖")</f>
        <v>➖</v>
      </c>
      <c r="H453" s="281" t="str">
        <f>IFERROR(__xludf.DUMMYFUNCTION("""COMPUTED_VALUE"""),"➖")</f>
        <v>➖</v>
      </c>
      <c r="I453" s="281" t="str">
        <f>IFERROR(__xludf.DUMMYFUNCTION("""COMPUTED_VALUE"""),"✅")</f>
        <v>✅</v>
      </c>
      <c r="J453" s="281" t="str">
        <f>IFERROR(__xludf.DUMMYFUNCTION("""COMPUTED_VALUE"""),"✅")</f>
        <v>✅</v>
      </c>
      <c r="K453" s="282" t="str">
        <f>IFERROR(__xludf.DUMMYFUNCTION("""COMPUTED_VALUE"""),"✅")</f>
        <v>✅</v>
      </c>
      <c r="L453" s="282" t="str">
        <f>IFERROR(__xludf.DUMMYFUNCTION("""COMPUTED_VALUE"""),"➖")</f>
        <v>➖</v>
      </c>
      <c r="M453" s="282" t="str">
        <f>IFERROR(__xludf.DUMMYFUNCTION("""COMPUTED_VALUE"""),"➖")</f>
        <v>➖</v>
      </c>
      <c r="N453" s="282" t="str">
        <f>IFERROR(__xludf.DUMMYFUNCTION("""COMPUTED_VALUE"""),"➖")</f>
        <v>➖</v>
      </c>
      <c r="O453" s="282" t="str">
        <f>IFERROR(__xludf.DUMMYFUNCTION("""COMPUTED_VALUE"""),"➖")</f>
        <v>➖</v>
      </c>
      <c r="P453" s="282" t="str">
        <f>IFERROR(__xludf.DUMMYFUNCTION("""COMPUTED_VALUE"""),"➖")</f>
        <v>➖</v>
      </c>
      <c r="Q453" s="282" t="str">
        <f>IFERROR(__xludf.DUMMYFUNCTION("""COMPUTED_VALUE"""),"➖")</f>
        <v>➖</v>
      </c>
      <c r="R453" s="283" t="str">
        <f>IFERROR(__xludf.DUMMYFUNCTION("""COMPUTED_VALUE"""),"   ➖")</f>
        <v>➖</v>
      </c>
      <c r="S453" s="284"/>
      <c r="T453" s="285" t="str">
        <f>IFERROR(__xludf.DUMMYFUNCTION("""COMPUTED_VALUE"""),"➖")</f>
        <v>➖</v>
      </c>
      <c r="U453" s="285" t="str">
        <f>IFERROR(__xludf.DUMMYFUNCTION("""COMPUTED_VALUE"""),"➖")</f>
        <v>➖</v>
      </c>
      <c r="V453" s="259"/>
      <c r="W453" s="286"/>
      <c r="X453" s="286"/>
      <c r="Y453" s="286"/>
    </row>
    <row r="454">
      <c r="A454" s="28"/>
      <c r="B454" s="132"/>
      <c r="C454" s="28"/>
      <c r="D454" s="260" t="str">
        <f>IFERROR(__xludf.DUMMYFUNCTION("""COMPUTED_VALUE"""),"   R")</f>
        <v>R</v>
      </c>
      <c r="E454" s="287" t="str">
        <f>IFERROR(__xludf.DUMMYFUNCTION("""COMPUTED_VALUE"""),"SNW PELIA")</f>
        <v>SNW PELIA</v>
      </c>
      <c r="F454" s="270" t="str">
        <f>IFERROR(__xludf.DUMMYFUNCTION("""COMPUTED_VALUE"""),"BDA")</f>
        <v>BDA</v>
      </c>
      <c r="G454" s="231" t="str">
        <f>IFERROR(__xludf.DUMMYFUNCTION("""COMPUTED_VALUE"""),"✅")</f>
        <v>✅</v>
      </c>
      <c r="H454" s="231" t="str">
        <f>IFERROR(__xludf.DUMMYFUNCTION("""COMPUTED_VALUE"""),"✅")</f>
        <v>✅</v>
      </c>
      <c r="I454" s="231" t="str">
        <f>IFERROR(__xludf.DUMMYFUNCTION("""COMPUTED_VALUE"""),"✅")</f>
        <v>✅</v>
      </c>
      <c r="J454" s="231" t="str">
        <f>IFERROR(__xludf.DUMMYFUNCTION("""COMPUTED_VALUE"""),"✅")</f>
        <v>✅</v>
      </c>
      <c r="K454" s="288" t="str">
        <f>IFERROR(__xludf.DUMMYFUNCTION("""COMPUTED_VALUE"""),"✅")</f>
        <v>✅</v>
      </c>
      <c r="L454" s="288" t="str">
        <f>IFERROR(__xludf.DUMMYFUNCTION("""COMPUTED_VALUE"""),"✅")</f>
        <v>✅</v>
      </c>
      <c r="M454" s="288" t="str">
        <f>IFERROR(__xludf.DUMMYFUNCTION("""COMPUTED_VALUE"""),"✅")</f>
        <v>✅</v>
      </c>
      <c r="N454" s="288" t="str">
        <f>IFERROR(__xludf.DUMMYFUNCTION("""COMPUTED_VALUE"""),"✅")</f>
        <v>✅</v>
      </c>
      <c r="O454" s="288" t="str">
        <f>IFERROR(__xludf.DUMMYFUNCTION("""COMPUTED_VALUE"""),"✅")</f>
        <v>✅</v>
      </c>
      <c r="P454" s="288" t="str">
        <f>IFERROR(__xludf.DUMMYFUNCTION("""COMPUTED_VALUE"""),"✅")</f>
        <v>✅</v>
      </c>
      <c r="Q454" s="288" t="str">
        <f>IFERROR(__xludf.DUMMYFUNCTION("""COMPUTED_VALUE"""),"✅")</f>
        <v>✅</v>
      </c>
      <c r="R454" s="257" t="str">
        <f>IFERROR(__xludf.DUMMYFUNCTION("""COMPUTED_VALUE"""),"   ✅")</f>
        <v>✅</v>
      </c>
      <c r="S454" s="258"/>
      <c r="T454" s="255" t="str">
        <f>IFERROR(__xludf.DUMMYFUNCTION("""COMPUTED_VALUE"""),"➖")</f>
        <v>➖</v>
      </c>
      <c r="U454" s="255" t="str">
        <f>IFERROR(__xludf.DUMMYFUNCTION("""COMPUTED_VALUE"""),"➖")</f>
        <v>➖</v>
      </c>
      <c r="V454" s="259"/>
      <c r="W454" s="286"/>
      <c r="X454" s="286"/>
      <c r="Y454" s="286"/>
    </row>
    <row r="455">
      <c r="A455" s="28"/>
      <c r="B455" s="128"/>
      <c r="C455" s="28"/>
      <c r="D455" s="250" t="str">
        <f>IFERROR(__xludf.DUMMYFUNCTION("""COMPUTED_VALUE"""),"   E")</f>
        <v>E</v>
      </c>
      <c r="E455" s="280" t="str">
        <f>IFERROR(__xludf.DUMMYFUNCTION("""COMPUTED_VALUE"""),"MIRROR PICARD")</f>
        <v>MIRROR PICARD</v>
      </c>
      <c r="F455" s="271" t="str">
        <f>IFERROR(__xludf.DUMMYFUNCTION("""COMPUTED_VALUE"""),"CM")</f>
        <v>CM</v>
      </c>
      <c r="G455" s="281" t="str">
        <f>IFERROR(__xludf.DUMMYFUNCTION("""COMPUTED_VALUE"""),"✅")</f>
        <v>✅</v>
      </c>
      <c r="H455" s="281" t="str">
        <f>IFERROR(__xludf.DUMMYFUNCTION("""COMPUTED_VALUE"""),"✅")</f>
        <v>✅</v>
      </c>
      <c r="I455" s="281" t="str">
        <f>IFERROR(__xludf.DUMMYFUNCTION("""COMPUTED_VALUE"""),"➖")</f>
        <v>➖</v>
      </c>
      <c r="J455" s="281" t="str">
        <f>IFERROR(__xludf.DUMMYFUNCTION("""COMPUTED_VALUE"""),"➖")</f>
        <v>➖</v>
      </c>
      <c r="K455" s="282" t="str">
        <f>IFERROR(__xludf.DUMMYFUNCTION("""COMPUTED_VALUE"""),"➖")</f>
        <v>➖</v>
      </c>
      <c r="L455" s="282" t="str">
        <f>IFERROR(__xludf.DUMMYFUNCTION("""COMPUTED_VALUE"""),"➖")</f>
        <v>➖</v>
      </c>
      <c r="M455" s="282" t="str">
        <f>IFERROR(__xludf.DUMMYFUNCTION("""COMPUTED_VALUE"""),"➖")</f>
        <v>➖</v>
      </c>
      <c r="N455" s="282" t="str">
        <f>IFERROR(__xludf.DUMMYFUNCTION("""COMPUTED_VALUE"""),"➖")</f>
        <v>➖</v>
      </c>
      <c r="O455" s="282" t="str">
        <f>IFERROR(__xludf.DUMMYFUNCTION("""COMPUTED_VALUE"""),"➖")</f>
        <v>➖</v>
      </c>
      <c r="P455" s="282" t="str">
        <f>IFERROR(__xludf.DUMMYFUNCTION("""COMPUTED_VALUE"""),"➖")</f>
        <v>➖</v>
      </c>
      <c r="Q455" s="282" t="str">
        <f>IFERROR(__xludf.DUMMYFUNCTION("""COMPUTED_VALUE"""),"➖")</f>
        <v>➖</v>
      </c>
      <c r="R455" s="283" t="str">
        <f>IFERROR(__xludf.DUMMYFUNCTION("""COMPUTED_VALUE"""),"   ➖")</f>
        <v>➖</v>
      </c>
      <c r="S455" s="284"/>
      <c r="T455" s="285" t="str">
        <f>IFERROR(__xludf.DUMMYFUNCTION("""COMPUTED_VALUE"""),"➖")</f>
        <v>➖</v>
      </c>
      <c r="U455" s="285" t="str">
        <f>IFERROR(__xludf.DUMMYFUNCTION("""COMPUTED_VALUE"""),"➖")</f>
        <v>➖</v>
      </c>
      <c r="V455" s="259"/>
      <c r="W455" s="286"/>
      <c r="X455" s="286"/>
      <c r="Y455" s="286"/>
    </row>
    <row r="456">
      <c r="A456" s="28"/>
      <c r="B456" s="132"/>
      <c r="C456" s="28"/>
      <c r="D456" s="260" t="str">
        <f>IFERROR(__xludf.DUMMYFUNCTION("""COMPUTED_VALUE"""),"   E")</f>
        <v>E</v>
      </c>
      <c r="E456" s="287" t="str">
        <f>IFERROR(__xludf.DUMMYFUNCTION("""COMPUTED_VALUE"""),"MIRROR PICARD")</f>
        <v>MIRROR PICARD</v>
      </c>
      <c r="F456" s="270" t="str">
        <f>IFERROR(__xludf.DUMMYFUNCTION("""COMPUTED_VALUE"""),"OA")</f>
        <v>OA</v>
      </c>
      <c r="G456" s="231" t="str">
        <f>IFERROR(__xludf.DUMMYFUNCTION("""COMPUTED_VALUE"""),"✴️")</f>
        <v>✴️</v>
      </c>
      <c r="H456" s="231" t="str">
        <f>IFERROR(__xludf.DUMMYFUNCTION("""COMPUTED_VALUE"""),"✴️")</f>
        <v>✴️</v>
      </c>
      <c r="I456" s="231" t="str">
        <f>IFERROR(__xludf.DUMMYFUNCTION("""COMPUTED_VALUE"""),"➖")</f>
        <v>➖</v>
      </c>
      <c r="J456" s="231" t="str">
        <f>IFERROR(__xludf.DUMMYFUNCTION("""COMPUTED_VALUE"""),"➖")</f>
        <v>➖</v>
      </c>
      <c r="K456" s="288" t="str">
        <f>IFERROR(__xludf.DUMMYFUNCTION("""COMPUTED_VALUE"""),"➖")</f>
        <v>➖</v>
      </c>
      <c r="L456" s="288" t="str">
        <f>IFERROR(__xludf.DUMMYFUNCTION("""COMPUTED_VALUE"""),"➖")</f>
        <v>➖</v>
      </c>
      <c r="M456" s="288" t="str">
        <f>IFERROR(__xludf.DUMMYFUNCTION("""COMPUTED_VALUE"""),"➖")</f>
        <v>➖</v>
      </c>
      <c r="N456" s="288" t="str">
        <f>IFERROR(__xludf.DUMMYFUNCTION("""COMPUTED_VALUE"""),"➖")</f>
        <v>➖</v>
      </c>
      <c r="O456" s="288" t="str">
        <f>IFERROR(__xludf.DUMMYFUNCTION("""COMPUTED_VALUE"""),"➖")</f>
        <v>➖</v>
      </c>
      <c r="P456" s="288" t="str">
        <f>IFERROR(__xludf.DUMMYFUNCTION("""COMPUTED_VALUE"""),"➖")</f>
        <v>➖</v>
      </c>
      <c r="Q456" s="288" t="str">
        <f>IFERROR(__xludf.DUMMYFUNCTION("""COMPUTED_VALUE"""),"➖")</f>
        <v>➖</v>
      </c>
      <c r="R456" s="257" t="str">
        <f>IFERROR(__xludf.DUMMYFUNCTION("""COMPUTED_VALUE"""),"   ➖")</f>
        <v>➖</v>
      </c>
      <c r="S456" s="258" t="str">
        <f>IFERROR(__xludf.DUMMYFUNCTION("""COMPUTED_VALUE"""),"TargetHasAssimilated, SelfOfficerTalNotOnBridge")</f>
        <v>TargetHasAssimilated, SelfOfficerTalNotOnBridge</v>
      </c>
      <c r="T456" s="255" t="str">
        <f>IFERROR(__xludf.DUMMYFUNCTION("""COMPUTED_VALUE"""),"➖")</f>
        <v>➖</v>
      </c>
      <c r="U456" s="255" t="str">
        <f>IFERROR(__xludf.DUMMYFUNCTION("""COMPUTED_VALUE"""),"➖")</f>
        <v>➖</v>
      </c>
      <c r="V456" s="259"/>
      <c r="W456" s="286"/>
      <c r="X456" s="286"/>
      <c r="Y456" s="286"/>
    </row>
    <row r="457">
      <c r="A457" s="28"/>
      <c r="B457" s="128"/>
      <c r="C457" s="28"/>
      <c r="D457" s="250" t="str">
        <f>IFERROR(__xludf.DUMMYFUNCTION("""COMPUTED_VALUE"""),"   R")</f>
        <v>R</v>
      </c>
      <c r="E457" s="280" t="str">
        <f>IFERROR(__xludf.DUMMYFUNCTION("""COMPUTED_VALUE"""),"MIRROR DATA")</f>
        <v>MIRROR DATA</v>
      </c>
      <c r="F457" s="271" t="str">
        <f>IFERROR(__xludf.DUMMYFUNCTION("""COMPUTED_VALUE"""),"CM")</f>
        <v>CM</v>
      </c>
      <c r="G457" s="281" t="str">
        <f>IFERROR(__xludf.DUMMYFUNCTION("""COMPUTED_VALUE"""),"✴️")</f>
        <v>✴️</v>
      </c>
      <c r="H457" s="281" t="str">
        <f>IFERROR(__xludf.DUMMYFUNCTION("""COMPUTED_VALUE"""),"✴️")</f>
        <v>✴️</v>
      </c>
      <c r="I457" s="281" t="str">
        <f>IFERROR(__xludf.DUMMYFUNCTION("""COMPUTED_VALUE"""),"➖")</f>
        <v>➖</v>
      </c>
      <c r="J457" s="281" t="str">
        <f>IFERROR(__xludf.DUMMYFUNCTION("""COMPUTED_VALUE"""),"➖")</f>
        <v>➖</v>
      </c>
      <c r="K457" s="282" t="str">
        <f>IFERROR(__xludf.DUMMYFUNCTION("""COMPUTED_VALUE"""),"➖")</f>
        <v>➖</v>
      </c>
      <c r="L457" s="282" t="str">
        <f>IFERROR(__xludf.DUMMYFUNCTION("""COMPUTED_VALUE"""),"➖")</f>
        <v>➖</v>
      </c>
      <c r="M457" s="282" t="str">
        <f>IFERROR(__xludf.DUMMYFUNCTION("""COMPUTED_VALUE"""),"➖")</f>
        <v>➖</v>
      </c>
      <c r="N457" s="282" t="str">
        <f>IFERROR(__xludf.DUMMYFUNCTION("""COMPUTED_VALUE"""),"➖")</f>
        <v>➖</v>
      </c>
      <c r="O457" s="282" t="str">
        <f>IFERROR(__xludf.DUMMYFUNCTION("""COMPUTED_VALUE"""),"➖")</f>
        <v>➖</v>
      </c>
      <c r="P457" s="282" t="str">
        <f>IFERROR(__xludf.DUMMYFUNCTION("""COMPUTED_VALUE"""),"➖")</f>
        <v>➖</v>
      </c>
      <c r="Q457" s="282" t="str">
        <f>IFERROR(__xludf.DUMMYFUNCTION("""COMPUTED_VALUE"""),"➖")</f>
        <v>➖</v>
      </c>
      <c r="R457" s="283" t="str">
        <f>IFERROR(__xludf.DUMMYFUNCTION("""COMPUTED_VALUE"""),"   ➖")</f>
        <v>➖</v>
      </c>
      <c r="S457" s="284" t="str">
        <f>IFERROR(__xludf.DUMMYFUNCTION("""COMPUTED_VALUE"""),"EnemyInterceptor, SelfOfficerTalNotOnBridge")</f>
        <v>EnemyInterceptor, SelfOfficerTalNotOnBridge</v>
      </c>
      <c r="T457" s="285" t="str">
        <f>IFERROR(__xludf.DUMMYFUNCTION("""COMPUTED_VALUE"""),"➖")</f>
        <v>➖</v>
      </c>
      <c r="U457" s="285" t="str">
        <f>IFERROR(__xludf.DUMMYFUNCTION("""COMPUTED_VALUE"""),"➖")</f>
        <v>➖</v>
      </c>
      <c r="V457" s="259"/>
      <c r="W457" s="286"/>
      <c r="X457" s="286"/>
      <c r="Y457" s="286"/>
    </row>
    <row r="458">
      <c r="A458" s="28"/>
      <c r="B458" s="132"/>
      <c r="C458" s="28"/>
      <c r="D458" s="260" t="str">
        <f>IFERROR(__xludf.DUMMYFUNCTION("""COMPUTED_VALUE"""),"   R")</f>
        <v>R</v>
      </c>
      <c r="E458" s="287" t="str">
        <f>IFERROR(__xludf.DUMMYFUNCTION("""COMPUTED_VALUE"""),"MIRROR DATA")</f>
        <v>MIRROR DATA</v>
      </c>
      <c r="F458" s="270" t="str">
        <f>IFERROR(__xludf.DUMMYFUNCTION("""COMPUTED_VALUE"""),"OA")</f>
        <v>OA</v>
      </c>
      <c r="G458" s="231" t="str">
        <f>IFERROR(__xludf.DUMMYFUNCTION("""COMPUTED_VALUE"""),"✅")</f>
        <v>✅</v>
      </c>
      <c r="H458" s="231" t="str">
        <f>IFERROR(__xludf.DUMMYFUNCTION("""COMPUTED_VALUE"""),"✅")</f>
        <v>✅</v>
      </c>
      <c r="I458" s="231" t="str">
        <f>IFERROR(__xludf.DUMMYFUNCTION("""COMPUTED_VALUE"""),"✅")</f>
        <v>✅</v>
      </c>
      <c r="J458" s="231" t="str">
        <f>IFERROR(__xludf.DUMMYFUNCTION("""COMPUTED_VALUE"""),"✅")</f>
        <v>✅</v>
      </c>
      <c r="K458" s="288" t="str">
        <f>IFERROR(__xludf.DUMMYFUNCTION("""COMPUTED_VALUE"""),"✅")</f>
        <v>✅</v>
      </c>
      <c r="L458" s="288" t="str">
        <f>IFERROR(__xludf.DUMMYFUNCTION("""COMPUTED_VALUE"""),"✅")</f>
        <v>✅</v>
      </c>
      <c r="M458" s="288" t="str">
        <f>IFERROR(__xludf.DUMMYFUNCTION("""COMPUTED_VALUE"""),"✅")</f>
        <v>✅</v>
      </c>
      <c r="N458" s="288" t="str">
        <f>IFERROR(__xludf.DUMMYFUNCTION("""COMPUTED_VALUE"""),"✅")</f>
        <v>✅</v>
      </c>
      <c r="O458" s="288" t="str">
        <f>IFERROR(__xludf.DUMMYFUNCTION("""COMPUTED_VALUE"""),"✅")</f>
        <v>✅</v>
      </c>
      <c r="P458" s="288" t="str">
        <f>IFERROR(__xludf.DUMMYFUNCTION("""COMPUTED_VALUE"""),"✅")</f>
        <v>✅</v>
      </c>
      <c r="Q458" s="288" t="str">
        <f>IFERROR(__xludf.DUMMYFUNCTION("""COMPUTED_VALUE"""),"✅")</f>
        <v>✅</v>
      </c>
      <c r="R458" s="257" t="str">
        <f>IFERROR(__xludf.DUMMYFUNCTION("""COMPUTED_VALUE"""),"   ✅")</f>
        <v>✅</v>
      </c>
      <c r="S458" s="258"/>
      <c r="T458" s="255" t="str">
        <f>IFERROR(__xludf.DUMMYFUNCTION("""COMPUTED_VALUE"""),"➖")</f>
        <v>➖</v>
      </c>
      <c r="U458" s="255" t="str">
        <f>IFERROR(__xludf.DUMMYFUNCTION("""COMPUTED_VALUE"""),"➖")</f>
        <v>➖</v>
      </c>
      <c r="V458" s="259"/>
      <c r="W458" s="286"/>
      <c r="X458" s="286"/>
      <c r="Y458" s="286"/>
    </row>
    <row r="459">
      <c r="A459" s="28"/>
      <c r="B459" s="128"/>
      <c r="C459" s="28"/>
      <c r="D459" s="250" t="str">
        <f>IFERROR(__xludf.DUMMYFUNCTION("""COMPUTED_VALUE"""),"   E")</f>
        <v>E</v>
      </c>
      <c r="E459" s="280" t="str">
        <f>IFERROR(__xludf.DUMMYFUNCTION("""COMPUTED_VALUE"""),"MIRROR KIRA")</f>
        <v>MIRROR KIRA</v>
      </c>
      <c r="F459" s="271" t="str">
        <f>IFERROR(__xludf.DUMMYFUNCTION("""COMPUTED_VALUE"""),"CM")</f>
        <v>CM</v>
      </c>
      <c r="G459" s="281" t="str">
        <f>IFERROR(__xludf.DUMMYFUNCTION("""COMPUTED_VALUE"""),"✴️")</f>
        <v>✴️</v>
      </c>
      <c r="H459" s="281" t="str">
        <f>IFERROR(__xludf.DUMMYFUNCTION("""COMPUTED_VALUE"""),"✴️")</f>
        <v>✴️</v>
      </c>
      <c r="I459" s="281" t="str">
        <f>IFERROR(__xludf.DUMMYFUNCTION("""COMPUTED_VALUE"""),"➖")</f>
        <v>➖</v>
      </c>
      <c r="J459" s="281" t="str">
        <f>IFERROR(__xludf.DUMMYFUNCTION("""COMPUTED_VALUE"""),"➖")</f>
        <v>➖</v>
      </c>
      <c r="K459" s="282" t="str">
        <f>IFERROR(__xludf.DUMMYFUNCTION("""COMPUTED_VALUE"""),"➖")</f>
        <v>➖</v>
      </c>
      <c r="L459" s="282" t="str">
        <f>IFERROR(__xludf.DUMMYFUNCTION("""COMPUTED_VALUE"""),"➖")</f>
        <v>➖</v>
      </c>
      <c r="M459" s="282" t="str">
        <f>IFERROR(__xludf.DUMMYFUNCTION("""COMPUTED_VALUE"""),"➖")</f>
        <v>➖</v>
      </c>
      <c r="N459" s="282" t="str">
        <f>IFERROR(__xludf.DUMMYFUNCTION("""COMPUTED_VALUE"""),"➖")</f>
        <v>➖</v>
      </c>
      <c r="O459" s="282" t="str">
        <f>IFERROR(__xludf.DUMMYFUNCTION("""COMPUTED_VALUE"""),"➖")</f>
        <v>➖</v>
      </c>
      <c r="P459" s="282" t="str">
        <f>IFERROR(__xludf.DUMMYFUNCTION("""COMPUTED_VALUE"""),"➖")</f>
        <v>➖</v>
      </c>
      <c r="Q459" s="282" t="str">
        <f>IFERROR(__xludf.DUMMYFUNCTION("""COMPUTED_VALUE"""),"➖")</f>
        <v>➖</v>
      </c>
      <c r="R459" s="283" t="str">
        <f>IFERROR(__xludf.DUMMYFUNCTION("""COMPUTED_VALUE"""),"   ➖")</f>
        <v>➖</v>
      </c>
      <c r="S459" s="284" t="str">
        <f>IFERROR(__xludf.DUMMYFUNCTION("""COMPUTED_VALUE"""),"SelfOfficerTalNotOnBridge")</f>
        <v>SelfOfficerTalNotOnBridge</v>
      </c>
      <c r="T459" s="285" t="str">
        <f>IFERROR(__xludf.DUMMYFUNCTION("""COMPUTED_VALUE"""),"➖")</f>
        <v>➖</v>
      </c>
      <c r="U459" s="285" t="str">
        <f>IFERROR(__xludf.DUMMYFUNCTION("""COMPUTED_VALUE"""),"➖")</f>
        <v>➖</v>
      </c>
      <c r="V459" s="259"/>
      <c r="W459" s="286"/>
      <c r="X459" s="286"/>
      <c r="Y459" s="286"/>
    </row>
    <row r="460">
      <c r="A460" s="28"/>
      <c r="B460" s="132"/>
      <c r="C460" s="28"/>
      <c r="D460" s="260" t="str">
        <f>IFERROR(__xludf.DUMMYFUNCTION("""COMPUTED_VALUE"""),"   E")</f>
        <v>E</v>
      </c>
      <c r="E460" s="287" t="str">
        <f>IFERROR(__xludf.DUMMYFUNCTION("""COMPUTED_VALUE"""),"MIRROR KIRA")</f>
        <v>MIRROR KIRA</v>
      </c>
      <c r="F460" s="270" t="str">
        <f>IFERROR(__xludf.DUMMYFUNCTION("""COMPUTED_VALUE"""),"OA")</f>
        <v>OA</v>
      </c>
      <c r="G460" s="231" t="str">
        <f>IFERROR(__xludf.DUMMYFUNCTION("""COMPUTED_VALUE"""),"✴️")</f>
        <v>✴️</v>
      </c>
      <c r="H460" s="231" t="str">
        <f>IFERROR(__xludf.DUMMYFUNCTION("""COMPUTED_VALUE"""),"✴️")</f>
        <v>✴️</v>
      </c>
      <c r="I460" s="231" t="str">
        <f>IFERROR(__xludf.DUMMYFUNCTION("""COMPUTED_VALUE"""),"➖")</f>
        <v>➖</v>
      </c>
      <c r="J460" s="231" t="str">
        <f>IFERROR(__xludf.DUMMYFUNCTION("""COMPUTED_VALUE"""),"➖")</f>
        <v>➖</v>
      </c>
      <c r="K460" s="288" t="str">
        <f>IFERROR(__xludf.DUMMYFUNCTION("""COMPUTED_VALUE"""),"➖")</f>
        <v>➖</v>
      </c>
      <c r="L460" s="288" t="str">
        <f>IFERROR(__xludf.DUMMYFUNCTION("""COMPUTED_VALUE"""),"➖")</f>
        <v>➖</v>
      </c>
      <c r="M460" s="288" t="str">
        <f>IFERROR(__xludf.DUMMYFUNCTION("""COMPUTED_VALUE"""),"➖")</f>
        <v>➖</v>
      </c>
      <c r="N460" s="288" t="str">
        <f>IFERROR(__xludf.DUMMYFUNCTION("""COMPUTED_VALUE"""),"➖")</f>
        <v>➖</v>
      </c>
      <c r="O460" s="288" t="str">
        <f>IFERROR(__xludf.DUMMYFUNCTION("""COMPUTED_VALUE"""),"➖")</f>
        <v>➖</v>
      </c>
      <c r="P460" s="288" t="str">
        <f>IFERROR(__xludf.DUMMYFUNCTION("""COMPUTED_VALUE"""),"➖")</f>
        <v>➖</v>
      </c>
      <c r="Q460" s="288" t="str">
        <f>IFERROR(__xludf.DUMMYFUNCTION("""COMPUTED_VALUE"""),"➖")</f>
        <v>➖</v>
      </c>
      <c r="R460" s="257" t="str">
        <f>IFERROR(__xludf.DUMMYFUNCTION("""COMPUTED_VALUE"""),"   ➖")</f>
        <v>➖</v>
      </c>
      <c r="S460" s="258" t="str">
        <f>IFERROR(__xludf.DUMMYFUNCTION("""COMPUTED_VALUE"""),"TargetHasAssimilated")</f>
        <v>TargetHasAssimilated</v>
      </c>
      <c r="T460" s="255" t="str">
        <f>IFERROR(__xludf.DUMMYFUNCTION("""COMPUTED_VALUE"""),"➖")</f>
        <v>➖</v>
      </c>
      <c r="U460" s="255" t="str">
        <f>IFERROR(__xludf.DUMMYFUNCTION("""COMPUTED_VALUE"""),"➖")</f>
        <v>➖</v>
      </c>
      <c r="V460" s="259"/>
      <c r="W460" s="286"/>
      <c r="X460" s="286"/>
      <c r="Y460" s="286"/>
    </row>
    <row r="461">
      <c r="A461" s="28"/>
      <c r="B461" s="128"/>
      <c r="C461" s="28"/>
      <c r="D461" s="250" t="str">
        <f>IFERROR(__xludf.DUMMYFUNCTION("""COMPUTED_VALUE"""),"   R")</f>
        <v>R</v>
      </c>
      <c r="E461" s="280" t="str">
        <f>IFERROR(__xludf.DUMMYFUNCTION("""COMPUTED_VALUE"""),"MIRROR EZRI")</f>
        <v>MIRROR EZRI</v>
      </c>
      <c r="F461" s="271" t="str">
        <f>IFERROR(__xludf.DUMMYFUNCTION("""COMPUTED_VALUE"""),"CM")</f>
        <v>CM</v>
      </c>
      <c r="G461" s="281" t="str">
        <f>IFERROR(__xludf.DUMMYFUNCTION("""COMPUTED_VALUE"""),"✴️")</f>
        <v>✴️</v>
      </c>
      <c r="H461" s="281" t="str">
        <f>IFERROR(__xludf.DUMMYFUNCTION("""COMPUTED_VALUE"""),"✴️")</f>
        <v>✴️</v>
      </c>
      <c r="I461" s="281" t="str">
        <f>IFERROR(__xludf.DUMMYFUNCTION("""COMPUTED_VALUE"""),"➖")</f>
        <v>➖</v>
      </c>
      <c r="J461" s="281" t="str">
        <f>IFERROR(__xludf.DUMMYFUNCTION("""COMPUTED_VALUE"""),"➖")</f>
        <v>➖</v>
      </c>
      <c r="K461" s="282" t="str">
        <f>IFERROR(__xludf.DUMMYFUNCTION("""COMPUTED_VALUE"""),"➖")</f>
        <v>➖</v>
      </c>
      <c r="L461" s="282" t="str">
        <f>IFERROR(__xludf.DUMMYFUNCTION("""COMPUTED_VALUE"""),"➖")</f>
        <v>➖</v>
      </c>
      <c r="M461" s="282" t="str">
        <f>IFERROR(__xludf.DUMMYFUNCTION("""COMPUTED_VALUE"""),"➖")</f>
        <v>➖</v>
      </c>
      <c r="N461" s="282" t="str">
        <f>IFERROR(__xludf.DUMMYFUNCTION("""COMPUTED_VALUE"""),"➖")</f>
        <v>➖</v>
      </c>
      <c r="O461" s="282" t="str">
        <f>IFERROR(__xludf.DUMMYFUNCTION("""COMPUTED_VALUE"""),"➖")</f>
        <v>➖</v>
      </c>
      <c r="P461" s="282" t="str">
        <f>IFERROR(__xludf.DUMMYFUNCTION("""COMPUTED_VALUE"""),"➖")</f>
        <v>➖</v>
      </c>
      <c r="Q461" s="282" t="str">
        <f>IFERROR(__xludf.DUMMYFUNCTION("""COMPUTED_VALUE"""),"➖")</f>
        <v>➖</v>
      </c>
      <c r="R461" s="283" t="str">
        <f>IFERROR(__xludf.DUMMYFUNCTION("""COMPUTED_VALUE"""),"   ➖")</f>
        <v>➖</v>
      </c>
      <c r="S461" s="284" t="str">
        <f>IFERROR(__xludf.DUMMYFUNCTION("""COMPUTED_VALUE"""),"EnemyBattleship, SelfOfficerTalNotOnBridge")</f>
        <v>EnemyBattleship, SelfOfficerTalNotOnBridge</v>
      </c>
      <c r="T461" s="285" t="str">
        <f>IFERROR(__xludf.DUMMYFUNCTION("""COMPUTED_VALUE"""),"➖")</f>
        <v>➖</v>
      </c>
      <c r="U461" s="285" t="str">
        <f>IFERROR(__xludf.DUMMYFUNCTION("""COMPUTED_VALUE"""),"➖")</f>
        <v>➖</v>
      </c>
      <c r="V461" s="259"/>
      <c r="W461" s="286"/>
      <c r="X461" s="286"/>
      <c r="Y461" s="286"/>
    </row>
    <row r="462">
      <c r="A462" s="28"/>
      <c r="B462" s="132"/>
      <c r="C462" s="28"/>
      <c r="D462" s="260" t="str">
        <f>IFERROR(__xludf.DUMMYFUNCTION("""COMPUTED_VALUE"""),"   R")</f>
        <v>R</v>
      </c>
      <c r="E462" s="287" t="str">
        <f>IFERROR(__xludf.DUMMYFUNCTION("""COMPUTED_VALUE"""),"MIRROR EZRI")</f>
        <v>MIRROR EZRI</v>
      </c>
      <c r="F462" s="270" t="str">
        <f>IFERROR(__xludf.DUMMYFUNCTION("""COMPUTED_VALUE"""),"OA")</f>
        <v>OA</v>
      </c>
      <c r="G462" s="231" t="str">
        <f>IFERROR(__xludf.DUMMYFUNCTION("""COMPUTED_VALUE"""),"✴️")</f>
        <v>✴️</v>
      </c>
      <c r="H462" s="231" t="str">
        <f>IFERROR(__xludf.DUMMYFUNCTION("""COMPUTED_VALUE"""),"✴️")</f>
        <v>✴️</v>
      </c>
      <c r="I462" s="231" t="str">
        <f>IFERROR(__xludf.DUMMYFUNCTION("""COMPUTED_VALUE"""),"➖")</f>
        <v>➖</v>
      </c>
      <c r="J462" s="231" t="str">
        <f>IFERROR(__xludf.DUMMYFUNCTION("""COMPUTED_VALUE"""),"➖")</f>
        <v>➖</v>
      </c>
      <c r="K462" s="288" t="str">
        <f>IFERROR(__xludf.DUMMYFUNCTION("""COMPUTED_VALUE"""),"➖")</f>
        <v>➖</v>
      </c>
      <c r="L462" s="288" t="str">
        <f>IFERROR(__xludf.DUMMYFUNCTION("""COMPUTED_VALUE"""),"➖")</f>
        <v>➖</v>
      </c>
      <c r="M462" s="288" t="str">
        <f>IFERROR(__xludf.DUMMYFUNCTION("""COMPUTED_VALUE"""),"➖")</f>
        <v>➖</v>
      </c>
      <c r="N462" s="288" t="str">
        <f>IFERROR(__xludf.DUMMYFUNCTION("""COMPUTED_VALUE"""),"➖")</f>
        <v>➖</v>
      </c>
      <c r="O462" s="288" t="str">
        <f>IFERROR(__xludf.DUMMYFUNCTION("""COMPUTED_VALUE"""),"➖")</f>
        <v>➖</v>
      </c>
      <c r="P462" s="288" t="str">
        <f>IFERROR(__xludf.DUMMYFUNCTION("""COMPUTED_VALUE"""),"➖")</f>
        <v>➖</v>
      </c>
      <c r="Q462" s="288" t="str">
        <f>IFERROR(__xludf.DUMMYFUNCTION("""COMPUTED_VALUE"""),"➖")</f>
        <v>➖</v>
      </c>
      <c r="R462" s="257" t="str">
        <f>IFERROR(__xludf.DUMMYFUNCTION("""COMPUTED_VALUE"""),"   ➖")</f>
        <v>➖</v>
      </c>
      <c r="S462" s="258" t="str">
        <f>IFERROR(__xludf.DUMMYFUNCTION("""COMPUTED_VALUE"""),"ModuleKinetic, TargetHasAssimilated")</f>
        <v>ModuleKinetic, TargetHasAssimilated</v>
      </c>
      <c r="T462" s="255" t="str">
        <f>IFERROR(__xludf.DUMMYFUNCTION("""COMPUTED_VALUE"""),"➖")</f>
        <v>➖</v>
      </c>
      <c r="U462" s="255" t="str">
        <f>IFERROR(__xludf.DUMMYFUNCTION("""COMPUTED_VALUE"""),"➖")</f>
        <v>➖</v>
      </c>
      <c r="V462" s="259"/>
      <c r="W462" s="286"/>
      <c r="X462" s="286"/>
      <c r="Y462" s="286"/>
    </row>
    <row r="463">
      <c r="A463" s="28"/>
      <c r="B463" s="128"/>
      <c r="C463" s="28"/>
      <c r="D463" s="250" t="str">
        <f>IFERROR(__xludf.DUMMYFUNCTION("""COMPUTED_VALUE"""),"   R")</f>
        <v>R</v>
      </c>
      <c r="E463" s="280" t="str">
        <f>IFERROR(__xludf.DUMMYFUNCTION("""COMPUTED_VALUE"""),"MIRROR TROI")</f>
        <v>MIRROR TROI</v>
      </c>
      <c r="F463" s="271" t="str">
        <f>IFERROR(__xludf.DUMMYFUNCTION("""COMPUTED_VALUE"""),"CM")</f>
        <v>CM</v>
      </c>
      <c r="G463" s="281" t="str">
        <f>IFERROR(__xludf.DUMMYFUNCTION("""COMPUTED_VALUE"""),"✴️")</f>
        <v>✴️</v>
      </c>
      <c r="H463" s="281" t="str">
        <f>IFERROR(__xludf.DUMMYFUNCTION("""COMPUTED_VALUE"""),"✴️")</f>
        <v>✴️</v>
      </c>
      <c r="I463" s="281" t="str">
        <f>IFERROR(__xludf.DUMMYFUNCTION("""COMPUTED_VALUE"""),"➖")</f>
        <v>➖</v>
      </c>
      <c r="J463" s="281" t="str">
        <f>IFERROR(__xludf.DUMMYFUNCTION("""COMPUTED_VALUE"""),"➖")</f>
        <v>➖</v>
      </c>
      <c r="K463" s="282" t="str">
        <f>IFERROR(__xludf.DUMMYFUNCTION("""COMPUTED_VALUE"""),"➖")</f>
        <v>➖</v>
      </c>
      <c r="L463" s="282" t="str">
        <f>IFERROR(__xludf.DUMMYFUNCTION("""COMPUTED_VALUE"""),"➖")</f>
        <v>➖</v>
      </c>
      <c r="M463" s="282" t="str">
        <f>IFERROR(__xludf.DUMMYFUNCTION("""COMPUTED_VALUE"""),"➖")</f>
        <v>➖</v>
      </c>
      <c r="N463" s="282" t="str">
        <f>IFERROR(__xludf.DUMMYFUNCTION("""COMPUTED_VALUE"""),"➖")</f>
        <v>➖</v>
      </c>
      <c r="O463" s="282" t="str">
        <f>IFERROR(__xludf.DUMMYFUNCTION("""COMPUTED_VALUE"""),"➖")</f>
        <v>➖</v>
      </c>
      <c r="P463" s="282" t="str">
        <f>IFERROR(__xludf.DUMMYFUNCTION("""COMPUTED_VALUE"""),"➖")</f>
        <v>➖</v>
      </c>
      <c r="Q463" s="282" t="str">
        <f>IFERROR(__xludf.DUMMYFUNCTION("""COMPUTED_VALUE"""),"➖")</f>
        <v>➖</v>
      </c>
      <c r="R463" s="283" t="str">
        <f>IFERROR(__xludf.DUMMYFUNCTION("""COMPUTED_VALUE"""),"   ➖")</f>
        <v>➖</v>
      </c>
      <c r="S463" s="284" t="str">
        <f>IFERROR(__xludf.DUMMYFUNCTION("""COMPUTED_VALUE"""),"EnemyExplorer, SelfOfficerTalNotOnBridge")</f>
        <v>EnemyExplorer, SelfOfficerTalNotOnBridge</v>
      </c>
      <c r="T463" s="285" t="str">
        <f>IFERROR(__xludf.DUMMYFUNCTION("""COMPUTED_VALUE"""),"➖")</f>
        <v>➖</v>
      </c>
      <c r="U463" s="285" t="str">
        <f>IFERROR(__xludf.DUMMYFUNCTION("""COMPUTED_VALUE"""),"➖")</f>
        <v>➖</v>
      </c>
      <c r="V463" s="259"/>
      <c r="W463" s="286"/>
      <c r="X463" s="286"/>
      <c r="Y463" s="286"/>
    </row>
    <row r="464">
      <c r="A464" s="28"/>
      <c r="B464" s="132"/>
      <c r="C464" s="28"/>
      <c r="D464" s="260" t="str">
        <f>IFERROR(__xludf.DUMMYFUNCTION("""COMPUTED_VALUE"""),"   R")</f>
        <v>R</v>
      </c>
      <c r="E464" s="287" t="str">
        <f>IFERROR(__xludf.DUMMYFUNCTION("""COMPUTED_VALUE"""),"MIRROR TROI")</f>
        <v>MIRROR TROI</v>
      </c>
      <c r="F464" s="270" t="str">
        <f>IFERROR(__xludf.DUMMYFUNCTION("""COMPUTED_VALUE"""),"OA")</f>
        <v>OA</v>
      </c>
      <c r="G464" s="231" t="str">
        <f>IFERROR(__xludf.DUMMYFUNCTION("""COMPUTED_VALUE"""),"✴️")</f>
        <v>✴️</v>
      </c>
      <c r="H464" s="231" t="str">
        <f>IFERROR(__xludf.DUMMYFUNCTION("""COMPUTED_VALUE"""),"✴️")</f>
        <v>✴️</v>
      </c>
      <c r="I464" s="231" t="str">
        <f>IFERROR(__xludf.DUMMYFUNCTION("""COMPUTED_VALUE"""),"➖")</f>
        <v>➖</v>
      </c>
      <c r="J464" s="231" t="str">
        <f>IFERROR(__xludf.DUMMYFUNCTION("""COMPUTED_VALUE"""),"➖")</f>
        <v>➖</v>
      </c>
      <c r="K464" s="288" t="str">
        <f>IFERROR(__xludf.DUMMYFUNCTION("""COMPUTED_VALUE"""),"➖")</f>
        <v>➖</v>
      </c>
      <c r="L464" s="288" t="str">
        <f>IFERROR(__xludf.DUMMYFUNCTION("""COMPUTED_VALUE"""),"➖")</f>
        <v>➖</v>
      </c>
      <c r="M464" s="288" t="str">
        <f>IFERROR(__xludf.DUMMYFUNCTION("""COMPUTED_VALUE"""),"➖")</f>
        <v>➖</v>
      </c>
      <c r="N464" s="288" t="str">
        <f>IFERROR(__xludf.DUMMYFUNCTION("""COMPUTED_VALUE"""),"➖")</f>
        <v>➖</v>
      </c>
      <c r="O464" s="288" t="str">
        <f>IFERROR(__xludf.DUMMYFUNCTION("""COMPUTED_VALUE"""),"➖")</f>
        <v>➖</v>
      </c>
      <c r="P464" s="288" t="str">
        <f>IFERROR(__xludf.DUMMYFUNCTION("""COMPUTED_VALUE"""),"➖")</f>
        <v>➖</v>
      </c>
      <c r="Q464" s="288" t="str">
        <f>IFERROR(__xludf.DUMMYFUNCTION("""COMPUTED_VALUE"""),"➖")</f>
        <v>➖</v>
      </c>
      <c r="R464" s="257" t="str">
        <f>IFERROR(__xludf.DUMMYFUNCTION("""COMPUTED_VALUE"""),"   ➖")</f>
        <v>➖</v>
      </c>
      <c r="S464" s="258" t="str">
        <f>IFERROR(__xludf.DUMMYFUNCTION("""COMPUTED_VALUE"""),"TargetHasAssimilated, ModuleEnergy")</f>
        <v>TargetHasAssimilated, ModuleEnergy</v>
      </c>
      <c r="T464" s="255" t="str">
        <f>IFERROR(__xludf.DUMMYFUNCTION("""COMPUTED_VALUE"""),"➖")</f>
        <v>➖</v>
      </c>
      <c r="U464" s="255" t="str">
        <f>IFERROR(__xludf.DUMMYFUNCTION("""COMPUTED_VALUE"""),"➖")</f>
        <v>➖</v>
      </c>
      <c r="V464" s="259"/>
      <c r="W464" s="286"/>
      <c r="X464" s="286"/>
      <c r="Y464" s="286"/>
    </row>
    <row r="465">
      <c r="A465" s="28"/>
      <c r="B465" s="128"/>
      <c r="C465" s="28"/>
      <c r="D465" s="250" t="str">
        <f>IFERROR(__xludf.DUMMYFUNCTION("""COMPUTED_VALUE"""),"   R")</f>
        <v>R</v>
      </c>
      <c r="E465" s="280" t="str">
        <f>IFERROR(__xludf.DUMMYFUNCTION("""COMPUTED_VALUE"""),"LIEUTENANT PICARD")</f>
        <v>LIEUTENANT PICARD</v>
      </c>
      <c r="F465" s="271" t="str">
        <f>IFERROR(__xludf.DUMMYFUNCTION("""COMPUTED_VALUE"""),"CM")</f>
        <v>CM</v>
      </c>
      <c r="G465" s="281" t="str">
        <f>IFERROR(__xludf.DUMMYFUNCTION("""COMPUTED_VALUE"""),"➖")</f>
        <v>➖</v>
      </c>
      <c r="H465" s="281" t="str">
        <f>IFERROR(__xludf.DUMMYFUNCTION("""COMPUTED_VALUE"""),"➖")</f>
        <v>➖</v>
      </c>
      <c r="I465" s="281" t="str">
        <f>IFERROR(__xludf.DUMMYFUNCTION("""COMPUTED_VALUE"""),"✴️")</f>
        <v>✴️</v>
      </c>
      <c r="J465" s="281" t="str">
        <f>IFERROR(__xludf.DUMMYFUNCTION("""COMPUTED_VALUE"""),"✴️")</f>
        <v>✴️</v>
      </c>
      <c r="K465" s="282" t="str">
        <f>IFERROR(__xludf.DUMMYFUNCTION("""COMPUTED_VALUE"""),"✴️")</f>
        <v>✴️</v>
      </c>
      <c r="L465" s="282" t="str">
        <f>IFERROR(__xludf.DUMMYFUNCTION("""COMPUTED_VALUE"""),"➖")</f>
        <v>➖</v>
      </c>
      <c r="M465" s="282" t="str">
        <f>IFERROR(__xludf.DUMMYFUNCTION("""COMPUTED_VALUE"""),"➖")</f>
        <v>➖</v>
      </c>
      <c r="N465" s="282" t="str">
        <f>IFERROR(__xludf.DUMMYFUNCTION("""COMPUTED_VALUE"""),"➖")</f>
        <v>➖</v>
      </c>
      <c r="O465" s="282" t="str">
        <f>IFERROR(__xludf.DUMMYFUNCTION("""COMPUTED_VALUE"""),"➖")</f>
        <v>➖</v>
      </c>
      <c r="P465" s="282" t="str">
        <f>IFERROR(__xludf.DUMMYFUNCTION("""COMPUTED_VALUE"""),"➖")</f>
        <v>➖</v>
      </c>
      <c r="Q465" s="282" t="str">
        <f>IFERROR(__xludf.DUMMYFUNCTION("""COMPUTED_VALUE"""),"➖")</f>
        <v>➖</v>
      </c>
      <c r="R465" s="283" t="str">
        <f>IFERROR(__xludf.DUMMYFUNCTION("""COMPUTED_VALUE"""),"   ➖")</f>
        <v>➖</v>
      </c>
      <c r="S465" s="284" t="str">
        <f>IFERROR(__xludf.DUMMYFUNCTION("""COMPUTED_VALUE"""),"TargetMaxLevel, SelfOfficerTalNotOnBridge")</f>
        <v>TargetMaxLevel, SelfOfficerTalNotOnBridge</v>
      </c>
      <c r="T465" s="285" t="str">
        <f>IFERROR(__xludf.DUMMYFUNCTION("""COMPUTED_VALUE"""),"➖")</f>
        <v>➖</v>
      </c>
      <c r="U465" s="285" t="str">
        <f>IFERROR(__xludf.DUMMYFUNCTION("""COMPUTED_VALUE"""),"➖")</f>
        <v>➖</v>
      </c>
      <c r="V465" s="259"/>
      <c r="W465" s="286"/>
      <c r="X465" s="286"/>
      <c r="Y465" s="286"/>
    </row>
    <row r="466">
      <c r="A466" s="28"/>
      <c r="B466" s="132"/>
      <c r="C466" s="28"/>
      <c r="D466" s="260" t="str">
        <f>IFERROR(__xludf.DUMMYFUNCTION("""COMPUTED_VALUE"""),"   R")</f>
        <v>R</v>
      </c>
      <c r="E466" s="287" t="str">
        <f>IFERROR(__xludf.DUMMYFUNCTION("""COMPUTED_VALUE"""),"LIEUTENANT PICARD")</f>
        <v>LIEUTENANT PICARD</v>
      </c>
      <c r="F466" s="270" t="str">
        <f>IFERROR(__xludf.DUMMYFUNCTION("""COMPUTED_VALUE"""),"OA")</f>
        <v>OA</v>
      </c>
      <c r="G466" s="231" t="str">
        <f>IFERROR(__xludf.DUMMYFUNCTION("""COMPUTED_VALUE"""),"✅")</f>
        <v>✅</v>
      </c>
      <c r="H466" s="231" t="str">
        <f>IFERROR(__xludf.DUMMYFUNCTION("""COMPUTED_VALUE"""),"✅")</f>
        <v>✅</v>
      </c>
      <c r="I466" s="231" t="str">
        <f>IFERROR(__xludf.DUMMYFUNCTION("""COMPUTED_VALUE"""),"✅")</f>
        <v>✅</v>
      </c>
      <c r="J466" s="231" t="str">
        <f>IFERROR(__xludf.DUMMYFUNCTION("""COMPUTED_VALUE"""),"✅")</f>
        <v>✅</v>
      </c>
      <c r="K466" s="288" t="str">
        <f>IFERROR(__xludf.DUMMYFUNCTION("""COMPUTED_VALUE"""),"✅")</f>
        <v>✅</v>
      </c>
      <c r="L466" s="288" t="str">
        <f>IFERROR(__xludf.DUMMYFUNCTION("""COMPUTED_VALUE"""),"✅")</f>
        <v>✅</v>
      </c>
      <c r="M466" s="288" t="str">
        <f>IFERROR(__xludf.DUMMYFUNCTION("""COMPUTED_VALUE"""),"✅")</f>
        <v>✅</v>
      </c>
      <c r="N466" s="288" t="str">
        <f>IFERROR(__xludf.DUMMYFUNCTION("""COMPUTED_VALUE"""),"✅")</f>
        <v>✅</v>
      </c>
      <c r="O466" s="288" t="str">
        <f>IFERROR(__xludf.DUMMYFUNCTION("""COMPUTED_VALUE"""),"✅")</f>
        <v>✅</v>
      </c>
      <c r="P466" s="288" t="str">
        <f>IFERROR(__xludf.DUMMYFUNCTION("""COMPUTED_VALUE"""),"✅")</f>
        <v>✅</v>
      </c>
      <c r="Q466" s="288" t="str">
        <f>IFERROR(__xludf.DUMMYFUNCTION("""COMPUTED_VALUE"""),"✅")</f>
        <v>✅</v>
      </c>
      <c r="R466" s="257" t="str">
        <f>IFERROR(__xludf.DUMMYFUNCTION("""COMPUTED_VALUE"""),"   ✅")</f>
        <v>✅</v>
      </c>
      <c r="S466" s="258"/>
      <c r="T466" s="255" t="str">
        <f>IFERROR(__xludf.DUMMYFUNCTION("""COMPUTED_VALUE"""),"➖")</f>
        <v>➖</v>
      </c>
      <c r="U466" s="255" t="str">
        <f>IFERROR(__xludf.DUMMYFUNCTION("""COMPUTED_VALUE"""),"➖")</f>
        <v>➖</v>
      </c>
      <c r="V466" s="259"/>
      <c r="W466" s="286"/>
      <c r="X466" s="286"/>
      <c r="Y466" s="286"/>
    </row>
    <row r="467">
      <c r="A467" s="28"/>
      <c r="B467" s="128"/>
      <c r="C467" s="28"/>
      <c r="D467" s="250" t="str">
        <f>IFERROR(__xludf.DUMMYFUNCTION("""COMPUTED_VALUE"""),"   E")</f>
        <v>E</v>
      </c>
      <c r="E467" s="280" t="str">
        <f>IFERROR(__xludf.DUMMYFUNCTION("""COMPUTED_VALUE"""),"DEMARCO")</f>
        <v>DEMARCO</v>
      </c>
      <c r="F467" s="271" t="str">
        <f>IFERROR(__xludf.DUMMYFUNCTION("""COMPUTED_VALUE"""),"OA")</f>
        <v>OA</v>
      </c>
      <c r="G467" s="281" t="str">
        <f>IFERROR(__xludf.DUMMYFUNCTION("""COMPUTED_VALUE"""),"➖")</f>
        <v>➖</v>
      </c>
      <c r="H467" s="281" t="str">
        <f>IFERROR(__xludf.DUMMYFUNCTION("""COMPUTED_VALUE"""),"➖")</f>
        <v>➖</v>
      </c>
      <c r="I467" s="281" t="str">
        <f>IFERROR(__xludf.DUMMYFUNCTION("""COMPUTED_VALUE"""),"➖")</f>
        <v>➖</v>
      </c>
      <c r="J467" s="281" t="str">
        <f>IFERROR(__xludf.DUMMYFUNCTION("""COMPUTED_VALUE"""),"➖")</f>
        <v>➖</v>
      </c>
      <c r="K467" s="282" t="str">
        <f>IFERROR(__xludf.DUMMYFUNCTION("""COMPUTED_VALUE"""),"➖")</f>
        <v>➖</v>
      </c>
      <c r="L467" s="282" t="str">
        <f>IFERROR(__xludf.DUMMYFUNCTION("""COMPUTED_VALUE"""),"➖")</f>
        <v>➖</v>
      </c>
      <c r="M467" s="282" t="str">
        <f>IFERROR(__xludf.DUMMYFUNCTION("""COMPUTED_VALUE"""),"✅")</f>
        <v>✅</v>
      </c>
      <c r="N467" s="282" t="str">
        <f>IFERROR(__xludf.DUMMYFUNCTION("""COMPUTED_VALUE"""),"✅")</f>
        <v>✅</v>
      </c>
      <c r="O467" s="282" t="str">
        <f>IFERROR(__xludf.DUMMYFUNCTION("""COMPUTED_VALUE"""),"✅")</f>
        <v>✅</v>
      </c>
      <c r="P467" s="282" t="str">
        <f>IFERROR(__xludf.DUMMYFUNCTION("""COMPUTED_VALUE"""),"➖")</f>
        <v>➖</v>
      </c>
      <c r="Q467" s="282" t="str">
        <f>IFERROR(__xludf.DUMMYFUNCTION("""COMPUTED_VALUE"""),"➖")</f>
        <v>➖</v>
      </c>
      <c r="R467" s="283" t="str">
        <f>IFERROR(__xludf.DUMMYFUNCTION("""COMPUTED_VALUE"""),"   ➖")</f>
        <v>➖</v>
      </c>
      <c r="S467" s="284"/>
      <c r="T467" s="285" t="str">
        <f>IFERROR(__xludf.DUMMYFUNCTION("""COMPUTED_VALUE"""),"➖")</f>
        <v>➖</v>
      </c>
      <c r="U467" s="285" t="str">
        <f>IFERROR(__xludf.DUMMYFUNCTION("""COMPUTED_VALUE"""),"➖")</f>
        <v>➖</v>
      </c>
      <c r="V467" s="259"/>
      <c r="W467" s="286"/>
      <c r="X467" s="286"/>
      <c r="Y467" s="286"/>
    </row>
    <row r="468">
      <c r="A468" s="28"/>
      <c r="B468" s="132"/>
      <c r="C468" s="28"/>
      <c r="D468" s="260" t="str">
        <f>IFERROR(__xludf.DUMMYFUNCTION("""COMPUTED_VALUE"""),"   E")</f>
        <v>E</v>
      </c>
      <c r="E468" s="287" t="str">
        <f>IFERROR(__xludf.DUMMYFUNCTION("""COMPUTED_VALUE"""),"DEMARCO")</f>
        <v>DEMARCO</v>
      </c>
      <c r="F468" s="270" t="str">
        <f>IFERROR(__xludf.DUMMYFUNCTION("""COMPUTED_VALUE"""),"BDA")</f>
        <v>BDA</v>
      </c>
      <c r="G468" s="231" t="str">
        <f>IFERROR(__xludf.DUMMYFUNCTION("""COMPUTED_VALUE"""),"✴️")</f>
        <v>✴️</v>
      </c>
      <c r="H468" s="231" t="str">
        <f>IFERROR(__xludf.DUMMYFUNCTION("""COMPUTED_VALUE"""),"✴️")</f>
        <v>✴️</v>
      </c>
      <c r="I468" s="231" t="str">
        <f>IFERROR(__xludf.DUMMYFUNCTION("""COMPUTED_VALUE"""),"➖")</f>
        <v>➖</v>
      </c>
      <c r="J468" s="231" t="str">
        <f>IFERROR(__xludf.DUMMYFUNCTION("""COMPUTED_VALUE"""),"➖")</f>
        <v>➖</v>
      </c>
      <c r="K468" s="288" t="str">
        <f>IFERROR(__xludf.DUMMYFUNCTION("""COMPUTED_VALUE"""),"➖")</f>
        <v>➖</v>
      </c>
      <c r="L468" s="288" t="str">
        <f>IFERROR(__xludf.DUMMYFUNCTION("""COMPUTED_VALUE"""),"➖")</f>
        <v>➖</v>
      </c>
      <c r="M468" s="288" t="str">
        <f>IFERROR(__xludf.DUMMYFUNCTION("""COMPUTED_VALUE"""),"➖")</f>
        <v>➖</v>
      </c>
      <c r="N468" s="288" t="str">
        <f>IFERROR(__xludf.DUMMYFUNCTION("""COMPUTED_VALUE"""),"➖")</f>
        <v>➖</v>
      </c>
      <c r="O468" s="288" t="str">
        <f>IFERROR(__xludf.DUMMYFUNCTION("""COMPUTED_VALUE"""),"➖")</f>
        <v>➖</v>
      </c>
      <c r="P468" s="288" t="str">
        <f>IFERROR(__xludf.DUMMYFUNCTION("""COMPUTED_VALUE"""),"➖")</f>
        <v>➖</v>
      </c>
      <c r="Q468" s="288" t="str">
        <f>IFERROR(__xludf.DUMMYFUNCTION("""COMPUTED_VALUE"""),"➖")</f>
        <v>➖</v>
      </c>
      <c r="R468" s="257" t="str">
        <f>IFERROR(__xludf.DUMMYFUNCTION("""COMPUTED_VALUE"""),"   ➖")</f>
        <v>➖</v>
      </c>
      <c r="S468" s="258" t="str">
        <f>IFERROR(__xludf.DUMMYFUNCTION("""COMPUTED_VALUE"""),"TargetStateAny")</f>
        <v>TargetStateAny</v>
      </c>
      <c r="T468" s="255" t="str">
        <f>IFERROR(__xludf.DUMMYFUNCTION("""COMPUTED_VALUE"""),"➖")</f>
        <v>➖</v>
      </c>
      <c r="U468" s="255" t="str">
        <f>IFERROR(__xludf.DUMMYFUNCTION("""COMPUTED_VALUE"""),"➖")</f>
        <v>➖</v>
      </c>
      <c r="V468" s="259"/>
      <c r="W468" s="286"/>
      <c r="X468" s="286"/>
      <c r="Y468" s="286"/>
    </row>
    <row r="469">
      <c r="A469" s="28"/>
      <c r="B469" s="128"/>
      <c r="C469" s="28"/>
      <c r="D469" s="250" t="str">
        <f>IFERROR(__xludf.DUMMYFUNCTION("""COMPUTED_VALUE"""),"   E")</f>
        <v>E</v>
      </c>
      <c r="E469" s="280" t="str">
        <f>IFERROR(__xludf.DUMMYFUNCTION("""COMPUTED_VALUE"""),"NESMITH")</f>
        <v>NESMITH</v>
      </c>
      <c r="F469" s="271" t="str">
        <f>IFERROR(__xludf.DUMMYFUNCTION("""COMPUTED_VALUE"""),"CM")</f>
        <v>CM</v>
      </c>
      <c r="G469" s="281" t="str">
        <f>IFERROR(__xludf.DUMMYFUNCTION("""COMPUTED_VALUE"""),"➖")</f>
        <v>➖</v>
      </c>
      <c r="H469" s="281" t="str">
        <f>IFERROR(__xludf.DUMMYFUNCTION("""COMPUTED_VALUE"""),"➖")</f>
        <v>➖</v>
      </c>
      <c r="I469" s="281" t="str">
        <f>IFERROR(__xludf.DUMMYFUNCTION("""COMPUTED_VALUE"""),"➖")</f>
        <v>➖</v>
      </c>
      <c r="J469" s="281" t="str">
        <f>IFERROR(__xludf.DUMMYFUNCTION("""COMPUTED_VALUE"""),"➖")</f>
        <v>➖</v>
      </c>
      <c r="K469" s="282" t="str">
        <f>IFERROR(__xludf.DUMMYFUNCTION("""COMPUTED_VALUE"""),"➖")</f>
        <v>➖</v>
      </c>
      <c r="L469" s="282" t="str">
        <f>IFERROR(__xludf.DUMMYFUNCTION("""COMPUTED_VALUE"""),"➖")</f>
        <v>➖</v>
      </c>
      <c r="M469" s="282" t="str">
        <f>IFERROR(__xludf.DUMMYFUNCTION("""COMPUTED_VALUE"""),"➖")</f>
        <v>➖</v>
      </c>
      <c r="N469" s="282" t="str">
        <f>IFERROR(__xludf.DUMMYFUNCTION("""COMPUTED_VALUE"""),"➖")</f>
        <v>➖</v>
      </c>
      <c r="O469" s="282" t="str">
        <f>IFERROR(__xludf.DUMMYFUNCTION("""COMPUTED_VALUE"""),"✅")</f>
        <v>✅</v>
      </c>
      <c r="P469" s="282" t="str">
        <f>IFERROR(__xludf.DUMMYFUNCTION("""COMPUTED_VALUE"""),"➖")</f>
        <v>➖</v>
      </c>
      <c r="Q469" s="282" t="str">
        <f>IFERROR(__xludf.DUMMYFUNCTION("""COMPUTED_VALUE"""),"➖")</f>
        <v>➖</v>
      </c>
      <c r="R469" s="283" t="str">
        <f>IFERROR(__xludf.DUMMYFUNCTION("""COMPUTED_VALUE"""),"   ➖")</f>
        <v>➖</v>
      </c>
      <c r="S469" s="284"/>
      <c r="T469" s="285" t="str">
        <f>IFERROR(__xludf.DUMMYFUNCTION("""COMPUTED_VALUE"""),"➖")</f>
        <v>➖</v>
      </c>
      <c r="U469" s="285" t="str">
        <f>IFERROR(__xludf.DUMMYFUNCTION("""COMPUTED_VALUE"""),"➖")</f>
        <v>➖</v>
      </c>
      <c r="V469" s="259"/>
      <c r="W469" s="286"/>
      <c r="X469" s="286"/>
      <c r="Y469" s="286"/>
    </row>
    <row r="470">
      <c r="A470" s="28"/>
      <c r="B470" s="132"/>
      <c r="C470" s="28"/>
      <c r="D470" s="260" t="str">
        <f>IFERROR(__xludf.DUMMYFUNCTION("""COMPUTED_VALUE"""),"   E")</f>
        <v>E</v>
      </c>
      <c r="E470" s="287" t="str">
        <f>IFERROR(__xludf.DUMMYFUNCTION("""COMPUTED_VALUE"""),"NESMITH")</f>
        <v>NESMITH</v>
      </c>
      <c r="F470" s="270" t="str">
        <f>IFERROR(__xludf.DUMMYFUNCTION("""COMPUTED_VALUE"""),"OA")</f>
        <v>OA</v>
      </c>
      <c r="G470" s="231" t="str">
        <f>IFERROR(__xludf.DUMMYFUNCTION("""COMPUTED_VALUE"""),"➖")</f>
        <v>➖</v>
      </c>
      <c r="H470" s="231" t="str">
        <f>IFERROR(__xludf.DUMMYFUNCTION("""COMPUTED_VALUE"""),"➖")</f>
        <v>➖</v>
      </c>
      <c r="I470" s="231" t="str">
        <f>IFERROR(__xludf.DUMMYFUNCTION("""COMPUTED_VALUE"""),"✴️")</f>
        <v>✴️</v>
      </c>
      <c r="J470" s="231" t="str">
        <f>IFERROR(__xludf.DUMMYFUNCTION("""COMPUTED_VALUE"""),"✴️")</f>
        <v>✴️</v>
      </c>
      <c r="K470" s="288" t="str">
        <f>IFERROR(__xludf.DUMMYFUNCTION("""COMPUTED_VALUE"""),"✴️")</f>
        <v>✴️</v>
      </c>
      <c r="L470" s="288" t="str">
        <f>IFERROR(__xludf.DUMMYFUNCTION("""COMPUTED_VALUE"""),"➖")</f>
        <v>➖</v>
      </c>
      <c r="M470" s="288" t="str">
        <f>IFERROR(__xludf.DUMMYFUNCTION("""COMPUTED_VALUE"""),"➖")</f>
        <v>➖</v>
      </c>
      <c r="N470" s="288" t="str">
        <f>IFERROR(__xludf.DUMMYFUNCTION("""COMPUTED_VALUE"""),"➖")</f>
        <v>➖</v>
      </c>
      <c r="O470" s="288" t="str">
        <f>IFERROR(__xludf.DUMMYFUNCTION("""COMPUTED_VALUE"""),"➖")</f>
        <v>➖</v>
      </c>
      <c r="P470" s="288" t="str">
        <f>IFERROR(__xludf.DUMMYFUNCTION("""COMPUTED_VALUE"""),"➖")</f>
        <v>➖</v>
      </c>
      <c r="Q470" s="288" t="str">
        <f>IFERROR(__xludf.DUMMYFUNCTION("""COMPUTED_VALUE"""),"➖")</f>
        <v>➖</v>
      </c>
      <c r="R470" s="257" t="str">
        <f>IFERROR(__xludf.DUMMYFUNCTION("""COMPUTED_VALUE"""),"   ➖")</f>
        <v>➖</v>
      </c>
      <c r="S470" s="258" t="str">
        <f>IFERROR(__xludf.DUMMYFUNCTION("""COMPUTED_VALUE"""),"SelfOfficerTalNotOnBridge")</f>
        <v>SelfOfficerTalNotOnBridge</v>
      </c>
      <c r="T470" s="255" t="str">
        <f>IFERROR(__xludf.DUMMYFUNCTION("""COMPUTED_VALUE"""),"➖")</f>
        <v>➖</v>
      </c>
      <c r="U470" s="255" t="str">
        <f>IFERROR(__xludf.DUMMYFUNCTION("""COMPUTED_VALUE"""),"➖")</f>
        <v>➖</v>
      </c>
      <c r="V470" s="259"/>
      <c r="W470" s="286"/>
      <c r="X470" s="286"/>
      <c r="Y470" s="286"/>
    </row>
    <row r="471">
      <c r="A471" s="28"/>
      <c r="B471" s="128"/>
      <c r="C471" s="28"/>
      <c r="D471" s="250" t="str">
        <f>IFERROR(__xludf.DUMMYFUNCTION("""COMPUTED_VALUE"""),"   R")</f>
        <v>R</v>
      </c>
      <c r="E471" s="280" t="str">
        <f>IFERROR(__xludf.DUMMYFUNCTION("""COMPUTED_VALUE"""),"DANE")</f>
        <v>DANE</v>
      </c>
      <c r="F471" s="271" t="str">
        <f>IFERROR(__xludf.DUMMYFUNCTION("""COMPUTED_VALUE"""),"OA")</f>
        <v>OA</v>
      </c>
      <c r="G471" s="281" t="str">
        <f>IFERROR(__xludf.DUMMYFUNCTION("""COMPUTED_VALUE"""),"➖")</f>
        <v>➖</v>
      </c>
      <c r="H471" s="281" t="str">
        <f>IFERROR(__xludf.DUMMYFUNCTION("""COMPUTED_VALUE"""),"➖")</f>
        <v>➖</v>
      </c>
      <c r="I471" s="281" t="str">
        <f>IFERROR(__xludf.DUMMYFUNCTION("""COMPUTED_VALUE"""),"✴️")</f>
        <v>✴️</v>
      </c>
      <c r="J471" s="281" t="str">
        <f>IFERROR(__xludf.DUMMYFUNCTION("""COMPUTED_VALUE"""),"➖")</f>
        <v>➖</v>
      </c>
      <c r="K471" s="282" t="str">
        <f>IFERROR(__xludf.DUMMYFUNCTION("""COMPUTED_VALUE"""),"➖")</f>
        <v>➖</v>
      </c>
      <c r="L471" s="282" t="str">
        <f>IFERROR(__xludf.DUMMYFUNCTION("""COMPUTED_VALUE"""),"➖")</f>
        <v>➖</v>
      </c>
      <c r="M471" s="282" t="str">
        <f>IFERROR(__xludf.DUMMYFUNCTION("""COMPUTED_VALUE"""),"➖")</f>
        <v>➖</v>
      </c>
      <c r="N471" s="282" t="str">
        <f>IFERROR(__xludf.DUMMYFUNCTION("""COMPUTED_VALUE"""),"➖")</f>
        <v>➖</v>
      </c>
      <c r="O471" s="282" t="str">
        <f>IFERROR(__xludf.DUMMYFUNCTION("""COMPUTED_VALUE"""),"➖")</f>
        <v>➖</v>
      </c>
      <c r="P471" s="282" t="str">
        <f>IFERROR(__xludf.DUMMYFUNCTION("""COMPUTED_VALUE"""),"➖")</f>
        <v>➖</v>
      </c>
      <c r="Q471" s="282" t="str">
        <f>IFERROR(__xludf.DUMMYFUNCTION("""COMPUTED_VALUE"""),"➖")</f>
        <v>➖</v>
      </c>
      <c r="R471" s="283" t="str">
        <f>IFERROR(__xludf.DUMMYFUNCTION("""COMPUTED_VALUE"""),"   ➖")</f>
        <v>➖</v>
      </c>
      <c r="S471" s="284" t="str">
        <f>IFERROR(__xludf.DUMMYFUNCTION("""COMPUTED_VALUE"""),"TrelliumRewards")</f>
        <v>TrelliumRewards</v>
      </c>
      <c r="T471" s="285" t="str">
        <f>IFERROR(__xludf.DUMMYFUNCTION("""COMPUTED_VALUE"""),"✅")</f>
        <v>✅</v>
      </c>
      <c r="U471" s="285" t="str">
        <f>IFERROR(__xludf.DUMMYFUNCTION("""COMPUTED_VALUE"""),"➖")</f>
        <v>➖</v>
      </c>
      <c r="V471" s="259"/>
      <c r="W471" s="286"/>
      <c r="X471" s="286"/>
      <c r="Y471" s="286"/>
    </row>
    <row r="472">
      <c r="A472" s="28"/>
      <c r="B472" s="132"/>
      <c r="C472" s="28"/>
      <c r="D472" s="260" t="str">
        <f>IFERROR(__xludf.DUMMYFUNCTION("""COMPUTED_VALUE"""),"   R")</f>
        <v>R</v>
      </c>
      <c r="E472" s="287" t="str">
        <f>IFERROR(__xludf.DUMMYFUNCTION("""COMPUTED_VALUE"""),"DANE")</f>
        <v>DANE</v>
      </c>
      <c r="F472" s="270" t="str">
        <f>IFERROR(__xludf.DUMMYFUNCTION("""COMPUTED_VALUE"""),"BDA")</f>
        <v>BDA</v>
      </c>
      <c r="G472" s="231" t="str">
        <f>IFERROR(__xludf.DUMMYFUNCTION("""COMPUTED_VALUE"""),"➖")</f>
        <v>➖</v>
      </c>
      <c r="H472" s="231" t="str">
        <f>IFERROR(__xludf.DUMMYFUNCTION("""COMPUTED_VALUE"""),"➖")</f>
        <v>➖</v>
      </c>
      <c r="I472" s="231" t="str">
        <f>IFERROR(__xludf.DUMMYFUNCTION("""COMPUTED_VALUE"""),"➖")</f>
        <v>➖</v>
      </c>
      <c r="J472" s="231" t="str">
        <f>IFERROR(__xludf.DUMMYFUNCTION("""COMPUTED_VALUE"""),"➖")</f>
        <v>➖</v>
      </c>
      <c r="K472" s="288" t="str">
        <f>IFERROR(__xludf.DUMMYFUNCTION("""COMPUTED_VALUE"""),"➖")</f>
        <v>➖</v>
      </c>
      <c r="L472" s="288" t="str">
        <f>IFERROR(__xludf.DUMMYFUNCTION("""COMPUTED_VALUE"""),"➖")</f>
        <v>➖</v>
      </c>
      <c r="M472" s="288" t="str">
        <f>IFERROR(__xludf.DUMMYFUNCTION("""COMPUTED_VALUE"""),"➖")</f>
        <v>➖</v>
      </c>
      <c r="N472" s="288" t="str">
        <f>IFERROR(__xludf.DUMMYFUNCTION("""COMPUTED_VALUE"""),"➖")</f>
        <v>➖</v>
      </c>
      <c r="O472" s="288" t="str">
        <f>IFERROR(__xludf.DUMMYFUNCTION("""COMPUTED_VALUE"""),"➖")</f>
        <v>➖</v>
      </c>
      <c r="P472" s="288" t="str">
        <f>IFERROR(__xludf.DUMMYFUNCTION("""COMPUTED_VALUE"""),"➖")</f>
        <v>➖</v>
      </c>
      <c r="Q472" s="288" t="str">
        <f>IFERROR(__xludf.DUMMYFUNCTION("""COMPUTED_VALUE"""),"➖")</f>
        <v>➖</v>
      </c>
      <c r="R472" s="257" t="str">
        <f>IFERROR(__xludf.DUMMYFUNCTION("""COMPUTED_VALUE"""),"   ➖")</f>
        <v>➖</v>
      </c>
      <c r="S472" s="258"/>
      <c r="T472" s="255" t="str">
        <f>IFERROR(__xludf.DUMMYFUNCTION("""COMPUTED_VALUE"""),"➖")</f>
        <v>➖</v>
      </c>
      <c r="U472" s="255" t="str">
        <f>IFERROR(__xludf.DUMMYFUNCTION("""COMPUTED_VALUE"""),"✅")</f>
        <v>✅</v>
      </c>
      <c r="V472" s="259"/>
      <c r="W472" s="286"/>
      <c r="X472" s="286"/>
      <c r="Y472" s="286"/>
    </row>
    <row r="473">
      <c r="A473" s="28"/>
      <c r="B473" s="128"/>
      <c r="C473" s="28"/>
      <c r="D473" s="250" t="str">
        <f>IFERROR(__xludf.DUMMYFUNCTION("""COMPUTED_VALUE"""),"   R")</f>
        <v>R</v>
      </c>
      <c r="E473" s="280" t="str">
        <f>IFERROR(__xludf.DUMMYFUNCTION("""COMPUTED_VALUE"""),"LALIARI")</f>
        <v>LALIARI</v>
      </c>
      <c r="F473" s="271" t="str">
        <f>IFERROR(__xludf.DUMMYFUNCTION("""COMPUTED_VALUE"""),"OA")</f>
        <v>OA</v>
      </c>
      <c r="G473" s="281" t="str">
        <f>IFERROR(__xludf.DUMMYFUNCTION("""COMPUTED_VALUE"""),"➖")</f>
        <v>➖</v>
      </c>
      <c r="H473" s="281" t="str">
        <f>IFERROR(__xludf.DUMMYFUNCTION("""COMPUTED_VALUE"""),"➖")</f>
        <v>➖</v>
      </c>
      <c r="I473" s="281" t="str">
        <f>IFERROR(__xludf.DUMMYFUNCTION("""COMPUTED_VALUE"""),"➖")</f>
        <v>➖</v>
      </c>
      <c r="J473" s="281" t="str">
        <f>IFERROR(__xludf.DUMMYFUNCTION("""COMPUTED_VALUE"""),"➖")</f>
        <v>➖</v>
      </c>
      <c r="K473" s="282" t="str">
        <f>IFERROR(__xludf.DUMMYFUNCTION("""COMPUTED_VALUE"""),"➖")</f>
        <v>➖</v>
      </c>
      <c r="L473" s="282" t="str">
        <f>IFERROR(__xludf.DUMMYFUNCTION("""COMPUTED_VALUE"""),"➖")</f>
        <v>➖</v>
      </c>
      <c r="M473" s="282" t="str">
        <f>IFERROR(__xludf.DUMMYFUNCTION("""COMPUTED_VALUE"""),"➖")</f>
        <v>➖</v>
      </c>
      <c r="N473" s="282" t="str">
        <f>IFERROR(__xludf.DUMMYFUNCTION("""COMPUTED_VALUE"""),"➖")</f>
        <v>➖</v>
      </c>
      <c r="O473" s="282" t="str">
        <f>IFERROR(__xludf.DUMMYFUNCTION("""COMPUTED_VALUE"""),"➖")</f>
        <v>➖</v>
      </c>
      <c r="P473" s="282" t="str">
        <f>IFERROR(__xludf.DUMMYFUNCTION("""COMPUTED_VALUE"""),"➖")</f>
        <v>➖</v>
      </c>
      <c r="Q473" s="282" t="str">
        <f>IFERROR(__xludf.DUMMYFUNCTION("""COMPUTED_VALUE"""),"➖")</f>
        <v>➖</v>
      </c>
      <c r="R473" s="283" t="str">
        <f>IFERROR(__xludf.DUMMYFUNCTION("""COMPUTED_VALUE"""),"   ➖")</f>
        <v>➖</v>
      </c>
      <c r="S473" s="284"/>
      <c r="T473" s="285" t="str">
        <f>IFERROR(__xludf.DUMMYFUNCTION("""COMPUTED_VALUE"""),"➖")</f>
        <v>➖</v>
      </c>
      <c r="U473" s="285" t="str">
        <f>IFERROR(__xludf.DUMMYFUNCTION("""COMPUTED_VALUE"""),"✅")</f>
        <v>✅</v>
      </c>
      <c r="V473" s="259"/>
      <c r="W473" s="286"/>
      <c r="X473" s="286"/>
      <c r="Y473" s="286"/>
    </row>
    <row r="474">
      <c r="A474" s="28"/>
      <c r="B474" s="132"/>
      <c r="C474" s="28"/>
      <c r="D474" s="260" t="str">
        <f>IFERROR(__xludf.DUMMYFUNCTION("""COMPUTED_VALUE"""),"   R")</f>
        <v>R</v>
      </c>
      <c r="E474" s="287" t="str">
        <f>IFERROR(__xludf.DUMMYFUNCTION("""COMPUTED_VALUE"""),"LALIARI")</f>
        <v>LALIARI</v>
      </c>
      <c r="F474" s="270" t="str">
        <f>IFERROR(__xludf.DUMMYFUNCTION("""COMPUTED_VALUE"""),"BDA")</f>
        <v>BDA</v>
      </c>
      <c r="G474" s="231" t="str">
        <f>IFERROR(__xludf.DUMMYFUNCTION("""COMPUTED_VALUE"""),"➖")</f>
        <v>➖</v>
      </c>
      <c r="H474" s="231" t="str">
        <f>IFERROR(__xludf.DUMMYFUNCTION("""COMPUTED_VALUE"""),"➖")</f>
        <v>➖</v>
      </c>
      <c r="I474" s="231" t="str">
        <f>IFERROR(__xludf.DUMMYFUNCTION("""COMPUTED_VALUE"""),"➖")</f>
        <v>➖</v>
      </c>
      <c r="J474" s="231" t="str">
        <f>IFERROR(__xludf.DUMMYFUNCTION("""COMPUTED_VALUE"""),"✴️")</f>
        <v>✴️</v>
      </c>
      <c r="K474" s="288" t="str">
        <f>IFERROR(__xludf.DUMMYFUNCTION("""COMPUTED_VALUE"""),"➖")</f>
        <v>➖</v>
      </c>
      <c r="L474" s="288" t="str">
        <f>IFERROR(__xludf.DUMMYFUNCTION("""COMPUTED_VALUE"""),"➖")</f>
        <v>➖</v>
      </c>
      <c r="M474" s="288" t="str">
        <f>IFERROR(__xludf.DUMMYFUNCTION("""COMPUTED_VALUE"""),"➖")</f>
        <v>➖</v>
      </c>
      <c r="N474" s="288" t="str">
        <f>IFERROR(__xludf.DUMMYFUNCTION("""COMPUTED_VALUE"""),"➖")</f>
        <v>➖</v>
      </c>
      <c r="O474" s="288" t="str">
        <f>IFERROR(__xludf.DUMMYFUNCTION("""COMPUTED_VALUE"""),"➖")</f>
        <v>➖</v>
      </c>
      <c r="P474" s="288" t="str">
        <f>IFERROR(__xludf.DUMMYFUNCTION("""COMPUTED_VALUE"""),"➖")</f>
        <v>➖</v>
      </c>
      <c r="Q474" s="288" t="str">
        <f>IFERROR(__xludf.DUMMYFUNCTION("""COMPUTED_VALUE"""),"➖")</f>
        <v>➖</v>
      </c>
      <c r="R474" s="257" t="str">
        <f>IFERROR(__xludf.DUMMYFUNCTION("""COMPUTED_VALUE"""),"   ➖")</f>
        <v>➖</v>
      </c>
      <c r="S474" s="258" t="str">
        <f>IFERROR(__xludf.DUMMYFUNCTION("""COMPUTED_VALUE"""),"SelfOfficerTalNotOnBridge")</f>
        <v>SelfOfficerTalNotOnBridge</v>
      </c>
      <c r="T474" s="255" t="str">
        <f>IFERROR(__xludf.DUMMYFUNCTION("""COMPUTED_VALUE"""),"➖")</f>
        <v>➖</v>
      </c>
      <c r="U474" s="255" t="str">
        <f>IFERROR(__xludf.DUMMYFUNCTION("""COMPUTED_VALUE"""),"➖")</f>
        <v>➖</v>
      </c>
      <c r="V474" s="259"/>
      <c r="W474" s="286"/>
      <c r="X474" s="286"/>
      <c r="Y474" s="286"/>
    </row>
    <row r="475">
      <c r="A475" s="28"/>
      <c r="B475" s="128"/>
      <c r="C475" s="28"/>
      <c r="D475" s="250" t="str">
        <f>IFERROR(__xludf.DUMMYFUNCTION("""COMPUTED_VALUE"""),"   E")</f>
        <v>E</v>
      </c>
      <c r="E475" s="280" t="str">
        <f>IFERROR(__xludf.DUMMYFUNCTION("""COMPUTED_VALUE"""),"NAGA DELVOS")</f>
        <v>NAGA DELVOS</v>
      </c>
      <c r="F475" s="271" t="str">
        <f>IFERROR(__xludf.DUMMYFUNCTION("""COMPUTED_VALUE"""),"CM")</f>
        <v>CM</v>
      </c>
      <c r="G475" s="281" t="str">
        <f>IFERROR(__xludf.DUMMYFUNCTION("""COMPUTED_VALUE"""),"➖")</f>
        <v>➖</v>
      </c>
      <c r="H475" s="281" t="str">
        <f>IFERROR(__xludf.DUMMYFUNCTION("""COMPUTED_VALUE"""),"➖")</f>
        <v>➖</v>
      </c>
      <c r="I475" s="281" t="str">
        <f>IFERROR(__xludf.DUMMYFUNCTION("""COMPUTED_VALUE"""),"➖")</f>
        <v>➖</v>
      </c>
      <c r="J475" s="281" t="str">
        <f>IFERROR(__xludf.DUMMYFUNCTION("""COMPUTED_VALUE"""),"➖")</f>
        <v>➖</v>
      </c>
      <c r="K475" s="282" t="str">
        <f>IFERROR(__xludf.DUMMYFUNCTION("""COMPUTED_VALUE"""),"➖")</f>
        <v>➖</v>
      </c>
      <c r="L475" s="282" t="str">
        <f>IFERROR(__xludf.DUMMYFUNCTION("""COMPUTED_VALUE"""),"➖")</f>
        <v>➖</v>
      </c>
      <c r="M475" s="282" t="str">
        <f>IFERROR(__xludf.DUMMYFUNCTION("""COMPUTED_VALUE"""),"➖")</f>
        <v>➖</v>
      </c>
      <c r="N475" s="282" t="str">
        <f>IFERROR(__xludf.DUMMYFUNCTION("""COMPUTED_VALUE"""),"➖")</f>
        <v>➖</v>
      </c>
      <c r="O475" s="282" t="str">
        <f>IFERROR(__xludf.DUMMYFUNCTION("""COMPUTED_VALUE"""),"➖")</f>
        <v>➖</v>
      </c>
      <c r="P475" s="282" t="str">
        <f>IFERROR(__xludf.DUMMYFUNCTION("""COMPUTED_VALUE"""),"➖")</f>
        <v>➖</v>
      </c>
      <c r="Q475" s="282" t="str">
        <f>IFERROR(__xludf.DUMMYFUNCTION("""COMPUTED_VALUE"""),"➖")</f>
        <v>➖</v>
      </c>
      <c r="R475" s="283" t="str">
        <f>IFERROR(__xludf.DUMMYFUNCTION("""COMPUTED_VALUE"""),"   ➖")</f>
        <v>➖</v>
      </c>
      <c r="S475" s="284"/>
      <c r="T475" s="285" t="str">
        <f>IFERROR(__xludf.DUMMYFUNCTION("""COMPUTED_VALUE"""),"➖")</f>
        <v>➖</v>
      </c>
      <c r="U475" s="285" t="str">
        <f>IFERROR(__xludf.DUMMYFUNCTION("""COMPUTED_VALUE"""),"✅")</f>
        <v>✅</v>
      </c>
      <c r="V475" s="259"/>
      <c r="W475" s="286"/>
      <c r="X475" s="286"/>
      <c r="Y475" s="286"/>
    </row>
    <row r="476">
      <c r="A476" s="28"/>
      <c r="B476" s="132"/>
      <c r="C476" s="28"/>
      <c r="D476" s="260" t="str">
        <f>IFERROR(__xludf.DUMMYFUNCTION("""COMPUTED_VALUE"""),"   E")</f>
        <v>E</v>
      </c>
      <c r="E476" s="287" t="str">
        <f>IFERROR(__xludf.DUMMYFUNCTION("""COMPUTED_VALUE"""),"NAGA DELVOS")</f>
        <v>NAGA DELVOS</v>
      </c>
      <c r="F476" s="270" t="str">
        <f>IFERROR(__xludf.DUMMYFUNCTION("""COMPUTED_VALUE"""),"OA")</f>
        <v>OA</v>
      </c>
      <c r="G476" s="231" t="str">
        <f>IFERROR(__xludf.DUMMYFUNCTION("""COMPUTED_VALUE"""),"➖")</f>
        <v>➖</v>
      </c>
      <c r="H476" s="231" t="str">
        <f>IFERROR(__xludf.DUMMYFUNCTION("""COMPUTED_VALUE"""),"➖")</f>
        <v>➖</v>
      </c>
      <c r="I476" s="231" t="str">
        <f>IFERROR(__xludf.DUMMYFUNCTION("""COMPUTED_VALUE"""),"➖")</f>
        <v>➖</v>
      </c>
      <c r="J476" s="231" t="str">
        <f>IFERROR(__xludf.DUMMYFUNCTION("""COMPUTED_VALUE"""),"➖")</f>
        <v>➖</v>
      </c>
      <c r="K476" s="288" t="str">
        <f>IFERROR(__xludf.DUMMYFUNCTION("""COMPUTED_VALUE"""),"➖")</f>
        <v>➖</v>
      </c>
      <c r="L476" s="288" t="str">
        <f>IFERROR(__xludf.DUMMYFUNCTION("""COMPUTED_VALUE"""),"➖")</f>
        <v>➖</v>
      </c>
      <c r="M476" s="288" t="str">
        <f>IFERROR(__xludf.DUMMYFUNCTION("""COMPUTED_VALUE"""),"➖")</f>
        <v>➖</v>
      </c>
      <c r="N476" s="288" t="str">
        <f>IFERROR(__xludf.DUMMYFUNCTION("""COMPUTED_VALUE"""),"➖")</f>
        <v>➖</v>
      </c>
      <c r="O476" s="288" t="str">
        <f>IFERROR(__xludf.DUMMYFUNCTION("""COMPUTED_VALUE"""),"➖")</f>
        <v>➖</v>
      </c>
      <c r="P476" s="288" t="str">
        <f>IFERROR(__xludf.DUMMYFUNCTION("""COMPUTED_VALUE"""),"➖")</f>
        <v>➖</v>
      </c>
      <c r="Q476" s="288" t="str">
        <f>IFERROR(__xludf.DUMMYFUNCTION("""COMPUTED_VALUE"""),"➖")</f>
        <v>➖</v>
      </c>
      <c r="R476" s="257" t="str">
        <f>IFERROR(__xludf.DUMMYFUNCTION("""COMPUTED_VALUE"""),"   ➖")</f>
        <v>➖</v>
      </c>
      <c r="S476" s="258"/>
      <c r="T476" s="255" t="str">
        <f>IFERROR(__xludf.DUMMYFUNCTION("""COMPUTED_VALUE"""),"➖")</f>
        <v>➖</v>
      </c>
      <c r="U476" s="255" t="str">
        <f>IFERROR(__xludf.DUMMYFUNCTION("""COMPUTED_VALUE"""),"➖")</f>
        <v>➖</v>
      </c>
      <c r="V476" s="259"/>
      <c r="W476" s="286"/>
      <c r="X476" s="286"/>
      <c r="Y476" s="286"/>
    </row>
    <row r="477">
      <c r="A477" s="28"/>
      <c r="B477" s="128"/>
      <c r="C477" s="28"/>
      <c r="D477" s="250" t="str">
        <f>IFERROR(__xludf.DUMMYFUNCTION("""COMPUTED_VALUE"""),"   E")</f>
        <v>E</v>
      </c>
      <c r="E477" s="280" t="str">
        <f>IFERROR(__xludf.DUMMYFUNCTION("""COMPUTED_VALUE"""),"NAGA DELVOS")</f>
        <v>NAGA DELVOS</v>
      </c>
      <c r="F477" s="271" t="str">
        <f>IFERROR(__xludf.DUMMYFUNCTION("""COMPUTED_VALUE"""),"BDA")</f>
        <v>BDA</v>
      </c>
      <c r="G477" s="281" t="str">
        <f>IFERROR(__xludf.DUMMYFUNCTION("""COMPUTED_VALUE"""),"➖")</f>
        <v>➖</v>
      </c>
      <c r="H477" s="281" t="str">
        <f>IFERROR(__xludf.DUMMYFUNCTION("""COMPUTED_VALUE"""),"➖")</f>
        <v>➖</v>
      </c>
      <c r="I477" s="281" t="str">
        <f>IFERROR(__xludf.DUMMYFUNCTION("""COMPUTED_VALUE"""),"➖")</f>
        <v>➖</v>
      </c>
      <c r="J477" s="281" t="str">
        <f>IFERROR(__xludf.DUMMYFUNCTION("""COMPUTED_VALUE"""),"➖")</f>
        <v>➖</v>
      </c>
      <c r="K477" s="282" t="str">
        <f>IFERROR(__xludf.DUMMYFUNCTION("""COMPUTED_VALUE"""),"➖")</f>
        <v>➖</v>
      </c>
      <c r="L477" s="282" t="str">
        <f>IFERROR(__xludf.DUMMYFUNCTION("""COMPUTED_VALUE"""),"➖")</f>
        <v>➖</v>
      </c>
      <c r="M477" s="282" t="str">
        <f>IFERROR(__xludf.DUMMYFUNCTION("""COMPUTED_VALUE"""),"➖")</f>
        <v>➖</v>
      </c>
      <c r="N477" s="282" t="str">
        <f>IFERROR(__xludf.DUMMYFUNCTION("""COMPUTED_VALUE"""),"➖")</f>
        <v>➖</v>
      </c>
      <c r="O477" s="282" t="str">
        <f>IFERROR(__xludf.DUMMYFUNCTION("""COMPUTED_VALUE"""),"➖")</f>
        <v>➖</v>
      </c>
      <c r="P477" s="282" t="str">
        <f>IFERROR(__xludf.DUMMYFUNCTION("""COMPUTED_VALUE"""),"➖")</f>
        <v>➖</v>
      </c>
      <c r="Q477" s="282" t="str">
        <f>IFERROR(__xludf.DUMMYFUNCTION("""COMPUTED_VALUE"""),"➖")</f>
        <v>➖</v>
      </c>
      <c r="R477" s="283" t="str">
        <f>IFERROR(__xludf.DUMMYFUNCTION("""COMPUTED_VALUE"""),"   ➖")</f>
        <v>➖</v>
      </c>
      <c r="S477" s="284"/>
      <c r="T477" s="285" t="str">
        <f>IFERROR(__xludf.DUMMYFUNCTION("""COMPUTED_VALUE"""),"➖")</f>
        <v>➖</v>
      </c>
      <c r="U477" s="285" t="str">
        <f>IFERROR(__xludf.DUMMYFUNCTION("""COMPUTED_VALUE"""),"✅")</f>
        <v>✅</v>
      </c>
      <c r="V477" s="259"/>
      <c r="W477" s="286"/>
      <c r="X477" s="286"/>
      <c r="Y477" s="286"/>
    </row>
    <row r="478">
      <c r="A478" s="28"/>
      <c r="B478" s="132"/>
      <c r="C478" s="28"/>
      <c r="D478" s="260" t="str">
        <f>IFERROR(__xludf.DUMMYFUNCTION("""COMPUTED_VALUE"""),"   E")</f>
        <v>E</v>
      </c>
      <c r="E478" s="287" t="str">
        <f>IFERROR(__xludf.DUMMYFUNCTION("""COMPUTED_VALUE"""),"DAJASH TOLRA")</f>
        <v>DAJASH TOLRA</v>
      </c>
      <c r="F478" s="270" t="str">
        <f>IFERROR(__xludf.DUMMYFUNCTION("""COMPUTED_VALUE"""),"CM")</f>
        <v>CM</v>
      </c>
      <c r="G478" s="231" t="str">
        <f>IFERROR(__xludf.DUMMYFUNCTION("""COMPUTED_VALUE"""),"➖")</f>
        <v>➖</v>
      </c>
      <c r="H478" s="231" t="str">
        <f>IFERROR(__xludf.DUMMYFUNCTION("""COMPUTED_VALUE"""),"➖")</f>
        <v>➖</v>
      </c>
      <c r="I478" s="231" t="str">
        <f>IFERROR(__xludf.DUMMYFUNCTION("""COMPUTED_VALUE"""),"✅")</f>
        <v>✅</v>
      </c>
      <c r="J478" s="231" t="str">
        <f>IFERROR(__xludf.DUMMYFUNCTION("""COMPUTED_VALUE"""),"➖")</f>
        <v>➖</v>
      </c>
      <c r="K478" s="288" t="str">
        <f>IFERROR(__xludf.DUMMYFUNCTION("""COMPUTED_VALUE"""),"➖")</f>
        <v>➖</v>
      </c>
      <c r="L478" s="288" t="str">
        <f>IFERROR(__xludf.DUMMYFUNCTION("""COMPUTED_VALUE"""),"➖")</f>
        <v>➖</v>
      </c>
      <c r="M478" s="288" t="str">
        <f>IFERROR(__xludf.DUMMYFUNCTION("""COMPUTED_VALUE"""),"✅")</f>
        <v>✅</v>
      </c>
      <c r="N478" s="288" t="str">
        <f>IFERROR(__xludf.DUMMYFUNCTION("""COMPUTED_VALUE"""),"✅")</f>
        <v>✅</v>
      </c>
      <c r="O478" s="288" t="str">
        <f>IFERROR(__xludf.DUMMYFUNCTION("""COMPUTED_VALUE"""),"✅")</f>
        <v>✅</v>
      </c>
      <c r="P478" s="288" t="str">
        <f>IFERROR(__xludf.DUMMYFUNCTION("""COMPUTED_VALUE"""),"➖")</f>
        <v>➖</v>
      </c>
      <c r="Q478" s="288" t="str">
        <f>IFERROR(__xludf.DUMMYFUNCTION("""COMPUTED_VALUE"""),"✅")</f>
        <v>✅</v>
      </c>
      <c r="R478" s="257" t="str">
        <f>IFERROR(__xludf.DUMMYFUNCTION("""COMPUTED_VALUE"""),"   ✅")</f>
        <v>✅</v>
      </c>
      <c r="S478" s="258"/>
      <c r="T478" s="255" t="str">
        <f>IFERROR(__xludf.DUMMYFUNCTION("""COMPUTED_VALUE"""),"✅")</f>
        <v>✅</v>
      </c>
      <c r="U478" s="255" t="str">
        <f>IFERROR(__xludf.DUMMYFUNCTION("""COMPUTED_VALUE"""),"➖")</f>
        <v>➖</v>
      </c>
      <c r="V478" s="259"/>
      <c r="W478" s="286"/>
      <c r="X478" s="286"/>
      <c r="Y478" s="286"/>
    </row>
    <row r="479">
      <c r="A479" s="28"/>
      <c r="B479" s="128"/>
      <c r="C479" s="28"/>
      <c r="D479" s="250" t="str">
        <f>IFERROR(__xludf.DUMMYFUNCTION("""COMPUTED_VALUE"""),"   E")</f>
        <v>E</v>
      </c>
      <c r="E479" s="280" t="str">
        <f>IFERROR(__xludf.DUMMYFUNCTION("""COMPUTED_VALUE"""),"DAJASH TOLRA")</f>
        <v>DAJASH TOLRA</v>
      </c>
      <c r="F479" s="271" t="str">
        <f>IFERROR(__xludf.DUMMYFUNCTION("""COMPUTED_VALUE"""),"OA")</f>
        <v>OA</v>
      </c>
      <c r="G479" s="281" t="str">
        <f>IFERROR(__xludf.DUMMYFUNCTION("""COMPUTED_VALUE"""),"➖")</f>
        <v>➖</v>
      </c>
      <c r="H479" s="281" t="str">
        <f>IFERROR(__xludf.DUMMYFUNCTION("""COMPUTED_VALUE"""),"➖")</f>
        <v>➖</v>
      </c>
      <c r="I479" s="281" t="str">
        <f>IFERROR(__xludf.DUMMYFUNCTION("""COMPUTED_VALUE"""),"➖")</f>
        <v>➖</v>
      </c>
      <c r="J479" s="281" t="str">
        <f>IFERROR(__xludf.DUMMYFUNCTION("""COMPUTED_VALUE"""),"➖")</f>
        <v>➖</v>
      </c>
      <c r="K479" s="282" t="str">
        <f>IFERROR(__xludf.DUMMYFUNCTION("""COMPUTED_VALUE"""),"➖")</f>
        <v>➖</v>
      </c>
      <c r="L479" s="282" t="str">
        <f>IFERROR(__xludf.DUMMYFUNCTION("""COMPUTED_VALUE"""),"➖")</f>
        <v>➖</v>
      </c>
      <c r="M479" s="282" t="str">
        <f>IFERROR(__xludf.DUMMYFUNCTION("""COMPUTED_VALUE"""),"✅")</f>
        <v>✅</v>
      </c>
      <c r="N479" s="282" t="str">
        <f>IFERROR(__xludf.DUMMYFUNCTION("""COMPUTED_VALUE"""),"✅")</f>
        <v>✅</v>
      </c>
      <c r="O479" s="282" t="str">
        <f>IFERROR(__xludf.DUMMYFUNCTION("""COMPUTED_VALUE"""),"✅")</f>
        <v>✅</v>
      </c>
      <c r="P479" s="282" t="str">
        <f>IFERROR(__xludf.DUMMYFUNCTION("""COMPUTED_VALUE"""),"➖")</f>
        <v>➖</v>
      </c>
      <c r="Q479" s="282" t="str">
        <f>IFERROR(__xludf.DUMMYFUNCTION("""COMPUTED_VALUE"""),"➖")</f>
        <v>➖</v>
      </c>
      <c r="R479" s="283" t="str">
        <f>IFERROR(__xludf.DUMMYFUNCTION("""COMPUTED_VALUE"""),"   ➖")</f>
        <v>➖</v>
      </c>
      <c r="S479" s="284"/>
      <c r="T479" s="285" t="str">
        <f>IFERROR(__xludf.DUMMYFUNCTION("""COMPUTED_VALUE"""),"➖")</f>
        <v>➖</v>
      </c>
      <c r="U479" s="285" t="str">
        <f>IFERROR(__xludf.DUMMYFUNCTION("""COMPUTED_VALUE"""),"➖")</f>
        <v>➖</v>
      </c>
      <c r="V479" s="259"/>
      <c r="W479" s="286"/>
      <c r="X479" s="286"/>
      <c r="Y479" s="286"/>
    </row>
    <row r="480">
      <c r="A480" s="28"/>
      <c r="B480" s="132"/>
      <c r="C480" s="28"/>
      <c r="D480" s="260" t="str">
        <f>IFERROR(__xludf.DUMMYFUNCTION("""COMPUTED_VALUE"""),"   R")</f>
        <v>R</v>
      </c>
      <c r="E480" s="287" t="str">
        <f>IFERROR(__xludf.DUMMYFUNCTION("""COMPUTED_VALUE"""),"TOLI")</f>
        <v>TOLI</v>
      </c>
      <c r="F480" s="270" t="str">
        <f>IFERROR(__xludf.DUMMYFUNCTION("""COMPUTED_VALUE"""),"OA")</f>
        <v>OA</v>
      </c>
      <c r="G480" s="231" t="str">
        <f>IFERROR(__xludf.DUMMYFUNCTION("""COMPUTED_VALUE"""),"➖")</f>
        <v>➖</v>
      </c>
      <c r="H480" s="231" t="str">
        <f>IFERROR(__xludf.DUMMYFUNCTION("""COMPUTED_VALUE"""),"➖")</f>
        <v>➖</v>
      </c>
      <c r="I480" s="231" t="str">
        <f>IFERROR(__xludf.DUMMYFUNCTION("""COMPUTED_VALUE"""),"➖")</f>
        <v>➖</v>
      </c>
      <c r="J480" s="231" t="str">
        <f>IFERROR(__xludf.DUMMYFUNCTION("""COMPUTED_VALUE"""),"➖")</f>
        <v>➖</v>
      </c>
      <c r="K480" s="288" t="str">
        <f>IFERROR(__xludf.DUMMYFUNCTION("""COMPUTED_VALUE"""),"➖")</f>
        <v>➖</v>
      </c>
      <c r="L480" s="288" t="str">
        <f>IFERROR(__xludf.DUMMYFUNCTION("""COMPUTED_VALUE"""),"➖")</f>
        <v>➖</v>
      </c>
      <c r="M480" s="288" t="str">
        <f>IFERROR(__xludf.DUMMYFUNCTION("""COMPUTED_VALUE"""),"✅")</f>
        <v>✅</v>
      </c>
      <c r="N480" s="288" t="str">
        <f>IFERROR(__xludf.DUMMYFUNCTION("""COMPUTED_VALUE"""),"✅")</f>
        <v>✅</v>
      </c>
      <c r="O480" s="288" t="str">
        <f>IFERROR(__xludf.DUMMYFUNCTION("""COMPUTED_VALUE"""),"✅")</f>
        <v>✅</v>
      </c>
      <c r="P480" s="288" t="str">
        <f>IFERROR(__xludf.DUMMYFUNCTION("""COMPUTED_VALUE"""),"➖")</f>
        <v>➖</v>
      </c>
      <c r="Q480" s="288" t="str">
        <f>IFERROR(__xludf.DUMMYFUNCTION("""COMPUTED_VALUE"""),"➖")</f>
        <v>➖</v>
      </c>
      <c r="R480" s="257" t="str">
        <f>IFERROR(__xludf.DUMMYFUNCTION("""COMPUTED_VALUE"""),"   ➖")</f>
        <v>➖</v>
      </c>
      <c r="S480" s="258"/>
      <c r="T480" s="255" t="str">
        <f>IFERROR(__xludf.DUMMYFUNCTION("""COMPUTED_VALUE"""),"➖")</f>
        <v>➖</v>
      </c>
      <c r="U480" s="255" t="str">
        <f>IFERROR(__xludf.DUMMYFUNCTION("""COMPUTED_VALUE"""),"➖")</f>
        <v>➖</v>
      </c>
      <c r="V480" s="259"/>
      <c r="W480" s="286"/>
      <c r="X480" s="286"/>
      <c r="Y480" s="286"/>
    </row>
    <row r="481">
      <c r="A481" s="28"/>
      <c r="B481" s="128"/>
      <c r="C481" s="28"/>
      <c r="D481" s="250" t="str">
        <f>IFERROR(__xludf.DUMMYFUNCTION("""COMPUTED_VALUE"""),"   R")</f>
        <v>R</v>
      </c>
      <c r="E481" s="280" t="str">
        <f>IFERROR(__xludf.DUMMYFUNCTION("""COMPUTED_VALUE"""),"TOLI")</f>
        <v>TOLI</v>
      </c>
      <c r="F481" s="271" t="str">
        <f>IFERROR(__xludf.DUMMYFUNCTION("""COMPUTED_VALUE"""),"BDA")</f>
        <v>BDA</v>
      </c>
      <c r="G481" s="281" t="str">
        <f>IFERROR(__xludf.DUMMYFUNCTION("""COMPUTED_VALUE"""),"➖")</f>
        <v>➖</v>
      </c>
      <c r="H481" s="281" t="str">
        <f>IFERROR(__xludf.DUMMYFUNCTION("""COMPUTED_VALUE"""),"➖")</f>
        <v>➖</v>
      </c>
      <c r="I481" s="281" t="str">
        <f>IFERROR(__xludf.DUMMYFUNCTION("""COMPUTED_VALUE"""),"➖")</f>
        <v>➖</v>
      </c>
      <c r="J481" s="281" t="str">
        <f>IFERROR(__xludf.DUMMYFUNCTION("""COMPUTED_VALUE"""),"➖")</f>
        <v>➖</v>
      </c>
      <c r="K481" s="282" t="str">
        <f>IFERROR(__xludf.DUMMYFUNCTION("""COMPUTED_VALUE"""),"➖")</f>
        <v>➖</v>
      </c>
      <c r="L481" s="282" t="str">
        <f>IFERROR(__xludf.DUMMYFUNCTION("""COMPUTED_VALUE"""),"➖")</f>
        <v>➖</v>
      </c>
      <c r="M481" s="282" t="str">
        <f>IFERROR(__xludf.DUMMYFUNCTION("""COMPUTED_VALUE"""),"➖")</f>
        <v>➖</v>
      </c>
      <c r="N481" s="282" t="str">
        <f>IFERROR(__xludf.DUMMYFUNCTION("""COMPUTED_VALUE"""),"➖")</f>
        <v>➖</v>
      </c>
      <c r="O481" s="282" t="str">
        <f>IFERROR(__xludf.DUMMYFUNCTION("""COMPUTED_VALUE"""),"➖")</f>
        <v>➖</v>
      </c>
      <c r="P481" s="282" t="str">
        <f>IFERROR(__xludf.DUMMYFUNCTION("""COMPUTED_VALUE"""),"➖")</f>
        <v>➖</v>
      </c>
      <c r="Q481" s="282" t="str">
        <f>IFERROR(__xludf.DUMMYFUNCTION("""COMPUTED_VALUE"""),"➖")</f>
        <v>➖</v>
      </c>
      <c r="R481" s="283" t="str">
        <f>IFERROR(__xludf.DUMMYFUNCTION("""COMPUTED_VALUE"""),"   ➖")</f>
        <v>➖</v>
      </c>
      <c r="S481" s="284"/>
      <c r="T481" s="285" t="str">
        <f>IFERROR(__xludf.DUMMYFUNCTION("""COMPUTED_VALUE"""),"➖")</f>
        <v>➖</v>
      </c>
      <c r="U481" s="285" t="str">
        <f>IFERROR(__xludf.DUMMYFUNCTION("""COMPUTED_VALUE"""),"✅")</f>
        <v>✅</v>
      </c>
      <c r="V481" s="259"/>
      <c r="W481" s="286"/>
      <c r="X481" s="286"/>
      <c r="Y481" s="286"/>
    </row>
    <row r="482">
      <c r="A482" s="28"/>
      <c r="B482" s="132"/>
      <c r="C482" s="28"/>
      <c r="D482" s="260" t="str">
        <f>IFERROR(__xludf.DUMMYFUNCTION("""COMPUTED_VALUE"""),"   E")</f>
        <v>E</v>
      </c>
      <c r="E482" s="287" t="str">
        <f>IFERROR(__xludf.DUMMYFUNCTION("""COMPUTED_VALUE"""),"MASRIAD VAEL")</f>
        <v>MASRIAD VAEL</v>
      </c>
      <c r="F482" s="270" t="str">
        <f>IFERROR(__xludf.DUMMYFUNCTION("""COMPUTED_VALUE"""),"OA")</f>
        <v>OA</v>
      </c>
      <c r="G482" s="231" t="str">
        <f>IFERROR(__xludf.DUMMYFUNCTION("""COMPUTED_VALUE"""),"➖")</f>
        <v>➖</v>
      </c>
      <c r="H482" s="231" t="str">
        <f>IFERROR(__xludf.DUMMYFUNCTION("""COMPUTED_VALUE"""),"➖")</f>
        <v>➖</v>
      </c>
      <c r="I482" s="231" t="str">
        <f>IFERROR(__xludf.DUMMYFUNCTION("""COMPUTED_VALUE"""),"➖")</f>
        <v>➖</v>
      </c>
      <c r="J482" s="231" t="str">
        <f>IFERROR(__xludf.DUMMYFUNCTION("""COMPUTED_VALUE"""),"➖")</f>
        <v>➖</v>
      </c>
      <c r="K482" s="288" t="str">
        <f>IFERROR(__xludf.DUMMYFUNCTION("""COMPUTED_VALUE"""),"➖")</f>
        <v>➖</v>
      </c>
      <c r="L482" s="288" t="str">
        <f>IFERROR(__xludf.DUMMYFUNCTION("""COMPUTED_VALUE"""),"➖")</f>
        <v>➖</v>
      </c>
      <c r="M482" s="288" t="str">
        <f>IFERROR(__xludf.DUMMYFUNCTION("""COMPUTED_VALUE"""),"➖")</f>
        <v>➖</v>
      </c>
      <c r="N482" s="288" t="str">
        <f>IFERROR(__xludf.DUMMYFUNCTION("""COMPUTED_VALUE"""),"➖")</f>
        <v>➖</v>
      </c>
      <c r="O482" s="288" t="str">
        <f>IFERROR(__xludf.DUMMYFUNCTION("""COMPUTED_VALUE"""),"✅")</f>
        <v>✅</v>
      </c>
      <c r="P482" s="288" t="str">
        <f>IFERROR(__xludf.DUMMYFUNCTION("""COMPUTED_VALUE"""),"➖")</f>
        <v>➖</v>
      </c>
      <c r="Q482" s="288" t="str">
        <f>IFERROR(__xludf.DUMMYFUNCTION("""COMPUTED_VALUE"""),"➖")</f>
        <v>➖</v>
      </c>
      <c r="R482" s="257" t="str">
        <f>IFERROR(__xludf.DUMMYFUNCTION("""COMPUTED_VALUE"""),"   ➖")</f>
        <v>➖</v>
      </c>
      <c r="S482" s="258"/>
      <c r="T482" s="255" t="str">
        <f>IFERROR(__xludf.DUMMYFUNCTION("""COMPUTED_VALUE"""),"➖")</f>
        <v>➖</v>
      </c>
      <c r="U482" s="255" t="str">
        <f>IFERROR(__xludf.DUMMYFUNCTION("""COMPUTED_VALUE"""),"➖")</f>
        <v>➖</v>
      </c>
      <c r="V482" s="259"/>
      <c r="W482" s="286"/>
      <c r="X482" s="286"/>
      <c r="Y482" s="286"/>
    </row>
    <row r="483">
      <c r="A483" s="28"/>
      <c r="B483" s="128"/>
      <c r="C483" s="28"/>
      <c r="D483" s="250" t="str">
        <f>IFERROR(__xludf.DUMMYFUNCTION("""COMPUTED_VALUE"""),"   E")</f>
        <v>E</v>
      </c>
      <c r="E483" s="280" t="str">
        <f>IFERROR(__xludf.DUMMYFUNCTION("""COMPUTED_VALUE"""),"MASRIAD VAEL")</f>
        <v>MASRIAD VAEL</v>
      </c>
      <c r="F483" s="271" t="str">
        <f>IFERROR(__xludf.DUMMYFUNCTION("""COMPUTED_VALUE"""),"BDA")</f>
        <v>BDA</v>
      </c>
      <c r="G483" s="281" t="str">
        <f>IFERROR(__xludf.DUMMYFUNCTION("""COMPUTED_VALUE"""),"➖")</f>
        <v>➖</v>
      </c>
      <c r="H483" s="281" t="str">
        <f>IFERROR(__xludf.DUMMYFUNCTION("""COMPUTED_VALUE"""),"➖")</f>
        <v>➖</v>
      </c>
      <c r="I483" s="281" t="str">
        <f>IFERROR(__xludf.DUMMYFUNCTION("""COMPUTED_VALUE"""),"✅")</f>
        <v>✅</v>
      </c>
      <c r="J483" s="281" t="str">
        <f>IFERROR(__xludf.DUMMYFUNCTION("""COMPUTED_VALUE"""),"✅")</f>
        <v>✅</v>
      </c>
      <c r="K483" s="282" t="str">
        <f>IFERROR(__xludf.DUMMYFUNCTION("""COMPUTED_VALUE"""),"✅")</f>
        <v>✅</v>
      </c>
      <c r="L483" s="282" t="str">
        <f>IFERROR(__xludf.DUMMYFUNCTION("""COMPUTED_VALUE"""),"➖")</f>
        <v>➖</v>
      </c>
      <c r="M483" s="282" t="str">
        <f>IFERROR(__xludf.DUMMYFUNCTION("""COMPUTED_VALUE"""),"✅")</f>
        <v>✅</v>
      </c>
      <c r="N483" s="282" t="str">
        <f>IFERROR(__xludf.DUMMYFUNCTION("""COMPUTED_VALUE"""),"✅")</f>
        <v>✅</v>
      </c>
      <c r="O483" s="282" t="str">
        <f>IFERROR(__xludf.DUMMYFUNCTION("""COMPUTED_VALUE"""),"✅")</f>
        <v>✅</v>
      </c>
      <c r="P483" s="282" t="str">
        <f>IFERROR(__xludf.DUMMYFUNCTION("""COMPUTED_VALUE"""),"➖")</f>
        <v>➖</v>
      </c>
      <c r="Q483" s="282" t="str">
        <f>IFERROR(__xludf.DUMMYFUNCTION("""COMPUTED_VALUE"""),"➖")</f>
        <v>➖</v>
      </c>
      <c r="R483" s="283" t="str">
        <f>IFERROR(__xludf.DUMMYFUNCTION("""COMPUTED_VALUE"""),"   ➖")</f>
        <v>➖</v>
      </c>
      <c r="S483" s="284"/>
      <c r="T483" s="285" t="str">
        <f>IFERROR(__xludf.DUMMYFUNCTION("""COMPUTED_VALUE"""),"➖")</f>
        <v>➖</v>
      </c>
      <c r="U483" s="285" t="str">
        <f>IFERROR(__xludf.DUMMYFUNCTION("""COMPUTED_VALUE"""),"➖")</f>
        <v>➖</v>
      </c>
      <c r="V483" s="259"/>
      <c r="W483" s="286"/>
      <c r="X483" s="286"/>
      <c r="Y483" s="286"/>
    </row>
    <row r="484">
      <c r="A484" s="28"/>
      <c r="B484" s="132"/>
      <c r="C484" s="28"/>
      <c r="D484" s="260" t="str">
        <f>IFERROR(__xludf.DUMMYFUNCTION("""COMPUTED_VALUE"""),"   R")</f>
        <v>R</v>
      </c>
      <c r="E484" s="287" t="str">
        <f>IFERROR(__xludf.DUMMYFUNCTION("""COMPUTED_VALUE"""),"BYR CH'KELRER")</f>
        <v>BYR CH'KELRER</v>
      </c>
      <c r="F484" s="270" t="str">
        <f>IFERROR(__xludf.DUMMYFUNCTION("""COMPUTED_VALUE"""),"OA")</f>
        <v>OA</v>
      </c>
      <c r="G484" s="231" t="str">
        <f>IFERROR(__xludf.DUMMYFUNCTION("""COMPUTED_VALUE"""),"➖")</f>
        <v>➖</v>
      </c>
      <c r="H484" s="231" t="str">
        <f>IFERROR(__xludf.DUMMYFUNCTION("""COMPUTED_VALUE"""),"➖")</f>
        <v>➖</v>
      </c>
      <c r="I484" s="231" t="str">
        <f>IFERROR(__xludf.DUMMYFUNCTION("""COMPUTED_VALUE"""),"✅")</f>
        <v>✅</v>
      </c>
      <c r="J484" s="231" t="str">
        <f>IFERROR(__xludf.DUMMYFUNCTION("""COMPUTED_VALUE"""),"✅")</f>
        <v>✅</v>
      </c>
      <c r="K484" s="288" t="str">
        <f>IFERROR(__xludf.DUMMYFUNCTION("""COMPUTED_VALUE"""),"✅")</f>
        <v>✅</v>
      </c>
      <c r="L484" s="288" t="str">
        <f>IFERROR(__xludf.DUMMYFUNCTION("""COMPUTED_VALUE"""),"➖")</f>
        <v>➖</v>
      </c>
      <c r="M484" s="288" t="str">
        <f>IFERROR(__xludf.DUMMYFUNCTION("""COMPUTED_VALUE"""),"✅")</f>
        <v>✅</v>
      </c>
      <c r="N484" s="288" t="str">
        <f>IFERROR(__xludf.DUMMYFUNCTION("""COMPUTED_VALUE"""),"✅")</f>
        <v>✅</v>
      </c>
      <c r="O484" s="288" t="str">
        <f>IFERROR(__xludf.DUMMYFUNCTION("""COMPUTED_VALUE"""),"✅")</f>
        <v>✅</v>
      </c>
      <c r="P484" s="288" t="str">
        <f>IFERROR(__xludf.DUMMYFUNCTION("""COMPUTED_VALUE"""),"➖")</f>
        <v>➖</v>
      </c>
      <c r="Q484" s="288" t="str">
        <f>IFERROR(__xludf.DUMMYFUNCTION("""COMPUTED_VALUE"""),"➖")</f>
        <v>➖</v>
      </c>
      <c r="R484" s="257" t="str">
        <f>IFERROR(__xludf.DUMMYFUNCTION("""COMPUTED_VALUE"""),"   ➖")</f>
        <v>➖</v>
      </c>
      <c r="S484" s="258"/>
      <c r="T484" s="255" t="str">
        <f>IFERROR(__xludf.DUMMYFUNCTION("""COMPUTED_VALUE"""),"➖")</f>
        <v>➖</v>
      </c>
      <c r="U484" s="255" t="str">
        <f>IFERROR(__xludf.DUMMYFUNCTION("""COMPUTED_VALUE"""),"➖")</f>
        <v>➖</v>
      </c>
      <c r="V484" s="259"/>
      <c r="W484" s="286"/>
      <c r="X484" s="286"/>
      <c r="Y484" s="286"/>
    </row>
    <row r="485">
      <c r="A485" s="28"/>
      <c r="B485" s="128"/>
      <c r="C485" s="28"/>
      <c r="D485" s="250" t="str">
        <f>IFERROR(__xludf.DUMMYFUNCTION("""COMPUTED_VALUE"""),"   R")</f>
        <v>R</v>
      </c>
      <c r="E485" s="280" t="str">
        <f>IFERROR(__xludf.DUMMYFUNCTION("""COMPUTED_VALUE"""),"BYR CH'KELRER")</f>
        <v>BYR CH'KELRER</v>
      </c>
      <c r="F485" s="271" t="str">
        <f>IFERROR(__xludf.DUMMYFUNCTION("""COMPUTED_VALUE"""),"BDA")</f>
        <v>BDA</v>
      </c>
      <c r="G485" s="281" t="str">
        <f>IFERROR(__xludf.DUMMYFUNCTION("""COMPUTED_VALUE"""),"➖")</f>
        <v>➖</v>
      </c>
      <c r="H485" s="281" t="str">
        <f>IFERROR(__xludf.DUMMYFUNCTION("""COMPUTED_VALUE"""),"➖")</f>
        <v>➖</v>
      </c>
      <c r="I485" s="281" t="str">
        <f>IFERROR(__xludf.DUMMYFUNCTION("""COMPUTED_VALUE"""),"✅")</f>
        <v>✅</v>
      </c>
      <c r="J485" s="281" t="str">
        <f>IFERROR(__xludf.DUMMYFUNCTION("""COMPUTED_VALUE"""),"➖")</f>
        <v>➖</v>
      </c>
      <c r="K485" s="282" t="str">
        <f>IFERROR(__xludf.DUMMYFUNCTION("""COMPUTED_VALUE"""),"➖")</f>
        <v>➖</v>
      </c>
      <c r="L485" s="282" t="str">
        <f>IFERROR(__xludf.DUMMYFUNCTION("""COMPUTED_VALUE"""),"➖")</f>
        <v>➖</v>
      </c>
      <c r="M485" s="282" t="str">
        <f>IFERROR(__xludf.DUMMYFUNCTION("""COMPUTED_VALUE"""),"➖")</f>
        <v>➖</v>
      </c>
      <c r="N485" s="282" t="str">
        <f>IFERROR(__xludf.DUMMYFUNCTION("""COMPUTED_VALUE"""),"➖")</f>
        <v>➖</v>
      </c>
      <c r="O485" s="282" t="str">
        <f>IFERROR(__xludf.DUMMYFUNCTION("""COMPUTED_VALUE"""),"➖")</f>
        <v>➖</v>
      </c>
      <c r="P485" s="282" t="str">
        <f>IFERROR(__xludf.DUMMYFUNCTION("""COMPUTED_VALUE"""),"➖")</f>
        <v>➖</v>
      </c>
      <c r="Q485" s="282" t="str">
        <f>IFERROR(__xludf.DUMMYFUNCTION("""COMPUTED_VALUE"""),"➖")</f>
        <v>➖</v>
      </c>
      <c r="R485" s="283" t="str">
        <f>IFERROR(__xludf.DUMMYFUNCTION("""COMPUTED_VALUE"""),"   ➖")</f>
        <v>➖</v>
      </c>
      <c r="S485" s="284"/>
      <c r="T485" s="285" t="str">
        <f>IFERROR(__xludf.DUMMYFUNCTION("""COMPUTED_VALUE"""),"✅")</f>
        <v>✅</v>
      </c>
      <c r="U485" s="285" t="str">
        <f>IFERROR(__xludf.DUMMYFUNCTION("""COMPUTED_VALUE"""),"➖")</f>
        <v>➖</v>
      </c>
      <c r="V485" s="259"/>
      <c r="W485" s="286"/>
      <c r="X485" s="286"/>
      <c r="Y485" s="286"/>
    </row>
    <row r="486">
      <c r="A486" s="28"/>
      <c r="B486" s="132"/>
      <c r="C486" s="28"/>
      <c r="D486" s="260" t="str">
        <f>IFERROR(__xludf.DUMMYFUNCTION("""COMPUTED_VALUE"""),"   E")</f>
        <v>E</v>
      </c>
      <c r="E486" s="287" t="str">
        <f>IFERROR(__xludf.DUMMYFUNCTION("""COMPUTED_VALUE"""),"PHELLUN")</f>
        <v>PHELLUN</v>
      </c>
      <c r="F486" s="270" t="str">
        <f>IFERROR(__xludf.DUMMYFUNCTION("""COMPUTED_VALUE"""),"OA")</f>
        <v>OA</v>
      </c>
      <c r="G486" s="231" t="str">
        <f>IFERROR(__xludf.DUMMYFUNCTION("""COMPUTED_VALUE"""),"➖")</f>
        <v>➖</v>
      </c>
      <c r="H486" s="231" t="str">
        <f>IFERROR(__xludf.DUMMYFUNCTION("""COMPUTED_VALUE"""),"➖")</f>
        <v>➖</v>
      </c>
      <c r="I486" s="231" t="str">
        <f>IFERROR(__xludf.DUMMYFUNCTION("""COMPUTED_VALUE"""),"✴️")</f>
        <v>✴️</v>
      </c>
      <c r="J486" s="231" t="str">
        <f>IFERROR(__xludf.DUMMYFUNCTION("""COMPUTED_VALUE"""),"➖")</f>
        <v>➖</v>
      </c>
      <c r="K486" s="288" t="str">
        <f>IFERROR(__xludf.DUMMYFUNCTION("""COMPUTED_VALUE"""),"➖")</f>
        <v>➖</v>
      </c>
      <c r="L486" s="288" t="str">
        <f>IFERROR(__xludf.DUMMYFUNCTION("""COMPUTED_VALUE"""),"➖")</f>
        <v>➖</v>
      </c>
      <c r="M486" s="288" t="str">
        <f>IFERROR(__xludf.DUMMYFUNCTION("""COMPUTED_VALUE"""),"✴️")</f>
        <v>✴️</v>
      </c>
      <c r="N486" s="288" t="str">
        <f>IFERROR(__xludf.DUMMYFUNCTION("""COMPUTED_VALUE"""),"✴️")</f>
        <v>✴️</v>
      </c>
      <c r="O486" s="288" t="str">
        <f>IFERROR(__xludf.DUMMYFUNCTION("""COMPUTED_VALUE"""),"➖")</f>
        <v>➖</v>
      </c>
      <c r="P486" s="288" t="str">
        <f>IFERROR(__xludf.DUMMYFUNCTION("""COMPUTED_VALUE"""),"➖")</f>
        <v>➖</v>
      </c>
      <c r="Q486" s="288" t="str">
        <f>IFERROR(__xludf.DUMMYFUNCTION("""COMPUTED_VALUE"""),"➖")</f>
        <v>➖</v>
      </c>
      <c r="R486" s="257" t="str">
        <f>IFERROR(__xludf.DUMMYFUNCTION("""COMPUTED_VALUE"""),"   ➖")</f>
        <v>➖</v>
      </c>
      <c r="S486" s="258" t="str">
        <f>IFERROR(__xludf.DUMMYFUNCTION("""COMPUTED_VALUE"""),"FactionPointsGain")</f>
        <v>FactionPointsGain</v>
      </c>
      <c r="T486" s="255" t="str">
        <f>IFERROR(__xludf.DUMMYFUNCTION("""COMPUTED_VALUE"""),"✅")</f>
        <v>✅</v>
      </c>
      <c r="U486" s="255" t="str">
        <f>IFERROR(__xludf.DUMMYFUNCTION("""COMPUTED_VALUE"""),"➖")</f>
        <v>➖</v>
      </c>
      <c r="V486" s="259"/>
      <c r="W486" s="286"/>
      <c r="X486" s="286"/>
      <c r="Y486" s="286"/>
    </row>
    <row r="487">
      <c r="A487" s="28"/>
      <c r="B487" s="128"/>
      <c r="C487" s="28"/>
      <c r="D487" s="250" t="str">
        <f>IFERROR(__xludf.DUMMYFUNCTION("""COMPUTED_VALUE"""),"   E")</f>
        <v>E</v>
      </c>
      <c r="E487" s="280" t="str">
        <f>IFERROR(__xludf.DUMMYFUNCTION("""COMPUTED_VALUE"""),"PHELLUN")</f>
        <v>PHELLUN</v>
      </c>
      <c r="F487" s="271" t="str">
        <f>IFERROR(__xludf.DUMMYFUNCTION("""COMPUTED_VALUE"""),"BDA")</f>
        <v>BDA</v>
      </c>
      <c r="G487" s="281" t="str">
        <f>IFERROR(__xludf.DUMMYFUNCTION("""COMPUTED_VALUE"""),"➖")</f>
        <v>➖</v>
      </c>
      <c r="H487" s="281" t="str">
        <f>IFERROR(__xludf.DUMMYFUNCTION("""COMPUTED_VALUE"""),"➖")</f>
        <v>➖</v>
      </c>
      <c r="I487" s="281" t="str">
        <f>IFERROR(__xludf.DUMMYFUNCTION("""COMPUTED_VALUE"""),"➖")</f>
        <v>➖</v>
      </c>
      <c r="J487" s="281" t="str">
        <f>IFERROR(__xludf.DUMMYFUNCTION("""COMPUTED_VALUE"""),"➖")</f>
        <v>➖</v>
      </c>
      <c r="K487" s="282" t="str">
        <f>IFERROR(__xludf.DUMMYFUNCTION("""COMPUTED_VALUE"""),"➖")</f>
        <v>➖</v>
      </c>
      <c r="L487" s="282" t="str">
        <f>IFERROR(__xludf.DUMMYFUNCTION("""COMPUTED_VALUE"""),"➖")</f>
        <v>➖</v>
      </c>
      <c r="M487" s="282" t="str">
        <f>IFERROR(__xludf.DUMMYFUNCTION("""COMPUTED_VALUE"""),"➖")</f>
        <v>➖</v>
      </c>
      <c r="N487" s="282" t="str">
        <f>IFERROR(__xludf.DUMMYFUNCTION("""COMPUTED_VALUE"""),"➖")</f>
        <v>➖</v>
      </c>
      <c r="O487" s="282" t="str">
        <f>IFERROR(__xludf.DUMMYFUNCTION("""COMPUTED_VALUE"""),"➖")</f>
        <v>➖</v>
      </c>
      <c r="P487" s="282" t="str">
        <f>IFERROR(__xludf.DUMMYFUNCTION("""COMPUTED_VALUE"""),"➖")</f>
        <v>➖</v>
      </c>
      <c r="Q487" s="282" t="str">
        <f>IFERROR(__xludf.DUMMYFUNCTION("""COMPUTED_VALUE"""),"➖")</f>
        <v>➖</v>
      </c>
      <c r="R487" s="283" t="str">
        <f>IFERROR(__xludf.DUMMYFUNCTION("""COMPUTED_VALUE"""),"   ➖")</f>
        <v>➖</v>
      </c>
      <c r="S487" s="284"/>
      <c r="T487" s="285" t="str">
        <f>IFERROR(__xludf.DUMMYFUNCTION("""COMPUTED_VALUE"""),"➖")</f>
        <v>➖</v>
      </c>
      <c r="U487" s="285" t="str">
        <f>IFERROR(__xludf.DUMMYFUNCTION("""COMPUTED_VALUE"""),"✅")</f>
        <v>✅</v>
      </c>
      <c r="V487" s="259"/>
      <c r="W487" s="286"/>
      <c r="X487" s="286"/>
      <c r="Y487" s="286"/>
    </row>
    <row r="488">
      <c r="A488" s="28"/>
      <c r="B488" s="132"/>
      <c r="C488" s="28"/>
      <c r="D488" s="260" t="str">
        <f>IFERROR(__xludf.DUMMYFUNCTION("""COMPUTED_VALUE"""),"   E")</f>
        <v>E</v>
      </c>
      <c r="E488" s="287" t="str">
        <f>IFERROR(__xludf.DUMMYFUNCTION("""COMPUTED_VALUE"""),"MIRROR UHURA")</f>
        <v>MIRROR UHURA</v>
      </c>
      <c r="F488" s="270" t="str">
        <f>IFERROR(__xludf.DUMMYFUNCTION("""COMPUTED_VALUE"""),"OA")</f>
        <v>OA</v>
      </c>
      <c r="G488" s="231" t="str">
        <f>IFERROR(__xludf.DUMMYFUNCTION("""COMPUTED_VALUE"""),"✴️")</f>
        <v>✴️</v>
      </c>
      <c r="H488" s="231" t="str">
        <f>IFERROR(__xludf.DUMMYFUNCTION("""COMPUTED_VALUE"""),"➖")</f>
        <v>➖</v>
      </c>
      <c r="I488" s="231" t="str">
        <f>IFERROR(__xludf.DUMMYFUNCTION("""COMPUTED_VALUE"""),"➖")</f>
        <v>➖</v>
      </c>
      <c r="J488" s="231" t="str">
        <f>IFERROR(__xludf.DUMMYFUNCTION("""COMPUTED_VALUE"""),"➖")</f>
        <v>➖</v>
      </c>
      <c r="K488" s="288" t="str">
        <f>IFERROR(__xludf.DUMMYFUNCTION("""COMPUTED_VALUE"""),"➖")</f>
        <v>➖</v>
      </c>
      <c r="L488" s="288" t="str">
        <f>IFERROR(__xludf.DUMMYFUNCTION("""COMPUTED_VALUE"""),"➖")</f>
        <v>➖</v>
      </c>
      <c r="M488" s="288" t="str">
        <f>IFERROR(__xludf.DUMMYFUNCTION("""COMPUTED_VALUE"""),"➖")</f>
        <v>➖</v>
      </c>
      <c r="N488" s="288" t="str">
        <f>IFERROR(__xludf.DUMMYFUNCTION("""COMPUTED_VALUE"""),"➖")</f>
        <v>➖</v>
      </c>
      <c r="O488" s="288" t="str">
        <f>IFERROR(__xludf.DUMMYFUNCTION("""COMPUTED_VALUE"""),"➖")</f>
        <v>➖</v>
      </c>
      <c r="P488" s="288" t="str">
        <f>IFERROR(__xludf.DUMMYFUNCTION("""COMPUTED_VALUE"""),"➖")</f>
        <v>➖</v>
      </c>
      <c r="Q488" s="288" t="str">
        <f>IFERROR(__xludf.DUMMYFUNCTION("""COMPUTED_VALUE"""),"➖")</f>
        <v>➖</v>
      </c>
      <c r="R488" s="257" t="str">
        <f>IFERROR(__xludf.DUMMYFUNCTION("""COMPUTED_VALUE"""),"   ➖")</f>
        <v>➖</v>
      </c>
      <c r="S488" s="258" t="str">
        <f>IFERROR(__xludf.DUMMYFUNCTION("""COMPUTED_VALUE"""),"TargetHasAssimilated, SelfOfficerTalNotOnBridge")</f>
        <v>TargetHasAssimilated, SelfOfficerTalNotOnBridge</v>
      </c>
      <c r="T488" s="255" t="str">
        <f>IFERROR(__xludf.DUMMYFUNCTION("""COMPUTED_VALUE"""),"➖")</f>
        <v>➖</v>
      </c>
      <c r="U488" s="255" t="str">
        <f>IFERROR(__xludf.DUMMYFUNCTION("""COMPUTED_VALUE"""),"➖")</f>
        <v>➖</v>
      </c>
      <c r="V488" s="259"/>
      <c r="W488" s="286"/>
      <c r="X488" s="286"/>
      <c r="Y488" s="286"/>
    </row>
    <row r="489">
      <c r="A489" s="28"/>
      <c r="B489" s="128"/>
      <c r="C489" s="28"/>
      <c r="D489" s="250" t="str">
        <f>IFERROR(__xludf.DUMMYFUNCTION("""COMPUTED_VALUE"""),"   E")</f>
        <v>E</v>
      </c>
      <c r="E489" s="280" t="str">
        <f>IFERROR(__xludf.DUMMYFUNCTION("""COMPUTED_VALUE"""),"MIRROR UHURA")</f>
        <v>MIRROR UHURA</v>
      </c>
      <c r="F489" s="271" t="str">
        <f>IFERROR(__xludf.DUMMYFUNCTION("""COMPUTED_VALUE"""),"BDA")</f>
        <v>BDA</v>
      </c>
      <c r="G489" s="281" t="str">
        <f>IFERROR(__xludf.DUMMYFUNCTION("""COMPUTED_VALUE"""),"➖")</f>
        <v>➖</v>
      </c>
      <c r="H489" s="281" t="str">
        <f>IFERROR(__xludf.DUMMYFUNCTION("""COMPUTED_VALUE"""),"➖")</f>
        <v>➖</v>
      </c>
      <c r="I489" s="281" t="str">
        <f>IFERROR(__xludf.DUMMYFUNCTION("""COMPUTED_VALUE"""),"✴️")</f>
        <v>✴️</v>
      </c>
      <c r="J489" s="281" t="str">
        <f>IFERROR(__xludf.DUMMYFUNCTION("""COMPUTED_VALUE"""),"✴️")</f>
        <v>✴️</v>
      </c>
      <c r="K489" s="282" t="str">
        <f>IFERROR(__xludf.DUMMYFUNCTION("""COMPUTED_VALUE"""),"✴️")</f>
        <v>✴️</v>
      </c>
      <c r="L489" s="282" t="str">
        <f>IFERROR(__xludf.DUMMYFUNCTION("""COMPUTED_VALUE"""),"➖")</f>
        <v>➖</v>
      </c>
      <c r="M489" s="282" t="str">
        <f>IFERROR(__xludf.DUMMYFUNCTION("""COMPUTED_VALUE"""),"➖")</f>
        <v>➖</v>
      </c>
      <c r="N489" s="282" t="str">
        <f>IFERROR(__xludf.DUMMYFUNCTION("""COMPUTED_VALUE"""),"➖")</f>
        <v>➖</v>
      </c>
      <c r="O489" s="282" t="str">
        <f>IFERROR(__xludf.DUMMYFUNCTION("""COMPUTED_VALUE"""),"➖")</f>
        <v>➖</v>
      </c>
      <c r="P489" s="282" t="str">
        <f>IFERROR(__xludf.DUMMYFUNCTION("""COMPUTED_VALUE"""),"➖")</f>
        <v>➖</v>
      </c>
      <c r="Q489" s="282" t="str">
        <f>IFERROR(__xludf.DUMMYFUNCTION("""COMPUTED_VALUE"""),"➖")</f>
        <v>➖</v>
      </c>
      <c r="R489" s="283" t="str">
        <f>IFERROR(__xludf.DUMMYFUNCTION("""COMPUTED_VALUE"""),"   ➖")</f>
        <v>➖</v>
      </c>
      <c r="S489" s="284" t="str">
        <f>IFERROR(__xludf.DUMMYFUNCTION("""COMPUTED_VALUE"""),"SelfOfficerTalNotOnBridge")</f>
        <v>SelfOfficerTalNotOnBridge</v>
      </c>
      <c r="T489" s="285" t="str">
        <f>IFERROR(__xludf.DUMMYFUNCTION("""COMPUTED_VALUE"""),"➖")</f>
        <v>➖</v>
      </c>
      <c r="U489" s="285" t="str">
        <f>IFERROR(__xludf.DUMMYFUNCTION("""COMPUTED_VALUE"""),"➖")</f>
        <v>➖</v>
      </c>
      <c r="V489" s="259"/>
      <c r="W489" s="286"/>
      <c r="X489" s="286"/>
      <c r="Y489" s="286"/>
    </row>
    <row r="490">
      <c r="A490" s="28"/>
      <c r="B490" s="132"/>
      <c r="C490" s="28"/>
      <c r="D490" s="260" t="str">
        <f>IFERROR(__xludf.DUMMYFUNCTION("""COMPUTED_VALUE"""),"   E")</f>
        <v>E</v>
      </c>
      <c r="E490" s="287" t="str">
        <f>IFERROR(__xludf.DUMMYFUNCTION("""COMPUTED_VALUE"""),"STARFLEET Q")</f>
        <v>STARFLEET Q</v>
      </c>
      <c r="F490" s="270" t="str">
        <f>IFERROR(__xludf.DUMMYFUNCTION("""COMPUTED_VALUE"""),"CM")</f>
        <v>CM</v>
      </c>
      <c r="G490" s="231" t="str">
        <f>IFERROR(__xludf.DUMMYFUNCTION("""COMPUTED_VALUE"""),"✅")</f>
        <v>✅</v>
      </c>
      <c r="H490" s="231" t="str">
        <f>IFERROR(__xludf.DUMMYFUNCTION("""COMPUTED_VALUE"""),"✅")</f>
        <v>✅</v>
      </c>
      <c r="I490" s="231" t="str">
        <f>IFERROR(__xludf.DUMMYFUNCTION("""COMPUTED_VALUE"""),"➖")</f>
        <v>➖</v>
      </c>
      <c r="J490" s="231" t="str">
        <f>IFERROR(__xludf.DUMMYFUNCTION("""COMPUTED_VALUE"""),"➖")</f>
        <v>➖</v>
      </c>
      <c r="K490" s="288" t="str">
        <f>IFERROR(__xludf.DUMMYFUNCTION("""COMPUTED_VALUE"""),"➖")</f>
        <v>➖</v>
      </c>
      <c r="L490" s="288" t="str">
        <f>IFERROR(__xludf.DUMMYFUNCTION("""COMPUTED_VALUE"""),"➖")</f>
        <v>➖</v>
      </c>
      <c r="M490" s="288" t="str">
        <f>IFERROR(__xludf.DUMMYFUNCTION("""COMPUTED_VALUE"""),"➖")</f>
        <v>➖</v>
      </c>
      <c r="N490" s="288" t="str">
        <f>IFERROR(__xludf.DUMMYFUNCTION("""COMPUTED_VALUE"""),"➖")</f>
        <v>➖</v>
      </c>
      <c r="O490" s="288" t="str">
        <f>IFERROR(__xludf.DUMMYFUNCTION("""COMPUTED_VALUE"""),"➖")</f>
        <v>➖</v>
      </c>
      <c r="P490" s="288" t="str">
        <f>IFERROR(__xludf.DUMMYFUNCTION("""COMPUTED_VALUE"""),"➖")</f>
        <v>➖</v>
      </c>
      <c r="Q490" s="288" t="str">
        <f>IFERROR(__xludf.DUMMYFUNCTION("""COMPUTED_VALUE"""),"➖")</f>
        <v>➖</v>
      </c>
      <c r="R490" s="257" t="str">
        <f>IFERROR(__xludf.DUMMYFUNCTION("""COMPUTED_VALUE"""),"   ➖")</f>
        <v>➖</v>
      </c>
      <c r="S490" s="258"/>
      <c r="T490" s="255" t="str">
        <f>IFERROR(__xludf.DUMMYFUNCTION("""COMPUTED_VALUE"""),"➖")</f>
        <v>➖</v>
      </c>
      <c r="U490" s="255" t="str">
        <f>IFERROR(__xludf.DUMMYFUNCTION("""COMPUTED_VALUE"""),"➖")</f>
        <v>➖</v>
      </c>
      <c r="V490" s="259"/>
      <c r="W490" s="286"/>
      <c r="X490" s="286"/>
      <c r="Y490" s="286"/>
    </row>
    <row r="491">
      <c r="A491" s="28"/>
      <c r="B491" s="128"/>
      <c r="C491" s="28"/>
      <c r="D491" s="250" t="str">
        <f>IFERROR(__xludf.DUMMYFUNCTION("""COMPUTED_VALUE"""),"   E")</f>
        <v>E</v>
      </c>
      <c r="E491" s="280" t="str">
        <f>IFERROR(__xludf.DUMMYFUNCTION("""COMPUTED_VALUE"""),"STARFLEET Q")</f>
        <v>STARFLEET Q</v>
      </c>
      <c r="F491" s="271" t="str">
        <f>IFERROR(__xludf.DUMMYFUNCTION("""COMPUTED_VALUE"""),"OA")</f>
        <v>OA</v>
      </c>
      <c r="G491" s="281" t="str">
        <f>IFERROR(__xludf.DUMMYFUNCTION("""COMPUTED_VALUE"""),"✴️")</f>
        <v>✴️</v>
      </c>
      <c r="H491" s="281" t="str">
        <f>IFERROR(__xludf.DUMMYFUNCTION("""COMPUTED_VALUE"""),"✴️")</f>
        <v>✴️</v>
      </c>
      <c r="I491" s="281" t="str">
        <f>IFERROR(__xludf.DUMMYFUNCTION("""COMPUTED_VALUE"""),"➖")</f>
        <v>➖</v>
      </c>
      <c r="J491" s="281" t="str">
        <f>IFERROR(__xludf.DUMMYFUNCTION("""COMPUTED_VALUE"""),"➖")</f>
        <v>➖</v>
      </c>
      <c r="K491" s="282" t="str">
        <f>IFERROR(__xludf.DUMMYFUNCTION("""COMPUTED_VALUE"""),"➖")</f>
        <v>➖</v>
      </c>
      <c r="L491" s="282" t="str">
        <f>IFERROR(__xludf.DUMMYFUNCTION("""COMPUTED_VALUE"""),"➖")</f>
        <v>➖</v>
      </c>
      <c r="M491" s="282" t="str">
        <f>IFERROR(__xludf.DUMMYFUNCTION("""COMPUTED_VALUE"""),"➖")</f>
        <v>➖</v>
      </c>
      <c r="N491" s="282" t="str">
        <f>IFERROR(__xludf.DUMMYFUNCTION("""COMPUTED_VALUE"""),"➖")</f>
        <v>➖</v>
      </c>
      <c r="O491" s="282" t="str">
        <f>IFERROR(__xludf.DUMMYFUNCTION("""COMPUTED_VALUE"""),"➖")</f>
        <v>➖</v>
      </c>
      <c r="P491" s="282" t="str">
        <f>IFERROR(__xludf.DUMMYFUNCTION("""COMPUTED_VALUE"""),"➖")</f>
        <v>➖</v>
      </c>
      <c r="Q491" s="282" t="str">
        <f>IFERROR(__xludf.DUMMYFUNCTION("""COMPUTED_VALUE"""),"➖")</f>
        <v>➖</v>
      </c>
      <c r="R491" s="283" t="str">
        <f>IFERROR(__xludf.DUMMYFUNCTION("""COMPUTED_VALUE"""),"   ➖")</f>
        <v>➖</v>
      </c>
      <c r="S491" s="284" t="str">
        <f>IFERROR(__xludf.DUMMYFUNCTION("""COMPUTED_VALUE"""),"SelfHasMorale, EnemyInterceptor, SelfOfficerTalNotOnBridge")</f>
        <v>SelfHasMorale, EnemyInterceptor, SelfOfficerTalNotOnBridge</v>
      </c>
      <c r="T491" s="285" t="str">
        <f>IFERROR(__xludf.DUMMYFUNCTION("""COMPUTED_VALUE"""),"➖")</f>
        <v>➖</v>
      </c>
      <c r="U491" s="285" t="str">
        <f>IFERROR(__xludf.DUMMYFUNCTION("""COMPUTED_VALUE"""),"➖")</f>
        <v>➖</v>
      </c>
      <c r="V491" s="259"/>
      <c r="W491" s="286"/>
      <c r="X491" s="286"/>
      <c r="Y491" s="286"/>
    </row>
    <row r="492">
      <c r="A492" s="28"/>
      <c r="B492" s="132"/>
      <c r="C492" s="28"/>
      <c r="D492" s="260" t="str">
        <f>IFERROR(__xludf.DUMMYFUNCTION("""COMPUTED_VALUE"""),"   R")</f>
        <v>R</v>
      </c>
      <c r="E492" s="287" t="str">
        <f>IFERROR(__xludf.DUMMYFUNCTION("""COMPUTED_VALUE"""),"MARIACHI Q")</f>
        <v>MARIACHI Q</v>
      </c>
      <c r="F492" s="270" t="str">
        <f>IFERROR(__xludf.DUMMYFUNCTION("""COMPUTED_VALUE"""),"OA")</f>
        <v>OA</v>
      </c>
      <c r="G492" s="231" t="str">
        <f>IFERROR(__xludf.DUMMYFUNCTION("""COMPUTED_VALUE"""),"✴️")</f>
        <v>✴️</v>
      </c>
      <c r="H492" s="231" t="str">
        <f>IFERROR(__xludf.DUMMYFUNCTION("""COMPUTED_VALUE"""),"✴️")</f>
        <v>✴️</v>
      </c>
      <c r="I492" s="231" t="str">
        <f>IFERROR(__xludf.DUMMYFUNCTION("""COMPUTED_VALUE"""),"➖")</f>
        <v>➖</v>
      </c>
      <c r="J492" s="231" t="str">
        <f>IFERROR(__xludf.DUMMYFUNCTION("""COMPUTED_VALUE"""),"➖")</f>
        <v>➖</v>
      </c>
      <c r="K492" s="288" t="str">
        <f>IFERROR(__xludf.DUMMYFUNCTION("""COMPUTED_VALUE"""),"➖")</f>
        <v>➖</v>
      </c>
      <c r="L492" s="288" t="str">
        <f>IFERROR(__xludf.DUMMYFUNCTION("""COMPUTED_VALUE"""),"➖")</f>
        <v>➖</v>
      </c>
      <c r="M492" s="288" t="str">
        <f>IFERROR(__xludf.DUMMYFUNCTION("""COMPUTED_VALUE"""),"➖")</f>
        <v>➖</v>
      </c>
      <c r="N492" s="288" t="str">
        <f>IFERROR(__xludf.DUMMYFUNCTION("""COMPUTED_VALUE"""),"➖")</f>
        <v>➖</v>
      </c>
      <c r="O492" s="288" t="str">
        <f>IFERROR(__xludf.DUMMYFUNCTION("""COMPUTED_VALUE"""),"➖")</f>
        <v>➖</v>
      </c>
      <c r="P492" s="288" t="str">
        <f>IFERROR(__xludf.DUMMYFUNCTION("""COMPUTED_VALUE"""),"➖")</f>
        <v>➖</v>
      </c>
      <c r="Q492" s="288" t="str">
        <f>IFERROR(__xludf.DUMMYFUNCTION("""COMPUTED_VALUE"""),"➖")</f>
        <v>➖</v>
      </c>
      <c r="R492" s="257" t="str">
        <f>IFERROR(__xludf.DUMMYFUNCTION("""COMPUTED_VALUE"""),"   ➖")</f>
        <v>➖</v>
      </c>
      <c r="S492" s="258" t="str">
        <f>IFERROR(__xludf.DUMMYFUNCTION("""COMPUTED_VALUE"""),"SelfHasMorale")</f>
        <v>SelfHasMorale</v>
      </c>
      <c r="T492" s="255" t="str">
        <f>IFERROR(__xludf.DUMMYFUNCTION("""COMPUTED_VALUE"""),"➖")</f>
        <v>➖</v>
      </c>
      <c r="U492" s="255" t="str">
        <f>IFERROR(__xludf.DUMMYFUNCTION("""COMPUTED_VALUE"""),"➖")</f>
        <v>➖</v>
      </c>
      <c r="V492" s="259"/>
      <c r="W492" s="286"/>
      <c r="X492" s="286"/>
      <c r="Y492" s="286"/>
    </row>
    <row r="493">
      <c r="A493" s="28"/>
      <c r="B493" s="128"/>
      <c r="C493" s="28"/>
      <c r="D493" s="250" t="str">
        <f>IFERROR(__xludf.DUMMYFUNCTION("""COMPUTED_VALUE"""),"   R")</f>
        <v>R</v>
      </c>
      <c r="E493" s="280" t="str">
        <f>IFERROR(__xludf.DUMMYFUNCTION("""COMPUTED_VALUE"""),"MARIACHI Q")</f>
        <v>MARIACHI Q</v>
      </c>
      <c r="F493" s="271" t="str">
        <f>IFERROR(__xludf.DUMMYFUNCTION("""COMPUTED_VALUE"""),"BDA")</f>
        <v>BDA</v>
      </c>
      <c r="G493" s="281" t="str">
        <f>IFERROR(__xludf.DUMMYFUNCTION("""COMPUTED_VALUE"""),"✴️")</f>
        <v>✴️</v>
      </c>
      <c r="H493" s="281" t="str">
        <f>IFERROR(__xludf.DUMMYFUNCTION("""COMPUTED_VALUE"""),"✴️")</f>
        <v>✴️</v>
      </c>
      <c r="I493" s="281" t="str">
        <f>IFERROR(__xludf.DUMMYFUNCTION("""COMPUTED_VALUE"""),"➖")</f>
        <v>➖</v>
      </c>
      <c r="J493" s="281" t="str">
        <f>IFERROR(__xludf.DUMMYFUNCTION("""COMPUTED_VALUE"""),"➖")</f>
        <v>➖</v>
      </c>
      <c r="K493" s="282" t="str">
        <f>IFERROR(__xludf.DUMMYFUNCTION("""COMPUTED_VALUE"""),"➖")</f>
        <v>➖</v>
      </c>
      <c r="L493" s="282" t="str">
        <f>IFERROR(__xludf.DUMMYFUNCTION("""COMPUTED_VALUE"""),"➖")</f>
        <v>➖</v>
      </c>
      <c r="M493" s="282" t="str">
        <f>IFERROR(__xludf.DUMMYFUNCTION("""COMPUTED_VALUE"""),"➖")</f>
        <v>➖</v>
      </c>
      <c r="N493" s="282" t="str">
        <f>IFERROR(__xludf.DUMMYFUNCTION("""COMPUTED_VALUE"""),"➖")</f>
        <v>➖</v>
      </c>
      <c r="O493" s="282" t="str">
        <f>IFERROR(__xludf.DUMMYFUNCTION("""COMPUTED_VALUE"""),"➖")</f>
        <v>➖</v>
      </c>
      <c r="P493" s="282" t="str">
        <f>IFERROR(__xludf.DUMMYFUNCTION("""COMPUTED_VALUE"""),"➖")</f>
        <v>➖</v>
      </c>
      <c r="Q493" s="282" t="str">
        <f>IFERROR(__xludf.DUMMYFUNCTION("""COMPUTED_VALUE"""),"➖")</f>
        <v>➖</v>
      </c>
      <c r="R493" s="283" t="str">
        <f>IFERROR(__xludf.DUMMYFUNCTION("""COMPUTED_VALUE"""),"   ➖")</f>
        <v>➖</v>
      </c>
      <c r="S493" s="284" t="str">
        <f>IFERROR(__xludf.DUMMYFUNCTION("""COMPUTED_VALUE"""),"TargetHasBurning, SelfOfficerTalNotOnBridge")</f>
        <v>TargetHasBurning, SelfOfficerTalNotOnBridge</v>
      </c>
      <c r="T493" s="285" t="str">
        <f>IFERROR(__xludf.DUMMYFUNCTION("""COMPUTED_VALUE"""),"➖")</f>
        <v>➖</v>
      </c>
      <c r="U493" s="285" t="str">
        <f>IFERROR(__xludf.DUMMYFUNCTION("""COMPUTED_VALUE"""),"➖")</f>
        <v>➖</v>
      </c>
      <c r="V493" s="259"/>
      <c r="W493" s="286"/>
      <c r="X493" s="286"/>
      <c r="Y493" s="286"/>
    </row>
    <row r="494">
      <c r="A494" s="28"/>
      <c r="B494" s="132"/>
      <c r="C494" s="28"/>
      <c r="D494" s="260" t="str">
        <f>IFERROR(__xludf.DUMMYFUNCTION("""COMPUTED_VALUE"""),"   R")</f>
        <v>R</v>
      </c>
      <c r="E494" s="287" t="str">
        <f>IFERROR(__xludf.DUMMYFUNCTION("""COMPUTED_VALUE"""),"FRENCH MARSHAL Q")</f>
        <v>FRENCH MARSHAL Q</v>
      </c>
      <c r="F494" s="270" t="str">
        <f>IFERROR(__xludf.DUMMYFUNCTION("""COMPUTED_VALUE"""),"OA")</f>
        <v>OA</v>
      </c>
      <c r="G494" s="231" t="str">
        <f>IFERROR(__xludf.DUMMYFUNCTION("""COMPUTED_VALUE"""),"✴️")</f>
        <v>✴️</v>
      </c>
      <c r="H494" s="231" t="str">
        <f>IFERROR(__xludf.DUMMYFUNCTION("""COMPUTED_VALUE"""),"✴️")</f>
        <v>✴️</v>
      </c>
      <c r="I494" s="231" t="str">
        <f>IFERROR(__xludf.DUMMYFUNCTION("""COMPUTED_VALUE"""),"➖")</f>
        <v>➖</v>
      </c>
      <c r="J494" s="231" t="str">
        <f>IFERROR(__xludf.DUMMYFUNCTION("""COMPUTED_VALUE"""),"➖")</f>
        <v>➖</v>
      </c>
      <c r="K494" s="288" t="str">
        <f>IFERROR(__xludf.DUMMYFUNCTION("""COMPUTED_VALUE"""),"➖")</f>
        <v>➖</v>
      </c>
      <c r="L494" s="288" t="str">
        <f>IFERROR(__xludf.DUMMYFUNCTION("""COMPUTED_VALUE"""),"➖")</f>
        <v>➖</v>
      </c>
      <c r="M494" s="288" t="str">
        <f>IFERROR(__xludf.DUMMYFUNCTION("""COMPUTED_VALUE"""),"➖")</f>
        <v>➖</v>
      </c>
      <c r="N494" s="288" t="str">
        <f>IFERROR(__xludf.DUMMYFUNCTION("""COMPUTED_VALUE"""),"➖")</f>
        <v>➖</v>
      </c>
      <c r="O494" s="288" t="str">
        <f>IFERROR(__xludf.DUMMYFUNCTION("""COMPUTED_VALUE"""),"➖")</f>
        <v>➖</v>
      </c>
      <c r="P494" s="288" t="str">
        <f>IFERROR(__xludf.DUMMYFUNCTION("""COMPUTED_VALUE"""),"➖")</f>
        <v>➖</v>
      </c>
      <c r="Q494" s="288" t="str">
        <f>IFERROR(__xludf.DUMMYFUNCTION("""COMPUTED_VALUE"""),"➖")</f>
        <v>➖</v>
      </c>
      <c r="R494" s="257" t="str">
        <f>IFERROR(__xludf.DUMMYFUNCTION("""COMPUTED_VALUE"""),"   ➖")</f>
        <v>➖</v>
      </c>
      <c r="S494" s="258" t="str">
        <f>IFERROR(__xludf.DUMMYFUNCTION("""COMPUTED_VALUE"""),"SelfHasMorale")</f>
        <v>SelfHasMorale</v>
      </c>
      <c r="T494" s="255" t="str">
        <f>IFERROR(__xludf.DUMMYFUNCTION("""COMPUTED_VALUE"""),"➖")</f>
        <v>➖</v>
      </c>
      <c r="U494" s="255" t="str">
        <f>IFERROR(__xludf.DUMMYFUNCTION("""COMPUTED_VALUE"""),"➖")</f>
        <v>➖</v>
      </c>
      <c r="V494" s="259"/>
      <c r="W494" s="286"/>
      <c r="X494" s="286"/>
      <c r="Y494" s="286"/>
    </row>
    <row r="495">
      <c r="A495" s="28"/>
      <c r="B495" s="128"/>
      <c r="C495" s="28"/>
      <c r="D495" s="250" t="str">
        <f>IFERROR(__xludf.DUMMYFUNCTION("""COMPUTED_VALUE"""),"   R")</f>
        <v>R</v>
      </c>
      <c r="E495" s="280" t="str">
        <f>IFERROR(__xludf.DUMMYFUNCTION("""COMPUTED_VALUE"""),"FRENCH MARSHAL Q")</f>
        <v>FRENCH MARSHAL Q</v>
      </c>
      <c r="F495" s="271" t="str">
        <f>IFERROR(__xludf.DUMMYFUNCTION("""COMPUTED_VALUE"""),"BDA")</f>
        <v>BDA</v>
      </c>
      <c r="G495" s="281" t="str">
        <f>IFERROR(__xludf.DUMMYFUNCTION("""COMPUTED_VALUE"""),"✴️")</f>
        <v>✴️</v>
      </c>
      <c r="H495" s="281" t="str">
        <f>IFERROR(__xludf.DUMMYFUNCTION("""COMPUTED_VALUE"""),"✴️")</f>
        <v>✴️</v>
      </c>
      <c r="I495" s="281" t="str">
        <f>IFERROR(__xludf.DUMMYFUNCTION("""COMPUTED_VALUE"""),"➖")</f>
        <v>➖</v>
      </c>
      <c r="J495" s="281" t="str">
        <f>IFERROR(__xludf.DUMMYFUNCTION("""COMPUTED_VALUE"""),"➖")</f>
        <v>➖</v>
      </c>
      <c r="K495" s="282" t="str">
        <f>IFERROR(__xludf.DUMMYFUNCTION("""COMPUTED_VALUE"""),"➖")</f>
        <v>➖</v>
      </c>
      <c r="L495" s="282" t="str">
        <f>IFERROR(__xludf.DUMMYFUNCTION("""COMPUTED_VALUE"""),"➖")</f>
        <v>➖</v>
      </c>
      <c r="M495" s="282" t="str">
        <f>IFERROR(__xludf.DUMMYFUNCTION("""COMPUTED_VALUE"""),"➖")</f>
        <v>➖</v>
      </c>
      <c r="N495" s="282" t="str">
        <f>IFERROR(__xludf.DUMMYFUNCTION("""COMPUTED_VALUE"""),"➖")</f>
        <v>➖</v>
      </c>
      <c r="O495" s="282" t="str">
        <f>IFERROR(__xludf.DUMMYFUNCTION("""COMPUTED_VALUE"""),"➖")</f>
        <v>➖</v>
      </c>
      <c r="P495" s="282" t="str">
        <f>IFERROR(__xludf.DUMMYFUNCTION("""COMPUTED_VALUE"""),"➖")</f>
        <v>➖</v>
      </c>
      <c r="Q495" s="282" t="str">
        <f>IFERROR(__xludf.DUMMYFUNCTION("""COMPUTED_VALUE"""),"➖")</f>
        <v>➖</v>
      </c>
      <c r="R495" s="283" t="str">
        <f>IFERROR(__xludf.DUMMYFUNCTION("""COMPUTED_VALUE"""),"   ➖")</f>
        <v>➖</v>
      </c>
      <c r="S495" s="284" t="str">
        <f>IFERROR(__xludf.DUMMYFUNCTION("""COMPUTED_VALUE"""),"TargetStateAny")</f>
        <v>TargetStateAny</v>
      </c>
      <c r="T495" s="285" t="str">
        <f>IFERROR(__xludf.DUMMYFUNCTION("""COMPUTED_VALUE"""),"➖")</f>
        <v>➖</v>
      </c>
      <c r="U495" s="285" t="str">
        <f>IFERROR(__xludf.DUMMYFUNCTION("""COMPUTED_VALUE"""),"➖")</f>
        <v>➖</v>
      </c>
      <c r="V495" s="259"/>
      <c r="W495" s="286"/>
      <c r="X495" s="286"/>
      <c r="Y495" s="286"/>
    </row>
    <row r="496">
      <c r="A496" s="28"/>
      <c r="B496" s="132"/>
      <c r="C496" s="28"/>
      <c r="D496" s="260" t="str">
        <f>IFERROR(__xludf.DUMMYFUNCTION("""COMPUTED_VALUE"""),"   E")</f>
        <v>E</v>
      </c>
      <c r="E496" s="287" t="str">
        <f>IFERROR(__xludf.DUMMYFUNCTION("""COMPUTED_VALUE"""),"SORAN")</f>
        <v>SORAN</v>
      </c>
      <c r="F496" s="270" t="str">
        <f>IFERROR(__xludf.DUMMYFUNCTION("""COMPUTED_VALUE"""),"CM")</f>
        <v>CM</v>
      </c>
      <c r="G496" s="231" t="str">
        <f>IFERROR(__xludf.DUMMYFUNCTION("""COMPUTED_VALUE"""),"✴️")</f>
        <v>✴️</v>
      </c>
      <c r="H496" s="231" t="str">
        <f>IFERROR(__xludf.DUMMYFUNCTION("""COMPUTED_VALUE"""),"✴️")</f>
        <v>✴️</v>
      </c>
      <c r="I496" s="231" t="str">
        <f>IFERROR(__xludf.DUMMYFUNCTION("""COMPUTED_VALUE"""),"➖")</f>
        <v>➖</v>
      </c>
      <c r="J496" s="231" t="str">
        <f>IFERROR(__xludf.DUMMYFUNCTION("""COMPUTED_VALUE"""),"➖")</f>
        <v>➖</v>
      </c>
      <c r="K496" s="288" t="str">
        <f>IFERROR(__xludf.DUMMYFUNCTION("""COMPUTED_VALUE"""),"➖")</f>
        <v>➖</v>
      </c>
      <c r="L496" s="288" t="str">
        <f>IFERROR(__xludf.DUMMYFUNCTION("""COMPUTED_VALUE"""),"➖")</f>
        <v>➖</v>
      </c>
      <c r="M496" s="288" t="str">
        <f>IFERROR(__xludf.DUMMYFUNCTION("""COMPUTED_VALUE"""),"➖")</f>
        <v>➖</v>
      </c>
      <c r="N496" s="288" t="str">
        <f>IFERROR(__xludf.DUMMYFUNCTION("""COMPUTED_VALUE"""),"➖")</f>
        <v>➖</v>
      </c>
      <c r="O496" s="288" t="str">
        <f>IFERROR(__xludf.DUMMYFUNCTION("""COMPUTED_VALUE"""),"➖")</f>
        <v>➖</v>
      </c>
      <c r="P496" s="288" t="str">
        <f>IFERROR(__xludf.DUMMYFUNCTION("""COMPUTED_VALUE"""),"➖")</f>
        <v>➖</v>
      </c>
      <c r="Q496" s="288" t="str">
        <f>IFERROR(__xludf.DUMMYFUNCTION("""COMPUTED_VALUE"""),"➖")</f>
        <v>➖</v>
      </c>
      <c r="R496" s="257" t="str">
        <f>IFERROR(__xludf.DUMMYFUNCTION("""COMPUTED_VALUE"""),"   ➖")</f>
        <v>➖</v>
      </c>
      <c r="S496" s="258" t="str">
        <f>IFERROR(__xludf.DUMMYFUNCTION("""COMPUTED_VALUE"""),"SelfOfficerTalNotOnBridge")</f>
        <v>SelfOfficerTalNotOnBridge</v>
      </c>
      <c r="T496" s="255" t="str">
        <f>IFERROR(__xludf.DUMMYFUNCTION("""COMPUTED_VALUE"""),"➖")</f>
        <v>➖</v>
      </c>
      <c r="U496" s="255" t="str">
        <f>IFERROR(__xludf.DUMMYFUNCTION("""COMPUTED_VALUE"""),"➖")</f>
        <v>➖</v>
      </c>
      <c r="V496" s="259"/>
      <c r="W496" s="286"/>
      <c r="X496" s="286"/>
      <c r="Y496" s="286"/>
    </row>
    <row r="497">
      <c r="A497" s="28"/>
      <c r="B497" s="128"/>
      <c r="C497" s="28"/>
      <c r="D497" s="250" t="str">
        <f>IFERROR(__xludf.DUMMYFUNCTION("""COMPUTED_VALUE"""),"   E")</f>
        <v>E</v>
      </c>
      <c r="E497" s="280" t="str">
        <f>IFERROR(__xludf.DUMMYFUNCTION("""COMPUTED_VALUE"""),"SORAN")</f>
        <v>SORAN</v>
      </c>
      <c r="F497" s="271" t="str">
        <f>IFERROR(__xludf.DUMMYFUNCTION("""COMPUTED_VALUE"""),"OA")</f>
        <v>OA</v>
      </c>
      <c r="G497" s="281" t="str">
        <f>IFERROR(__xludf.DUMMYFUNCTION("""COMPUTED_VALUE"""),"✴️")</f>
        <v>✴️</v>
      </c>
      <c r="H497" s="281" t="str">
        <f>IFERROR(__xludf.DUMMYFUNCTION("""COMPUTED_VALUE"""),"✴️")</f>
        <v>✴️</v>
      </c>
      <c r="I497" s="281" t="str">
        <f>IFERROR(__xludf.DUMMYFUNCTION("""COMPUTED_VALUE"""),"➖")</f>
        <v>➖</v>
      </c>
      <c r="J497" s="281" t="str">
        <f>IFERROR(__xludf.DUMMYFUNCTION("""COMPUTED_VALUE"""),"➖")</f>
        <v>➖</v>
      </c>
      <c r="K497" s="282" t="str">
        <f>IFERROR(__xludf.DUMMYFUNCTION("""COMPUTED_VALUE"""),"➖")</f>
        <v>➖</v>
      </c>
      <c r="L497" s="282" t="str">
        <f>IFERROR(__xludf.DUMMYFUNCTION("""COMPUTED_VALUE"""),"➖")</f>
        <v>➖</v>
      </c>
      <c r="M497" s="282" t="str">
        <f>IFERROR(__xludf.DUMMYFUNCTION("""COMPUTED_VALUE"""),"➖")</f>
        <v>➖</v>
      </c>
      <c r="N497" s="282" t="str">
        <f>IFERROR(__xludf.DUMMYFUNCTION("""COMPUTED_VALUE"""),"➖")</f>
        <v>➖</v>
      </c>
      <c r="O497" s="282" t="str">
        <f>IFERROR(__xludf.DUMMYFUNCTION("""COMPUTED_VALUE"""),"➖")</f>
        <v>➖</v>
      </c>
      <c r="P497" s="282" t="str">
        <f>IFERROR(__xludf.DUMMYFUNCTION("""COMPUTED_VALUE"""),"➖")</f>
        <v>➖</v>
      </c>
      <c r="Q497" s="282" t="str">
        <f>IFERROR(__xludf.DUMMYFUNCTION("""COMPUTED_VALUE"""),"➖")</f>
        <v>➖</v>
      </c>
      <c r="R497" s="283" t="str">
        <f>IFERROR(__xludf.DUMMYFUNCTION("""COMPUTED_VALUE"""),"   ➖")</f>
        <v>➖</v>
      </c>
      <c r="S497" s="284" t="str">
        <f>IFERROR(__xludf.DUMMYFUNCTION("""COMPUTED_VALUE"""),"EnemyExplorer, TargetHasBurning, SelfOfficerTalNotOnBridge")</f>
        <v>EnemyExplorer, TargetHasBurning, SelfOfficerTalNotOnBridge</v>
      </c>
      <c r="T497" s="285" t="str">
        <f>IFERROR(__xludf.DUMMYFUNCTION("""COMPUTED_VALUE"""),"➖")</f>
        <v>➖</v>
      </c>
      <c r="U497" s="285" t="str">
        <f>IFERROR(__xludf.DUMMYFUNCTION("""COMPUTED_VALUE"""),"➖")</f>
        <v>➖</v>
      </c>
      <c r="V497" s="259"/>
      <c r="W497" s="286"/>
      <c r="X497" s="286"/>
      <c r="Y497" s="286"/>
    </row>
    <row r="498">
      <c r="A498" s="28"/>
      <c r="B498" s="132"/>
      <c r="C498" s="28"/>
      <c r="D498" s="260" t="str">
        <f>IFERROR(__xludf.DUMMYFUNCTION("""COMPUTED_VALUE"""),"   R")</f>
        <v>R</v>
      </c>
      <c r="E498" s="287" t="str">
        <f>IFERROR(__xludf.DUMMYFUNCTION("""COMPUTED_VALUE"""),"ROMI")</f>
        <v>ROMI</v>
      </c>
      <c r="F498" s="270" t="str">
        <f>IFERROR(__xludf.DUMMYFUNCTION("""COMPUTED_VALUE"""),"OA")</f>
        <v>OA</v>
      </c>
      <c r="G498" s="231" t="str">
        <f>IFERROR(__xludf.DUMMYFUNCTION("""COMPUTED_VALUE"""),"✴️")</f>
        <v>✴️</v>
      </c>
      <c r="H498" s="231" t="str">
        <f>IFERROR(__xludf.DUMMYFUNCTION("""COMPUTED_VALUE"""),"✴️")</f>
        <v>✴️</v>
      </c>
      <c r="I498" s="231" t="str">
        <f>IFERROR(__xludf.DUMMYFUNCTION("""COMPUTED_VALUE"""),"➖")</f>
        <v>➖</v>
      </c>
      <c r="J498" s="231" t="str">
        <f>IFERROR(__xludf.DUMMYFUNCTION("""COMPUTED_VALUE"""),"➖")</f>
        <v>➖</v>
      </c>
      <c r="K498" s="288" t="str">
        <f>IFERROR(__xludf.DUMMYFUNCTION("""COMPUTED_VALUE"""),"➖")</f>
        <v>➖</v>
      </c>
      <c r="L498" s="288" t="str">
        <f>IFERROR(__xludf.DUMMYFUNCTION("""COMPUTED_VALUE"""),"➖")</f>
        <v>➖</v>
      </c>
      <c r="M498" s="288" t="str">
        <f>IFERROR(__xludf.DUMMYFUNCTION("""COMPUTED_VALUE"""),"➖")</f>
        <v>➖</v>
      </c>
      <c r="N498" s="288" t="str">
        <f>IFERROR(__xludf.DUMMYFUNCTION("""COMPUTED_VALUE"""),"➖")</f>
        <v>➖</v>
      </c>
      <c r="O498" s="288" t="str">
        <f>IFERROR(__xludf.DUMMYFUNCTION("""COMPUTED_VALUE"""),"➖")</f>
        <v>➖</v>
      </c>
      <c r="P498" s="288" t="str">
        <f>IFERROR(__xludf.DUMMYFUNCTION("""COMPUTED_VALUE"""),"➖")</f>
        <v>➖</v>
      </c>
      <c r="Q498" s="288" t="str">
        <f>IFERROR(__xludf.DUMMYFUNCTION("""COMPUTED_VALUE"""),"➖")</f>
        <v>➖</v>
      </c>
      <c r="R498" s="257" t="str">
        <f>IFERROR(__xludf.DUMMYFUNCTION("""COMPUTED_VALUE"""),"   ➖")</f>
        <v>➖</v>
      </c>
      <c r="S498" s="258" t="str">
        <f>IFERROR(__xludf.DUMMYFUNCTION("""COMPUTED_VALUE"""),"TargetHasBurning")</f>
        <v>TargetHasBurning</v>
      </c>
      <c r="T498" s="255" t="str">
        <f>IFERROR(__xludf.DUMMYFUNCTION("""COMPUTED_VALUE"""),"➖")</f>
        <v>➖</v>
      </c>
      <c r="U498" s="255" t="str">
        <f>IFERROR(__xludf.DUMMYFUNCTION("""COMPUTED_VALUE"""),"➖")</f>
        <v>➖</v>
      </c>
      <c r="V498" s="259"/>
      <c r="W498" s="286"/>
      <c r="X498" s="286"/>
      <c r="Y498" s="286"/>
    </row>
    <row r="499">
      <c r="A499" s="28"/>
      <c r="B499" s="128"/>
      <c r="C499" s="28"/>
      <c r="D499" s="250" t="str">
        <f>IFERROR(__xludf.DUMMYFUNCTION("""COMPUTED_VALUE"""),"   R")</f>
        <v>R</v>
      </c>
      <c r="E499" s="280" t="str">
        <f>IFERROR(__xludf.DUMMYFUNCTION("""COMPUTED_VALUE"""),"ROMI")</f>
        <v>ROMI</v>
      </c>
      <c r="F499" s="271" t="str">
        <f>IFERROR(__xludf.DUMMYFUNCTION("""COMPUTED_VALUE"""),"BDA")</f>
        <v>BDA</v>
      </c>
      <c r="G499" s="281" t="str">
        <f>IFERROR(__xludf.DUMMYFUNCTION("""COMPUTED_VALUE"""),"✴️")</f>
        <v>✴️</v>
      </c>
      <c r="H499" s="281" t="str">
        <f>IFERROR(__xludf.DUMMYFUNCTION("""COMPUTED_VALUE"""),"✴️")</f>
        <v>✴️</v>
      </c>
      <c r="I499" s="281" t="str">
        <f>IFERROR(__xludf.DUMMYFUNCTION("""COMPUTED_VALUE"""),"➖")</f>
        <v>➖</v>
      </c>
      <c r="J499" s="281" t="str">
        <f>IFERROR(__xludf.DUMMYFUNCTION("""COMPUTED_VALUE"""),"➖")</f>
        <v>➖</v>
      </c>
      <c r="K499" s="282" t="str">
        <f>IFERROR(__xludf.DUMMYFUNCTION("""COMPUTED_VALUE"""),"➖")</f>
        <v>➖</v>
      </c>
      <c r="L499" s="282" t="str">
        <f>IFERROR(__xludf.DUMMYFUNCTION("""COMPUTED_VALUE"""),"➖")</f>
        <v>➖</v>
      </c>
      <c r="M499" s="282" t="str">
        <f>IFERROR(__xludf.DUMMYFUNCTION("""COMPUTED_VALUE"""),"➖")</f>
        <v>➖</v>
      </c>
      <c r="N499" s="282" t="str">
        <f>IFERROR(__xludf.DUMMYFUNCTION("""COMPUTED_VALUE"""),"➖")</f>
        <v>➖</v>
      </c>
      <c r="O499" s="282" t="str">
        <f>IFERROR(__xludf.DUMMYFUNCTION("""COMPUTED_VALUE"""),"➖")</f>
        <v>➖</v>
      </c>
      <c r="P499" s="282" t="str">
        <f>IFERROR(__xludf.DUMMYFUNCTION("""COMPUTED_VALUE"""),"➖")</f>
        <v>➖</v>
      </c>
      <c r="Q499" s="282" t="str">
        <f>IFERROR(__xludf.DUMMYFUNCTION("""COMPUTED_VALUE"""),"➖")</f>
        <v>➖</v>
      </c>
      <c r="R499" s="283" t="str">
        <f>IFERROR(__xludf.DUMMYFUNCTION("""COMPUTED_VALUE"""),"   ➖")</f>
        <v>➖</v>
      </c>
      <c r="S499" s="284" t="str">
        <f>IFERROR(__xludf.DUMMYFUNCTION("""COMPUTED_VALUE"""),"TargetHasHullBreach, SelfOfficerTalNotOnBridge")</f>
        <v>TargetHasHullBreach, SelfOfficerTalNotOnBridge</v>
      </c>
      <c r="T499" s="285" t="str">
        <f>IFERROR(__xludf.DUMMYFUNCTION("""COMPUTED_VALUE"""),"➖")</f>
        <v>➖</v>
      </c>
      <c r="U499" s="285" t="str">
        <f>IFERROR(__xludf.DUMMYFUNCTION("""COMPUTED_VALUE"""),"➖")</f>
        <v>➖</v>
      </c>
      <c r="V499" s="259"/>
      <c r="W499" s="286"/>
      <c r="X499" s="286"/>
      <c r="Y499" s="286"/>
    </row>
    <row r="500">
      <c r="A500" s="28"/>
      <c r="B500" s="132"/>
      <c r="C500" s="28"/>
      <c r="D500" s="260" t="str">
        <f>IFERROR(__xludf.DUMMYFUNCTION("""COMPUTED_VALUE"""),"   R")</f>
        <v>R</v>
      </c>
      <c r="E500" s="287" t="str">
        <f>IFERROR(__xludf.DUMMYFUNCTION("""COMPUTED_VALUE"""),"MISS Q")</f>
        <v>MISS Q</v>
      </c>
      <c r="F500" s="270" t="str">
        <f>IFERROR(__xludf.DUMMYFUNCTION("""COMPUTED_VALUE"""),"OA")</f>
        <v>OA</v>
      </c>
      <c r="G500" s="231" t="str">
        <f>IFERROR(__xludf.DUMMYFUNCTION("""COMPUTED_VALUE"""),"✴️")</f>
        <v>✴️</v>
      </c>
      <c r="H500" s="231" t="str">
        <f>IFERROR(__xludf.DUMMYFUNCTION("""COMPUTED_VALUE"""),"✴️")</f>
        <v>✴️</v>
      </c>
      <c r="I500" s="231" t="str">
        <f>IFERROR(__xludf.DUMMYFUNCTION("""COMPUTED_VALUE"""),"➖")</f>
        <v>➖</v>
      </c>
      <c r="J500" s="231" t="str">
        <f>IFERROR(__xludf.DUMMYFUNCTION("""COMPUTED_VALUE"""),"➖")</f>
        <v>➖</v>
      </c>
      <c r="K500" s="288" t="str">
        <f>IFERROR(__xludf.DUMMYFUNCTION("""COMPUTED_VALUE"""),"➖")</f>
        <v>➖</v>
      </c>
      <c r="L500" s="288" t="str">
        <f>IFERROR(__xludf.DUMMYFUNCTION("""COMPUTED_VALUE"""),"➖")</f>
        <v>➖</v>
      </c>
      <c r="M500" s="288" t="str">
        <f>IFERROR(__xludf.DUMMYFUNCTION("""COMPUTED_VALUE"""),"➖")</f>
        <v>➖</v>
      </c>
      <c r="N500" s="288" t="str">
        <f>IFERROR(__xludf.DUMMYFUNCTION("""COMPUTED_VALUE"""),"➖")</f>
        <v>➖</v>
      </c>
      <c r="O500" s="288" t="str">
        <f>IFERROR(__xludf.DUMMYFUNCTION("""COMPUTED_VALUE"""),"➖")</f>
        <v>➖</v>
      </c>
      <c r="P500" s="288" t="str">
        <f>IFERROR(__xludf.DUMMYFUNCTION("""COMPUTED_VALUE"""),"➖")</f>
        <v>➖</v>
      </c>
      <c r="Q500" s="288" t="str">
        <f>IFERROR(__xludf.DUMMYFUNCTION("""COMPUTED_VALUE"""),"➖")</f>
        <v>➖</v>
      </c>
      <c r="R500" s="257" t="str">
        <f>IFERROR(__xludf.DUMMYFUNCTION("""COMPUTED_VALUE"""),"   ➖")</f>
        <v>➖</v>
      </c>
      <c r="S500" s="258" t="str">
        <f>IFERROR(__xludf.DUMMYFUNCTION("""COMPUTED_VALUE"""),"TargetHasBurning")</f>
        <v>TargetHasBurning</v>
      </c>
      <c r="T500" s="255" t="str">
        <f>IFERROR(__xludf.DUMMYFUNCTION("""COMPUTED_VALUE"""),"➖")</f>
        <v>➖</v>
      </c>
      <c r="U500" s="255" t="str">
        <f>IFERROR(__xludf.DUMMYFUNCTION("""COMPUTED_VALUE"""),"➖")</f>
        <v>➖</v>
      </c>
      <c r="V500" s="259"/>
      <c r="W500" s="286"/>
      <c r="X500" s="286"/>
      <c r="Y500" s="286"/>
    </row>
    <row r="501">
      <c r="A501" s="28"/>
      <c r="B501" s="128"/>
      <c r="C501" s="28"/>
      <c r="D501" s="250" t="str">
        <f>IFERROR(__xludf.DUMMYFUNCTION("""COMPUTED_VALUE"""),"   R")</f>
        <v>R</v>
      </c>
      <c r="E501" s="280" t="str">
        <f>IFERROR(__xludf.DUMMYFUNCTION("""COMPUTED_VALUE"""),"MISS Q")</f>
        <v>MISS Q</v>
      </c>
      <c r="F501" s="271" t="str">
        <f>IFERROR(__xludf.DUMMYFUNCTION("""COMPUTED_VALUE"""),"BDA")</f>
        <v>BDA</v>
      </c>
      <c r="G501" s="281" t="str">
        <f>IFERROR(__xludf.DUMMYFUNCTION("""COMPUTED_VALUE"""),"✴️")</f>
        <v>✴️</v>
      </c>
      <c r="H501" s="281" t="str">
        <f>IFERROR(__xludf.DUMMYFUNCTION("""COMPUTED_VALUE"""),"✴️")</f>
        <v>✴️</v>
      </c>
      <c r="I501" s="281" t="str">
        <f>IFERROR(__xludf.DUMMYFUNCTION("""COMPUTED_VALUE"""),"➖")</f>
        <v>➖</v>
      </c>
      <c r="J501" s="281" t="str">
        <f>IFERROR(__xludf.DUMMYFUNCTION("""COMPUTED_VALUE"""),"➖")</f>
        <v>➖</v>
      </c>
      <c r="K501" s="282" t="str">
        <f>IFERROR(__xludf.DUMMYFUNCTION("""COMPUTED_VALUE"""),"➖")</f>
        <v>➖</v>
      </c>
      <c r="L501" s="282" t="str">
        <f>IFERROR(__xludf.DUMMYFUNCTION("""COMPUTED_VALUE"""),"➖")</f>
        <v>➖</v>
      </c>
      <c r="M501" s="282" t="str">
        <f>IFERROR(__xludf.DUMMYFUNCTION("""COMPUTED_VALUE"""),"➖")</f>
        <v>➖</v>
      </c>
      <c r="N501" s="282" t="str">
        <f>IFERROR(__xludf.DUMMYFUNCTION("""COMPUTED_VALUE"""),"➖")</f>
        <v>➖</v>
      </c>
      <c r="O501" s="282" t="str">
        <f>IFERROR(__xludf.DUMMYFUNCTION("""COMPUTED_VALUE"""),"➖")</f>
        <v>➖</v>
      </c>
      <c r="P501" s="282" t="str">
        <f>IFERROR(__xludf.DUMMYFUNCTION("""COMPUTED_VALUE"""),"➖")</f>
        <v>➖</v>
      </c>
      <c r="Q501" s="282" t="str">
        <f>IFERROR(__xludf.DUMMYFUNCTION("""COMPUTED_VALUE"""),"➖")</f>
        <v>➖</v>
      </c>
      <c r="R501" s="283" t="str">
        <f>IFERROR(__xludf.DUMMYFUNCTION("""COMPUTED_VALUE"""),"   ➖")</f>
        <v>➖</v>
      </c>
      <c r="S501" s="284" t="str">
        <f>IFERROR(__xludf.DUMMYFUNCTION("""COMPUTED_VALUE"""),"SelfHasMorale, SelfOfficerTalNotOnBridge")</f>
        <v>SelfHasMorale, SelfOfficerTalNotOnBridge</v>
      </c>
      <c r="T501" s="285" t="str">
        <f>IFERROR(__xludf.DUMMYFUNCTION("""COMPUTED_VALUE"""),"➖")</f>
        <v>➖</v>
      </c>
      <c r="U501" s="285" t="str">
        <f>IFERROR(__xludf.DUMMYFUNCTION("""COMPUTED_VALUE"""),"➖")</f>
        <v>➖</v>
      </c>
      <c r="V501" s="259"/>
      <c r="W501" s="286"/>
      <c r="X501" s="286"/>
      <c r="Y501" s="286"/>
    </row>
    <row r="502">
      <c r="A502" s="28"/>
      <c r="B502" s="132"/>
      <c r="C502" s="28"/>
      <c r="D502" s="260" t="str">
        <f>IFERROR(__xludf.DUMMYFUNCTION("""COMPUTED_VALUE"""),"   E")</f>
        <v>E</v>
      </c>
      <c r="E502" s="287" t="str">
        <f>IFERROR(__xludf.DUMMYFUNCTION("""COMPUTED_VALUE"""),"SPECIALIST SEVEN")</f>
        <v>SPECIALIST SEVEN</v>
      </c>
      <c r="F502" s="270" t="str">
        <f>IFERROR(__xludf.DUMMYFUNCTION("""COMPUTED_VALUE"""),"CM")</f>
        <v>CM</v>
      </c>
      <c r="G502" s="231" t="str">
        <f>IFERROR(__xludf.DUMMYFUNCTION("""COMPUTED_VALUE"""),"✴️")</f>
        <v>✴️</v>
      </c>
      <c r="H502" s="231" t="str">
        <f>IFERROR(__xludf.DUMMYFUNCTION("""COMPUTED_VALUE"""),"✴️")</f>
        <v>✴️</v>
      </c>
      <c r="I502" s="231" t="str">
        <f>IFERROR(__xludf.DUMMYFUNCTION("""COMPUTED_VALUE"""),"➖")</f>
        <v>➖</v>
      </c>
      <c r="J502" s="231" t="str">
        <f>IFERROR(__xludf.DUMMYFUNCTION("""COMPUTED_VALUE"""),"➖")</f>
        <v>➖</v>
      </c>
      <c r="K502" s="288" t="str">
        <f>IFERROR(__xludf.DUMMYFUNCTION("""COMPUTED_VALUE"""),"➖")</f>
        <v>➖</v>
      </c>
      <c r="L502" s="288" t="str">
        <f>IFERROR(__xludf.DUMMYFUNCTION("""COMPUTED_VALUE"""),"➖")</f>
        <v>➖</v>
      </c>
      <c r="M502" s="288" t="str">
        <f>IFERROR(__xludf.DUMMYFUNCTION("""COMPUTED_VALUE"""),"➖")</f>
        <v>➖</v>
      </c>
      <c r="N502" s="288" t="str">
        <f>IFERROR(__xludf.DUMMYFUNCTION("""COMPUTED_VALUE"""),"➖")</f>
        <v>➖</v>
      </c>
      <c r="O502" s="288" t="str">
        <f>IFERROR(__xludf.DUMMYFUNCTION("""COMPUTED_VALUE"""),"➖")</f>
        <v>➖</v>
      </c>
      <c r="P502" s="288" t="str">
        <f>IFERROR(__xludf.DUMMYFUNCTION("""COMPUTED_VALUE"""),"➖")</f>
        <v>➖</v>
      </c>
      <c r="Q502" s="288" t="str">
        <f>IFERROR(__xludf.DUMMYFUNCTION("""COMPUTED_VALUE"""),"➖")</f>
        <v>➖</v>
      </c>
      <c r="R502" s="257" t="str">
        <f>IFERROR(__xludf.DUMMYFUNCTION("""COMPUTED_VALUE"""),"   ➖")</f>
        <v>➖</v>
      </c>
      <c r="S502" s="258" t="str">
        <f>IFERROR(__xludf.DUMMYFUNCTION("""COMPUTED_VALUE"""),"TargetHasHullBreach, EnemyBattleship")</f>
        <v>TargetHasHullBreach, EnemyBattleship</v>
      </c>
      <c r="T502" s="255" t="str">
        <f>IFERROR(__xludf.DUMMYFUNCTION("""COMPUTED_VALUE"""),"➖")</f>
        <v>➖</v>
      </c>
      <c r="U502" s="255" t="str">
        <f>IFERROR(__xludf.DUMMYFUNCTION("""COMPUTED_VALUE"""),"➖")</f>
        <v>➖</v>
      </c>
      <c r="V502" s="259"/>
      <c r="W502" s="286"/>
      <c r="X502" s="286"/>
      <c r="Y502" s="286"/>
    </row>
    <row r="503">
      <c r="A503" s="28"/>
      <c r="B503" s="128"/>
      <c r="C503" s="28"/>
      <c r="D503" s="250" t="str">
        <f>IFERROR(__xludf.DUMMYFUNCTION("""COMPUTED_VALUE"""),"   E")</f>
        <v>E</v>
      </c>
      <c r="E503" s="280" t="str">
        <f>IFERROR(__xludf.DUMMYFUNCTION("""COMPUTED_VALUE"""),"SPECIALIST SEVEN")</f>
        <v>SPECIALIST SEVEN</v>
      </c>
      <c r="F503" s="271" t="str">
        <f>IFERROR(__xludf.DUMMYFUNCTION("""COMPUTED_VALUE"""),"OA")</f>
        <v>OA</v>
      </c>
      <c r="G503" s="281" t="str">
        <f>IFERROR(__xludf.DUMMYFUNCTION("""COMPUTED_VALUE"""),"✅")</f>
        <v>✅</v>
      </c>
      <c r="H503" s="281" t="str">
        <f>IFERROR(__xludf.DUMMYFUNCTION("""COMPUTED_VALUE"""),"✅")</f>
        <v>✅</v>
      </c>
      <c r="I503" s="281" t="str">
        <f>IFERROR(__xludf.DUMMYFUNCTION("""COMPUTED_VALUE"""),"➖")</f>
        <v>➖</v>
      </c>
      <c r="J503" s="281" t="str">
        <f>IFERROR(__xludf.DUMMYFUNCTION("""COMPUTED_VALUE"""),"➖")</f>
        <v>➖</v>
      </c>
      <c r="K503" s="282" t="str">
        <f>IFERROR(__xludf.DUMMYFUNCTION("""COMPUTED_VALUE"""),"➖")</f>
        <v>➖</v>
      </c>
      <c r="L503" s="282" t="str">
        <f>IFERROR(__xludf.DUMMYFUNCTION("""COMPUTED_VALUE"""),"➖")</f>
        <v>➖</v>
      </c>
      <c r="M503" s="282" t="str">
        <f>IFERROR(__xludf.DUMMYFUNCTION("""COMPUTED_VALUE"""),"➖")</f>
        <v>➖</v>
      </c>
      <c r="N503" s="282" t="str">
        <f>IFERROR(__xludf.DUMMYFUNCTION("""COMPUTED_VALUE"""),"➖")</f>
        <v>➖</v>
      </c>
      <c r="O503" s="282" t="str">
        <f>IFERROR(__xludf.DUMMYFUNCTION("""COMPUTED_VALUE"""),"➖")</f>
        <v>➖</v>
      </c>
      <c r="P503" s="282" t="str">
        <f>IFERROR(__xludf.DUMMYFUNCTION("""COMPUTED_VALUE"""),"➖")</f>
        <v>➖</v>
      </c>
      <c r="Q503" s="282" t="str">
        <f>IFERROR(__xludf.DUMMYFUNCTION("""COMPUTED_VALUE"""),"➖")</f>
        <v>➖</v>
      </c>
      <c r="R503" s="283" t="str">
        <f>IFERROR(__xludf.DUMMYFUNCTION("""COMPUTED_VALUE"""),"   ➖")</f>
        <v>➖</v>
      </c>
      <c r="S503" s="284"/>
      <c r="T503" s="285" t="str">
        <f>IFERROR(__xludf.DUMMYFUNCTION("""COMPUTED_VALUE"""),"➖")</f>
        <v>➖</v>
      </c>
      <c r="U503" s="285" t="str">
        <f>IFERROR(__xludf.DUMMYFUNCTION("""COMPUTED_VALUE"""),"➖")</f>
        <v>➖</v>
      </c>
      <c r="V503" s="259"/>
      <c r="W503" s="286"/>
      <c r="X503" s="286"/>
      <c r="Y503" s="286"/>
    </row>
    <row r="504">
      <c r="A504" s="28"/>
      <c r="B504" s="132"/>
      <c r="C504" s="28"/>
      <c r="D504" s="260" t="str">
        <f>IFERROR(__xludf.DUMMYFUNCTION("""COMPUTED_VALUE"""),"   R")</f>
        <v>R</v>
      </c>
      <c r="E504" s="287" t="str">
        <f>IFERROR(__xludf.DUMMYFUNCTION("""COMPUTED_VALUE"""),"ICHEB")</f>
        <v>ICHEB</v>
      </c>
      <c r="F504" s="270" t="str">
        <f>IFERROR(__xludf.DUMMYFUNCTION("""COMPUTED_VALUE"""),"OA")</f>
        <v>OA</v>
      </c>
      <c r="G504" s="231" t="str">
        <f>IFERROR(__xludf.DUMMYFUNCTION("""COMPUTED_VALUE"""),"✴️")</f>
        <v>✴️</v>
      </c>
      <c r="H504" s="231" t="str">
        <f>IFERROR(__xludf.DUMMYFUNCTION("""COMPUTED_VALUE"""),"✴️")</f>
        <v>✴️</v>
      </c>
      <c r="I504" s="231" t="str">
        <f>IFERROR(__xludf.DUMMYFUNCTION("""COMPUTED_VALUE"""),"➖")</f>
        <v>➖</v>
      </c>
      <c r="J504" s="231" t="str">
        <f>IFERROR(__xludf.DUMMYFUNCTION("""COMPUTED_VALUE"""),"➖")</f>
        <v>➖</v>
      </c>
      <c r="K504" s="288" t="str">
        <f>IFERROR(__xludf.DUMMYFUNCTION("""COMPUTED_VALUE"""),"➖")</f>
        <v>➖</v>
      </c>
      <c r="L504" s="288" t="str">
        <f>IFERROR(__xludf.DUMMYFUNCTION("""COMPUTED_VALUE"""),"➖")</f>
        <v>➖</v>
      </c>
      <c r="M504" s="288" t="str">
        <f>IFERROR(__xludf.DUMMYFUNCTION("""COMPUTED_VALUE"""),"➖")</f>
        <v>➖</v>
      </c>
      <c r="N504" s="288" t="str">
        <f>IFERROR(__xludf.DUMMYFUNCTION("""COMPUTED_VALUE"""),"➖")</f>
        <v>➖</v>
      </c>
      <c r="O504" s="288" t="str">
        <f>IFERROR(__xludf.DUMMYFUNCTION("""COMPUTED_VALUE"""),"➖")</f>
        <v>➖</v>
      </c>
      <c r="P504" s="288" t="str">
        <f>IFERROR(__xludf.DUMMYFUNCTION("""COMPUTED_VALUE"""),"➖")</f>
        <v>➖</v>
      </c>
      <c r="Q504" s="288" t="str">
        <f>IFERROR(__xludf.DUMMYFUNCTION("""COMPUTED_VALUE"""),"➖")</f>
        <v>➖</v>
      </c>
      <c r="R504" s="257" t="str">
        <f>IFERROR(__xludf.DUMMYFUNCTION("""COMPUTED_VALUE"""),"   ➖")</f>
        <v>➖</v>
      </c>
      <c r="S504" s="258" t="str">
        <f>IFERROR(__xludf.DUMMYFUNCTION("""COMPUTED_VALUE"""),"TargetHasHullBreach, SelfOfficerTalNotOnBridge")</f>
        <v>TargetHasHullBreach, SelfOfficerTalNotOnBridge</v>
      </c>
      <c r="T504" s="255" t="str">
        <f>IFERROR(__xludf.DUMMYFUNCTION("""COMPUTED_VALUE"""),"➖")</f>
        <v>➖</v>
      </c>
      <c r="U504" s="255" t="str">
        <f>IFERROR(__xludf.DUMMYFUNCTION("""COMPUTED_VALUE"""),"➖")</f>
        <v>➖</v>
      </c>
      <c r="V504" s="259"/>
      <c r="W504" s="286"/>
      <c r="X504" s="286"/>
      <c r="Y504" s="286"/>
    </row>
    <row r="505">
      <c r="A505" s="28"/>
      <c r="B505" s="128"/>
      <c r="C505" s="28"/>
      <c r="D505" s="250" t="str">
        <f>IFERROR(__xludf.DUMMYFUNCTION("""COMPUTED_VALUE"""),"   R")</f>
        <v>R</v>
      </c>
      <c r="E505" s="280" t="str">
        <f>IFERROR(__xludf.DUMMYFUNCTION("""COMPUTED_VALUE"""),"ICHEB")</f>
        <v>ICHEB</v>
      </c>
      <c r="F505" s="271" t="str">
        <f>IFERROR(__xludf.DUMMYFUNCTION("""COMPUTED_VALUE"""),"BDA")</f>
        <v>BDA</v>
      </c>
      <c r="G505" s="281" t="str">
        <f>IFERROR(__xludf.DUMMYFUNCTION("""COMPUTED_VALUE"""),"✴️")</f>
        <v>✴️</v>
      </c>
      <c r="H505" s="281" t="str">
        <f>IFERROR(__xludf.DUMMYFUNCTION("""COMPUTED_VALUE"""),"✴️")</f>
        <v>✴️</v>
      </c>
      <c r="I505" s="281" t="str">
        <f>IFERROR(__xludf.DUMMYFUNCTION("""COMPUTED_VALUE"""),"➖")</f>
        <v>➖</v>
      </c>
      <c r="J505" s="281" t="str">
        <f>IFERROR(__xludf.DUMMYFUNCTION("""COMPUTED_VALUE"""),"➖")</f>
        <v>➖</v>
      </c>
      <c r="K505" s="282" t="str">
        <f>IFERROR(__xludf.DUMMYFUNCTION("""COMPUTED_VALUE"""),"➖")</f>
        <v>➖</v>
      </c>
      <c r="L505" s="282" t="str">
        <f>IFERROR(__xludf.DUMMYFUNCTION("""COMPUTED_VALUE"""),"➖")</f>
        <v>➖</v>
      </c>
      <c r="M505" s="282" t="str">
        <f>IFERROR(__xludf.DUMMYFUNCTION("""COMPUTED_VALUE"""),"➖")</f>
        <v>➖</v>
      </c>
      <c r="N505" s="282" t="str">
        <f>IFERROR(__xludf.DUMMYFUNCTION("""COMPUTED_VALUE"""),"➖")</f>
        <v>➖</v>
      </c>
      <c r="O505" s="282" t="str">
        <f>IFERROR(__xludf.DUMMYFUNCTION("""COMPUTED_VALUE"""),"➖")</f>
        <v>➖</v>
      </c>
      <c r="P505" s="282" t="str">
        <f>IFERROR(__xludf.DUMMYFUNCTION("""COMPUTED_VALUE"""),"➖")</f>
        <v>➖</v>
      </c>
      <c r="Q505" s="282" t="str">
        <f>IFERROR(__xludf.DUMMYFUNCTION("""COMPUTED_VALUE"""),"➖")</f>
        <v>➖</v>
      </c>
      <c r="R505" s="283" t="str">
        <f>IFERROR(__xludf.DUMMYFUNCTION("""COMPUTED_VALUE"""),"   ➖")</f>
        <v>➖</v>
      </c>
      <c r="S505" s="284" t="str">
        <f>IFERROR(__xludf.DUMMYFUNCTION("""COMPUTED_VALUE"""),"SelfStateNone")</f>
        <v>SelfStateNone</v>
      </c>
      <c r="T505" s="285" t="str">
        <f>IFERROR(__xludf.DUMMYFUNCTION("""COMPUTED_VALUE"""),"➖")</f>
        <v>➖</v>
      </c>
      <c r="U505" s="285" t="str">
        <f>IFERROR(__xludf.DUMMYFUNCTION("""COMPUTED_VALUE"""),"➖")</f>
        <v>➖</v>
      </c>
      <c r="V505" s="259"/>
      <c r="W505" s="286"/>
      <c r="X505" s="286"/>
      <c r="Y505" s="286"/>
    </row>
    <row r="506">
      <c r="A506" s="28"/>
      <c r="B506" s="132"/>
      <c r="C506" s="28"/>
      <c r="D506" s="260" t="str">
        <f>IFERROR(__xludf.DUMMYFUNCTION("""COMPUTED_VALUE"""),"   R")</f>
        <v>R</v>
      </c>
      <c r="E506" s="287" t="str">
        <f>IFERROR(__xludf.DUMMYFUNCTION("""COMPUTED_VALUE"""),"INFILTRATOR TUVOK")</f>
        <v>INFILTRATOR TUVOK</v>
      </c>
      <c r="F506" s="270" t="str">
        <f>IFERROR(__xludf.DUMMYFUNCTION("""COMPUTED_VALUE"""),"OA")</f>
        <v>OA</v>
      </c>
      <c r="G506" s="231" t="str">
        <f>IFERROR(__xludf.DUMMYFUNCTION("""COMPUTED_VALUE"""),"✴️")</f>
        <v>✴️</v>
      </c>
      <c r="H506" s="231" t="str">
        <f>IFERROR(__xludf.DUMMYFUNCTION("""COMPUTED_VALUE"""),"✴️")</f>
        <v>✴️</v>
      </c>
      <c r="I506" s="231" t="str">
        <f>IFERROR(__xludf.DUMMYFUNCTION("""COMPUTED_VALUE"""),"➖")</f>
        <v>➖</v>
      </c>
      <c r="J506" s="231" t="str">
        <f>IFERROR(__xludf.DUMMYFUNCTION("""COMPUTED_VALUE"""),"➖")</f>
        <v>➖</v>
      </c>
      <c r="K506" s="288" t="str">
        <f>IFERROR(__xludf.DUMMYFUNCTION("""COMPUTED_VALUE"""),"➖")</f>
        <v>➖</v>
      </c>
      <c r="L506" s="288" t="str">
        <f>IFERROR(__xludf.DUMMYFUNCTION("""COMPUTED_VALUE"""),"➖")</f>
        <v>➖</v>
      </c>
      <c r="M506" s="288" t="str">
        <f>IFERROR(__xludf.DUMMYFUNCTION("""COMPUTED_VALUE"""),"➖")</f>
        <v>➖</v>
      </c>
      <c r="N506" s="288" t="str">
        <f>IFERROR(__xludf.DUMMYFUNCTION("""COMPUTED_VALUE"""),"➖")</f>
        <v>➖</v>
      </c>
      <c r="O506" s="288" t="str">
        <f>IFERROR(__xludf.DUMMYFUNCTION("""COMPUTED_VALUE"""),"➖")</f>
        <v>➖</v>
      </c>
      <c r="P506" s="288" t="str">
        <f>IFERROR(__xludf.DUMMYFUNCTION("""COMPUTED_VALUE"""),"➖")</f>
        <v>➖</v>
      </c>
      <c r="Q506" s="288" t="str">
        <f>IFERROR(__xludf.DUMMYFUNCTION("""COMPUTED_VALUE"""),"➖")</f>
        <v>➖</v>
      </c>
      <c r="R506" s="257" t="str">
        <f>IFERROR(__xludf.DUMMYFUNCTION("""COMPUTED_VALUE"""),"   ➖")</f>
        <v>➖</v>
      </c>
      <c r="S506" s="258" t="str">
        <f>IFERROR(__xludf.DUMMYFUNCTION("""COMPUTED_VALUE"""),"TargetHasHullBreach")</f>
        <v>TargetHasHullBreach</v>
      </c>
      <c r="T506" s="255" t="str">
        <f>IFERROR(__xludf.DUMMYFUNCTION("""COMPUTED_VALUE"""),"➖")</f>
        <v>➖</v>
      </c>
      <c r="U506" s="255" t="str">
        <f>IFERROR(__xludf.DUMMYFUNCTION("""COMPUTED_VALUE"""),"➖")</f>
        <v>➖</v>
      </c>
      <c r="V506" s="259"/>
      <c r="W506" s="286"/>
      <c r="X506" s="286"/>
      <c r="Y506" s="286"/>
    </row>
    <row r="507">
      <c r="A507" s="28"/>
      <c r="B507" s="128"/>
      <c r="C507" s="28"/>
      <c r="D507" s="250" t="str">
        <f>IFERROR(__xludf.DUMMYFUNCTION("""COMPUTED_VALUE"""),"   R")</f>
        <v>R</v>
      </c>
      <c r="E507" s="280" t="str">
        <f>IFERROR(__xludf.DUMMYFUNCTION("""COMPUTED_VALUE"""),"INFILTRATOR TUVOK")</f>
        <v>INFILTRATOR TUVOK</v>
      </c>
      <c r="F507" s="271" t="str">
        <f>IFERROR(__xludf.DUMMYFUNCTION("""COMPUTED_VALUE"""),"BDA")</f>
        <v>BDA</v>
      </c>
      <c r="G507" s="281" t="str">
        <f>IFERROR(__xludf.DUMMYFUNCTION("""COMPUTED_VALUE"""),"✴️")</f>
        <v>✴️</v>
      </c>
      <c r="H507" s="281" t="str">
        <f>IFERROR(__xludf.DUMMYFUNCTION("""COMPUTED_VALUE"""),"✴️")</f>
        <v>✴️</v>
      </c>
      <c r="I507" s="281" t="str">
        <f>IFERROR(__xludf.DUMMYFUNCTION("""COMPUTED_VALUE"""),"➖")</f>
        <v>➖</v>
      </c>
      <c r="J507" s="281" t="str">
        <f>IFERROR(__xludf.DUMMYFUNCTION("""COMPUTED_VALUE"""),"➖")</f>
        <v>➖</v>
      </c>
      <c r="K507" s="282" t="str">
        <f>IFERROR(__xludf.DUMMYFUNCTION("""COMPUTED_VALUE"""),"➖")</f>
        <v>➖</v>
      </c>
      <c r="L507" s="282" t="str">
        <f>IFERROR(__xludf.DUMMYFUNCTION("""COMPUTED_VALUE"""),"➖")</f>
        <v>➖</v>
      </c>
      <c r="M507" s="282" t="str">
        <f>IFERROR(__xludf.DUMMYFUNCTION("""COMPUTED_VALUE"""),"➖")</f>
        <v>➖</v>
      </c>
      <c r="N507" s="282" t="str">
        <f>IFERROR(__xludf.DUMMYFUNCTION("""COMPUTED_VALUE"""),"➖")</f>
        <v>➖</v>
      </c>
      <c r="O507" s="282" t="str">
        <f>IFERROR(__xludf.DUMMYFUNCTION("""COMPUTED_VALUE"""),"➖")</f>
        <v>➖</v>
      </c>
      <c r="P507" s="282" t="str">
        <f>IFERROR(__xludf.DUMMYFUNCTION("""COMPUTED_VALUE"""),"➖")</f>
        <v>➖</v>
      </c>
      <c r="Q507" s="282" t="str">
        <f>IFERROR(__xludf.DUMMYFUNCTION("""COMPUTED_VALUE"""),"➖")</f>
        <v>➖</v>
      </c>
      <c r="R507" s="283" t="str">
        <f>IFERROR(__xludf.DUMMYFUNCTION("""COMPUTED_VALUE"""),"   ➖")</f>
        <v>➖</v>
      </c>
      <c r="S507" s="284" t="str">
        <f>IFERROR(__xludf.DUMMYFUNCTION("""COMPUTED_VALUE"""),"SelfStateNone, SelfOfficerTalNotOnBridge")</f>
        <v>SelfStateNone, SelfOfficerTalNotOnBridge</v>
      </c>
      <c r="T507" s="285" t="str">
        <f>IFERROR(__xludf.DUMMYFUNCTION("""COMPUTED_VALUE"""),"➖")</f>
        <v>➖</v>
      </c>
      <c r="U507" s="285" t="str">
        <f>IFERROR(__xludf.DUMMYFUNCTION("""COMPUTED_VALUE"""),"➖")</f>
        <v>➖</v>
      </c>
      <c r="V507" s="259"/>
      <c r="W507" s="286"/>
      <c r="X507" s="286"/>
      <c r="Y507" s="286"/>
    </row>
    <row r="508">
      <c r="A508" s="28"/>
      <c r="B508" s="132"/>
      <c r="C508" s="28"/>
      <c r="D508" s="260" t="str">
        <f>IFERROR(__xludf.DUMMYFUNCTION("""COMPUTED_VALUE"""),"   E")</f>
        <v>E</v>
      </c>
      <c r="E508" s="287" t="str">
        <f>IFERROR(__xludf.DUMMYFUNCTION("""COMPUTED_VALUE"""),"ANNORAX")</f>
        <v>ANNORAX</v>
      </c>
      <c r="F508" s="270" t="str">
        <f>IFERROR(__xludf.DUMMYFUNCTION("""COMPUTED_VALUE"""),"CM")</f>
        <v>CM</v>
      </c>
      <c r="G508" s="231" t="str">
        <f>IFERROR(__xludf.DUMMYFUNCTION("""COMPUTED_VALUE"""),"➖")</f>
        <v>➖</v>
      </c>
      <c r="H508" s="231" t="str">
        <f>IFERROR(__xludf.DUMMYFUNCTION("""COMPUTED_VALUE"""),"➖")</f>
        <v>➖</v>
      </c>
      <c r="I508" s="231" t="str">
        <f>IFERROR(__xludf.DUMMYFUNCTION("""COMPUTED_VALUE"""),"✴️")</f>
        <v>✴️</v>
      </c>
      <c r="J508" s="231" t="str">
        <f>IFERROR(__xludf.DUMMYFUNCTION("""COMPUTED_VALUE"""),"➖")</f>
        <v>➖</v>
      </c>
      <c r="K508" s="288" t="str">
        <f>IFERROR(__xludf.DUMMYFUNCTION("""COMPUTED_VALUE"""),"➖")</f>
        <v>➖</v>
      </c>
      <c r="L508" s="288" t="str">
        <f>IFERROR(__xludf.DUMMYFUNCTION("""COMPUTED_VALUE"""),"➖")</f>
        <v>➖</v>
      </c>
      <c r="M508" s="288" t="str">
        <f>IFERROR(__xludf.DUMMYFUNCTION("""COMPUTED_VALUE"""),"➖")</f>
        <v>➖</v>
      </c>
      <c r="N508" s="288" t="str">
        <f>IFERROR(__xludf.DUMMYFUNCTION("""COMPUTED_VALUE"""),"➖")</f>
        <v>➖</v>
      </c>
      <c r="O508" s="288" t="str">
        <f>IFERROR(__xludf.DUMMYFUNCTION("""COMPUTED_VALUE"""),"➖")</f>
        <v>➖</v>
      </c>
      <c r="P508" s="288" t="str">
        <f>IFERROR(__xludf.DUMMYFUNCTION("""COMPUTED_VALUE"""),"➖")</f>
        <v>➖</v>
      </c>
      <c r="Q508" s="288" t="str">
        <f>IFERROR(__xludf.DUMMYFUNCTION("""COMPUTED_VALUE"""),"➖")</f>
        <v>➖</v>
      </c>
      <c r="R508" s="257" t="str">
        <f>IFERROR(__xludf.DUMMYFUNCTION("""COMPUTED_VALUE"""),"   ➖")</f>
        <v>➖</v>
      </c>
      <c r="S508" s="258" t="str">
        <f>IFERROR(__xludf.DUMMYFUNCTION("""COMPUTED_VALUE"""),"PveChestLootMultiplierLimitedResources")</f>
        <v>PveChestLootMultiplierLimitedResources</v>
      </c>
      <c r="T508" s="255" t="str">
        <f>IFERROR(__xludf.DUMMYFUNCTION("""COMPUTED_VALUE"""),"✅")</f>
        <v>✅</v>
      </c>
      <c r="U508" s="255" t="str">
        <f>IFERROR(__xludf.DUMMYFUNCTION("""COMPUTED_VALUE"""),"➖")</f>
        <v>➖</v>
      </c>
      <c r="V508" s="259"/>
      <c r="W508" s="286"/>
      <c r="X508" s="286"/>
      <c r="Y508" s="286"/>
    </row>
    <row r="509">
      <c r="A509" s="28"/>
      <c r="B509" s="128"/>
      <c r="C509" s="28"/>
      <c r="D509" s="250" t="str">
        <f>IFERROR(__xludf.DUMMYFUNCTION("""COMPUTED_VALUE"""),"   E")</f>
        <v>E</v>
      </c>
      <c r="E509" s="280" t="str">
        <f>IFERROR(__xludf.DUMMYFUNCTION("""COMPUTED_VALUE"""),"ANNORAX")</f>
        <v>ANNORAX</v>
      </c>
      <c r="F509" s="271" t="str">
        <f>IFERROR(__xludf.DUMMYFUNCTION("""COMPUTED_VALUE"""),"OA")</f>
        <v>OA</v>
      </c>
      <c r="G509" s="281" t="str">
        <f>IFERROR(__xludf.DUMMYFUNCTION("""COMPUTED_VALUE"""),"➖")</f>
        <v>➖</v>
      </c>
      <c r="H509" s="281" t="str">
        <f>IFERROR(__xludf.DUMMYFUNCTION("""COMPUTED_VALUE"""),"➖")</f>
        <v>➖</v>
      </c>
      <c r="I509" s="281" t="str">
        <f>IFERROR(__xludf.DUMMYFUNCTION("""COMPUTED_VALUE"""),"✴️")</f>
        <v>✴️</v>
      </c>
      <c r="J509" s="281" t="str">
        <f>IFERROR(__xludf.DUMMYFUNCTION("""COMPUTED_VALUE"""),"✴️")</f>
        <v>✴️</v>
      </c>
      <c r="K509" s="282" t="str">
        <f>IFERROR(__xludf.DUMMYFUNCTION("""COMPUTED_VALUE"""),"✴️")</f>
        <v>✴️</v>
      </c>
      <c r="L509" s="282" t="str">
        <f>IFERROR(__xludf.DUMMYFUNCTION("""COMPUTED_VALUE"""),"➖")</f>
        <v>➖</v>
      </c>
      <c r="M509" s="282" t="str">
        <f>IFERROR(__xludf.DUMMYFUNCTION("""COMPUTED_VALUE"""),"➖")</f>
        <v>➖</v>
      </c>
      <c r="N509" s="282" t="str">
        <f>IFERROR(__xludf.DUMMYFUNCTION("""COMPUTED_VALUE"""),"➖")</f>
        <v>➖</v>
      </c>
      <c r="O509" s="282" t="str">
        <f>IFERROR(__xludf.DUMMYFUNCTION("""COMPUTED_VALUE"""),"➖")</f>
        <v>➖</v>
      </c>
      <c r="P509" s="282" t="str">
        <f>IFERROR(__xludf.DUMMYFUNCTION("""COMPUTED_VALUE"""),"➖")</f>
        <v>➖</v>
      </c>
      <c r="Q509" s="282" t="str">
        <f>IFERROR(__xludf.DUMMYFUNCTION("""COMPUTED_VALUE"""),"➖")</f>
        <v>➖</v>
      </c>
      <c r="R509" s="283" t="str">
        <f>IFERROR(__xludf.DUMMYFUNCTION("""COMPUTED_VALUE"""),"   ➖")</f>
        <v>➖</v>
      </c>
      <c r="S509" s="284" t="str">
        <f>IFERROR(__xludf.DUMMYFUNCTION("""COMPUTED_VALUE"""),"SelfOfficerTalNotOnBridge")</f>
        <v>SelfOfficerTalNotOnBridge</v>
      </c>
      <c r="T509" s="285" t="str">
        <f>IFERROR(__xludf.DUMMYFUNCTION("""COMPUTED_VALUE"""),"➖")</f>
        <v>➖</v>
      </c>
      <c r="U509" s="285" t="str">
        <f>IFERROR(__xludf.DUMMYFUNCTION("""COMPUTED_VALUE"""),"➖")</f>
        <v>➖</v>
      </c>
      <c r="V509" s="259"/>
      <c r="W509" s="286"/>
      <c r="X509" s="286"/>
      <c r="Y509" s="286"/>
    </row>
    <row r="510">
      <c r="A510" s="28"/>
      <c r="B510" s="132"/>
      <c r="C510" s="28"/>
      <c r="D510" s="260" t="str">
        <f>IFERROR(__xludf.DUMMYFUNCTION("""COMPUTED_VALUE"""),"   E")</f>
        <v>E</v>
      </c>
      <c r="E510" s="287" t="str">
        <f>IFERROR(__xludf.DUMMYFUNCTION("""COMPUTED_VALUE"""),"SESKA")</f>
        <v>SESKA</v>
      </c>
      <c r="F510" s="270" t="str">
        <f>IFERROR(__xludf.DUMMYFUNCTION("""COMPUTED_VALUE"""),"OA")</f>
        <v>OA</v>
      </c>
      <c r="G510" s="231" t="str">
        <f>IFERROR(__xludf.DUMMYFUNCTION("""COMPUTED_VALUE"""),"➖")</f>
        <v>➖</v>
      </c>
      <c r="H510" s="231" t="str">
        <f>IFERROR(__xludf.DUMMYFUNCTION("""COMPUTED_VALUE"""),"➖")</f>
        <v>➖</v>
      </c>
      <c r="I510" s="231" t="str">
        <f>IFERROR(__xludf.DUMMYFUNCTION("""COMPUTED_VALUE"""),"✅")</f>
        <v>✅</v>
      </c>
      <c r="J510" s="231" t="str">
        <f>IFERROR(__xludf.DUMMYFUNCTION("""COMPUTED_VALUE"""),"✅")</f>
        <v>✅</v>
      </c>
      <c r="K510" s="288" t="str">
        <f>IFERROR(__xludf.DUMMYFUNCTION("""COMPUTED_VALUE"""),"✅")</f>
        <v>✅</v>
      </c>
      <c r="L510" s="288" t="str">
        <f>IFERROR(__xludf.DUMMYFUNCTION("""COMPUTED_VALUE"""),"➖")</f>
        <v>➖</v>
      </c>
      <c r="M510" s="288" t="str">
        <f>IFERROR(__xludf.DUMMYFUNCTION("""COMPUTED_VALUE"""),"➖")</f>
        <v>➖</v>
      </c>
      <c r="N510" s="288" t="str">
        <f>IFERROR(__xludf.DUMMYFUNCTION("""COMPUTED_VALUE"""),"➖")</f>
        <v>➖</v>
      </c>
      <c r="O510" s="288" t="str">
        <f>IFERROR(__xludf.DUMMYFUNCTION("""COMPUTED_VALUE"""),"➖")</f>
        <v>➖</v>
      </c>
      <c r="P510" s="288" t="str">
        <f>IFERROR(__xludf.DUMMYFUNCTION("""COMPUTED_VALUE"""),"➖")</f>
        <v>➖</v>
      </c>
      <c r="Q510" s="288" t="str">
        <f>IFERROR(__xludf.DUMMYFUNCTION("""COMPUTED_VALUE"""),"➖")</f>
        <v>➖</v>
      </c>
      <c r="R510" s="257" t="str">
        <f>IFERROR(__xludf.DUMMYFUNCTION("""COMPUTED_VALUE"""),"   ➖")</f>
        <v>➖</v>
      </c>
      <c r="S510" s="258"/>
      <c r="T510" s="255" t="str">
        <f>IFERROR(__xludf.DUMMYFUNCTION("""COMPUTED_VALUE"""),"➖")</f>
        <v>➖</v>
      </c>
      <c r="U510" s="255" t="str">
        <f>IFERROR(__xludf.DUMMYFUNCTION("""COMPUTED_VALUE"""),"➖")</f>
        <v>➖</v>
      </c>
      <c r="V510" s="259"/>
      <c r="W510" s="286"/>
      <c r="X510" s="286"/>
      <c r="Y510" s="286"/>
    </row>
    <row r="511">
      <c r="A511" s="28"/>
      <c r="B511" s="128"/>
      <c r="C511" s="28"/>
      <c r="D511" s="250" t="str">
        <f>IFERROR(__xludf.DUMMYFUNCTION("""COMPUTED_VALUE"""),"   E")</f>
        <v>E</v>
      </c>
      <c r="E511" s="280" t="str">
        <f>IFERROR(__xludf.DUMMYFUNCTION("""COMPUTED_VALUE"""),"SESKA")</f>
        <v>SESKA</v>
      </c>
      <c r="F511" s="271" t="str">
        <f>IFERROR(__xludf.DUMMYFUNCTION("""COMPUTED_VALUE"""),"BDA")</f>
        <v>BDA</v>
      </c>
      <c r="G511" s="281" t="str">
        <f>IFERROR(__xludf.DUMMYFUNCTION("""COMPUTED_VALUE"""),"➖")</f>
        <v>➖</v>
      </c>
      <c r="H511" s="281" t="str">
        <f>IFERROR(__xludf.DUMMYFUNCTION("""COMPUTED_VALUE"""),"➖")</f>
        <v>➖</v>
      </c>
      <c r="I511" s="281" t="str">
        <f>IFERROR(__xludf.DUMMYFUNCTION("""COMPUTED_VALUE"""),"✅")</f>
        <v>✅</v>
      </c>
      <c r="J511" s="281" t="str">
        <f>IFERROR(__xludf.DUMMYFUNCTION("""COMPUTED_VALUE"""),"✅")</f>
        <v>✅</v>
      </c>
      <c r="K511" s="282" t="str">
        <f>IFERROR(__xludf.DUMMYFUNCTION("""COMPUTED_VALUE"""),"✅")</f>
        <v>✅</v>
      </c>
      <c r="L511" s="282" t="str">
        <f>IFERROR(__xludf.DUMMYFUNCTION("""COMPUTED_VALUE"""),"➖")</f>
        <v>➖</v>
      </c>
      <c r="M511" s="282" t="str">
        <f>IFERROR(__xludf.DUMMYFUNCTION("""COMPUTED_VALUE"""),"➖")</f>
        <v>➖</v>
      </c>
      <c r="N511" s="282" t="str">
        <f>IFERROR(__xludf.DUMMYFUNCTION("""COMPUTED_VALUE"""),"➖")</f>
        <v>➖</v>
      </c>
      <c r="O511" s="282" t="str">
        <f>IFERROR(__xludf.DUMMYFUNCTION("""COMPUTED_VALUE"""),"➖")</f>
        <v>➖</v>
      </c>
      <c r="P511" s="282" t="str">
        <f>IFERROR(__xludf.DUMMYFUNCTION("""COMPUTED_VALUE"""),"➖")</f>
        <v>➖</v>
      </c>
      <c r="Q511" s="282" t="str">
        <f>IFERROR(__xludf.DUMMYFUNCTION("""COMPUTED_VALUE"""),"➖")</f>
        <v>➖</v>
      </c>
      <c r="R511" s="283" t="str">
        <f>IFERROR(__xludf.DUMMYFUNCTION("""COMPUTED_VALUE"""),"   ➖")</f>
        <v>➖</v>
      </c>
      <c r="S511" s="284"/>
      <c r="T511" s="285" t="str">
        <f>IFERROR(__xludf.DUMMYFUNCTION("""COMPUTED_VALUE"""),"➖")</f>
        <v>➖</v>
      </c>
      <c r="U511" s="285" t="str">
        <f>IFERROR(__xludf.DUMMYFUNCTION("""COMPUTED_VALUE"""),"➖")</f>
        <v>➖</v>
      </c>
      <c r="V511" s="259"/>
      <c r="W511" s="286"/>
      <c r="X511" s="286"/>
      <c r="Y511" s="286"/>
    </row>
    <row r="512">
      <c r="A512" s="28"/>
      <c r="B512" s="132"/>
      <c r="C512" s="28"/>
      <c r="D512" s="260" t="str">
        <f>IFERROR(__xludf.DUMMYFUNCTION("""COMPUTED_VALUE"""),"   R")</f>
        <v>R</v>
      </c>
      <c r="E512" s="287" t="str">
        <f>IFERROR(__xludf.DUMMYFUNCTION("""COMPUTED_VALUE"""),"SUDER")</f>
        <v>SUDER</v>
      </c>
      <c r="F512" s="270" t="str">
        <f>IFERROR(__xludf.DUMMYFUNCTION("""COMPUTED_VALUE"""),"OA")</f>
        <v>OA</v>
      </c>
      <c r="G512" s="231" t="str">
        <f>IFERROR(__xludf.DUMMYFUNCTION("""COMPUTED_VALUE"""),"➖")</f>
        <v>➖</v>
      </c>
      <c r="H512" s="231" t="str">
        <f>IFERROR(__xludf.DUMMYFUNCTION("""COMPUTED_VALUE"""),"➖")</f>
        <v>➖</v>
      </c>
      <c r="I512" s="231" t="str">
        <f>IFERROR(__xludf.DUMMYFUNCTION("""COMPUTED_VALUE"""),"✅")</f>
        <v>✅</v>
      </c>
      <c r="J512" s="231" t="str">
        <f>IFERROR(__xludf.DUMMYFUNCTION("""COMPUTED_VALUE"""),"✅")</f>
        <v>✅</v>
      </c>
      <c r="K512" s="288" t="str">
        <f>IFERROR(__xludf.DUMMYFUNCTION("""COMPUTED_VALUE"""),"✅")</f>
        <v>✅</v>
      </c>
      <c r="L512" s="288" t="str">
        <f>IFERROR(__xludf.DUMMYFUNCTION("""COMPUTED_VALUE"""),"➖")</f>
        <v>➖</v>
      </c>
      <c r="M512" s="288" t="str">
        <f>IFERROR(__xludf.DUMMYFUNCTION("""COMPUTED_VALUE"""),"➖")</f>
        <v>➖</v>
      </c>
      <c r="N512" s="288" t="str">
        <f>IFERROR(__xludf.DUMMYFUNCTION("""COMPUTED_VALUE"""),"➖")</f>
        <v>➖</v>
      </c>
      <c r="O512" s="288" t="str">
        <f>IFERROR(__xludf.DUMMYFUNCTION("""COMPUTED_VALUE"""),"➖")</f>
        <v>➖</v>
      </c>
      <c r="P512" s="288" t="str">
        <f>IFERROR(__xludf.DUMMYFUNCTION("""COMPUTED_VALUE"""),"➖")</f>
        <v>➖</v>
      </c>
      <c r="Q512" s="288" t="str">
        <f>IFERROR(__xludf.DUMMYFUNCTION("""COMPUTED_VALUE"""),"➖")</f>
        <v>➖</v>
      </c>
      <c r="R512" s="257" t="str">
        <f>IFERROR(__xludf.DUMMYFUNCTION("""COMPUTED_VALUE"""),"   ➖")</f>
        <v>➖</v>
      </c>
      <c r="S512" s="258"/>
      <c r="T512" s="255" t="str">
        <f>IFERROR(__xludf.DUMMYFUNCTION("""COMPUTED_VALUE"""),"➖")</f>
        <v>➖</v>
      </c>
      <c r="U512" s="255" t="str">
        <f>IFERROR(__xludf.DUMMYFUNCTION("""COMPUTED_VALUE"""),"➖")</f>
        <v>➖</v>
      </c>
      <c r="V512" s="259"/>
      <c r="W512" s="286"/>
      <c r="X512" s="286"/>
      <c r="Y512" s="286"/>
    </row>
    <row r="513">
      <c r="A513" s="28"/>
      <c r="B513" s="128"/>
      <c r="C513" s="28"/>
      <c r="D513" s="250" t="str">
        <f>IFERROR(__xludf.DUMMYFUNCTION("""COMPUTED_VALUE"""),"   R")</f>
        <v>R</v>
      </c>
      <c r="E513" s="280" t="str">
        <f>IFERROR(__xludf.DUMMYFUNCTION("""COMPUTED_VALUE"""),"SUDER")</f>
        <v>SUDER</v>
      </c>
      <c r="F513" s="271" t="str">
        <f>IFERROR(__xludf.DUMMYFUNCTION("""COMPUTED_VALUE"""),"BDA")</f>
        <v>BDA</v>
      </c>
      <c r="G513" s="281" t="str">
        <f>IFERROR(__xludf.DUMMYFUNCTION("""COMPUTED_VALUE"""),"➖")</f>
        <v>➖</v>
      </c>
      <c r="H513" s="281" t="str">
        <f>IFERROR(__xludf.DUMMYFUNCTION("""COMPUTED_VALUE"""),"➖")</f>
        <v>➖</v>
      </c>
      <c r="I513" s="281" t="str">
        <f>IFERROR(__xludf.DUMMYFUNCTION("""COMPUTED_VALUE"""),"✅")</f>
        <v>✅</v>
      </c>
      <c r="J513" s="281" t="str">
        <f>IFERROR(__xludf.DUMMYFUNCTION("""COMPUTED_VALUE"""),"✅")</f>
        <v>✅</v>
      </c>
      <c r="K513" s="282" t="str">
        <f>IFERROR(__xludf.DUMMYFUNCTION("""COMPUTED_VALUE"""),"✅")</f>
        <v>✅</v>
      </c>
      <c r="L513" s="282" t="str">
        <f>IFERROR(__xludf.DUMMYFUNCTION("""COMPUTED_VALUE"""),"➖")</f>
        <v>➖</v>
      </c>
      <c r="M513" s="282" t="str">
        <f>IFERROR(__xludf.DUMMYFUNCTION("""COMPUTED_VALUE"""),"➖")</f>
        <v>➖</v>
      </c>
      <c r="N513" s="282" t="str">
        <f>IFERROR(__xludf.DUMMYFUNCTION("""COMPUTED_VALUE"""),"➖")</f>
        <v>➖</v>
      </c>
      <c r="O513" s="282" t="str">
        <f>IFERROR(__xludf.DUMMYFUNCTION("""COMPUTED_VALUE"""),"➖")</f>
        <v>➖</v>
      </c>
      <c r="P513" s="282" t="str">
        <f>IFERROR(__xludf.DUMMYFUNCTION("""COMPUTED_VALUE"""),"➖")</f>
        <v>➖</v>
      </c>
      <c r="Q513" s="282" t="str">
        <f>IFERROR(__xludf.DUMMYFUNCTION("""COMPUTED_VALUE"""),"➖")</f>
        <v>➖</v>
      </c>
      <c r="R513" s="283" t="str">
        <f>IFERROR(__xludf.DUMMYFUNCTION("""COMPUTED_VALUE"""),"   ➖")</f>
        <v>➖</v>
      </c>
      <c r="S513" s="284"/>
      <c r="T513" s="285" t="str">
        <f>IFERROR(__xludf.DUMMYFUNCTION("""COMPUTED_VALUE"""),"➖")</f>
        <v>➖</v>
      </c>
      <c r="U513" s="285" t="str">
        <f>IFERROR(__xludf.DUMMYFUNCTION("""COMPUTED_VALUE"""),"➖")</f>
        <v>➖</v>
      </c>
      <c r="V513" s="259"/>
      <c r="W513" s="286"/>
      <c r="X513" s="286"/>
      <c r="Y513" s="286"/>
    </row>
    <row r="514">
      <c r="A514" s="28"/>
      <c r="B514" s="132"/>
      <c r="C514" s="28"/>
      <c r="D514" s="260" t="str">
        <f>IFERROR(__xludf.DUMMYFUNCTION("""COMPUTED_VALUE"""),"   E")</f>
        <v>E</v>
      </c>
      <c r="E514" s="287" t="str">
        <f>IFERROR(__xludf.DUMMYFUNCTION("""COMPUTED_VALUE"""),"S31 GEORGIOU")</f>
        <v>S31 GEORGIOU</v>
      </c>
      <c r="F514" s="270" t="str">
        <f>IFERROR(__xludf.DUMMYFUNCTION("""COMPUTED_VALUE"""),"OA")</f>
        <v>OA</v>
      </c>
      <c r="G514" s="231" t="str">
        <f>IFERROR(__xludf.DUMMYFUNCTION("""COMPUTED_VALUE"""),"➖")</f>
        <v>➖</v>
      </c>
      <c r="H514" s="231" t="str">
        <f>IFERROR(__xludf.DUMMYFUNCTION("""COMPUTED_VALUE"""),"➖")</f>
        <v>➖</v>
      </c>
      <c r="I514" s="231" t="str">
        <f>IFERROR(__xludf.DUMMYFUNCTION("""COMPUTED_VALUE"""),"✅")</f>
        <v>✅</v>
      </c>
      <c r="J514" s="231" t="str">
        <f>IFERROR(__xludf.DUMMYFUNCTION("""COMPUTED_VALUE"""),"✅")</f>
        <v>✅</v>
      </c>
      <c r="K514" s="288" t="str">
        <f>IFERROR(__xludf.DUMMYFUNCTION("""COMPUTED_VALUE"""),"✅")</f>
        <v>✅</v>
      </c>
      <c r="L514" s="288" t="str">
        <f>IFERROR(__xludf.DUMMYFUNCTION("""COMPUTED_VALUE"""),"➖")</f>
        <v>➖</v>
      </c>
      <c r="M514" s="288" t="str">
        <f>IFERROR(__xludf.DUMMYFUNCTION("""COMPUTED_VALUE"""),"➖")</f>
        <v>➖</v>
      </c>
      <c r="N514" s="288" t="str">
        <f>IFERROR(__xludf.DUMMYFUNCTION("""COMPUTED_VALUE"""),"➖")</f>
        <v>➖</v>
      </c>
      <c r="O514" s="288" t="str">
        <f>IFERROR(__xludf.DUMMYFUNCTION("""COMPUTED_VALUE"""),"➖")</f>
        <v>➖</v>
      </c>
      <c r="P514" s="288" t="str">
        <f>IFERROR(__xludf.DUMMYFUNCTION("""COMPUTED_VALUE"""),"➖")</f>
        <v>➖</v>
      </c>
      <c r="Q514" s="288" t="str">
        <f>IFERROR(__xludf.DUMMYFUNCTION("""COMPUTED_VALUE"""),"➖")</f>
        <v>➖</v>
      </c>
      <c r="R514" s="257" t="str">
        <f>IFERROR(__xludf.DUMMYFUNCTION("""COMPUTED_VALUE"""),"   ➖")</f>
        <v>➖</v>
      </c>
      <c r="S514" s="258"/>
      <c r="T514" s="255" t="str">
        <f>IFERROR(__xludf.DUMMYFUNCTION("""COMPUTED_VALUE"""),"➖")</f>
        <v>➖</v>
      </c>
      <c r="U514" s="255" t="str">
        <f>IFERROR(__xludf.DUMMYFUNCTION("""COMPUTED_VALUE"""),"➖")</f>
        <v>➖</v>
      </c>
      <c r="V514" s="259"/>
      <c r="W514" s="286"/>
      <c r="X514" s="286"/>
      <c r="Y514" s="286"/>
    </row>
    <row r="515">
      <c r="A515" s="28"/>
      <c r="B515" s="128"/>
      <c r="C515" s="28"/>
      <c r="D515" s="250" t="str">
        <f>IFERROR(__xludf.DUMMYFUNCTION("""COMPUTED_VALUE"""),"   E")</f>
        <v>E</v>
      </c>
      <c r="E515" s="280" t="str">
        <f>IFERROR(__xludf.DUMMYFUNCTION("""COMPUTED_VALUE"""),"S31 GEORGIOU")</f>
        <v>S31 GEORGIOU</v>
      </c>
      <c r="F515" s="271" t="str">
        <f>IFERROR(__xludf.DUMMYFUNCTION("""COMPUTED_VALUE"""),"BDA")</f>
        <v>BDA</v>
      </c>
      <c r="G515" s="281" t="str">
        <f>IFERROR(__xludf.DUMMYFUNCTION("""COMPUTED_VALUE"""),"✅")</f>
        <v>✅</v>
      </c>
      <c r="H515" s="281" t="str">
        <f>IFERROR(__xludf.DUMMYFUNCTION("""COMPUTED_VALUE"""),"✅")</f>
        <v>✅</v>
      </c>
      <c r="I515" s="281" t="str">
        <f>IFERROR(__xludf.DUMMYFUNCTION("""COMPUTED_VALUE"""),"➖")</f>
        <v>➖</v>
      </c>
      <c r="J515" s="281" t="str">
        <f>IFERROR(__xludf.DUMMYFUNCTION("""COMPUTED_VALUE"""),"➖")</f>
        <v>➖</v>
      </c>
      <c r="K515" s="282" t="str">
        <f>IFERROR(__xludf.DUMMYFUNCTION("""COMPUTED_VALUE"""),"➖")</f>
        <v>➖</v>
      </c>
      <c r="L515" s="282" t="str">
        <f>IFERROR(__xludf.DUMMYFUNCTION("""COMPUTED_VALUE"""),"➖")</f>
        <v>➖</v>
      </c>
      <c r="M515" s="282" t="str">
        <f>IFERROR(__xludf.DUMMYFUNCTION("""COMPUTED_VALUE"""),"➖")</f>
        <v>➖</v>
      </c>
      <c r="N515" s="282" t="str">
        <f>IFERROR(__xludf.DUMMYFUNCTION("""COMPUTED_VALUE"""),"➖")</f>
        <v>➖</v>
      </c>
      <c r="O515" s="282" t="str">
        <f>IFERROR(__xludf.DUMMYFUNCTION("""COMPUTED_VALUE"""),"➖")</f>
        <v>➖</v>
      </c>
      <c r="P515" s="282" t="str">
        <f>IFERROR(__xludf.DUMMYFUNCTION("""COMPUTED_VALUE"""),"➖")</f>
        <v>➖</v>
      </c>
      <c r="Q515" s="282" t="str">
        <f>IFERROR(__xludf.DUMMYFUNCTION("""COMPUTED_VALUE"""),"➖")</f>
        <v>➖</v>
      </c>
      <c r="R515" s="283" t="str">
        <f>IFERROR(__xludf.DUMMYFUNCTION("""COMPUTED_VALUE"""),"   ➖")</f>
        <v>➖</v>
      </c>
      <c r="S515" s="284"/>
      <c r="T515" s="285" t="str">
        <f>IFERROR(__xludf.DUMMYFUNCTION("""COMPUTED_VALUE"""),"➖")</f>
        <v>➖</v>
      </c>
      <c r="U515" s="285" t="str">
        <f>IFERROR(__xludf.DUMMYFUNCTION("""COMPUTED_VALUE"""),"➖")</f>
        <v>➖</v>
      </c>
      <c r="V515" s="259"/>
      <c r="W515" s="286"/>
      <c r="X515" s="286"/>
      <c r="Y515" s="286"/>
    </row>
    <row r="516">
      <c r="A516" s="28"/>
      <c r="B516" s="132"/>
      <c r="C516" s="28"/>
      <c r="D516" s="260" t="str">
        <f>IFERROR(__xludf.DUMMYFUNCTION("""COMPUTED_VALUE"""),"   R")</f>
        <v>R</v>
      </c>
      <c r="E516" s="287" t="str">
        <f>IFERROR(__xludf.DUMMYFUNCTION("""COMPUTED_VALUE"""),"RACHEL GARRETT")</f>
        <v>RACHEL GARRETT</v>
      </c>
      <c r="F516" s="270" t="str">
        <f>IFERROR(__xludf.DUMMYFUNCTION("""COMPUTED_VALUE"""),"OA")</f>
        <v>OA</v>
      </c>
      <c r="G516" s="231" t="str">
        <f>IFERROR(__xludf.DUMMYFUNCTION("""COMPUTED_VALUE"""),"➖")</f>
        <v>➖</v>
      </c>
      <c r="H516" s="231" t="str">
        <f>IFERROR(__xludf.DUMMYFUNCTION("""COMPUTED_VALUE"""),"➖")</f>
        <v>➖</v>
      </c>
      <c r="I516" s="231" t="str">
        <f>IFERROR(__xludf.DUMMYFUNCTION("""COMPUTED_VALUE"""),"✅")</f>
        <v>✅</v>
      </c>
      <c r="J516" s="231" t="str">
        <f>IFERROR(__xludf.DUMMYFUNCTION("""COMPUTED_VALUE"""),"➖")</f>
        <v>➖</v>
      </c>
      <c r="K516" s="288" t="str">
        <f>IFERROR(__xludf.DUMMYFUNCTION("""COMPUTED_VALUE"""),"➖")</f>
        <v>➖</v>
      </c>
      <c r="L516" s="288" t="str">
        <f>IFERROR(__xludf.DUMMYFUNCTION("""COMPUTED_VALUE"""),"➖")</f>
        <v>➖</v>
      </c>
      <c r="M516" s="288" t="str">
        <f>IFERROR(__xludf.DUMMYFUNCTION("""COMPUTED_VALUE"""),"➖")</f>
        <v>➖</v>
      </c>
      <c r="N516" s="288" t="str">
        <f>IFERROR(__xludf.DUMMYFUNCTION("""COMPUTED_VALUE"""),"➖")</f>
        <v>➖</v>
      </c>
      <c r="O516" s="288" t="str">
        <f>IFERROR(__xludf.DUMMYFUNCTION("""COMPUTED_VALUE"""),"➖")</f>
        <v>➖</v>
      </c>
      <c r="P516" s="288" t="str">
        <f>IFERROR(__xludf.DUMMYFUNCTION("""COMPUTED_VALUE"""),"➖")</f>
        <v>➖</v>
      </c>
      <c r="Q516" s="288" t="str">
        <f>IFERROR(__xludf.DUMMYFUNCTION("""COMPUTED_VALUE"""),"➖")</f>
        <v>➖</v>
      </c>
      <c r="R516" s="257" t="str">
        <f>IFERROR(__xludf.DUMMYFUNCTION("""COMPUTED_VALUE"""),"   ➖")</f>
        <v>➖</v>
      </c>
      <c r="S516" s="258"/>
      <c r="T516" s="255" t="str">
        <f>IFERROR(__xludf.DUMMYFUNCTION("""COMPUTED_VALUE"""),"✅")</f>
        <v>✅</v>
      </c>
      <c r="U516" s="255" t="str">
        <f>IFERROR(__xludf.DUMMYFUNCTION("""COMPUTED_VALUE"""),"➖")</f>
        <v>➖</v>
      </c>
      <c r="V516" s="259"/>
      <c r="W516" s="286"/>
      <c r="X516" s="286"/>
      <c r="Y516" s="286"/>
    </row>
    <row r="517">
      <c r="A517" s="28"/>
      <c r="B517" s="128"/>
      <c r="C517" s="28"/>
      <c r="D517" s="250" t="str">
        <f>IFERROR(__xludf.DUMMYFUNCTION("""COMPUTED_VALUE"""),"   R")</f>
        <v>R</v>
      </c>
      <c r="E517" s="280" t="str">
        <f>IFERROR(__xludf.DUMMYFUNCTION("""COMPUTED_VALUE"""),"RACHEL GARRETT")</f>
        <v>RACHEL GARRETT</v>
      </c>
      <c r="F517" s="271" t="str">
        <f>IFERROR(__xludf.DUMMYFUNCTION("""COMPUTED_VALUE"""),"BDA")</f>
        <v>BDA</v>
      </c>
      <c r="G517" s="281" t="str">
        <f>IFERROR(__xludf.DUMMYFUNCTION("""COMPUTED_VALUE"""),"➖")</f>
        <v>➖</v>
      </c>
      <c r="H517" s="281" t="str">
        <f>IFERROR(__xludf.DUMMYFUNCTION("""COMPUTED_VALUE"""),"➖")</f>
        <v>➖</v>
      </c>
      <c r="I517" s="281" t="str">
        <f>IFERROR(__xludf.DUMMYFUNCTION("""COMPUTED_VALUE"""),"✴️")</f>
        <v>✴️</v>
      </c>
      <c r="J517" s="281" t="str">
        <f>IFERROR(__xludf.DUMMYFUNCTION("""COMPUTED_VALUE"""),"✴️")</f>
        <v>✴️</v>
      </c>
      <c r="K517" s="282" t="str">
        <f>IFERROR(__xludf.DUMMYFUNCTION("""COMPUTED_VALUE"""),"✴️")</f>
        <v>✴️</v>
      </c>
      <c r="L517" s="282" t="str">
        <f>IFERROR(__xludf.DUMMYFUNCTION("""COMPUTED_VALUE"""),"➖")</f>
        <v>➖</v>
      </c>
      <c r="M517" s="282" t="str">
        <f>IFERROR(__xludf.DUMMYFUNCTION("""COMPUTED_VALUE"""),"➖")</f>
        <v>➖</v>
      </c>
      <c r="N517" s="282" t="str">
        <f>IFERROR(__xludf.DUMMYFUNCTION("""COMPUTED_VALUE"""),"➖")</f>
        <v>➖</v>
      </c>
      <c r="O517" s="282" t="str">
        <f>IFERROR(__xludf.DUMMYFUNCTION("""COMPUTED_VALUE"""),"➖")</f>
        <v>➖</v>
      </c>
      <c r="P517" s="282" t="str">
        <f>IFERROR(__xludf.DUMMYFUNCTION("""COMPUTED_VALUE"""),"➖")</f>
        <v>➖</v>
      </c>
      <c r="Q517" s="282" t="str">
        <f>IFERROR(__xludf.DUMMYFUNCTION("""COMPUTED_VALUE"""),"➖")</f>
        <v>➖</v>
      </c>
      <c r="R517" s="283" t="str">
        <f>IFERROR(__xludf.DUMMYFUNCTION("""COMPUTED_VALUE"""),"   ➖")</f>
        <v>➖</v>
      </c>
      <c r="S517" s="284" t="str">
        <f>IFERROR(__xludf.DUMMYFUNCTION("""COMPUTED_VALUE"""),"SelfOfficerTalNotOnBridge, EnemyBattleship")</f>
        <v>SelfOfficerTalNotOnBridge, EnemyBattleship</v>
      </c>
      <c r="T517" s="285" t="str">
        <f>IFERROR(__xludf.DUMMYFUNCTION("""COMPUTED_VALUE"""),"➖")</f>
        <v>➖</v>
      </c>
      <c r="U517" s="285" t="str">
        <f>IFERROR(__xludf.DUMMYFUNCTION("""COMPUTED_VALUE"""),"➖")</f>
        <v>➖</v>
      </c>
      <c r="V517" s="259"/>
      <c r="W517" s="286"/>
      <c r="X517" s="286"/>
      <c r="Y517" s="286"/>
    </row>
    <row r="518">
      <c r="A518" s="28"/>
      <c r="B518" s="132"/>
      <c r="C518" s="28"/>
      <c r="D518" s="260" t="str">
        <f>IFERROR(__xludf.DUMMYFUNCTION("""COMPUTED_VALUE"""),"   R")</f>
        <v>R</v>
      </c>
      <c r="E518" s="287" t="str">
        <f>IFERROR(__xludf.DUMMYFUNCTION("""COMPUTED_VALUE"""),"ZEPH")</f>
        <v>ZEPH</v>
      </c>
      <c r="F518" s="270" t="str">
        <f>IFERROR(__xludf.DUMMYFUNCTION("""COMPUTED_VALUE"""),"OA")</f>
        <v>OA</v>
      </c>
      <c r="G518" s="231" t="str">
        <f>IFERROR(__xludf.DUMMYFUNCTION("""COMPUTED_VALUE"""),"➖")</f>
        <v>➖</v>
      </c>
      <c r="H518" s="231" t="str">
        <f>IFERROR(__xludf.DUMMYFUNCTION("""COMPUTED_VALUE"""),"➖")</f>
        <v>➖</v>
      </c>
      <c r="I518" s="231" t="str">
        <f>IFERROR(__xludf.DUMMYFUNCTION("""COMPUTED_VALUE"""),"✅")</f>
        <v>✅</v>
      </c>
      <c r="J518" s="231" t="str">
        <f>IFERROR(__xludf.DUMMYFUNCTION("""COMPUTED_VALUE"""),"✅")</f>
        <v>✅</v>
      </c>
      <c r="K518" s="288" t="str">
        <f>IFERROR(__xludf.DUMMYFUNCTION("""COMPUTED_VALUE"""),"✅")</f>
        <v>✅</v>
      </c>
      <c r="L518" s="288" t="str">
        <f>IFERROR(__xludf.DUMMYFUNCTION("""COMPUTED_VALUE"""),"➖")</f>
        <v>➖</v>
      </c>
      <c r="M518" s="288" t="str">
        <f>IFERROR(__xludf.DUMMYFUNCTION("""COMPUTED_VALUE"""),"✅")</f>
        <v>✅</v>
      </c>
      <c r="N518" s="288" t="str">
        <f>IFERROR(__xludf.DUMMYFUNCTION("""COMPUTED_VALUE"""),"✅")</f>
        <v>✅</v>
      </c>
      <c r="O518" s="288" t="str">
        <f>IFERROR(__xludf.DUMMYFUNCTION("""COMPUTED_VALUE"""),"✅")</f>
        <v>✅</v>
      </c>
      <c r="P518" s="288" t="str">
        <f>IFERROR(__xludf.DUMMYFUNCTION("""COMPUTED_VALUE"""),"➖")</f>
        <v>➖</v>
      </c>
      <c r="Q518" s="288" t="str">
        <f>IFERROR(__xludf.DUMMYFUNCTION("""COMPUTED_VALUE"""),"➖")</f>
        <v>➖</v>
      </c>
      <c r="R518" s="257" t="str">
        <f>IFERROR(__xludf.DUMMYFUNCTION("""COMPUTED_VALUE"""),"   ➖")</f>
        <v>➖</v>
      </c>
      <c r="S518" s="258"/>
      <c r="T518" s="255" t="str">
        <f>IFERROR(__xludf.DUMMYFUNCTION("""COMPUTED_VALUE"""),"➖")</f>
        <v>➖</v>
      </c>
      <c r="U518" s="255" t="str">
        <f>IFERROR(__xludf.DUMMYFUNCTION("""COMPUTED_VALUE"""),"➖")</f>
        <v>➖</v>
      </c>
      <c r="V518" s="259"/>
      <c r="W518" s="286"/>
      <c r="X518" s="286"/>
      <c r="Y518" s="286"/>
    </row>
    <row r="519">
      <c r="A519" s="28"/>
      <c r="B519" s="128"/>
      <c r="C519" s="28"/>
      <c r="D519" s="250" t="str">
        <f>IFERROR(__xludf.DUMMYFUNCTION("""COMPUTED_VALUE"""),"   R")</f>
        <v>R</v>
      </c>
      <c r="E519" s="280" t="str">
        <f>IFERROR(__xludf.DUMMYFUNCTION("""COMPUTED_VALUE"""),"ZEPH")</f>
        <v>ZEPH</v>
      </c>
      <c r="F519" s="271" t="str">
        <f>IFERROR(__xludf.DUMMYFUNCTION("""COMPUTED_VALUE"""),"BDA")</f>
        <v>BDA</v>
      </c>
      <c r="G519" s="281" t="str">
        <f>IFERROR(__xludf.DUMMYFUNCTION("""COMPUTED_VALUE"""),"➖")</f>
        <v>➖</v>
      </c>
      <c r="H519" s="281" t="str">
        <f>IFERROR(__xludf.DUMMYFUNCTION("""COMPUTED_VALUE"""),"➖")</f>
        <v>➖</v>
      </c>
      <c r="I519" s="281" t="str">
        <f>IFERROR(__xludf.DUMMYFUNCTION("""COMPUTED_VALUE"""),"✴️")</f>
        <v>✴️</v>
      </c>
      <c r="J519" s="281" t="str">
        <f>IFERROR(__xludf.DUMMYFUNCTION("""COMPUTED_VALUE"""),"✴️")</f>
        <v>✴️</v>
      </c>
      <c r="K519" s="282" t="str">
        <f>IFERROR(__xludf.DUMMYFUNCTION("""COMPUTED_VALUE"""),"✴️")</f>
        <v>✴️</v>
      </c>
      <c r="L519" s="282" t="str">
        <f>IFERROR(__xludf.DUMMYFUNCTION("""COMPUTED_VALUE"""),"➖")</f>
        <v>➖</v>
      </c>
      <c r="M519" s="282" t="str">
        <f>IFERROR(__xludf.DUMMYFUNCTION("""COMPUTED_VALUE"""),"➖")</f>
        <v>➖</v>
      </c>
      <c r="N519" s="282" t="str">
        <f>IFERROR(__xludf.DUMMYFUNCTION("""COMPUTED_VALUE"""),"➖")</f>
        <v>➖</v>
      </c>
      <c r="O519" s="282" t="str">
        <f>IFERROR(__xludf.DUMMYFUNCTION("""COMPUTED_VALUE"""),"➖")</f>
        <v>➖</v>
      </c>
      <c r="P519" s="282" t="str">
        <f>IFERROR(__xludf.DUMMYFUNCTION("""COMPUTED_VALUE"""),"➖")</f>
        <v>➖</v>
      </c>
      <c r="Q519" s="282" t="str">
        <f>IFERROR(__xludf.DUMMYFUNCTION("""COMPUTED_VALUE"""),"➖")</f>
        <v>➖</v>
      </c>
      <c r="R519" s="283" t="str">
        <f>IFERROR(__xludf.DUMMYFUNCTION("""COMPUTED_VALUE"""),"   ➖")</f>
        <v>➖</v>
      </c>
      <c r="S519" s="284" t="str">
        <f>IFERROR(__xludf.DUMMYFUNCTION("""COMPUTED_VALUE"""),"EnemyInterceptor, SelfOfficerTalNotOnBridge")</f>
        <v>EnemyInterceptor, SelfOfficerTalNotOnBridge</v>
      </c>
      <c r="T519" s="285" t="str">
        <f>IFERROR(__xludf.DUMMYFUNCTION("""COMPUTED_VALUE"""),"➖")</f>
        <v>➖</v>
      </c>
      <c r="U519" s="285" t="str">
        <f>IFERROR(__xludf.DUMMYFUNCTION("""COMPUTED_VALUE"""),"➖")</f>
        <v>➖</v>
      </c>
      <c r="V519" s="259"/>
      <c r="W519" s="286"/>
      <c r="X519" s="286"/>
      <c r="Y519" s="286"/>
    </row>
    <row r="520">
      <c r="A520" s="28"/>
      <c r="B520" s="132"/>
      <c r="C520" s="28"/>
      <c r="D520" s="260" t="str">
        <f>IFERROR(__xludf.DUMMYFUNCTION("""COMPUTED_VALUE"""),"   E")</f>
        <v>E</v>
      </c>
      <c r="E520" s="287" t="str">
        <f>IFERROR(__xludf.DUMMYFUNCTION("""COMPUTED_VALUE"""),"QUASI")</f>
        <v>QUASI</v>
      </c>
      <c r="F520" s="270" t="str">
        <f>IFERROR(__xludf.DUMMYFUNCTION("""COMPUTED_VALUE"""),"OA")</f>
        <v>OA</v>
      </c>
      <c r="G520" s="231" t="str">
        <f>IFERROR(__xludf.DUMMYFUNCTION("""COMPUTED_VALUE"""),"✅")</f>
        <v>✅</v>
      </c>
      <c r="H520" s="231" t="str">
        <f>IFERROR(__xludf.DUMMYFUNCTION("""COMPUTED_VALUE"""),"✅")</f>
        <v>✅</v>
      </c>
      <c r="I520" s="231" t="str">
        <f>IFERROR(__xludf.DUMMYFUNCTION("""COMPUTED_VALUE"""),"➖")</f>
        <v>➖</v>
      </c>
      <c r="J520" s="231" t="str">
        <f>IFERROR(__xludf.DUMMYFUNCTION("""COMPUTED_VALUE"""),"➖")</f>
        <v>➖</v>
      </c>
      <c r="K520" s="288" t="str">
        <f>IFERROR(__xludf.DUMMYFUNCTION("""COMPUTED_VALUE"""),"➖")</f>
        <v>➖</v>
      </c>
      <c r="L520" s="288" t="str">
        <f>IFERROR(__xludf.DUMMYFUNCTION("""COMPUTED_VALUE"""),"➖")</f>
        <v>➖</v>
      </c>
      <c r="M520" s="288" t="str">
        <f>IFERROR(__xludf.DUMMYFUNCTION("""COMPUTED_VALUE"""),"➖")</f>
        <v>➖</v>
      </c>
      <c r="N520" s="288" t="str">
        <f>IFERROR(__xludf.DUMMYFUNCTION("""COMPUTED_VALUE"""),"➖")</f>
        <v>➖</v>
      </c>
      <c r="O520" s="288" t="str">
        <f>IFERROR(__xludf.DUMMYFUNCTION("""COMPUTED_VALUE"""),"➖")</f>
        <v>➖</v>
      </c>
      <c r="P520" s="288" t="str">
        <f>IFERROR(__xludf.DUMMYFUNCTION("""COMPUTED_VALUE"""),"➖")</f>
        <v>➖</v>
      </c>
      <c r="Q520" s="288" t="str">
        <f>IFERROR(__xludf.DUMMYFUNCTION("""COMPUTED_VALUE"""),"➖")</f>
        <v>➖</v>
      </c>
      <c r="R520" s="257" t="str">
        <f>IFERROR(__xludf.DUMMYFUNCTION("""COMPUTED_VALUE"""),"   ➖")</f>
        <v>➖</v>
      </c>
      <c r="S520" s="258"/>
      <c r="T520" s="255" t="str">
        <f>IFERROR(__xludf.DUMMYFUNCTION("""COMPUTED_VALUE"""),"➖")</f>
        <v>➖</v>
      </c>
      <c r="U520" s="255" t="str">
        <f>IFERROR(__xludf.DUMMYFUNCTION("""COMPUTED_VALUE"""),"➖")</f>
        <v>➖</v>
      </c>
      <c r="V520" s="259"/>
      <c r="W520" s="286"/>
      <c r="X520" s="286"/>
      <c r="Y520" s="286"/>
    </row>
    <row r="521">
      <c r="A521" s="28"/>
      <c r="B521" s="128"/>
      <c r="C521" s="28"/>
      <c r="D521" s="250" t="str">
        <f>IFERROR(__xludf.DUMMYFUNCTION("""COMPUTED_VALUE"""),"   E")</f>
        <v>E</v>
      </c>
      <c r="E521" s="280" t="str">
        <f>IFERROR(__xludf.DUMMYFUNCTION("""COMPUTED_VALUE"""),"QUASI")</f>
        <v>QUASI</v>
      </c>
      <c r="F521" s="271" t="str">
        <f>IFERROR(__xludf.DUMMYFUNCTION("""COMPUTED_VALUE"""),"BDA")</f>
        <v>BDA</v>
      </c>
      <c r="G521" s="281" t="str">
        <f>IFERROR(__xludf.DUMMYFUNCTION("""COMPUTED_VALUE"""),"➖")</f>
        <v>➖</v>
      </c>
      <c r="H521" s="281" t="str">
        <f>IFERROR(__xludf.DUMMYFUNCTION("""COMPUTED_VALUE"""),"➖")</f>
        <v>➖</v>
      </c>
      <c r="I521" s="281" t="str">
        <f>IFERROR(__xludf.DUMMYFUNCTION("""COMPUTED_VALUE"""),"✅")</f>
        <v>✅</v>
      </c>
      <c r="J521" s="281" t="str">
        <f>IFERROR(__xludf.DUMMYFUNCTION("""COMPUTED_VALUE"""),"✅")</f>
        <v>✅</v>
      </c>
      <c r="K521" s="282" t="str">
        <f>IFERROR(__xludf.DUMMYFUNCTION("""COMPUTED_VALUE"""),"✅")</f>
        <v>✅</v>
      </c>
      <c r="L521" s="282" t="str">
        <f>IFERROR(__xludf.DUMMYFUNCTION("""COMPUTED_VALUE"""),"➖")</f>
        <v>➖</v>
      </c>
      <c r="M521" s="282" t="str">
        <f>IFERROR(__xludf.DUMMYFUNCTION("""COMPUTED_VALUE"""),"➖")</f>
        <v>➖</v>
      </c>
      <c r="N521" s="282" t="str">
        <f>IFERROR(__xludf.DUMMYFUNCTION("""COMPUTED_VALUE"""),"➖")</f>
        <v>➖</v>
      </c>
      <c r="O521" s="282" t="str">
        <f>IFERROR(__xludf.DUMMYFUNCTION("""COMPUTED_VALUE"""),"➖")</f>
        <v>➖</v>
      </c>
      <c r="P521" s="282" t="str">
        <f>IFERROR(__xludf.DUMMYFUNCTION("""COMPUTED_VALUE"""),"➖")</f>
        <v>➖</v>
      </c>
      <c r="Q521" s="282" t="str">
        <f>IFERROR(__xludf.DUMMYFUNCTION("""COMPUTED_VALUE"""),"➖")</f>
        <v>➖</v>
      </c>
      <c r="R521" s="283" t="str">
        <f>IFERROR(__xludf.DUMMYFUNCTION("""COMPUTED_VALUE"""),"   ➖")</f>
        <v>➖</v>
      </c>
      <c r="S521" s="284"/>
      <c r="T521" s="285" t="str">
        <f>IFERROR(__xludf.DUMMYFUNCTION("""COMPUTED_VALUE"""),"➖")</f>
        <v>➖</v>
      </c>
      <c r="U521" s="285" t="str">
        <f>IFERROR(__xludf.DUMMYFUNCTION("""COMPUTED_VALUE"""),"➖")</f>
        <v>➖</v>
      </c>
      <c r="V521" s="259"/>
      <c r="W521" s="286"/>
      <c r="X521" s="286"/>
      <c r="Y521" s="286"/>
    </row>
    <row r="522">
      <c r="A522" s="28"/>
      <c r="B522" s="132"/>
      <c r="C522" s="28"/>
      <c r="D522" s="260" t="str">
        <f>IFERROR(__xludf.DUMMYFUNCTION("""COMPUTED_VALUE"""),"   R")</f>
        <v>R</v>
      </c>
      <c r="E522" s="287" t="str">
        <f>IFERROR(__xludf.DUMMYFUNCTION("""COMPUTED_VALUE"""),"ALOK SAHAR")</f>
        <v>ALOK SAHAR</v>
      </c>
      <c r="F522" s="270" t="str">
        <f>IFERROR(__xludf.DUMMYFUNCTION("""COMPUTED_VALUE"""),"OA")</f>
        <v>OA</v>
      </c>
      <c r="G522" s="231" t="str">
        <f>IFERROR(__xludf.DUMMYFUNCTION("""COMPUTED_VALUE"""),"✴️")</f>
        <v>✴️</v>
      </c>
      <c r="H522" s="231" t="str">
        <f>IFERROR(__xludf.DUMMYFUNCTION("""COMPUTED_VALUE"""),"✴️")</f>
        <v>✴️</v>
      </c>
      <c r="I522" s="231" t="str">
        <f>IFERROR(__xludf.DUMMYFUNCTION("""COMPUTED_VALUE"""),"➖")</f>
        <v>➖</v>
      </c>
      <c r="J522" s="231" t="str">
        <f>IFERROR(__xludf.DUMMYFUNCTION("""COMPUTED_VALUE"""),"➖")</f>
        <v>➖</v>
      </c>
      <c r="K522" s="288" t="str">
        <f>IFERROR(__xludf.DUMMYFUNCTION("""COMPUTED_VALUE"""),"➖")</f>
        <v>➖</v>
      </c>
      <c r="L522" s="288" t="str">
        <f>IFERROR(__xludf.DUMMYFUNCTION("""COMPUTED_VALUE"""),"➖")</f>
        <v>➖</v>
      </c>
      <c r="M522" s="288" t="str">
        <f>IFERROR(__xludf.DUMMYFUNCTION("""COMPUTED_VALUE"""),"➖")</f>
        <v>➖</v>
      </c>
      <c r="N522" s="288" t="str">
        <f>IFERROR(__xludf.DUMMYFUNCTION("""COMPUTED_VALUE"""),"➖")</f>
        <v>➖</v>
      </c>
      <c r="O522" s="288" t="str">
        <f>IFERROR(__xludf.DUMMYFUNCTION("""COMPUTED_VALUE"""),"➖")</f>
        <v>➖</v>
      </c>
      <c r="P522" s="288" t="str">
        <f>IFERROR(__xludf.DUMMYFUNCTION("""COMPUTED_VALUE"""),"➖")</f>
        <v>➖</v>
      </c>
      <c r="Q522" s="288" t="str">
        <f>IFERROR(__xludf.DUMMYFUNCTION("""COMPUTED_VALUE"""),"➖")</f>
        <v>➖</v>
      </c>
      <c r="R522" s="257" t="str">
        <f>IFERROR(__xludf.DUMMYFUNCTION("""COMPUTED_VALUE"""),"   ➖")</f>
        <v>➖</v>
      </c>
      <c r="S522" s="258" t="str">
        <f>IFERROR(__xludf.DUMMYFUNCTION("""COMPUTED_VALUE"""),"SelfHullJunker")</f>
        <v>SelfHullJunker</v>
      </c>
      <c r="T522" s="255" t="str">
        <f>IFERROR(__xludf.DUMMYFUNCTION("""COMPUTED_VALUE"""),"➖")</f>
        <v>➖</v>
      </c>
      <c r="U522" s="255" t="str">
        <f>IFERROR(__xludf.DUMMYFUNCTION("""COMPUTED_VALUE"""),"➖")</f>
        <v>➖</v>
      </c>
      <c r="V522" s="259"/>
      <c r="W522" s="286"/>
      <c r="X522" s="286"/>
      <c r="Y522" s="286"/>
    </row>
    <row r="523">
      <c r="A523" s="28"/>
      <c r="B523" s="128"/>
      <c r="C523" s="28"/>
      <c r="D523" s="250" t="str">
        <f>IFERROR(__xludf.DUMMYFUNCTION("""COMPUTED_VALUE"""),"   R")</f>
        <v>R</v>
      </c>
      <c r="E523" s="280" t="str">
        <f>IFERROR(__xludf.DUMMYFUNCTION("""COMPUTED_VALUE"""),"ALOK SAHAR")</f>
        <v>ALOK SAHAR</v>
      </c>
      <c r="F523" s="271" t="str">
        <f>IFERROR(__xludf.DUMMYFUNCTION("""COMPUTED_VALUE"""),"BDA")</f>
        <v>BDA</v>
      </c>
      <c r="G523" s="281" t="str">
        <f>IFERROR(__xludf.DUMMYFUNCTION("""COMPUTED_VALUE"""),"➖")</f>
        <v>➖</v>
      </c>
      <c r="H523" s="281" t="str">
        <f>IFERROR(__xludf.DUMMYFUNCTION("""COMPUTED_VALUE"""),"➖")</f>
        <v>➖</v>
      </c>
      <c r="I523" s="281" t="str">
        <f>IFERROR(__xludf.DUMMYFUNCTION("""COMPUTED_VALUE"""),"✴️")</f>
        <v>✴️</v>
      </c>
      <c r="J523" s="281" t="str">
        <f>IFERROR(__xludf.DUMMYFUNCTION("""COMPUTED_VALUE"""),"✴️")</f>
        <v>✴️</v>
      </c>
      <c r="K523" s="282" t="str">
        <f>IFERROR(__xludf.DUMMYFUNCTION("""COMPUTED_VALUE"""),"✴️")</f>
        <v>✴️</v>
      </c>
      <c r="L523" s="282" t="str">
        <f>IFERROR(__xludf.DUMMYFUNCTION("""COMPUTED_VALUE"""),"➖")</f>
        <v>➖</v>
      </c>
      <c r="M523" s="282" t="str">
        <f>IFERROR(__xludf.DUMMYFUNCTION("""COMPUTED_VALUE"""),"➖")</f>
        <v>➖</v>
      </c>
      <c r="N523" s="282" t="str">
        <f>IFERROR(__xludf.DUMMYFUNCTION("""COMPUTED_VALUE"""),"➖")</f>
        <v>➖</v>
      </c>
      <c r="O523" s="282" t="str">
        <f>IFERROR(__xludf.DUMMYFUNCTION("""COMPUTED_VALUE"""),"➖")</f>
        <v>➖</v>
      </c>
      <c r="P523" s="282" t="str">
        <f>IFERROR(__xludf.DUMMYFUNCTION("""COMPUTED_VALUE"""),"➖")</f>
        <v>➖</v>
      </c>
      <c r="Q523" s="282" t="str">
        <f>IFERROR(__xludf.DUMMYFUNCTION("""COMPUTED_VALUE"""),"➖")</f>
        <v>➖</v>
      </c>
      <c r="R523" s="283" t="str">
        <f>IFERROR(__xludf.DUMMYFUNCTION("""COMPUTED_VALUE"""),"   ➖")</f>
        <v>➖</v>
      </c>
      <c r="S523" s="284" t="str">
        <f>IFERROR(__xludf.DUMMYFUNCTION("""COMPUTED_VALUE"""),"EnemyExplorer, SelfOfficerTalNotOnBridge")</f>
        <v>EnemyExplorer, SelfOfficerTalNotOnBridge</v>
      </c>
      <c r="T523" s="285" t="str">
        <f>IFERROR(__xludf.DUMMYFUNCTION("""COMPUTED_VALUE"""),"➖")</f>
        <v>➖</v>
      </c>
      <c r="U523" s="285" t="str">
        <f>IFERROR(__xludf.DUMMYFUNCTION("""COMPUTED_VALUE"""),"➖")</f>
        <v>➖</v>
      </c>
      <c r="V523" s="259"/>
      <c r="W523" s="286"/>
      <c r="X523" s="286"/>
      <c r="Y523" s="286"/>
    </row>
    <row r="524">
      <c r="A524" s="28"/>
      <c r="B524" s="132"/>
      <c r="C524" s="28"/>
      <c r="D524" s="260" t="str">
        <f>IFERROR(__xludf.DUMMYFUNCTION("""COMPUTED_VALUE"""),"   E")</f>
        <v>E</v>
      </c>
      <c r="E524" s="287" t="str">
        <f>IFERROR(__xludf.DUMMYFUNCTION("""COMPUTED_VALUE"""),"WOK CAROL")</f>
        <v>WOK CAROL</v>
      </c>
      <c r="F524" s="270" t="str">
        <f>IFERROR(__xludf.DUMMYFUNCTION("""COMPUTED_VALUE"""),"OA")</f>
        <v>OA</v>
      </c>
      <c r="G524" s="231" t="str">
        <f>IFERROR(__xludf.DUMMYFUNCTION("""COMPUTED_VALUE"""),"➖")</f>
        <v>➖</v>
      </c>
      <c r="H524" s="231" t="str">
        <f>IFERROR(__xludf.DUMMYFUNCTION("""COMPUTED_VALUE"""),"➖")</f>
        <v>➖</v>
      </c>
      <c r="I524" s="231" t="str">
        <f>IFERROR(__xludf.DUMMYFUNCTION("""COMPUTED_VALUE"""),"✴️")</f>
        <v>✴️</v>
      </c>
      <c r="J524" s="231" t="str">
        <f>IFERROR(__xludf.DUMMYFUNCTION("""COMPUTED_VALUE"""),"➖")</f>
        <v>➖</v>
      </c>
      <c r="K524" s="288" t="str">
        <f>IFERROR(__xludf.DUMMYFUNCTION("""COMPUTED_VALUE"""),"➖")</f>
        <v>➖</v>
      </c>
      <c r="L524" s="288" t="str">
        <f>IFERROR(__xludf.DUMMYFUNCTION("""COMPUTED_VALUE"""),"➖")</f>
        <v>➖</v>
      </c>
      <c r="M524" s="288" t="str">
        <f>IFERROR(__xludf.DUMMYFUNCTION("""COMPUTED_VALUE"""),"➖")</f>
        <v>➖</v>
      </c>
      <c r="N524" s="288" t="str">
        <f>IFERROR(__xludf.DUMMYFUNCTION("""COMPUTED_VALUE"""),"➖")</f>
        <v>➖</v>
      </c>
      <c r="O524" s="288" t="str">
        <f>IFERROR(__xludf.DUMMYFUNCTION("""COMPUTED_VALUE"""),"➖")</f>
        <v>➖</v>
      </c>
      <c r="P524" s="288" t="str">
        <f>IFERROR(__xludf.DUMMYFUNCTION("""COMPUTED_VALUE"""),"➖")</f>
        <v>➖</v>
      </c>
      <c r="Q524" s="288" t="str">
        <f>IFERROR(__xludf.DUMMYFUNCTION("""COMPUTED_VALUE"""),"➖")</f>
        <v>➖</v>
      </c>
      <c r="R524" s="257" t="str">
        <f>IFERROR(__xludf.DUMMYFUNCTION("""COMPUTED_VALUE"""),"   ➖")</f>
        <v>➖</v>
      </c>
      <c r="S524" s="258" t="str">
        <f>IFERROR(__xludf.DUMMYFUNCTION("""COMPUTED_VALUE"""),"WokAugmentAllLootRewards")</f>
        <v>WokAugmentAllLootRewards</v>
      </c>
      <c r="T524" s="255" t="str">
        <f>IFERROR(__xludf.DUMMYFUNCTION("""COMPUTED_VALUE"""),"✅")</f>
        <v>✅</v>
      </c>
      <c r="U524" s="255" t="str">
        <f>IFERROR(__xludf.DUMMYFUNCTION("""COMPUTED_VALUE"""),"➖")</f>
        <v>➖</v>
      </c>
      <c r="V524" s="259"/>
      <c r="W524" s="286"/>
      <c r="X524" s="286"/>
      <c r="Y524" s="286"/>
    </row>
    <row r="525">
      <c r="A525" s="28"/>
      <c r="B525" s="128"/>
      <c r="C525" s="28"/>
      <c r="D525" s="250" t="str">
        <f>IFERROR(__xludf.DUMMYFUNCTION("""COMPUTED_VALUE"""),"   E")</f>
        <v>E</v>
      </c>
      <c r="E525" s="280" t="str">
        <f>IFERROR(__xludf.DUMMYFUNCTION("""COMPUTED_VALUE"""),"WOK CAROL")</f>
        <v>WOK CAROL</v>
      </c>
      <c r="F525" s="271" t="str">
        <f>IFERROR(__xludf.DUMMYFUNCTION("""COMPUTED_VALUE"""),"BDA")</f>
        <v>BDA</v>
      </c>
      <c r="G525" s="281" t="str">
        <f>IFERROR(__xludf.DUMMYFUNCTION("""COMPUTED_VALUE"""),"➖")</f>
        <v>➖</v>
      </c>
      <c r="H525" s="281" t="str">
        <f>IFERROR(__xludf.DUMMYFUNCTION("""COMPUTED_VALUE"""),"➖")</f>
        <v>➖</v>
      </c>
      <c r="I525" s="281" t="str">
        <f>IFERROR(__xludf.DUMMYFUNCTION("""COMPUTED_VALUE"""),"✅")</f>
        <v>✅</v>
      </c>
      <c r="J525" s="281" t="str">
        <f>IFERROR(__xludf.DUMMYFUNCTION("""COMPUTED_VALUE"""),"✅")</f>
        <v>✅</v>
      </c>
      <c r="K525" s="282" t="str">
        <f>IFERROR(__xludf.DUMMYFUNCTION("""COMPUTED_VALUE"""),"✅")</f>
        <v>✅</v>
      </c>
      <c r="L525" s="282" t="str">
        <f>IFERROR(__xludf.DUMMYFUNCTION("""COMPUTED_VALUE"""),"➖")</f>
        <v>➖</v>
      </c>
      <c r="M525" s="282" t="str">
        <f>IFERROR(__xludf.DUMMYFUNCTION("""COMPUTED_VALUE"""),"➖")</f>
        <v>➖</v>
      </c>
      <c r="N525" s="282" t="str">
        <f>IFERROR(__xludf.DUMMYFUNCTION("""COMPUTED_VALUE"""),"➖")</f>
        <v>➖</v>
      </c>
      <c r="O525" s="282" t="str">
        <f>IFERROR(__xludf.DUMMYFUNCTION("""COMPUTED_VALUE"""),"➖")</f>
        <v>➖</v>
      </c>
      <c r="P525" s="282" t="str">
        <f>IFERROR(__xludf.DUMMYFUNCTION("""COMPUTED_VALUE"""),"➖")</f>
        <v>➖</v>
      </c>
      <c r="Q525" s="282" t="str">
        <f>IFERROR(__xludf.DUMMYFUNCTION("""COMPUTED_VALUE"""),"➖")</f>
        <v>➖</v>
      </c>
      <c r="R525" s="283" t="str">
        <f>IFERROR(__xludf.DUMMYFUNCTION("""COMPUTED_VALUE"""),"   ➖")</f>
        <v>➖</v>
      </c>
      <c r="S525" s="284"/>
      <c r="T525" s="285" t="str">
        <f>IFERROR(__xludf.DUMMYFUNCTION("""COMPUTED_VALUE"""),"➖")</f>
        <v>➖</v>
      </c>
      <c r="U525" s="285" t="str">
        <f>IFERROR(__xludf.DUMMYFUNCTION("""COMPUTED_VALUE"""),"➖")</f>
        <v>➖</v>
      </c>
      <c r="V525" s="259"/>
      <c r="W525" s="286"/>
      <c r="X525" s="286"/>
      <c r="Y525" s="286"/>
    </row>
    <row r="526">
      <c r="A526" s="28"/>
      <c r="B526" s="132"/>
      <c r="C526" s="28"/>
      <c r="D526" s="260" t="str">
        <f>IFERROR(__xludf.DUMMYFUNCTION("""COMPUTED_VALUE"""),"   R")</f>
        <v>R</v>
      </c>
      <c r="E526" s="287" t="str">
        <f>IFERROR(__xludf.DUMMYFUNCTION("""COMPUTED_VALUE"""),"WOK MCCOY")</f>
        <v>WOK MCCOY</v>
      </c>
      <c r="F526" s="270" t="str">
        <f>IFERROR(__xludf.DUMMYFUNCTION("""COMPUTED_VALUE"""),"OA")</f>
        <v>OA</v>
      </c>
      <c r="G526" s="231" t="str">
        <f>IFERROR(__xludf.DUMMYFUNCTION("""COMPUTED_VALUE"""),"➖")</f>
        <v>➖</v>
      </c>
      <c r="H526" s="231" t="str">
        <f>IFERROR(__xludf.DUMMYFUNCTION("""COMPUTED_VALUE"""),"➖")</f>
        <v>➖</v>
      </c>
      <c r="I526" s="231" t="str">
        <f>IFERROR(__xludf.DUMMYFUNCTION("""COMPUTED_VALUE"""),"➖")</f>
        <v>➖</v>
      </c>
      <c r="J526" s="231" t="str">
        <f>IFERROR(__xludf.DUMMYFUNCTION("""COMPUTED_VALUE"""),"✅")</f>
        <v>✅</v>
      </c>
      <c r="K526" s="288" t="str">
        <f>IFERROR(__xludf.DUMMYFUNCTION("""COMPUTED_VALUE"""),"➖")</f>
        <v>➖</v>
      </c>
      <c r="L526" s="288" t="str">
        <f>IFERROR(__xludf.DUMMYFUNCTION("""COMPUTED_VALUE"""),"➖")</f>
        <v>➖</v>
      </c>
      <c r="M526" s="288" t="str">
        <f>IFERROR(__xludf.DUMMYFUNCTION("""COMPUTED_VALUE"""),"➖")</f>
        <v>➖</v>
      </c>
      <c r="N526" s="288" t="str">
        <f>IFERROR(__xludf.DUMMYFUNCTION("""COMPUTED_VALUE"""),"➖")</f>
        <v>➖</v>
      </c>
      <c r="O526" s="288" t="str">
        <f>IFERROR(__xludf.DUMMYFUNCTION("""COMPUTED_VALUE"""),"➖")</f>
        <v>➖</v>
      </c>
      <c r="P526" s="288" t="str">
        <f>IFERROR(__xludf.DUMMYFUNCTION("""COMPUTED_VALUE"""),"➖")</f>
        <v>➖</v>
      </c>
      <c r="Q526" s="288" t="str">
        <f>IFERROR(__xludf.DUMMYFUNCTION("""COMPUTED_VALUE"""),"➖")</f>
        <v>➖</v>
      </c>
      <c r="R526" s="257" t="str">
        <f>IFERROR(__xludf.DUMMYFUNCTION("""COMPUTED_VALUE"""),"   ➖")</f>
        <v>➖</v>
      </c>
      <c r="S526" s="258"/>
      <c r="T526" s="255" t="str">
        <f>IFERROR(__xludf.DUMMYFUNCTION("""COMPUTED_VALUE"""),"➖")</f>
        <v>➖</v>
      </c>
      <c r="U526" s="255" t="str">
        <f>IFERROR(__xludf.DUMMYFUNCTION("""COMPUTED_VALUE"""),"➖")</f>
        <v>➖</v>
      </c>
      <c r="V526" s="259"/>
      <c r="W526" s="286"/>
      <c r="X526" s="286"/>
      <c r="Y526" s="286"/>
    </row>
    <row r="527">
      <c r="A527" s="28"/>
      <c r="B527" s="128"/>
      <c r="C527" s="28"/>
      <c r="D527" s="250" t="str">
        <f>IFERROR(__xludf.DUMMYFUNCTION("""COMPUTED_VALUE"""),"   R")</f>
        <v>R</v>
      </c>
      <c r="E527" s="280" t="str">
        <f>IFERROR(__xludf.DUMMYFUNCTION("""COMPUTED_VALUE"""),"WOK MCCOY")</f>
        <v>WOK MCCOY</v>
      </c>
      <c r="F527" s="271" t="str">
        <f>IFERROR(__xludf.DUMMYFUNCTION("""COMPUTED_VALUE"""),"BDA")</f>
        <v>BDA</v>
      </c>
      <c r="G527" s="281" t="str">
        <f>IFERROR(__xludf.DUMMYFUNCTION("""COMPUTED_VALUE"""),"➖")</f>
        <v>➖</v>
      </c>
      <c r="H527" s="281" t="str">
        <f>IFERROR(__xludf.DUMMYFUNCTION("""COMPUTED_VALUE"""),"➖")</f>
        <v>➖</v>
      </c>
      <c r="I527" s="281" t="str">
        <f>IFERROR(__xludf.DUMMYFUNCTION("""COMPUTED_VALUE"""),"✅")</f>
        <v>✅</v>
      </c>
      <c r="J527" s="281" t="str">
        <f>IFERROR(__xludf.DUMMYFUNCTION("""COMPUTED_VALUE"""),"✅")</f>
        <v>✅</v>
      </c>
      <c r="K527" s="282" t="str">
        <f>IFERROR(__xludf.DUMMYFUNCTION("""COMPUTED_VALUE"""),"✅")</f>
        <v>✅</v>
      </c>
      <c r="L527" s="282" t="str">
        <f>IFERROR(__xludf.DUMMYFUNCTION("""COMPUTED_VALUE"""),"➖")</f>
        <v>➖</v>
      </c>
      <c r="M527" s="282" t="str">
        <f>IFERROR(__xludf.DUMMYFUNCTION("""COMPUTED_VALUE"""),"✅")</f>
        <v>✅</v>
      </c>
      <c r="N527" s="282" t="str">
        <f>IFERROR(__xludf.DUMMYFUNCTION("""COMPUTED_VALUE"""),"✅")</f>
        <v>✅</v>
      </c>
      <c r="O527" s="282" t="str">
        <f>IFERROR(__xludf.DUMMYFUNCTION("""COMPUTED_VALUE"""),"✅")</f>
        <v>✅</v>
      </c>
      <c r="P527" s="282" t="str">
        <f>IFERROR(__xludf.DUMMYFUNCTION("""COMPUTED_VALUE"""),"➖")</f>
        <v>➖</v>
      </c>
      <c r="Q527" s="282" t="str">
        <f>IFERROR(__xludf.DUMMYFUNCTION("""COMPUTED_VALUE"""),"➖")</f>
        <v>➖</v>
      </c>
      <c r="R527" s="283" t="str">
        <f>IFERROR(__xludf.DUMMYFUNCTION("""COMPUTED_VALUE"""),"   ➖")</f>
        <v>➖</v>
      </c>
      <c r="S527" s="284"/>
      <c r="T527" s="285" t="str">
        <f>IFERROR(__xludf.DUMMYFUNCTION("""COMPUTED_VALUE"""),"➖")</f>
        <v>➖</v>
      </c>
      <c r="U527" s="285" t="str">
        <f>IFERROR(__xludf.DUMMYFUNCTION("""COMPUTED_VALUE"""),"➖")</f>
        <v>➖</v>
      </c>
      <c r="V527" s="259"/>
      <c r="W527" s="286"/>
      <c r="X527" s="286"/>
      <c r="Y527" s="286"/>
    </row>
    <row r="528">
      <c r="A528" s="28"/>
      <c r="B528" s="132"/>
      <c r="C528" s="28"/>
      <c r="D528" s="260" t="str">
        <f>IFERROR(__xludf.DUMMYFUNCTION("""COMPUTED_VALUE"""),"   E")</f>
        <v>E</v>
      </c>
      <c r="E528" s="287" t="str">
        <f>IFERROR(__xludf.DUMMYFUNCTION("""COMPUTED_VALUE"""),"WOK JOACHIM")</f>
        <v>WOK JOACHIM</v>
      </c>
      <c r="F528" s="270" t="str">
        <f>IFERROR(__xludf.DUMMYFUNCTION("""COMPUTED_VALUE"""),"OA")</f>
        <v>OA</v>
      </c>
      <c r="G528" s="231" t="str">
        <f>IFERROR(__xludf.DUMMYFUNCTION("""COMPUTED_VALUE"""),"✴️")</f>
        <v>✴️</v>
      </c>
      <c r="H528" s="231" t="str">
        <f>IFERROR(__xludf.DUMMYFUNCTION("""COMPUTED_VALUE"""),"✴️")</f>
        <v>✴️</v>
      </c>
      <c r="I528" s="231" t="str">
        <f>IFERROR(__xludf.DUMMYFUNCTION("""COMPUTED_VALUE"""),"➖")</f>
        <v>➖</v>
      </c>
      <c r="J528" s="231" t="str">
        <f>IFERROR(__xludf.DUMMYFUNCTION("""COMPUTED_VALUE"""),"➖")</f>
        <v>➖</v>
      </c>
      <c r="K528" s="288" t="str">
        <f>IFERROR(__xludf.DUMMYFUNCTION("""COMPUTED_VALUE"""),"➖")</f>
        <v>➖</v>
      </c>
      <c r="L528" s="288" t="str">
        <f>IFERROR(__xludf.DUMMYFUNCTION("""COMPUTED_VALUE"""),"➖")</f>
        <v>➖</v>
      </c>
      <c r="M528" s="288" t="str">
        <f>IFERROR(__xludf.DUMMYFUNCTION("""COMPUTED_VALUE"""),"➖")</f>
        <v>➖</v>
      </c>
      <c r="N528" s="288" t="str">
        <f>IFERROR(__xludf.DUMMYFUNCTION("""COMPUTED_VALUE"""),"➖")</f>
        <v>➖</v>
      </c>
      <c r="O528" s="288" t="str">
        <f>IFERROR(__xludf.DUMMYFUNCTION("""COMPUTED_VALUE"""),"➖")</f>
        <v>➖</v>
      </c>
      <c r="P528" s="288" t="str">
        <f>IFERROR(__xludf.DUMMYFUNCTION("""COMPUTED_VALUE"""),"➖")</f>
        <v>➖</v>
      </c>
      <c r="Q528" s="288" t="str">
        <f>IFERROR(__xludf.DUMMYFUNCTION("""COMPUTED_VALUE"""),"➖")</f>
        <v>➖</v>
      </c>
      <c r="R528" s="257" t="str">
        <f>IFERROR(__xludf.DUMMYFUNCTION("""COMPUTED_VALUE"""),"   ➖")</f>
        <v>➖</v>
      </c>
      <c r="S528" s="258" t="str">
        <f>IFERROR(__xludf.DUMMYFUNCTION("""COMPUTED_VALUE"""),"SelfSurveyor, SelfOfficerTalNotOnBridge")</f>
        <v>SelfSurveyor, SelfOfficerTalNotOnBridge</v>
      </c>
      <c r="T528" s="255" t="str">
        <f>IFERROR(__xludf.DUMMYFUNCTION("""COMPUTED_VALUE"""),"➖")</f>
        <v>➖</v>
      </c>
      <c r="U528" s="255" t="str">
        <f>IFERROR(__xludf.DUMMYFUNCTION("""COMPUTED_VALUE"""),"➖")</f>
        <v>➖</v>
      </c>
      <c r="V528" s="259"/>
      <c r="W528" s="286"/>
      <c r="X528" s="286"/>
      <c r="Y528" s="286"/>
    </row>
    <row r="529">
      <c r="A529" s="28"/>
      <c r="B529" s="128"/>
      <c r="C529" s="28"/>
      <c r="D529" s="250" t="str">
        <f>IFERROR(__xludf.DUMMYFUNCTION("""COMPUTED_VALUE"""),"   E")</f>
        <v>E</v>
      </c>
      <c r="E529" s="280" t="str">
        <f>IFERROR(__xludf.DUMMYFUNCTION("""COMPUTED_VALUE"""),"WOK JOACHIM")</f>
        <v>WOK JOACHIM</v>
      </c>
      <c r="F529" s="271" t="str">
        <f>IFERROR(__xludf.DUMMYFUNCTION("""COMPUTED_VALUE"""),"BDA")</f>
        <v>BDA</v>
      </c>
      <c r="G529" s="281" t="str">
        <f>IFERROR(__xludf.DUMMYFUNCTION("""COMPUTED_VALUE"""),"✅")</f>
        <v>✅</v>
      </c>
      <c r="H529" s="281" t="str">
        <f>IFERROR(__xludf.DUMMYFUNCTION("""COMPUTED_VALUE"""),"✅")</f>
        <v>✅</v>
      </c>
      <c r="I529" s="281" t="str">
        <f>IFERROR(__xludf.DUMMYFUNCTION("""COMPUTED_VALUE"""),"✅")</f>
        <v>✅</v>
      </c>
      <c r="J529" s="281" t="str">
        <f>IFERROR(__xludf.DUMMYFUNCTION("""COMPUTED_VALUE"""),"✅")</f>
        <v>✅</v>
      </c>
      <c r="K529" s="282" t="str">
        <f>IFERROR(__xludf.DUMMYFUNCTION("""COMPUTED_VALUE"""),"✅")</f>
        <v>✅</v>
      </c>
      <c r="L529" s="282" t="str">
        <f>IFERROR(__xludf.DUMMYFUNCTION("""COMPUTED_VALUE"""),"✅")</f>
        <v>✅</v>
      </c>
      <c r="M529" s="282" t="str">
        <f>IFERROR(__xludf.DUMMYFUNCTION("""COMPUTED_VALUE"""),"✅")</f>
        <v>✅</v>
      </c>
      <c r="N529" s="282" t="str">
        <f>IFERROR(__xludf.DUMMYFUNCTION("""COMPUTED_VALUE"""),"✅")</f>
        <v>✅</v>
      </c>
      <c r="O529" s="282" t="str">
        <f>IFERROR(__xludf.DUMMYFUNCTION("""COMPUTED_VALUE"""),"✅")</f>
        <v>✅</v>
      </c>
      <c r="P529" s="282" t="str">
        <f>IFERROR(__xludf.DUMMYFUNCTION("""COMPUTED_VALUE"""),"✅")</f>
        <v>✅</v>
      </c>
      <c r="Q529" s="282" t="str">
        <f>IFERROR(__xludf.DUMMYFUNCTION("""COMPUTED_VALUE"""),"✅")</f>
        <v>✅</v>
      </c>
      <c r="R529" s="283" t="str">
        <f>IFERROR(__xludf.DUMMYFUNCTION("""COMPUTED_VALUE"""),"   ✅")</f>
        <v>✅</v>
      </c>
      <c r="S529" s="284"/>
      <c r="T529" s="285" t="str">
        <f>IFERROR(__xludf.DUMMYFUNCTION("""COMPUTED_VALUE"""),"➖")</f>
        <v>➖</v>
      </c>
      <c r="U529" s="285" t="str">
        <f>IFERROR(__xludf.DUMMYFUNCTION("""COMPUTED_VALUE"""),"➖")</f>
        <v>➖</v>
      </c>
      <c r="V529" s="259"/>
      <c r="W529" s="286"/>
      <c r="X529" s="286"/>
      <c r="Y529" s="286"/>
    </row>
    <row r="530">
      <c r="A530" s="28"/>
      <c r="B530" s="132"/>
      <c r="C530" s="28"/>
      <c r="D530" s="260" t="str">
        <f>IFERROR(__xludf.DUMMYFUNCTION("""COMPUTED_VALUE"""),"   E")</f>
        <v>E</v>
      </c>
      <c r="E530" s="287" t="str">
        <f>IFERROR(__xludf.DUMMYFUNCTION("""COMPUTED_VALUE"""),"WOK SCOTTY")</f>
        <v>WOK SCOTTY</v>
      </c>
      <c r="F530" s="270" t="str">
        <f>IFERROR(__xludf.DUMMYFUNCTION("""COMPUTED_VALUE"""),"OA")</f>
        <v>OA</v>
      </c>
      <c r="G530" s="231" t="str">
        <f>IFERROR(__xludf.DUMMYFUNCTION("""COMPUTED_VALUE"""),"➖")</f>
        <v>➖</v>
      </c>
      <c r="H530" s="231" t="str">
        <f>IFERROR(__xludf.DUMMYFUNCTION("""COMPUTED_VALUE"""),"➖")</f>
        <v>➖</v>
      </c>
      <c r="I530" s="231" t="str">
        <f>IFERROR(__xludf.DUMMYFUNCTION("""COMPUTED_VALUE"""),"➖")</f>
        <v>➖</v>
      </c>
      <c r="J530" s="231" t="str">
        <f>IFERROR(__xludf.DUMMYFUNCTION("""COMPUTED_VALUE"""),"➖")</f>
        <v>➖</v>
      </c>
      <c r="K530" s="288" t="str">
        <f>IFERROR(__xludf.DUMMYFUNCTION("""COMPUTED_VALUE"""),"➖")</f>
        <v>➖</v>
      </c>
      <c r="L530" s="288" t="str">
        <f>IFERROR(__xludf.DUMMYFUNCTION("""COMPUTED_VALUE"""),"➖")</f>
        <v>➖</v>
      </c>
      <c r="M530" s="288" t="str">
        <f>IFERROR(__xludf.DUMMYFUNCTION("""COMPUTED_VALUE"""),"✅")</f>
        <v>✅</v>
      </c>
      <c r="N530" s="288" t="str">
        <f>IFERROR(__xludf.DUMMYFUNCTION("""COMPUTED_VALUE"""),"✅")</f>
        <v>✅</v>
      </c>
      <c r="O530" s="288" t="str">
        <f>IFERROR(__xludf.DUMMYFUNCTION("""COMPUTED_VALUE"""),"✅")</f>
        <v>✅</v>
      </c>
      <c r="P530" s="288" t="str">
        <f>IFERROR(__xludf.DUMMYFUNCTION("""COMPUTED_VALUE"""),"➖")</f>
        <v>➖</v>
      </c>
      <c r="Q530" s="288" t="str">
        <f>IFERROR(__xludf.DUMMYFUNCTION("""COMPUTED_VALUE"""),"✅")</f>
        <v>✅</v>
      </c>
      <c r="R530" s="257" t="str">
        <f>IFERROR(__xludf.DUMMYFUNCTION("""COMPUTED_VALUE"""),"   ➖")</f>
        <v>➖</v>
      </c>
      <c r="S530" s="258"/>
      <c r="T530" s="255" t="str">
        <f>IFERROR(__xludf.DUMMYFUNCTION("""COMPUTED_VALUE"""),"✅")</f>
        <v>✅</v>
      </c>
      <c r="U530" s="255" t="str">
        <f>IFERROR(__xludf.DUMMYFUNCTION("""COMPUTED_VALUE"""),"➖")</f>
        <v>➖</v>
      </c>
      <c r="V530" s="259"/>
      <c r="W530" s="286"/>
      <c r="X530" s="286"/>
      <c r="Y530" s="286"/>
    </row>
    <row r="531">
      <c r="A531" s="28"/>
      <c r="B531" s="128"/>
      <c r="C531" s="28"/>
      <c r="D531" s="250" t="str">
        <f>IFERROR(__xludf.DUMMYFUNCTION("""COMPUTED_VALUE"""),"   E")</f>
        <v>E</v>
      </c>
      <c r="E531" s="280" t="str">
        <f>IFERROR(__xludf.DUMMYFUNCTION("""COMPUTED_VALUE"""),"WOK SCOTTY")</f>
        <v>WOK SCOTTY</v>
      </c>
      <c r="F531" s="271" t="str">
        <f>IFERROR(__xludf.DUMMYFUNCTION("""COMPUTED_VALUE"""),"BDA")</f>
        <v>BDA</v>
      </c>
      <c r="G531" s="281" t="str">
        <f>IFERROR(__xludf.DUMMYFUNCTION("""COMPUTED_VALUE"""),"➖")</f>
        <v>➖</v>
      </c>
      <c r="H531" s="281" t="str">
        <f>IFERROR(__xludf.DUMMYFUNCTION("""COMPUTED_VALUE"""),"➖")</f>
        <v>➖</v>
      </c>
      <c r="I531" s="281" t="str">
        <f>IFERROR(__xludf.DUMMYFUNCTION("""COMPUTED_VALUE"""),"✅")</f>
        <v>✅</v>
      </c>
      <c r="J531" s="281" t="str">
        <f>IFERROR(__xludf.DUMMYFUNCTION("""COMPUTED_VALUE"""),"✅")</f>
        <v>✅</v>
      </c>
      <c r="K531" s="282" t="str">
        <f>IFERROR(__xludf.DUMMYFUNCTION("""COMPUTED_VALUE"""),"✅")</f>
        <v>✅</v>
      </c>
      <c r="L531" s="282" t="str">
        <f>IFERROR(__xludf.DUMMYFUNCTION("""COMPUTED_VALUE"""),"➖")</f>
        <v>➖</v>
      </c>
      <c r="M531" s="282" t="str">
        <f>IFERROR(__xludf.DUMMYFUNCTION("""COMPUTED_VALUE"""),"➖")</f>
        <v>➖</v>
      </c>
      <c r="N531" s="282" t="str">
        <f>IFERROR(__xludf.DUMMYFUNCTION("""COMPUTED_VALUE"""),"➖")</f>
        <v>➖</v>
      </c>
      <c r="O531" s="282" t="str">
        <f>IFERROR(__xludf.DUMMYFUNCTION("""COMPUTED_VALUE"""),"➖")</f>
        <v>➖</v>
      </c>
      <c r="P531" s="282" t="str">
        <f>IFERROR(__xludf.DUMMYFUNCTION("""COMPUTED_VALUE"""),"➖")</f>
        <v>➖</v>
      </c>
      <c r="Q531" s="282" t="str">
        <f>IFERROR(__xludf.DUMMYFUNCTION("""COMPUTED_VALUE"""),"➖")</f>
        <v>➖</v>
      </c>
      <c r="R531" s="283" t="str">
        <f>IFERROR(__xludf.DUMMYFUNCTION("""COMPUTED_VALUE"""),"   ➖")</f>
        <v>➖</v>
      </c>
      <c r="S531" s="284"/>
      <c r="T531" s="285" t="str">
        <f>IFERROR(__xludf.DUMMYFUNCTION("""COMPUTED_VALUE"""),"➖")</f>
        <v>➖</v>
      </c>
      <c r="U531" s="285" t="str">
        <f>IFERROR(__xludf.DUMMYFUNCTION("""COMPUTED_VALUE"""),"➖")</f>
        <v>➖</v>
      </c>
      <c r="V531" s="259"/>
      <c r="W531" s="286"/>
      <c r="X531" s="286"/>
      <c r="Y531" s="286"/>
    </row>
    <row r="532">
      <c r="A532" s="28"/>
      <c r="B532" s="132"/>
      <c r="C532" s="28"/>
      <c r="D532" s="260" t="str">
        <f>IFERROR(__xludf.DUMMYFUNCTION("""COMPUTED_VALUE"""),"   R")</f>
        <v>R</v>
      </c>
      <c r="E532" s="287" t="str">
        <f>IFERROR(__xludf.DUMMYFUNCTION("""COMPUTED_VALUE"""),"WOK SAAVIK")</f>
        <v>WOK SAAVIK</v>
      </c>
      <c r="F532" s="270" t="str">
        <f>IFERROR(__xludf.DUMMYFUNCTION("""COMPUTED_VALUE"""),"OA")</f>
        <v>OA</v>
      </c>
      <c r="G532" s="231" t="str">
        <f>IFERROR(__xludf.DUMMYFUNCTION("""COMPUTED_VALUE"""),"➖")</f>
        <v>➖</v>
      </c>
      <c r="H532" s="231" t="str">
        <f>IFERROR(__xludf.DUMMYFUNCTION("""COMPUTED_VALUE"""),"➖")</f>
        <v>➖</v>
      </c>
      <c r="I532" s="231" t="str">
        <f>IFERROR(__xludf.DUMMYFUNCTION("""COMPUTED_VALUE"""),"➖")</f>
        <v>➖</v>
      </c>
      <c r="J532" s="231" t="str">
        <f>IFERROR(__xludf.DUMMYFUNCTION("""COMPUTED_VALUE"""),"✅")</f>
        <v>✅</v>
      </c>
      <c r="K532" s="288" t="str">
        <f>IFERROR(__xludf.DUMMYFUNCTION("""COMPUTED_VALUE"""),"➖")</f>
        <v>➖</v>
      </c>
      <c r="L532" s="288" t="str">
        <f>IFERROR(__xludf.DUMMYFUNCTION("""COMPUTED_VALUE"""),"➖")</f>
        <v>➖</v>
      </c>
      <c r="M532" s="288" t="str">
        <f>IFERROR(__xludf.DUMMYFUNCTION("""COMPUTED_VALUE"""),"➖")</f>
        <v>➖</v>
      </c>
      <c r="N532" s="288" t="str">
        <f>IFERROR(__xludf.DUMMYFUNCTION("""COMPUTED_VALUE"""),"➖")</f>
        <v>➖</v>
      </c>
      <c r="O532" s="288" t="str">
        <f>IFERROR(__xludf.DUMMYFUNCTION("""COMPUTED_VALUE"""),"➖")</f>
        <v>➖</v>
      </c>
      <c r="P532" s="288" t="str">
        <f>IFERROR(__xludf.DUMMYFUNCTION("""COMPUTED_VALUE"""),"➖")</f>
        <v>➖</v>
      </c>
      <c r="Q532" s="288" t="str">
        <f>IFERROR(__xludf.DUMMYFUNCTION("""COMPUTED_VALUE"""),"➖")</f>
        <v>➖</v>
      </c>
      <c r="R532" s="257" t="str">
        <f>IFERROR(__xludf.DUMMYFUNCTION("""COMPUTED_VALUE"""),"   ➖")</f>
        <v>➖</v>
      </c>
      <c r="S532" s="258"/>
      <c r="T532" s="255" t="str">
        <f>IFERROR(__xludf.DUMMYFUNCTION("""COMPUTED_VALUE"""),"➖")</f>
        <v>➖</v>
      </c>
      <c r="U532" s="255" t="str">
        <f>IFERROR(__xludf.DUMMYFUNCTION("""COMPUTED_VALUE"""),"➖")</f>
        <v>➖</v>
      </c>
      <c r="V532" s="259"/>
      <c r="W532" s="286"/>
      <c r="X532" s="286"/>
      <c r="Y532" s="286"/>
    </row>
    <row r="533">
      <c r="A533" s="28"/>
      <c r="B533" s="128"/>
      <c r="C533" s="28"/>
      <c r="D533" s="250" t="str">
        <f>IFERROR(__xludf.DUMMYFUNCTION("""COMPUTED_VALUE"""),"   R")</f>
        <v>R</v>
      </c>
      <c r="E533" s="280" t="str">
        <f>IFERROR(__xludf.DUMMYFUNCTION("""COMPUTED_VALUE"""),"WOK SAAVIK")</f>
        <v>WOK SAAVIK</v>
      </c>
      <c r="F533" s="271" t="str">
        <f>IFERROR(__xludf.DUMMYFUNCTION("""COMPUTED_VALUE"""),"BDA")</f>
        <v>BDA</v>
      </c>
      <c r="G533" s="281" t="str">
        <f>IFERROR(__xludf.DUMMYFUNCTION("""COMPUTED_VALUE"""),"➖")</f>
        <v>➖</v>
      </c>
      <c r="H533" s="281" t="str">
        <f>IFERROR(__xludf.DUMMYFUNCTION("""COMPUTED_VALUE"""),"➖")</f>
        <v>➖</v>
      </c>
      <c r="I533" s="281" t="str">
        <f>IFERROR(__xludf.DUMMYFUNCTION("""COMPUTED_VALUE"""),"✴️")</f>
        <v>✴️</v>
      </c>
      <c r="J533" s="281" t="str">
        <f>IFERROR(__xludf.DUMMYFUNCTION("""COMPUTED_VALUE"""),"✴️")</f>
        <v>✴️</v>
      </c>
      <c r="K533" s="282" t="str">
        <f>IFERROR(__xludf.DUMMYFUNCTION("""COMPUTED_VALUE"""),"✴️")</f>
        <v>✴️</v>
      </c>
      <c r="L533" s="282" t="str">
        <f>IFERROR(__xludf.DUMMYFUNCTION("""COMPUTED_VALUE"""),"➖")</f>
        <v>➖</v>
      </c>
      <c r="M533" s="282" t="str">
        <f>IFERROR(__xludf.DUMMYFUNCTION("""COMPUTED_VALUE"""),"➖")</f>
        <v>➖</v>
      </c>
      <c r="N533" s="282" t="str">
        <f>IFERROR(__xludf.DUMMYFUNCTION("""COMPUTED_VALUE"""),"➖")</f>
        <v>➖</v>
      </c>
      <c r="O533" s="282" t="str">
        <f>IFERROR(__xludf.DUMMYFUNCTION("""COMPUTED_VALUE"""),"➖")</f>
        <v>➖</v>
      </c>
      <c r="P533" s="282" t="str">
        <f>IFERROR(__xludf.DUMMYFUNCTION("""COMPUTED_VALUE"""),"➖")</f>
        <v>➖</v>
      </c>
      <c r="Q533" s="282" t="str">
        <f>IFERROR(__xludf.DUMMYFUNCTION("""COMPUTED_VALUE"""),"➖")</f>
        <v>➖</v>
      </c>
      <c r="R533" s="283" t="str">
        <f>IFERROR(__xludf.DUMMYFUNCTION("""COMPUTED_VALUE"""),"   ➖")</f>
        <v>➖</v>
      </c>
      <c r="S533" s="284" t="str">
        <f>IFERROR(__xludf.DUMMYFUNCTION("""COMPUTED_VALUE"""),"TargetStateAny")</f>
        <v>TargetStateAny</v>
      </c>
      <c r="T533" s="285" t="str">
        <f>IFERROR(__xludf.DUMMYFUNCTION("""COMPUTED_VALUE"""),"➖")</f>
        <v>➖</v>
      </c>
      <c r="U533" s="285" t="str">
        <f>IFERROR(__xludf.DUMMYFUNCTION("""COMPUTED_VALUE"""),"➖")</f>
        <v>➖</v>
      </c>
      <c r="V533" s="259"/>
      <c r="W533" s="286"/>
      <c r="X533" s="286"/>
      <c r="Y533" s="286"/>
    </row>
    <row r="534">
      <c r="A534" s="28"/>
      <c r="B534" s="132"/>
      <c r="C534" s="28"/>
      <c r="D534" s="260" t="str">
        <f>IFERROR(__xludf.DUMMYFUNCTION("""COMPUTED_VALUE"""),"   E")</f>
        <v>E</v>
      </c>
      <c r="E534" s="287" t="str">
        <f>IFERROR(__xludf.DUMMYFUNCTION("""COMPUTED_VALUE"""),"SNW SCOTTY")</f>
        <v>SNW SCOTTY</v>
      </c>
      <c r="F534" s="270" t="str">
        <f>IFERROR(__xludf.DUMMYFUNCTION("""COMPUTED_VALUE"""),"OA")</f>
        <v>OA</v>
      </c>
      <c r="G534" s="231" t="str">
        <f>IFERROR(__xludf.DUMMYFUNCTION("""COMPUTED_VALUE"""),"➖")</f>
        <v>➖</v>
      </c>
      <c r="H534" s="231" t="str">
        <f>IFERROR(__xludf.DUMMYFUNCTION("""COMPUTED_VALUE"""),"➖")</f>
        <v>➖</v>
      </c>
      <c r="I534" s="231" t="str">
        <f>IFERROR(__xludf.DUMMYFUNCTION("""COMPUTED_VALUE"""),"✴️")</f>
        <v>✴️</v>
      </c>
      <c r="J534" s="231" t="str">
        <f>IFERROR(__xludf.DUMMYFUNCTION("""COMPUTED_VALUE"""),"✴️")</f>
        <v>✴️</v>
      </c>
      <c r="K534" s="288" t="str">
        <f>IFERROR(__xludf.DUMMYFUNCTION("""COMPUTED_VALUE"""),"✴️")</f>
        <v>✴️</v>
      </c>
      <c r="L534" s="288" t="str">
        <f>IFERROR(__xludf.DUMMYFUNCTION("""COMPUTED_VALUE"""),"✴️")</f>
        <v>✴️</v>
      </c>
      <c r="M534" s="288" t="str">
        <f>IFERROR(__xludf.DUMMYFUNCTION("""COMPUTED_VALUE"""),"✴️")</f>
        <v>✴️</v>
      </c>
      <c r="N534" s="288" t="str">
        <f>IFERROR(__xludf.DUMMYFUNCTION("""COMPUTED_VALUE"""),"✴️")</f>
        <v>✴️</v>
      </c>
      <c r="O534" s="288" t="str">
        <f>IFERROR(__xludf.DUMMYFUNCTION("""COMPUTED_VALUE"""),"➖")</f>
        <v>➖</v>
      </c>
      <c r="P534" s="288" t="str">
        <f>IFERROR(__xludf.DUMMYFUNCTION("""COMPUTED_VALUE"""),"✴️")</f>
        <v>✴️</v>
      </c>
      <c r="Q534" s="288" t="str">
        <f>IFERROR(__xludf.DUMMYFUNCTION("""COMPUTED_VALUE"""),"➖")</f>
        <v>➖</v>
      </c>
      <c r="R534" s="257" t="str">
        <f>IFERROR(__xludf.DUMMYFUNCTION("""COMPUTED_VALUE"""),"   ➖")</f>
        <v>➖</v>
      </c>
      <c r="S534" s="258" t="str">
        <f>IFERROR(__xludf.DUMMYFUNCTION("""COMPUTED_VALUE"""),"Suliban")</f>
        <v>Suliban</v>
      </c>
      <c r="T534" s="255" t="str">
        <f>IFERROR(__xludf.DUMMYFUNCTION("""COMPUTED_VALUE"""),"➖")</f>
        <v>➖</v>
      </c>
      <c r="U534" s="255" t="str">
        <f>IFERROR(__xludf.DUMMYFUNCTION("""COMPUTED_VALUE"""),"➖")</f>
        <v>➖</v>
      </c>
      <c r="V534" s="259"/>
      <c r="W534" s="286"/>
      <c r="X534" s="286"/>
      <c r="Y534" s="286"/>
    </row>
    <row r="535">
      <c r="A535" s="28"/>
      <c r="B535" s="128"/>
      <c r="C535" s="28"/>
      <c r="D535" s="250" t="str">
        <f>IFERROR(__xludf.DUMMYFUNCTION("""COMPUTED_VALUE"""),"   E")</f>
        <v>E</v>
      </c>
      <c r="E535" s="280" t="str">
        <f>IFERROR(__xludf.DUMMYFUNCTION("""COMPUTED_VALUE"""),"SNW SCOTTY")</f>
        <v>SNW SCOTTY</v>
      </c>
      <c r="F535" s="271" t="str">
        <f>IFERROR(__xludf.DUMMYFUNCTION("""COMPUTED_VALUE"""),"BDA")</f>
        <v>BDA</v>
      </c>
      <c r="G535" s="281" t="str">
        <f>IFERROR(__xludf.DUMMYFUNCTION("""COMPUTED_VALUE"""),"✅")</f>
        <v>✅</v>
      </c>
      <c r="H535" s="281" t="str">
        <f>IFERROR(__xludf.DUMMYFUNCTION("""COMPUTED_VALUE"""),"✅")</f>
        <v>✅</v>
      </c>
      <c r="I535" s="281" t="str">
        <f>IFERROR(__xludf.DUMMYFUNCTION("""COMPUTED_VALUE"""),"✅")</f>
        <v>✅</v>
      </c>
      <c r="J535" s="281" t="str">
        <f>IFERROR(__xludf.DUMMYFUNCTION("""COMPUTED_VALUE"""),"✅")</f>
        <v>✅</v>
      </c>
      <c r="K535" s="282" t="str">
        <f>IFERROR(__xludf.DUMMYFUNCTION("""COMPUTED_VALUE"""),"✅")</f>
        <v>✅</v>
      </c>
      <c r="L535" s="282" t="str">
        <f>IFERROR(__xludf.DUMMYFUNCTION("""COMPUTED_VALUE"""),"✅")</f>
        <v>✅</v>
      </c>
      <c r="M535" s="282" t="str">
        <f>IFERROR(__xludf.DUMMYFUNCTION("""COMPUTED_VALUE"""),"✅")</f>
        <v>✅</v>
      </c>
      <c r="N535" s="282" t="str">
        <f>IFERROR(__xludf.DUMMYFUNCTION("""COMPUTED_VALUE"""),"✅")</f>
        <v>✅</v>
      </c>
      <c r="O535" s="282" t="str">
        <f>IFERROR(__xludf.DUMMYFUNCTION("""COMPUTED_VALUE"""),"✅")</f>
        <v>✅</v>
      </c>
      <c r="P535" s="282" t="str">
        <f>IFERROR(__xludf.DUMMYFUNCTION("""COMPUTED_VALUE"""),"✅")</f>
        <v>✅</v>
      </c>
      <c r="Q535" s="282" t="str">
        <f>IFERROR(__xludf.DUMMYFUNCTION("""COMPUTED_VALUE"""),"✅")</f>
        <v>✅</v>
      </c>
      <c r="R535" s="283" t="str">
        <f>IFERROR(__xludf.DUMMYFUNCTION("""COMPUTED_VALUE"""),"   ✅")</f>
        <v>✅</v>
      </c>
      <c r="S535" s="284"/>
      <c r="T535" s="285" t="str">
        <f>IFERROR(__xludf.DUMMYFUNCTION("""COMPUTED_VALUE"""),"➖")</f>
        <v>➖</v>
      </c>
      <c r="U535" s="285" t="str">
        <f>IFERROR(__xludf.DUMMYFUNCTION("""COMPUTED_VALUE"""),"➖")</f>
        <v>➖</v>
      </c>
      <c r="V535" s="259"/>
      <c r="W535" s="286"/>
      <c r="X535" s="286"/>
      <c r="Y535" s="286"/>
    </row>
    <row r="536">
      <c r="A536" s="28"/>
      <c r="B536" s="132"/>
      <c r="C536" s="28"/>
      <c r="D536" s="260" t="str">
        <f>IFERROR(__xludf.DUMMYFUNCTION("""COMPUTED_VALUE"""),"   E")</f>
        <v>E</v>
      </c>
      <c r="E536" s="287" t="str">
        <f>IFERROR(__xludf.DUMMYFUNCTION("""COMPUTED_VALUE"""),"SNW T'PRING")</f>
        <v>SNW T'PRING</v>
      </c>
      <c r="F536" s="270" t="str">
        <f>IFERROR(__xludf.DUMMYFUNCTION("""COMPUTED_VALUE"""),"OA")</f>
        <v>OA</v>
      </c>
      <c r="G536" s="231" t="str">
        <f>IFERROR(__xludf.DUMMYFUNCTION("""COMPUTED_VALUE"""),"➖")</f>
        <v>➖</v>
      </c>
      <c r="H536" s="231" t="str">
        <f>IFERROR(__xludf.DUMMYFUNCTION("""COMPUTED_VALUE"""),"➖")</f>
        <v>➖</v>
      </c>
      <c r="I536" s="231" t="str">
        <f>IFERROR(__xludf.DUMMYFUNCTION("""COMPUTED_VALUE"""),"✅")</f>
        <v>✅</v>
      </c>
      <c r="J536" s="231" t="str">
        <f>IFERROR(__xludf.DUMMYFUNCTION("""COMPUTED_VALUE"""),"✅")</f>
        <v>✅</v>
      </c>
      <c r="K536" s="288" t="str">
        <f>IFERROR(__xludf.DUMMYFUNCTION("""COMPUTED_VALUE"""),"✅")</f>
        <v>✅</v>
      </c>
      <c r="L536" s="288" t="str">
        <f>IFERROR(__xludf.DUMMYFUNCTION("""COMPUTED_VALUE"""),"➖")</f>
        <v>➖</v>
      </c>
      <c r="M536" s="288" t="str">
        <f>IFERROR(__xludf.DUMMYFUNCTION("""COMPUTED_VALUE"""),"➖")</f>
        <v>➖</v>
      </c>
      <c r="N536" s="288" t="str">
        <f>IFERROR(__xludf.DUMMYFUNCTION("""COMPUTED_VALUE"""),"➖")</f>
        <v>➖</v>
      </c>
      <c r="O536" s="288" t="str">
        <f>IFERROR(__xludf.DUMMYFUNCTION("""COMPUTED_VALUE"""),"➖")</f>
        <v>➖</v>
      </c>
      <c r="P536" s="288" t="str">
        <f>IFERROR(__xludf.DUMMYFUNCTION("""COMPUTED_VALUE"""),"➖")</f>
        <v>➖</v>
      </c>
      <c r="Q536" s="288" t="str">
        <f>IFERROR(__xludf.DUMMYFUNCTION("""COMPUTED_VALUE"""),"➖")</f>
        <v>➖</v>
      </c>
      <c r="R536" s="257" t="str">
        <f>IFERROR(__xludf.DUMMYFUNCTION("""COMPUTED_VALUE"""),"   ➖")</f>
        <v>➖</v>
      </c>
      <c r="S536" s="258"/>
      <c r="T536" s="255" t="str">
        <f>IFERROR(__xludf.DUMMYFUNCTION("""COMPUTED_VALUE"""),"➖")</f>
        <v>➖</v>
      </c>
      <c r="U536" s="255" t="str">
        <f>IFERROR(__xludf.DUMMYFUNCTION("""COMPUTED_VALUE"""),"➖")</f>
        <v>➖</v>
      </c>
      <c r="V536" s="259"/>
      <c r="W536" s="286"/>
      <c r="X536" s="286"/>
      <c r="Y536" s="286"/>
    </row>
    <row r="537">
      <c r="A537" s="28"/>
      <c r="B537" s="128"/>
      <c r="C537" s="28"/>
      <c r="D537" s="250" t="str">
        <f>IFERROR(__xludf.DUMMYFUNCTION("""COMPUTED_VALUE"""),"   E")</f>
        <v>E</v>
      </c>
      <c r="E537" s="280" t="str">
        <f>IFERROR(__xludf.DUMMYFUNCTION("""COMPUTED_VALUE"""),"SNW T'PRING")</f>
        <v>SNW T'PRING</v>
      </c>
      <c r="F537" s="271" t="str">
        <f>IFERROR(__xludf.DUMMYFUNCTION("""COMPUTED_VALUE"""),"BDA")</f>
        <v>BDA</v>
      </c>
      <c r="G537" s="281" t="str">
        <f>IFERROR(__xludf.DUMMYFUNCTION("""COMPUTED_VALUE"""),"➖")</f>
        <v>➖</v>
      </c>
      <c r="H537" s="281" t="str">
        <f>IFERROR(__xludf.DUMMYFUNCTION("""COMPUTED_VALUE"""),"➖")</f>
        <v>➖</v>
      </c>
      <c r="I537" s="281" t="str">
        <f>IFERROR(__xludf.DUMMYFUNCTION("""COMPUTED_VALUE"""),"➖")</f>
        <v>➖</v>
      </c>
      <c r="J537" s="281" t="str">
        <f>IFERROR(__xludf.DUMMYFUNCTION("""COMPUTED_VALUE"""),"➖")</f>
        <v>➖</v>
      </c>
      <c r="K537" s="282" t="str">
        <f>IFERROR(__xludf.DUMMYFUNCTION("""COMPUTED_VALUE"""),"➖")</f>
        <v>➖</v>
      </c>
      <c r="L537" s="282" t="str">
        <f>IFERROR(__xludf.DUMMYFUNCTION("""COMPUTED_VALUE"""),"➖")</f>
        <v>➖</v>
      </c>
      <c r="M537" s="282" t="str">
        <f>IFERROR(__xludf.DUMMYFUNCTION("""COMPUTED_VALUE"""),"➖")</f>
        <v>➖</v>
      </c>
      <c r="N537" s="282" t="str">
        <f>IFERROR(__xludf.DUMMYFUNCTION("""COMPUTED_VALUE"""),"➖")</f>
        <v>➖</v>
      </c>
      <c r="O537" s="282" t="str">
        <f>IFERROR(__xludf.DUMMYFUNCTION("""COMPUTED_VALUE"""),"➖")</f>
        <v>➖</v>
      </c>
      <c r="P537" s="282" t="str">
        <f>IFERROR(__xludf.DUMMYFUNCTION("""COMPUTED_VALUE"""),"➖")</f>
        <v>➖</v>
      </c>
      <c r="Q537" s="282" t="str">
        <f>IFERROR(__xludf.DUMMYFUNCTION("""COMPUTED_VALUE"""),"➖")</f>
        <v>➖</v>
      </c>
      <c r="R537" s="283" t="str">
        <f>IFERROR(__xludf.DUMMYFUNCTION("""COMPUTED_VALUE"""),"   ➖")</f>
        <v>➖</v>
      </c>
      <c r="S537" s="284"/>
      <c r="T537" s="285" t="str">
        <f>IFERROR(__xludf.DUMMYFUNCTION("""COMPUTED_VALUE"""),"➖")</f>
        <v>➖</v>
      </c>
      <c r="U537" s="285" t="str">
        <f>IFERROR(__xludf.DUMMYFUNCTION("""COMPUTED_VALUE"""),"✅")</f>
        <v>✅</v>
      </c>
      <c r="V537" s="259"/>
      <c r="W537" s="286"/>
      <c r="X537" s="286"/>
      <c r="Y537" s="286"/>
    </row>
    <row r="538">
      <c r="A538" s="28"/>
      <c r="B538" s="132"/>
      <c r="C538" s="28"/>
      <c r="D538" s="260" t="str">
        <f>IFERROR(__xludf.DUMMYFUNCTION("""COMPUTED_VALUE"""),"   E")</f>
        <v>E</v>
      </c>
      <c r="E538" s="287" t="str">
        <f>IFERROR(__xludf.DUMMYFUNCTION("""COMPUTED_VALUE"""),"SNW D'CHOK")</f>
        <v>SNW D'CHOK</v>
      </c>
      <c r="F538" s="270" t="str">
        <f>IFERROR(__xludf.DUMMYFUNCTION("""COMPUTED_VALUE"""),"OA")</f>
        <v>OA</v>
      </c>
      <c r="G538" s="231" t="str">
        <f>IFERROR(__xludf.DUMMYFUNCTION("""COMPUTED_VALUE"""),"➖")</f>
        <v>➖</v>
      </c>
      <c r="H538" s="231" t="str">
        <f>IFERROR(__xludf.DUMMYFUNCTION("""COMPUTED_VALUE"""),"➖")</f>
        <v>➖</v>
      </c>
      <c r="I538" s="231" t="str">
        <f>IFERROR(__xludf.DUMMYFUNCTION("""COMPUTED_VALUE"""),"➖")</f>
        <v>➖</v>
      </c>
      <c r="J538" s="231" t="str">
        <f>IFERROR(__xludf.DUMMYFUNCTION("""COMPUTED_VALUE"""),"➖")</f>
        <v>➖</v>
      </c>
      <c r="K538" s="288" t="str">
        <f>IFERROR(__xludf.DUMMYFUNCTION("""COMPUTED_VALUE"""),"➖")</f>
        <v>➖</v>
      </c>
      <c r="L538" s="288" t="str">
        <f>IFERROR(__xludf.DUMMYFUNCTION("""COMPUTED_VALUE"""),"➖")</f>
        <v>➖</v>
      </c>
      <c r="M538" s="288" t="str">
        <f>IFERROR(__xludf.DUMMYFUNCTION("""COMPUTED_VALUE"""),"➖")</f>
        <v>➖</v>
      </c>
      <c r="N538" s="288" t="str">
        <f>IFERROR(__xludf.DUMMYFUNCTION("""COMPUTED_VALUE"""),"➖")</f>
        <v>➖</v>
      </c>
      <c r="O538" s="288" t="str">
        <f>IFERROR(__xludf.DUMMYFUNCTION("""COMPUTED_VALUE"""),"➖")</f>
        <v>➖</v>
      </c>
      <c r="P538" s="288" t="str">
        <f>IFERROR(__xludf.DUMMYFUNCTION("""COMPUTED_VALUE"""),"➖")</f>
        <v>➖</v>
      </c>
      <c r="Q538" s="288" t="str">
        <f>IFERROR(__xludf.DUMMYFUNCTION("""COMPUTED_VALUE"""),"➖")</f>
        <v>➖</v>
      </c>
      <c r="R538" s="257" t="str">
        <f>IFERROR(__xludf.DUMMYFUNCTION("""COMPUTED_VALUE"""),"   ➖")</f>
        <v>➖</v>
      </c>
      <c r="S538" s="258"/>
      <c r="T538" s="255" t="str">
        <f>IFERROR(__xludf.DUMMYFUNCTION("""COMPUTED_VALUE"""),"➖")</f>
        <v>➖</v>
      </c>
      <c r="U538" s="255" t="str">
        <f>IFERROR(__xludf.DUMMYFUNCTION("""COMPUTED_VALUE"""),"✅")</f>
        <v>✅</v>
      </c>
      <c r="V538" s="259"/>
      <c r="W538" s="286"/>
      <c r="X538" s="286"/>
      <c r="Y538" s="286"/>
    </row>
    <row r="539">
      <c r="A539" s="28"/>
      <c r="B539" s="128"/>
      <c r="C539" s="28"/>
      <c r="D539" s="250" t="str">
        <f>IFERROR(__xludf.DUMMYFUNCTION("""COMPUTED_VALUE"""),"   E")</f>
        <v>E</v>
      </c>
      <c r="E539" s="280" t="str">
        <f>IFERROR(__xludf.DUMMYFUNCTION("""COMPUTED_VALUE"""),"SNW D'CHOK")</f>
        <v>SNW D'CHOK</v>
      </c>
      <c r="F539" s="271" t="str">
        <f>IFERROR(__xludf.DUMMYFUNCTION("""COMPUTED_VALUE"""),"BDA")</f>
        <v>BDA</v>
      </c>
      <c r="G539" s="281" t="str">
        <f>IFERROR(__xludf.DUMMYFUNCTION("""COMPUTED_VALUE"""),"✅")</f>
        <v>✅</v>
      </c>
      <c r="H539" s="281" t="str">
        <f>IFERROR(__xludf.DUMMYFUNCTION("""COMPUTED_VALUE"""),"✅")</f>
        <v>✅</v>
      </c>
      <c r="I539" s="281" t="str">
        <f>IFERROR(__xludf.DUMMYFUNCTION("""COMPUTED_VALUE"""),"✅")</f>
        <v>✅</v>
      </c>
      <c r="J539" s="281" t="str">
        <f>IFERROR(__xludf.DUMMYFUNCTION("""COMPUTED_VALUE"""),"✅")</f>
        <v>✅</v>
      </c>
      <c r="K539" s="282" t="str">
        <f>IFERROR(__xludf.DUMMYFUNCTION("""COMPUTED_VALUE"""),"✅")</f>
        <v>✅</v>
      </c>
      <c r="L539" s="282" t="str">
        <f>IFERROR(__xludf.DUMMYFUNCTION("""COMPUTED_VALUE"""),"✅")</f>
        <v>✅</v>
      </c>
      <c r="M539" s="282" t="str">
        <f>IFERROR(__xludf.DUMMYFUNCTION("""COMPUTED_VALUE"""),"✅")</f>
        <v>✅</v>
      </c>
      <c r="N539" s="282" t="str">
        <f>IFERROR(__xludf.DUMMYFUNCTION("""COMPUTED_VALUE"""),"✅")</f>
        <v>✅</v>
      </c>
      <c r="O539" s="282" t="str">
        <f>IFERROR(__xludf.DUMMYFUNCTION("""COMPUTED_VALUE"""),"✅")</f>
        <v>✅</v>
      </c>
      <c r="P539" s="282" t="str">
        <f>IFERROR(__xludf.DUMMYFUNCTION("""COMPUTED_VALUE"""),"✅")</f>
        <v>✅</v>
      </c>
      <c r="Q539" s="282" t="str">
        <f>IFERROR(__xludf.DUMMYFUNCTION("""COMPUTED_VALUE"""),"✅")</f>
        <v>✅</v>
      </c>
      <c r="R539" s="283" t="str">
        <f>IFERROR(__xludf.DUMMYFUNCTION("""COMPUTED_VALUE"""),"   ✅")</f>
        <v>✅</v>
      </c>
      <c r="S539" s="284"/>
      <c r="T539" s="285" t="str">
        <f>IFERROR(__xludf.DUMMYFUNCTION("""COMPUTED_VALUE"""),"➖")</f>
        <v>➖</v>
      </c>
      <c r="U539" s="285" t="str">
        <f>IFERROR(__xludf.DUMMYFUNCTION("""COMPUTED_VALUE"""),"➖")</f>
        <v>➖</v>
      </c>
      <c r="V539" s="259"/>
      <c r="W539" s="286"/>
      <c r="X539" s="286"/>
      <c r="Y539" s="286"/>
    </row>
    <row r="540">
      <c r="A540" s="28"/>
      <c r="B540" s="132"/>
      <c r="C540" s="28"/>
      <c r="D540" s="260" t="str">
        <f>IFERROR(__xludf.DUMMYFUNCTION("""COMPUTED_VALUE"""),"   E")</f>
        <v>E</v>
      </c>
      <c r="E540" s="287" t="str">
        <f>IFERROR(__xludf.DUMMYFUNCTION("""COMPUTED_VALUE"""),"BLACK OPS M'BENGA")</f>
        <v>BLACK OPS M'BENGA</v>
      </c>
      <c r="F540" s="270" t="str">
        <f>IFERROR(__xludf.DUMMYFUNCTION("""COMPUTED_VALUE"""),"OA")</f>
        <v>OA</v>
      </c>
      <c r="G540" s="231" t="str">
        <f>IFERROR(__xludf.DUMMYFUNCTION("""COMPUTED_VALUE"""),"➖")</f>
        <v>➖</v>
      </c>
      <c r="H540" s="231" t="str">
        <f>IFERROR(__xludf.DUMMYFUNCTION("""COMPUTED_VALUE"""),"➖")</f>
        <v>➖</v>
      </c>
      <c r="I540" s="231" t="str">
        <f>IFERROR(__xludf.DUMMYFUNCTION("""COMPUTED_VALUE"""),"✴️")</f>
        <v>✴️</v>
      </c>
      <c r="J540" s="231" t="str">
        <f>IFERROR(__xludf.DUMMYFUNCTION("""COMPUTED_VALUE"""),"✴️")</f>
        <v>✴️</v>
      </c>
      <c r="K540" s="288" t="str">
        <f>IFERROR(__xludf.DUMMYFUNCTION("""COMPUTED_VALUE"""),"✴️")</f>
        <v>✴️</v>
      </c>
      <c r="L540" s="288" t="str">
        <f>IFERROR(__xludf.DUMMYFUNCTION("""COMPUTED_VALUE"""),"✴️")</f>
        <v>✴️</v>
      </c>
      <c r="M540" s="288" t="str">
        <f>IFERROR(__xludf.DUMMYFUNCTION("""COMPUTED_VALUE"""),"✴️")</f>
        <v>✴️</v>
      </c>
      <c r="N540" s="288" t="str">
        <f>IFERROR(__xludf.DUMMYFUNCTION("""COMPUTED_VALUE"""),"✴️")</f>
        <v>✴️</v>
      </c>
      <c r="O540" s="288" t="str">
        <f>IFERROR(__xludf.DUMMYFUNCTION("""COMPUTED_VALUE"""),"➖")</f>
        <v>➖</v>
      </c>
      <c r="P540" s="288" t="str">
        <f>IFERROR(__xludf.DUMMYFUNCTION("""COMPUTED_VALUE"""),"✴️")</f>
        <v>✴️</v>
      </c>
      <c r="Q540" s="288" t="str">
        <f>IFERROR(__xludf.DUMMYFUNCTION("""COMPUTED_VALUE"""),"➖")</f>
        <v>➖</v>
      </c>
      <c r="R540" s="257" t="str">
        <f>IFERROR(__xludf.DUMMYFUNCTION("""COMPUTED_VALUE"""),"   ➖")</f>
        <v>➖</v>
      </c>
      <c r="S540" s="258" t="str">
        <f>IFERROR(__xludf.DUMMYFUNCTION("""COMPUTED_VALUE"""),"Suliban")</f>
        <v>Suliban</v>
      </c>
      <c r="T540" s="255" t="str">
        <f>IFERROR(__xludf.DUMMYFUNCTION("""COMPUTED_VALUE"""),"➖")</f>
        <v>➖</v>
      </c>
      <c r="U540" s="255" t="str">
        <f>IFERROR(__xludf.DUMMYFUNCTION("""COMPUTED_VALUE"""),"➖")</f>
        <v>➖</v>
      </c>
      <c r="V540" s="259"/>
      <c r="W540" s="286"/>
      <c r="X540" s="286"/>
      <c r="Y540" s="286"/>
    </row>
    <row r="541">
      <c r="A541" s="28"/>
      <c r="B541" s="128"/>
      <c r="C541" s="28"/>
      <c r="D541" s="250" t="str">
        <f>IFERROR(__xludf.DUMMYFUNCTION("""COMPUTED_VALUE"""),"   E")</f>
        <v>E</v>
      </c>
      <c r="E541" s="280" t="str">
        <f>IFERROR(__xludf.DUMMYFUNCTION("""COMPUTED_VALUE"""),"BLACK OPS M'BENGA")</f>
        <v>BLACK OPS M'BENGA</v>
      </c>
      <c r="F541" s="271" t="str">
        <f>IFERROR(__xludf.DUMMYFUNCTION("""COMPUTED_VALUE"""),"BDA")</f>
        <v>BDA</v>
      </c>
      <c r="G541" s="281" t="str">
        <f>IFERROR(__xludf.DUMMYFUNCTION("""COMPUTED_VALUE"""),"➖")</f>
        <v>➖</v>
      </c>
      <c r="H541" s="281" t="str">
        <f>IFERROR(__xludf.DUMMYFUNCTION("""COMPUTED_VALUE"""),"➖")</f>
        <v>➖</v>
      </c>
      <c r="I541" s="281" t="str">
        <f>IFERROR(__xludf.DUMMYFUNCTION("""COMPUTED_VALUE"""),"✅")</f>
        <v>✅</v>
      </c>
      <c r="J541" s="281" t="str">
        <f>IFERROR(__xludf.DUMMYFUNCTION("""COMPUTED_VALUE"""),"✅")</f>
        <v>✅</v>
      </c>
      <c r="K541" s="282" t="str">
        <f>IFERROR(__xludf.DUMMYFUNCTION("""COMPUTED_VALUE"""),"✅")</f>
        <v>✅</v>
      </c>
      <c r="L541" s="282" t="str">
        <f>IFERROR(__xludf.DUMMYFUNCTION("""COMPUTED_VALUE"""),"➖")</f>
        <v>➖</v>
      </c>
      <c r="M541" s="282" t="str">
        <f>IFERROR(__xludf.DUMMYFUNCTION("""COMPUTED_VALUE"""),"➖")</f>
        <v>➖</v>
      </c>
      <c r="N541" s="282" t="str">
        <f>IFERROR(__xludf.DUMMYFUNCTION("""COMPUTED_VALUE"""),"➖")</f>
        <v>➖</v>
      </c>
      <c r="O541" s="282" t="str">
        <f>IFERROR(__xludf.DUMMYFUNCTION("""COMPUTED_VALUE"""),"➖")</f>
        <v>➖</v>
      </c>
      <c r="P541" s="282" t="str">
        <f>IFERROR(__xludf.DUMMYFUNCTION("""COMPUTED_VALUE"""),"➖")</f>
        <v>➖</v>
      </c>
      <c r="Q541" s="282" t="str">
        <f>IFERROR(__xludf.DUMMYFUNCTION("""COMPUTED_VALUE"""),"➖")</f>
        <v>➖</v>
      </c>
      <c r="R541" s="283" t="str">
        <f>IFERROR(__xludf.DUMMYFUNCTION("""COMPUTED_VALUE"""),"   ➖")</f>
        <v>➖</v>
      </c>
      <c r="S541" s="284"/>
      <c r="T541" s="285" t="str">
        <f>IFERROR(__xludf.DUMMYFUNCTION("""COMPUTED_VALUE"""),"➖")</f>
        <v>➖</v>
      </c>
      <c r="U541" s="285" t="str">
        <f>IFERROR(__xludf.DUMMYFUNCTION("""COMPUTED_VALUE"""),"➖")</f>
        <v>➖</v>
      </c>
      <c r="V541" s="259"/>
      <c r="W541" s="286"/>
      <c r="X541" s="286"/>
      <c r="Y541" s="286"/>
    </row>
    <row r="542">
      <c r="A542" s="28"/>
      <c r="B542" s="132"/>
      <c r="C542" s="28"/>
      <c r="D542" s="260" t="str">
        <f>IFERROR(__xludf.DUMMYFUNCTION("""COMPUTED_VALUE"""),"   R")</f>
        <v>R</v>
      </c>
      <c r="E542" s="287" t="str">
        <f>IFERROR(__xludf.DUMMYFUNCTION("""COMPUTED_VALUE"""),"BLACK OPS CHAPEL")</f>
        <v>BLACK OPS CHAPEL</v>
      </c>
      <c r="F542" s="270" t="str">
        <f>IFERROR(__xludf.DUMMYFUNCTION("""COMPUTED_VALUE"""),"OA")</f>
        <v>OA</v>
      </c>
      <c r="G542" s="231" t="str">
        <f>IFERROR(__xludf.DUMMYFUNCTION("""COMPUTED_VALUE"""),"➖")</f>
        <v>➖</v>
      </c>
      <c r="H542" s="231" t="str">
        <f>IFERROR(__xludf.DUMMYFUNCTION("""COMPUTED_VALUE"""),"➖")</f>
        <v>➖</v>
      </c>
      <c r="I542" s="231" t="str">
        <f>IFERROR(__xludf.DUMMYFUNCTION("""COMPUTED_VALUE"""),"✴️")</f>
        <v>✴️</v>
      </c>
      <c r="J542" s="231" t="str">
        <f>IFERROR(__xludf.DUMMYFUNCTION("""COMPUTED_VALUE"""),"➖")</f>
        <v>➖</v>
      </c>
      <c r="K542" s="288" t="str">
        <f>IFERROR(__xludf.DUMMYFUNCTION("""COMPUTED_VALUE"""),"➖")</f>
        <v>➖</v>
      </c>
      <c r="L542" s="288" t="str">
        <f>IFERROR(__xludf.DUMMYFUNCTION("""COMPUTED_VALUE"""),"➖")</f>
        <v>➖</v>
      </c>
      <c r="M542" s="288" t="str">
        <f>IFERROR(__xludf.DUMMYFUNCTION("""COMPUTED_VALUE"""),"✴️")</f>
        <v>✴️</v>
      </c>
      <c r="N542" s="288" t="str">
        <f>IFERROR(__xludf.DUMMYFUNCTION("""COMPUTED_VALUE"""),"✴️")</f>
        <v>✴️</v>
      </c>
      <c r="O542" s="288" t="str">
        <f>IFERROR(__xludf.DUMMYFUNCTION("""COMPUTED_VALUE"""),"➖")</f>
        <v>➖</v>
      </c>
      <c r="P542" s="288" t="str">
        <f>IFERROR(__xludf.DUMMYFUNCTION("""COMPUTED_VALUE"""),"➖")</f>
        <v>➖</v>
      </c>
      <c r="Q542" s="288" t="str">
        <f>IFERROR(__xludf.DUMMYFUNCTION("""COMPUTED_VALUE"""),"➖")</f>
        <v>➖</v>
      </c>
      <c r="R542" s="257" t="str">
        <f>IFERROR(__xludf.DUMMYFUNCTION("""COMPUTED_VALUE"""),"   ➖")</f>
        <v>➖</v>
      </c>
      <c r="S542" s="258" t="str">
        <f>IFERROR(__xludf.DUMMYFUNCTION("""COMPUTED_VALUE"""),"FactionPointsGain")</f>
        <v>FactionPointsGain</v>
      </c>
      <c r="T542" s="255" t="str">
        <f>IFERROR(__xludf.DUMMYFUNCTION("""COMPUTED_VALUE"""),"✅")</f>
        <v>✅</v>
      </c>
      <c r="U542" s="255" t="str">
        <f>IFERROR(__xludf.DUMMYFUNCTION("""COMPUTED_VALUE"""),"➖")</f>
        <v>➖</v>
      </c>
      <c r="V542" s="259"/>
      <c r="W542" s="286"/>
      <c r="X542" s="286"/>
      <c r="Y542" s="286"/>
    </row>
    <row r="543">
      <c r="A543" s="28"/>
      <c r="B543" s="128"/>
      <c r="C543" s="28"/>
      <c r="D543" s="250" t="str">
        <f>IFERROR(__xludf.DUMMYFUNCTION("""COMPUTED_VALUE"""),"   R")</f>
        <v>R</v>
      </c>
      <c r="E543" s="280" t="str">
        <f>IFERROR(__xludf.DUMMYFUNCTION("""COMPUTED_VALUE"""),"BLACK OPS CHAPEL")</f>
        <v>BLACK OPS CHAPEL</v>
      </c>
      <c r="F543" s="271" t="str">
        <f>IFERROR(__xludf.DUMMYFUNCTION("""COMPUTED_VALUE"""),"BDA")</f>
        <v>BDA</v>
      </c>
      <c r="G543" s="281" t="str">
        <f>IFERROR(__xludf.DUMMYFUNCTION("""COMPUTED_VALUE"""),"✅")</f>
        <v>✅</v>
      </c>
      <c r="H543" s="281" t="str">
        <f>IFERROR(__xludf.DUMMYFUNCTION("""COMPUTED_VALUE"""),"✅")</f>
        <v>✅</v>
      </c>
      <c r="I543" s="281" t="str">
        <f>IFERROR(__xludf.DUMMYFUNCTION("""COMPUTED_VALUE"""),"✅")</f>
        <v>✅</v>
      </c>
      <c r="J543" s="281" t="str">
        <f>IFERROR(__xludf.DUMMYFUNCTION("""COMPUTED_VALUE"""),"✅")</f>
        <v>✅</v>
      </c>
      <c r="K543" s="282" t="str">
        <f>IFERROR(__xludf.DUMMYFUNCTION("""COMPUTED_VALUE"""),"✅")</f>
        <v>✅</v>
      </c>
      <c r="L543" s="282" t="str">
        <f>IFERROR(__xludf.DUMMYFUNCTION("""COMPUTED_VALUE"""),"✅")</f>
        <v>✅</v>
      </c>
      <c r="M543" s="282" t="str">
        <f>IFERROR(__xludf.DUMMYFUNCTION("""COMPUTED_VALUE"""),"✅")</f>
        <v>✅</v>
      </c>
      <c r="N543" s="282" t="str">
        <f>IFERROR(__xludf.DUMMYFUNCTION("""COMPUTED_VALUE"""),"✅")</f>
        <v>✅</v>
      </c>
      <c r="O543" s="282" t="str">
        <f>IFERROR(__xludf.DUMMYFUNCTION("""COMPUTED_VALUE"""),"✅")</f>
        <v>✅</v>
      </c>
      <c r="P543" s="282" t="str">
        <f>IFERROR(__xludf.DUMMYFUNCTION("""COMPUTED_VALUE"""),"✅")</f>
        <v>✅</v>
      </c>
      <c r="Q543" s="282" t="str">
        <f>IFERROR(__xludf.DUMMYFUNCTION("""COMPUTED_VALUE"""),"✅")</f>
        <v>✅</v>
      </c>
      <c r="R543" s="283" t="str">
        <f>IFERROR(__xludf.DUMMYFUNCTION("""COMPUTED_VALUE"""),"   ✅")</f>
        <v>✅</v>
      </c>
      <c r="S543" s="284"/>
      <c r="T543" s="285" t="str">
        <f>IFERROR(__xludf.DUMMYFUNCTION("""COMPUTED_VALUE"""),"➖")</f>
        <v>➖</v>
      </c>
      <c r="U543" s="285" t="str">
        <f>IFERROR(__xludf.DUMMYFUNCTION("""COMPUTED_VALUE"""),"➖")</f>
        <v>➖</v>
      </c>
      <c r="V543" s="259"/>
      <c r="W543" s="286"/>
      <c r="X543" s="286"/>
      <c r="Y543" s="286"/>
    </row>
    <row r="544">
      <c r="A544" s="28"/>
      <c r="B544" s="132"/>
      <c r="C544" s="28"/>
      <c r="D544" s="260" t="str">
        <f>IFERROR(__xludf.DUMMYFUNCTION("""COMPUTED_VALUE"""),"   E")</f>
        <v>E</v>
      </c>
      <c r="E544" s="287" t="str">
        <f>IFERROR(__xludf.DUMMYFUNCTION("""COMPUTED_VALUE"""),"VIL WINN ADAMI")</f>
        <v>VIL WINN ADAMI</v>
      </c>
      <c r="F544" s="270" t="str">
        <f>IFERROR(__xludf.DUMMYFUNCTION("""COMPUTED_VALUE"""),"OA")</f>
        <v>OA</v>
      </c>
      <c r="G544" s="231" t="str">
        <f>IFERROR(__xludf.DUMMYFUNCTION("""COMPUTED_VALUE"""),"➖")</f>
        <v>➖</v>
      </c>
      <c r="H544" s="231" t="str">
        <f>IFERROR(__xludf.DUMMYFUNCTION("""COMPUTED_VALUE"""),"✅")</f>
        <v>✅</v>
      </c>
      <c r="I544" s="231" t="str">
        <f>IFERROR(__xludf.DUMMYFUNCTION("""COMPUTED_VALUE"""),"➖")</f>
        <v>➖</v>
      </c>
      <c r="J544" s="231" t="str">
        <f>IFERROR(__xludf.DUMMYFUNCTION("""COMPUTED_VALUE"""),"➖")</f>
        <v>➖</v>
      </c>
      <c r="K544" s="288" t="str">
        <f>IFERROR(__xludf.DUMMYFUNCTION("""COMPUTED_VALUE"""),"➖")</f>
        <v>➖</v>
      </c>
      <c r="L544" s="288" t="str">
        <f>IFERROR(__xludf.DUMMYFUNCTION("""COMPUTED_VALUE"""),"➖")</f>
        <v>➖</v>
      </c>
      <c r="M544" s="288" t="str">
        <f>IFERROR(__xludf.DUMMYFUNCTION("""COMPUTED_VALUE"""),"➖")</f>
        <v>➖</v>
      </c>
      <c r="N544" s="288" t="str">
        <f>IFERROR(__xludf.DUMMYFUNCTION("""COMPUTED_VALUE"""),"➖")</f>
        <v>➖</v>
      </c>
      <c r="O544" s="288" t="str">
        <f>IFERROR(__xludf.DUMMYFUNCTION("""COMPUTED_VALUE"""),"➖")</f>
        <v>➖</v>
      </c>
      <c r="P544" s="288" t="str">
        <f>IFERROR(__xludf.DUMMYFUNCTION("""COMPUTED_VALUE"""),"➖")</f>
        <v>➖</v>
      </c>
      <c r="Q544" s="288" t="str">
        <f>IFERROR(__xludf.DUMMYFUNCTION("""COMPUTED_VALUE"""),"➖")</f>
        <v>➖</v>
      </c>
      <c r="R544" s="257" t="str">
        <f>IFERROR(__xludf.DUMMYFUNCTION("""COMPUTED_VALUE"""),"   ➖")</f>
        <v>➖</v>
      </c>
      <c r="S544" s="258"/>
      <c r="T544" s="255" t="str">
        <f>IFERROR(__xludf.DUMMYFUNCTION("""COMPUTED_VALUE"""),"➖")</f>
        <v>➖</v>
      </c>
      <c r="U544" s="255" t="str">
        <f>IFERROR(__xludf.DUMMYFUNCTION("""COMPUTED_VALUE"""),"➖")</f>
        <v>➖</v>
      </c>
      <c r="V544" s="259"/>
      <c r="W544" s="286"/>
      <c r="X544" s="286"/>
      <c r="Y544" s="286"/>
    </row>
    <row r="545">
      <c r="A545" s="28"/>
      <c r="B545" s="128"/>
      <c r="C545" s="28"/>
      <c r="D545" s="250" t="str">
        <f>IFERROR(__xludf.DUMMYFUNCTION("""COMPUTED_VALUE"""),"   E")</f>
        <v>E</v>
      </c>
      <c r="E545" s="280" t="str">
        <f>IFERROR(__xludf.DUMMYFUNCTION("""COMPUTED_VALUE"""),"VIL WINN ADAMI")</f>
        <v>VIL WINN ADAMI</v>
      </c>
      <c r="F545" s="271" t="str">
        <f>IFERROR(__xludf.DUMMYFUNCTION("""COMPUTED_VALUE"""),"BDA")</f>
        <v>BDA</v>
      </c>
      <c r="G545" s="281" t="str">
        <f>IFERROR(__xludf.DUMMYFUNCTION("""COMPUTED_VALUE"""),"✅")</f>
        <v>✅</v>
      </c>
      <c r="H545" s="281" t="str">
        <f>IFERROR(__xludf.DUMMYFUNCTION("""COMPUTED_VALUE"""),"✅")</f>
        <v>✅</v>
      </c>
      <c r="I545" s="281" t="str">
        <f>IFERROR(__xludf.DUMMYFUNCTION("""COMPUTED_VALUE"""),"➖")</f>
        <v>➖</v>
      </c>
      <c r="J545" s="281" t="str">
        <f>IFERROR(__xludf.DUMMYFUNCTION("""COMPUTED_VALUE"""),"➖")</f>
        <v>➖</v>
      </c>
      <c r="K545" s="282" t="str">
        <f>IFERROR(__xludf.DUMMYFUNCTION("""COMPUTED_VALUE"""),"➖")</f>
        <v>➖</v>
      </c>
      <c r="L545" s="282" t="str">
        <f>IFERROR(__xludf.DUMMYFUNCTION("""COMPUTED_VALUE"""),"➖")</f>
        <v>➖</v>
      </c>
      <c r="M545" s="282" t="str">
        <f>IFERROR(__xludf.DUMMYFUNCTION("""COMPUTED_VALUE"""),"➖")</f>
        <v>➖</v>
      </c>
      <c r="N545" s="282" t="str">
        <f>IFERROR(__xludf.DUMMYFUNCTION("""COMPUTED_VALUE"""),"➖")</f>
        <v>➖</v>
      </c>
      <c r="O545" s="282" t="str">
        <f>IFERROR(__xludf.DUMMYFUNCTION("""COMPUTED_VALUE"""),"➖")</f>
        <v>➖</v>
      </c>
      <c r="P545" s="282" t="str">
        <f>IFERROR(__xludf.DUMMYFUNCTION("""COMPUTED_VALUE"""),"➖")</f>
        <v>➖</v>
      </c>
      <c r="Q545" s="282" t="str">
        <f>IFERROR(__xludf.DUMMYFUNCTION("""COMPUTED_VALUE"""),"➖")</f>
        <v>➖</v>
      </c>
      <c r="R545" s="283" t="str">
        <f>IFERROR(__xludf.DUMMYFUNCTION("""COMPUTED_VALUE"""),"   ➖")</f>
        <v>➖</v>
      </c>
      <c r="S545" s="284"/>
      <c r="T545" s="285" t="str">
        <f>IFERROR(__xludf.DUMMYFUNCTION("""COMPUTED_VALUE"""),"➖")</f>
        <v>➖</v>
      </c>
      <c r="U545" s="285" t="str">
        <f>IFERROR(__xludf.DUMMYFUNCTION("""COMPUTED_VALUE"""),"➖")</f>
        <v>➖</v>
      </c>
      <c r="V545" s="259"/>
      <c r="W545" s="286"/>
      <c r="X545" s="286"/>
      <c r="Y545" s="286"/>
    </row>
    <row r="546">
      <c r="A546" s="28"/>
      <c r="B546" s="132"/>
      <c r="C546" s="28"/>
      <c r="D546" s="260" t="str">
        <f>IFERROR(__xludf.DUMMYFUNCTION("""COMPUTED_VALUE"""),"   E")</f>
        <v>E</v>
      </c>
      <c r="E546" s="287" t="str">
        <f>IFERROR(__xludf.DUMMYFUNCTION("""COMPUTED_VALUE"""),"VIL GUL DUKAT")</f>
        <v>VIL GUL DUKAT</v>
      </c>
      <c r="F546" s="270" t="str">
        <f>IFERROR(__xludf.DUMMYFUNCTION("""COMPUTED_VALUE"""),"OA")</f>
        <v>OA</v>
      </c>
      <c r="G546" s="231" t="str">
        <f>IFERROR(__xludf.DUMMYFUNCTION("""COMPUTED_VALUE"""),"➖")</f>
        <v>➖</v>
      </c>
      <c r="H546" s="231" t="str">
        <f>IFERROR(__xludf.DUMMYFUNCTION("""COMPUTED_VALUE"""),"✅")</f>
        <v>✅</v>
      </c>
      <c r="I546" s="231" t="str">
        <f>IFERROR(__xludf.DUMMYFUNCTION("""COMPUTED_VALUE"""),"➖")</f>
        <v>➖</v>
      </c>
      <c r="J546" s="231" t="str">
        <f>IFERROR(__xludf.DUMMYFUNCTION("""COMPUTED_VALUE"""),"➖")</f>
        <v>➖</v>
      </c>
      <c r="K546" s="288" t="str">
        <f>IFERROR(__xludf.DUMMYFUNCTION("""COMPUTED_VALUE"""),"➖")</f>
        <v>➖</v>
      </c>
      <c r="L546" s="288" t="str">
        <f>IFERROR(__xludf.DUMMYFUNCTION("""COMPUTED_VALUE"""),"➖")</f>
        <v>➖</v>
      </c>
      <c r="M546" s="288" t="str">
        <f>IFERROR(__xludf.DUMMYFUNCTION("""COMPUTED_VALUE"""),"➖")</f>
        <v>➖</v>
      </c>
      <c r="N546" s="288" t="str">
        <f>IFERROR(__xludf.DUMMYFUNCTION("""COMPUTED_VALUE"""),"➖")</f>
        <v>➖</v>
      </c>
      <c r="O546" s="288" t="str">
        <f>IFERROR(__xludf.DUMMYFUNCTION("""COMPUTED_VALUE"""),"➖")</f>
        <v>➖</v>
      </c>
      <c r="P546" s="288" t="str">
        <f>IFERROR(__xludf.DUMMYFUNCTION("""COMPUTED_VALUE"""),"➖")</f>
        <v>➖</v>
      </c>
      <c r="Q546" s="288" t="str">
        <f>IFERROR(__xludf.DUMMYFUNCTION("""COMPUTED_VALUE"""),"➖")</f>
        <v>➖</v>
      </c>
      <c r="R546" s="257" t="str">
        <f>IFERROR(__xludf.DUMMYFUNCTION("""COMPUTED_VALUE"""),"   ➖")</f>
        <v>➖</v>
      </c>
      <c r="S546" s="258"/>
      <c r="T546" s="255" t="str">
        <f>IFERROR(__xludf.DUMMYFUNCTION("""COMPUTED_VALUE"""),"➖")</f>
        <v>➖</v>
      </c>
      <c r="U546" s="255" t="str">
        <f>IFERROR(__xludf.DUMMYFUNCTION("""COMPUTED_VALUE"""),"➖")</f>
        <v>➖</v>
      </c>
      <c r="V546" s="259"/>
      <c r="W546" s="286"/>
      <c r="X546" s="286"/>
      <c r="Y546" s="286"/>
    </row>
    <row r="547">
      <c r="A547" s="28"/>
      <c r="B547" s="128"/>
      <c r="C547" s="28"/>
      <c r="D547" s="250" t="str">
        <f>IFERROR(__xludf.DUMMYFUNCTION("""COMPUTED_VALUE"""),"   E")</f>
        <v>E</v>
      </c>
      <c r="E547" s="280" t="str">
        <f>IFERROR(__xludf.DUMMYFUNCTION("""COMPUTED_VALUE"""),"VIL GUL DUKAT")</f>
        <v>VIL GUL DUKAT</v>
      </c>
      <c r="F547" s="271" t="str">
        <f>IFERROR(__xludf.DUMMYFUNCTION("""COMPUTED_VALUE"""),"BDA")</f>
        <v>BDA</v>
      </c>
      <c r="G547" s="281" t="str">
        <f>IFERROR(__xludf.DUMMYFUNCTION("""COMPUTED_VALUE"""),"✅")</f>
        <v>✅</v>
      </c>
      <c r="H547" s="281" t="str">
        <f>IFERROR(__xludf.DUMMYFUNCTION("""COMPUTED_VALUE"""),"✅")</f>
        <v>✅</v>
      </c>
      <c r="I547" s="281" t="str">
        <f>IFERROR(__xludf.DUMMYFUNCTION("""COMPUTED_VALUE"""),"➖")</f>
        <v>➖</v>
      </c>
      <c r="J547" s="281" t="str">
        <f>IFERROR(__xludf.DUMMYFUNCTION("""COMPUTED_VALUE"""),"➖")</f>
        <v>➖</v>
      </c>
      <c r="K547" s="282" t="str">
        <f>IFERROR(__xludf.DUMMYFUNCTION("""COMPUTED_VALUE"""),"➖")</f>
        <v>➖</v>
      </c>
      <c r="L547" s="282" t="str">
        <f>IFERROR(__xludf.DUMMYFUNCTION("""COMPUTED_VALUE"""),"➖")</f>
        <v>➖</v>
      </c>
      <c r="M547" s="282" t="str">
        <f>IFERROR(__xludf.DUMMYFUNCTION("""COMPUTED_VALUE"""),"➖")</f>
        <v>➖</v>
      </c>
      <c r="N547" s="282" t="str">
        <f>IFERROR(__xludf.DUMMYFUNCTION("""COMPUTED_VALUE"""),"➖")</f>
        <v>➖</v>
      </c>
      <c r="O547" s="282" t="str">
        <f>IFERROR(__xludf.DUMMYFUNCTION("""COMPUTED_VALUE"""),"➖")</f>
        <v>➖</v>
      </c>
      <c r="P547" s="282" t="str">
        <f>IFERROR(__xludf.DUMMYFUNCTION("""COMPUTED_VALUE"""),"➖")</f>
        <v>➖</v>
      </c>
      <c r="Q547" s="282" t="str">
        <f>IFERROR(__xludf.DUMMYFUNCTION("""COMPUTED_VALUE"""),"➖")</f>
        <v>➖</v>
      </c>
      <c r="R547" s="283" t="str">
        <f>IFERROR(__xludf.DUMMYFUNCTION("""COMPUTED_VALUE"""),"   ➖")</f>
        <v>➖</v>
      </c>
      <c r="S547" s="284"/>
      <c r="T547" s="285" t="str">
        <f>IFERROR(__xludf.DUMMYFUNCTION("""COMPUTED_VALUE"""),"➖")</f>
        <v>➖</v>
      </c>
      <c r="U547" s="285" t="str">
        <f>IFERROR(__xludf.DUMMYFUNCTION("""COMPUTED_VALUE"""),"➖")</f>
        <v>➖</v>
      </c>
      <c r="V547" s="259"/>
      <c r="W547" s="286"/>
      <c r="X547" s="286"/>
      <c r="Y547" s="286"/>
    </row>
    <row r="548">
      <c r="A548" s="28"/>
      <c r="B548" s="132"/>
      <c r="C548" s="28"/>
      <c r="D548" s="260" t="str">
        <f>IFERROR(__xludf.DUMMYFUNCTION("""COMPUTED_VALUE"""),"   E")</f>
        <v>E</v>
      </c>
      <c r="E548" s="287" t="str">
        <f>IFERROR(__xludf.DUMMYFUNCTION("""COMPUTED_VALUE"""),"NOG")</f>
        <v>NOG</v>
      </c>
      <c r="F548" s="270" t="str">
        <f>IFERROR(__xludf.DUMMYFUNCTION("""COMPUTED_VALUE"""),"CM")</f>
        <v>CM</v>
      </c>
      <c r="G548" s="231" t="str">
        <f>IFERROR(__xludf.DUMMYFUNCTION("""COMPUTED_VALUE"""),"➖")</f>
        <v>➖</v>
      </c>
      <c r="H548" s="231" t="str">
        <f>IFERROR(__xludf.DUMMYFUNCTION("""COMPUTED_VALUE"""),"✴️")</f>
        <v>✴️</v>
      </c>
      <c r="I548" s="231" t="str">
        <f>IFERROR(__xludf.DUMMYFUNCTION("""COMPUTED_VALUE"""),"➖")</f>
        <v>➖</v>
      </c>
      <c r="J548" s="231" t="str">
        <f>IFERROR(__xludf.DUMMYFUNCTION("""COMPUTED_VALUE"""),"➖")</f>
        <v>➖</v>
      </c>
      <c r="K548" s="288" t="str">
        <f>IFERROR(__xludf.DUMMYFUNCTION("""COMPUTED_VALUE"""),"➖")</f>
        <v>➖</v>
      </c>
      <c r="L548" s="288" t="str">
        <f>IFERROR(__xludf.DUMMYFUNCTION("""COMPUTED_VALUE"""),"➖")</f>
        <v>➖</v>
      </c>
      <c r="M548" s="288" t="str">
        <f>IFERROR(__xludf.DUMMYFUNCTION("""COMPUTED_VALUE"""),"➖")</f>
        <v>➖</v>
      </c>
      <c r="N548" s="288" t="str">
        <f>IFERROR(__xludf.DUMMYFUNCTION("""COMPUTED_VALUE"""),"➖")</f>
        <v>➖</v>
      </c>
      <c r="O548" s="288" t="str">
        <f>IFERROR(__xludf.DUMMYFUNCTION("""COMPUTED_VALUE"""),"➖")</f>
        <v>➖</v>
      </c>
      <c r="P548" s="288" t="str">
        <f>IFERROR(__xludf.DUMMYFUNCTION("""COMPUTED_VALUE"""),"➖")</f>
        <v>➖</v>
      </c>
      <c r="Q548" s="288" t="str">
        <f>IFERROR(__xludf.DUMMYFUNCTION("""COMPUTED_VALUE"""),"➖")</f>
        <v>➖</v>
      </c>
      <c r="R548" s="257" t="str">
        <f>IFERROR(__xludf.DUMMYFUNCTION("""COMPUTED_VALUE"""),"   ➖")</f>
        <v>➖</v>
      </c>
      <c r="S548" s="258" t="str">
        <f>IFERROR(__xludf.DUMMYFUNCTION("""COMPUTED_VALUE"""),"SelfOfficerTalNotOnBridge")</f>
        <v>SelfOfficerTalNotOnBridge</v>
      </c>
      <c r="T548" s="255" t="str">
        <f>IFERROR(__xludf.DUMMYFUNCTION("""COMPUTED_VALUE"""),"➖")</f>
        <v>➖</v>
      </c>
      <c r="U548" s="255" t="str">
        <f>IFERROR(__xludf.DUMMYFUNCTION("""COMPUTED_VALUE"""),"➖")</f>
        <v>➖</v>
      </c>
      <c r="V548" s="259"/>
      <c r="W548" s="286"/>
      <c r="X548" s="286"/>
      <c r="Y548" s="286"/>
    </row>
    <row r="549">
      <c r="A549" s="28"/>
      <c r="B549" s="128"/>
      <c r="C549" s="28"/>
      <c r="D549" s="250" t="str">
        <f>IFERROR(__xludf.DUMMYFUNCTION("""COMPUTED_VALUE"""),"   E")</f>
        <v>E</v>
      </c>
      <c r="E549" s="280" t="str">
        <f>IFERROR(__xludf.DUMMYFUNCTION("""COMPUTED_VALUE"""),"NOG")</f>
        <v>NOG</v>
      </c>
      <c r="F549" s="271" t="str">
        <f>IFERROR(__xludf.DUMMYFUNCTION("""COMPUTED_VALUE"""),"OA")</f>
        <v>OA</v>
      </c>
      <c r="G549" s="281" t="str">
        <f>IFERROR(__xludf.DUMMYFUNCTION("""COMPUTED_VALUE"""),"✴️")</f>
        <v>✴️</v>
      </c>
      <c r="H549" s="281" t="str">
        <f>IFERROR(__xludf.DUMMYFUNCTION("""COMPUTED_VALUE"""),"✴️")</f>
        <v>✴️</v>
      </c>
      <c r="I549" s="281" t="str">
        <f>IFERROR(__xludf.DUMMYFUNCTION("""COMPUTED_VALUE"""),"➖")</f>
        <v>➖</v>
      </c>
      <c r="J549" s="281" t="str">
        <f>IFERROR(__xludf.DUMMYFUNCTION("""COMPUTED_VALUE"""),"➖")</f>
        <v>➖</v>
      </c>
      <c r="K549" s="282" t="str">
        <f>IFERROR(__xludf.DUMMYFUNCTION("""COMPUTED_VALUE"""),"➖")</f>
        <v>➖</v>
      </c>
      <c r="L549" s="282" t="str">
        <f>IFERROR(__xludf.DUMMYFUNCTION("""COMPUTED_VALUE"""),"➖")</f>
        <v>➖</v>
      </c>
      <c r="M549" s="282" t="str">
        <f>IFERROR(__xludf.DUMMYFUNCTION("""COMPUTED_VALUE"""),"➖")</f>
        <v>➖</v>
      </c>
      <c r="N549" s="282" t="str">
        <f>IFERROR(__xludf.DUMMYFUNCTION("""COMPUTED_VALUE"""),"➖")</f>
        <v>➖</v>
      </c>
      <c r="O549" s="282" t="str">
        <f>IFERROR(__xludf.DUMMYFUNCTION("""COMPUTED_VALUE"""),"➖")</f>
        <v>➖</v>
      </c>
      <c r="P549" s="282" t="str">
        <f>IFERROR(__xludf.DUMMYFUNCTION("""COMPUTED_VALUE"""),"➖")</f>
        <v>➖</v>
      </c>
      <c r="Q549" s="282" t="str">
        <f>IFERROR(__xludf.DUMMYFUNCTION("""COMPUTED_VALUE"""),"➖")</f>
        <v>➖</v>
      </c>
      <c r="R549" s="283" t="str">
        <f>IFERROR(__xludf.DUMMYFUNCTION("""COMPUTED_VALUE"""),"   ➖")</f>
        <v>➖</v>
      </c>
      <c r="S549" s="284" t="str">
        <f>IFERROR(__xludf.DUMMYFUNCTION("""COMPUTED_VALUE"""),"TargetStateAny")</f>
        <v>TargetStateAny</v>
      </c>
      <c r="T549" s="285" t="str">
        <f>IFERROR(__xludf.DUMMYFUNCTION("""COMPUTED_VALUE"""),"➖")</f>
        <v>➖</v>
      </c>
      <c r="U549" s="285" t="str">
        <f>IFERROR(__xludf.DUMMYFUNCTION("""COMPUTED_VALUE"""),"➖")</f>
        <v>➖</v>
      </c>
      <c r="V549" s="259"/>
      <c r="W549" s="286"/>
      <c r="X549" s="286"/>
      <c r="Y549" s="286"/>
    </row>
    <row r="550">
      <c r="A550" s="28"/>
      <c r="B550" s="132"/>
      <c r="C550" s="28"/>
      <c r="D550" s="260" t="str">
        <f>IFERROR(__xludf.DUMMYFUNCTION("""COMPUTED_VALUE"""),"   E")</f>
        <v>E</v>
      </c>
      <c r="E550" s="287" t="str">
        <f>IFERROR(__xludf.DUMMYFUNCTION("""COMPUTED_VALUE"""),"THE HIERARCH")</f>
        <v>THE HIERARCH</v>
      </c>
      <c r="F550" s="270" t="str">
        <f>IFERROR(__xludf.DUMMYFUNCTION("""COMPUTED_VALUE"""),"CM")</f>
        <v>CM</v>
      </c>
      <c r="G550" s="231" t="str">
        <f>IFERROR(__xludf.DUMMYFUNCTION("""COMPUTED_VALUE"""),"✅")</f>
        <v>✅</v>
      </c>
      <c r="H550" s="231" t="str">
        <f>IFERROR(__xludf.DUMMYFUNCTION("""COMPUTED_VALUE"""),"✅")</f>
        <v>✅</v>
      </c>
      <c r="I550" s="231" t="str">
        <f>IFERROR(__xludf.DUMMYFUNCTION("""COMPUTED_VALUE"""),"➖")</f>
        <v>➖</v>
      </c>
      <c r="J550" s="231" t="str">
        <f>IFERROR(__xludf.DUMMYFUNCTION("""COMPUTED_VALUE"""),"➖")</f>
        <v>➖</v>
      </c>
      <c r="K550" s="288" t="str">
        <f>IFERROR(__xludf.DUMMYFUNCTION("""COMPUTED_VALUE"""),"➖")</f>
        <v>➖</v>
      </c>
      <c r="L550" s="288" t="str">
        <f>IFERROR(__xludf.DUMMYFUNCTION("""COMPUTED_VALUE"""),"➖")</f>
        <v>➖</v>
      </c>
      <c r="M550" s="288" t="str">
        <f>IFERROR(__xludf.DUMMYFUNCTION("""COMPUTED_VALUE"""),"➖")</f>
        <v>➖</v>
      </c>
      <c r="N550" s="288" t="str">
        <f>IFERROR(__xludf.DUMMYFUNCTION("""COMPUTED_VALUE"""),"➖")</f>
        <v>➖</v>
      </c>
      <c r="O550" s="288" t="str">
        <f>IFERROR(__xludf.DUMMYFUNCTION("""COMPUTED_VALUE"""),"➖")</f>
        <v>➖</v>
      </c>
      <c r="P550" s="288" t="str">
        <f>IFERROR(__xludf.DUMMYFUNCTION("""COMPUTED_VALUE"""),"➖")</f>
        <v>➖</v>
      </c>
      <c r="Q550" s="288" t="str">
        <f>IFERROR(__xludf.DUMMYFUNCTION("""COMPUTED_VALUE"""),"➖")</f>
        <v>➖</v>
      </c>
      <c r="R550" s="257" t="str">
        <f>IFERROR(__xludf.DUMMYFUNCTION("""COMPUTED_VALUE"""),"   ➖")</f>
        <v>➖</v>
      </c>
      <c r="S550" s="258"/>
      <c r="T550" s="255" t="str">
        <f>IFERROR(__xludf.DUMMYFUNCTION("""COMPUTED_VALUE"""),"➖")</f>
        <v>➖</v>
      </c>
      <c r="U550" s="255" t="str">
        <f>IFERROR(__xludf.DUMMYFUNCTION("""COMPUTED_VALUE"""),"➖")</f>
        <v>➖</v>
      </c>
      <c r="V550" s="259"/>
      <c r="W550" s="286"/>
      <c r="X550" s="286"/>
      <c r="Y550" s="286"/>
    </row>
    <row r="551">
      <c r="A551" s="28"/>
      <c r="B551" s="128"/>
      <c r="C551" s="28"/>
      <c r="D551" s="250" t="str">
        <f>IFERROR(__xludf.DUMMYFUNCTION("""COMPUTED_VALUE"""),"   E")</f>
        <v>E</v>
      </c>
      <c r="E551" s="280" t="str">
        <f>IFERROR(__xludf.DUMMYFUNCTION("""COMPUTED_VALUE"""),"THE HIERARCH")</f>
        <v>THE HIERARCH</v>
      </c>
      <c r="F551" s="271" t="str">
        <f>IFERROR(__xludf.DUMMYFUNCTION("""COMPUTED_VALUE"""),"OA")</f>
        <v>OA</v>
      </c>
      <c r="G551" s="281" t="str">
        <f>IFERROR(__xludf.DUMMYFUNCTION("""COMPUTED_VALUE"""),"✅")</f>
        <v>✅</v>
      </c>
      <c r="H551" s="281" t="str">
        <f>IFERROR(__xludf.DUMMYFUNCTION("""COMPUTED_VALUE"""),"✅")</f>
        <v>✅</v>
      </c>
      <c r="I551" s="281" t="str">
        <f>IFERROR(__xludf.DUMMYFUNCTION("""COMPUTED_VALUE"""),"➖")</f>
        <v>➖</v>
      </c>
      <c r="J551" s="281" t="str">
        <f>IFERROR(__xludf.DUMMYFUNCTION("""COMPUTED_VALUE"""),"➖")</f>
        <v>➖</v>
      </c>
      <c r="K551" s="282" t="str">
        <f>IFERROR(__xludf.DUMMYFUNCTION("""COMPUTED_VALUE"""),"➖")</f>
        <v>➖</v>
      </c>
      <c r="L551" s="282" t="str">
        <f>IFERROR(__xludf.DUMMYFUNCTION("""COMPUTED_VALUE"""),"➖")</f>
        <v>➖</v>
      </c>
      <c r="M551" s="282" t="str">
        <f>IFERROR(__xludf.DUMMYFUNCTION("""COMPUTED_VALUE"""),"➖")</f>
        <v>➖</v>
      </c>
      <c r="N551" s="282" t="str">
        <f>IFERROR(__xludf.DUMMYFUNCTION("""COMPUTED_VALUE"""),"➖")</f>
        <v>➖</v>
      </c>
      <c r="O551" s="282" t="str">
        <f>IFERROR(__xludf.DUMMYFUNCTION("""COMPUTED_VALUE"""),"➖")</f>
        <v>➖</v>
      </c>
      <c r="P551" s="282" t="str">
        <f>IFERROR(__xludf.DUMMYFUNCTION("""COMPUTED_VALUE"""),"➖")</f>
        <v>➖</v>
      </c>
      <c r="Q551" s="282" t="str">
        <f>IFERROR(__xludf.DUMMYFUNCTION("""COMPUTED_VALUE"""),"➖")</f>
        <v>➖</v>
      </c>
      <c r="R551" s="283" t="str">
        <f>IFERROR(__xludf.DUMMYFUNCTION("""COMPUTED_VALUE"""),"   ➖")</f>
        <v>➖</v>
      </c>
      <c r="S551" s="284"/>
      <c r="T551" s="285" t="str">
        <f>IFERROR(__xludf.DUMMYFUNCTION("""COMPUTED_VALUE"""),"➖")</f>
        <v>➖</v>
      </c>
      <c r="U551" s="285" t="str">
        <f>IFERROR(__xludf.DUMMYFUNCTION("""COMPUTED_VALUE"""),"➖")</f>
        <v>➖</v>
      </c>
      <c r="V551" s="259"/>
      <c r="W551" s="286"/>
      <c r="X551" s="286"/>
      <c r="Y551" s="286"/>
    </row>
    <row r="552">
      <c r="A552" s="28"/>
      <c r="B552" s="132"/>
      <c r="C552" s="28"/>
      <c r="D552" s="260" t="str">
        <f>IFERROR(__xludf.DUMMYFUNCTION("""COMPUTED_VALUE"""),"   E")</f>
        <v>E</v>
      </c>
      <c r="E552" s="287" t="str">
        <f>IFERROR(__xludf.DUMMYFUNCTION("""COMPUTED_VALUE"""),"EZRI DAX")</f>
        <v>EZRI DAX</v>
      </c>
      <c r="F552" s="270" t="str">
        <f>IFERROR(__xludf.DUMMYFUNCTION("""COMPUTED_VALUE"""),"CM")</f>
        <v>CM</v>
      </c>
      <c r="G552" s="231" t="str">
        <f>IFERROR(__xludf.DUMMYFUNCTION("""COMPUTED_VALUE"""),"✴️")</f>
        <v>✴️</v>
      </c>
      <c r="H552" s="231" t="str">
        <f>IFERROR(__xludf.DUMMYFUNCTION("""COMPUTED_VALUE"""),"✴️")</f>
        <v>✴️</v>
      </c>
      <c r="I552" s="231" t="str">
        <f>IFERROR(__xludf.DUMMYFUNCTION("""COMPUTED_VALUE"""),"➖")</f>
        <v>➖</v>
      </c>
      <c r="J552" s="231" t="str">
        <f>IFERROR(__xludf.DUMMYFUNCTION("""COMPUTED_VALUE"""),"➖")</f>
        <v>➖</v>
      </c>
      <c r="K552" s="288" t="str">
        <f>IFERROR(__xludf.DUMMYFUNCTION("""COMPUTED_VALUE"""),"➖")</f>
        <v>➖</v>
      </c>
      <c r="L552" s="288" t="str">
        <f>IFERROR(__xludf.DUMMYFUNCTION("""COMPUTED_VALUE"""),"➖")</f>
        <v>➖</v>
      </c>
      <c r="M552" s="288" t="str">
        <f>IFERROR(__xludf.DUMMYFUNCTION("""COMPUTED_VALUE"""),"➖")</f>
        <v>➖</v>
      </c>
      <c r="N552" s="288" t="str">
        <f>IFERROR(__xludf.DUMMYFUNCTION("""COMPUTED_VALUE"""),"➖")</f>
        <v>➖</v>
      </c>
      <c r="O552" s="288" t="str">
        <f>IFERROR(__xludf.DUMMYFUNCTION("""COMPUTED_VALUE"""),"➖")</f>
        <v>➖</v>
      </c>
      <c r="P552" s="288" t="str">
        <f>IFERROR(__xludf.DUMMYFUNCTION("""COMPUTED_VALUE"""),"➖")</f>
        <v>➖</v>
      </c>
      <c r="Q552" s="288" t="str">
        <f>IFERROR(__xludf.DUMMYFUNCTION("""COMPUTED_VALUE"""),"➖")</f>
        <v>➖</v>
      </c>
      <c r="R552" s="257" t="str">
        <f>IFERROR(__xludf.DUMMYFUNCTION("""COMPUTED_VALUE"""),"   ➖")</f>
        <v>➖</v>
      </c>
      <c r="S552" s="258" t="str">
        <f>IFERROR(__xludf.DUMMYFUNCTION("""COMPUTED_VALUE"""),"SelfSurveyor")</f>
        <v>SelfSurveyor</v>
      </c>
      <c r="T552" s="255" t="str">
        <f>IFERROR(__xludf.DUMMYFUNCTION("""COMPUTED_VALUE"""),"➖")</f>
        <v>➖</v>
      </c>
      <c r="U552" s="255" t="str">
        <f>IFERROR(__xludf.DUMMYFUNCTION("""COMPUTED_VALUE"""),"➖")</f>
        <v>➖</v>
      </c>
      <c r="V552" s="259"/>
      <c r="W552" s="286"/>
      <c r="X552" s="286"/>
      <c r="Y552" s="286"/>
    </row>
    <row r="553">
      <c r="A553" s="28"/>
      <c r="B553" s="128"/>
      <c r="C553" s="28"/>
      <c r="D553" s="250" t="str">
        <f>IFERROR(__xludf.DUMMYFUNCTION("""COMPUTED_VALUE"""),"   E")</f>
        <v>E</v>
      </c>
      <c r="E553" s="280" t="str">
        <f>IFERROR(__xludf.DUMMYFUNCTION("""COMPUTED_VALUE"""),"EZRI DAX")</f>
        <v>EZRI DAX</v>
      </c>
      <c r="F553" s="271" t="str">
        <f>IFERROR(__xludf.DUMMYFUNCTION("""COMPUTED_VALUE"""),"OA")</f>
        <v>OA</v>
      </c>
      <c r="G553" s="281" t="str">
        <f>IFERROR(__xludf.DUMMYFUNCTION("""COMPUTED_VALUE"""),"✴️")</f>
        <v>✴️</v>
      </c>
      <c r="H553" s="281" t="str">
        <f>IFERROR(__xludf.DUMMYFUNCTION("""COMPUTED_VALUE"""),"✴️")</f>
        <v>✴️</v>
      </c>
      <c r="I553" s="281" t="str">
        <f>IFERROR(__xludf.DUMMYFUNCTION("""COMPUTED_VALUE"""),"➖")</f>
        <v>➖</v>
      </c>
      <c r="J553" s="281" t="str">
        <f>IFERROR(__xludf.DUMMYFUNCTION("""COMPUTED_VALUE"""),"➖")</f>
        <v>➖</v>
      </c>
      <c r="K553" s="282" t="str">
        <f>IFERROR(__xludf.DUMMYFUNCTION("""COMPUTED_VALUE"""),"➖")</f>
        <v>➖</v>
      </c>
      <c r="L553" s="282" t="str">
        <f>IFERROR(__xludf.DUMMYFUNCTION("""COMPUTED_VALUE"""),"➖")</f>
        <v>➖</v>
      </c>
      <c r="M553" s="282" t="str">
        <f>IFERROR(__xludf.DUMMYFUNCTION("""COMPUTED_VALUE"""),"➖")</f>
        <v>➖</v>
      </c>
      <c r="N553" s="282" t="str">
        <f>IFERROR(__xludf.DUMMYFUNCTION("""COMPUTED_VALUE"""),"➖")</f>
        <v>➖</v>
      </c>
      <c r="O553" s="282" t="str">
        <f>IFERROR(__xludf.DUMMYFUNCTION("""COMPUTED_VALUE"""),"➖")</f>
        <v>➖</v>
      </c>
      <c r="P553" s="282" t="str">
        <f>IFERROR(__xludf.DUMMYFUNCTION("""COMPUTED_VALUE"""),"➖")</f>
        <v>➖</v>
      </c>
      <c r="Q553" s="282" t="str">
        <f>IFERROR(__xludf.DUMMYFUNCTION("""COMPUTED_VALUE"""),"➖")</f>
        <v>➖</v>
      </c>
      <c r="R553" s="283" t="str">
        <f>IFERROR(__xludf.DUMMYFUNCTION("""COMPUTED_VALUE"""),"   ➖")</f>
        <v>➖</v>
      </c>
      <c r="S553" s="284" t="str">
        <f>IFERROR(__xludf.DUMMYFUNCTION("""COMPUTED_VALUE"""),"TargetStateAny")</f>
        <v>TargetStateAny</v>
      </c>
      <c r="T553" s="285" t="str">
        <f>IFERROR(__xludf.DUMMYFUNCTION("""COMPUTED_VALUE"""),"➖")</f>
        <v>➖</v>
      </c>
      <c r="U553" s="285" t="str">
        <f>IFERROR(__xludf.DUMMYFUNCTION("""COMPUTED_VALUE"""),"➖")</f>
        <v>➖</v>
      </c>
      <c r="V553" s="259"/>
      <c r="W553" s="286"/>
      <c r="X553" s="286"/>
      <c r="Y553" s="286"/>
    </row>
    <row r="554">
      <c r="A554" s="28"/>
      <c r="B554" s="132"/>
      <c r="C554" s="28"/>
      <c r="D554" s="260" t="str">
        <f>IFERROR(__xludf.DUMMYFUNCTION("""COMPUTED_VALUE"""),"   E")</f>
        <v>E</v>
      </c>
      <c r="E554" s="287" t="str">
        <f>IFERROR(__xludf.DUMMYFUNCTION("""COMPUTED_VALUE"""),"TMP HIKARU SULU")</f>
        <v>TMP HIKARU SULU</v>
      </c>
      <c r="F554" s="270" t="str">
        <f>IFERROR(__xludf.DUMMYFUNCTION("""COMPUTED_VALUE"""),"CM")</f>
        <v>CM</v>
      </c>
      <c r="G554" s="231" t="str">
        <f>IFERROR(__xludf.DUMMYFUNCTION("""COMPUTED_VALUE"""),"➖")</f>
        <v>➖</v>
      </c>
      <c r="H554" s="231" t="str">
        <f>IFERROR(__xludf.DUMMYFUNCTION("""COMPUTED_VALUE"""),"➖")</f>
        <v>➖</v>
      </c>
      <c r="I554" s="231" t="str">
        <f>IFERROR(__xludf.DUMMYFUNCTION("""COMPUTED_VALUE"""),"✴️")</f>
        <v>✴️</v>
      </c>
      <c r="J554" s="231" t="str">
        <f>IFERROR(__xludf.DUMMYFUNCTION("""COMPUTED_VALUE"""),"✴️")</f>
        <v>✴️</v>
      </c>
      <c r="K554" s="288" t="str">
        <f>IFERROR(__xludf.DUMMYFUNCTION("""COMPUTED_VALUE"""),"➖")</f>
        <v>➖</v>
      </c>
      <c r="L554" s="288" t="str">
        <f>IFERROR(__xludf.DUMMYFUNCTION("""COMPUTED_VALUE"""),"➖")</f>
        <v>➖</v>
      </c>
      <c r="M554" s="288" t="str">
        <f>IFERROR(__xludf.DUMMYFUNCTION("""COMPUTED_VALUE"""),"➖")</f>
        <v>➖</v>
      </c>
      <c r="N554" s="288" t="str">
        <f>IFERROR(__xludf.DUMMYFUNCTION("""COMPUTED_VALUE"""),"➖")</f>
        <v>➖</v>
      </c>
      <c r="O554" s="288" t="str">
        <f>IFERROR(__xludf.DUMMYFUNCTION("""COMPUTED_VALUE"""),"➖")</f>
        <v>➖</v>
      </c>
      <c r="P554" s="288" t="str">
        <f>IFERROR(__xludf.DUMMYFUNCTION("""COMPUTED_VALUE"""),"➖")</f>
        <v>➖</v>
      </c>
      <c r="Q554" s="288" t="str">
        <f>IFERROR(__xludf.DUMMYFUNCTION("""COMPUTED_VALUE"""),"✴️")</f>
        <v>✴️</v>
      </c>
      <c r="R554" s="257" t="str">
        <f>IFERROR(__xludf.DUMMYFUNCTION("""COMPUTED_VALUE"""),"   ✴️")</f>
        <v>✴️</v>
      </c>
      <c r="S554" s="258" t="str">
        <f>IFERROR(__xludf.DUMMYFUNCTION("""COMPUTED_VALUE"""),"TargetMaxLevel, SelfOfficerTalNotOnBridge")</f>
        <v>TargetMaxLevel, SelfOfficerTalNotOnBridge</v>
      </c>
      <c r="T554" s="255" t="str">
        <f>IFERROR(__xludf.DUMMYFUNCTION("""COMPUTED_VALUE"""),"➖")</f>
        <v>➖</v>
      </c>
      <c r="U554" s="255" t="str">
        <f>IFERROR(__xludf.DUMMYFUNCTION("""COMPUTED_VALUE"""),"➖")</f>
        <v>➖</v>
      </c>
      <c r="V554" s="259"/>
      <c r="W554" s="286"/>
      <c r="X554" s="286"/>
      <c r="Y554" s="286"/>
    </row>
    <row r="555">
      <c r="A555" s="28"/>
      <c r="B555" s="128"/>
      <c r="C555" s="28"/>
      <c r="D555" s="289" t="str">
        <f>IFERROR(__xludf.DUMMYFUNCTION("""COMPUTED_VALUE"""),"   E")</f>
        <v>E</v>
      </c>
      <c r="E555" s="290" t="str">
        <f>IFERROR(__xludf.DUMMYFUNCTION("""COMPUTED_VALUE"""),"TMP HIKARU SULU")</f>
        <v>TMP HIKARU SULU</v>
      </c>
      <c r="F555" s="291" t="str">
        <f>IFERROR(__xludf.DUMMYFUNCTION("""COMPUTED_VALUE"""),"OA")</f>
        <v>OA</v>
      </c>
      <c r="G555" s="292" t="str">
        <f>IFERROR(__xludf.DUMMYFUNCTION("""COMPUTED_VALUE"""),"➖")</f>
        <v>➖</v>
      </c>
      <c r="H555" s="292" t="str">
        <f>IFERROR(__xludf.DUMMYFUNCTION("""COMPUTED_VALUE"""),"➖")</f>
        <v>➖</v>
      </c>
      <c r="I555" s="292" t="str">
        <f>IFERROR(__xludf.DUMMYFUNCTION("""COMPUTED_VALUE"""),"✴️")</f>
        <v>✴️</v>
      </c>
      <c r="J555" s="292" t="str">
        <f>IFERROR(__xludf.DUMMYFUNCTION("""COMPUTED_VALUE"""),"✴️")</f>
        <v>✴️</v>
      </c>
      <c r="K555" s="288" t="str">
        <f>IFERROR(__xludf.DUMMYFUNCTION("""COMPUTED_VALUE"""),"➖")</f>
        <v>➖</v>
      </c>
      <c r="L555" s="288" t="str">
        <f>IFERROR(__xludf.DUMMYFUNCTION("""COMPUTED_VALUE"""),"➖")</f>
        <v>➖</v>
      </c>
      <c r="M555" s="288" t="str">
        <f>IFERROR(__xludf.DUMMYFUNCTION("""COMPUTED_VALUE"""),"➖")</f>
        <v>➖</v>
      </c>
      <c r="N555" s="288" t="str">
        <f>IFERROR(__xludf.DUMMYFUNCTION("""COMPUTED_VALUE"""),"➖")</f>
        <v>➖</v>
      </c>
      <c r="O555" s="288" t="str">
        <f>IFERROR(__xludf.DUMMYFUNCTION("""COMPUTED_VALUE"""),"➖")</f>
        <v>➖</v>
      </c>
      <c r="P555" s="288" t="str">
        <f>IFERROR(__xludf.DUMMYFUNCTION("""COMPUTED_VALUE"""),"➖")</f>
        <v>➖</v>
      </c>
      <c r="Q555" s="288" t="str">
        <f>IFERROR(__xludf.DUMMYFUNCTION("""COMPUTED_VALUE"""),"✴️")</f>
        <v>✴️</v>
      </c>
      <c r="R555" s="257" t="str">
        <f>IFERROR(__xludf.DUMMYFUNCTION("""COMPUTED_VALUE"""),"   ✴️")</f>
        <v>✴️</v>
      </c>
      <c r="S555" s="258" t="str">
        <f>IFERROR(__xludf.DUMMYFUNCTION("""COMPUTED_VALUE"""),"TargetStateAny")</f>
        <v>TargetStateAny</v>
      </c>
      <c r="T555" s="255" t="str">
        <f>IFERROR(__xludf.DUMMYFUNCTION("""COMPUTED_VALUE"""),"➖")</f>
        <v>➖</v>
      </c>
      <c r="U555" s="255" t="str">
        <f>IFERROR(__xludf.DUMMYFUNCTION("""COMPUTED_VALUE"""),"➖")</f>
        <v>➖</v>
      </c>
      <c r="V555" s="259"/>
      <c r="W555" s="286"/>
      <c r="X555" s="286"/>
      <c r="Y555" s="286"/>
    </row>
    <row r="556">
      <c r="A556" s="28"/>
      <c r="B556" s="132"/>
      <c r="C556" s="28"/>
      <c r="D556" s="289" t="str">
        <f>IFERROR(__xludf.DUMMYFUNCTION("""COMPUTED_VALUE"""),"   E")</f>
        <v>E</v>
      </c>
      <c r="E556" s="290" t="str">
        <f>IFERROR(__xludf.DUMMYFUNCTION("""COMPUTED_VALUE"""),"TMP NYOTA UHURA")</f>
        <v>TMP NYOTA UHURA</v>
      </c>
      <c r="F556" s="291" t="str">
        <f>IFERROR(__xludf.DUMMYFUNCTION("""COMPUTED_VALUE"""),"OA")</f>
        <v>OA</v>
      </c>
      <c r="G556" s="292" t="str">
        <f>IFERROR(__xludf.DUMMYFUNCTION("""COMPUTED_VALUE"""),"➖")</f>
        <v>➖</v>
      </c>
      <c r="H556" s="292" t="str">
        <f>IFERROR(__xludf.DUMMYFUNCTION("""COMPUTED_VALUE"""),"➖")</f>
        <v>➖</v>
      </c>
      <c r="I556" s="292" t="str">
        <f>IFERROR(__xludf.DUMMYFUNCTION("""COMPUTED_VALUE"""),"✅")</f>
        <v>✅</v>
      </c>
      <c r="J556" s="292" t="str">
        <f>IFERROR(__xludf.DUMMYFUNCTION("""COMPUTED_VALUE"""),"✅")</f>
        <v>✅</v>
      </c>
      <c r="K556" s="288" t="str">
        <f>IFERROR(__xludf.DUMMYFUNCTION("""COMPUTED_VALUE"""),"➖")</f>
        <v>➖</v>
      </c>
      <c r="L556" s="288" t="str">
        <f>IFERROR(__xludf.DUMMYFUNCTION("""COMPUTED_VALUE"""),"➖")</f>
        <v>➖</v>
      </c>
      <c r="M556" s="288" t="str">
        <f>IFERROR(__xludf.DUMMYFUNCTION("""COMPUTED_VALUE"""),"➖")</f>
        <v>➖</v>
      </c>
      <c r="N556" s="288" t="str">
        <f>IFERROR(__xludf.DUMMYFUNCTION("""COMPUTED_VALUE"""),"➖")</f>
        <v>➖</v>
      </c>
      <c r="O556" s="288" t="str">
        <f>IFERROR(__xludf.DUMMYFUNCTION("""COMPUTED_VALUE"""),"➖")</f>
        <v>➖</v>
      </c>
      <c r="P556" s="288" t="str">
        <f>IFERROR(__xludf.DUMMYFUNCTION("""COMPUTED_VALUE"""),"➖")</f>
        <v>➖</v>
      </c>
      <c r="Q556" s="288" t="str">
        <f>IFERROR(__xludf.DUMMYFUNCTION("""COMPUTED_VALUE"""),"✅")</f>
        <v>✅</v>
      </c>
      <c r="R556" s="257" t="str">
        <f>IFERROR(__xludf.DUMMYFUNCTION("""COMPUTED_VALUE"""),"   ✅")</f>
        <v>✅</v>
      </c>
      <c r="S556" s="258"/>
      <c r="T556" s="255" t="str">
        <f>IFERROR(__xludf.DUMMYFUNCTION("""COMPUTED_VALUE"""),"➖")</f>
        <v>➖</v>
      </c>
      <c r="U556" s="255" t="str">
        <f>IFERROR(__xludf.DUMMYFUNCTION("""COMPUTED_VALUE"""),"➖")</f>
        <v>➖</v>
      </c>
      <c r="V556" s="259"/>
      <c r="W556" s="286"/>
      <c r="X556" s="286"/>
      <c r="Y556" s="286"/>
    </row>
    <row r="557">
      <c r="A557" s="28"/>
      <c r="B557" s="293"/>
      <c r="C557" s="28"/>
      <c r="D557" s="289" t="str">
        <f>IFERROR(__xludf.DUMMYFUNCTION("""COMPUTED_VALUE"""),"   E")</f>
        <v>E</v>
      </c>
      <c r="E557" s="290" t="str">
        <f>IFERROR(__xludf.DUMMYFUNCTION("""COMPUTED_VALUE"""),"TMP NYOTA UHURA")</f>
        <v>TMP NYOTA UHURA</v>
      </c>
      <c r="F557" s="291" t="str">
        <f>IFERROR(__xludf.DUMMYFUNCTION("""COMPUTED_VALUE"""),"BDA")</f>
        <v>BDA</v>
      </c>
      <c r="G557" s="292" t="str">
        <f>IFERROR(__xludf.DUMMYFUNCTION("""COMPUTED_VALUE"""),"➖")</f>
        <v>➖</v>
      </c>
      <c r="H557" s="292" t="str">
        <f>IFERROR(__xludf.DUMMYFUNCTION("""COMPUTED_VALUE"""),"➖")</f>
        <v>➖</v>
      </c>
      <c r="I557" s="292" t="str">
        <f>IFERROR(__xludf.DUMMYFUNCTION("""COMPUTED_VALUE"""),"✅")</f>
        <v>✅</v>
      </c>
      <c r="J557" s="292" t="str">
        <f>IFERROR(__xludf.DUMMYFUNCTION("""COMPUTED_VALUE"""),"✅")</f>
        <v>✅</v>
      </c>
      <c r="K557" s="288" t="str">
        <f>IFERROR(__xludf.DUMMYFUNCTION("""COMPUTED_VALUE"""),"➖")</f>
        <v>➖</v>
      </c>
      <c r="L557" s="288" t="str">
        <f>IFERROR(__xludf.DUMMYFUNCTION("""COMPUTED_VALUE"""),"➖")</f>
        <v>➖</v>
      </c>
      <c r="M557" s="288" t="str">
        <f>IFERROR(__xludf.DUMMYFUNCTION("""COMPUTED_VALUE"""),"➖")</f>
        <v>➖</v>
      </c>
      <c r="N557" s="288" t="str">
        <f>IFERROR(__xludf.DUMMYFUNCTION("""COMPUTED_VALUE"""),"➖")</f>
        <v>➖</v>
      </c>
      <c r="O557" s="288" t="str">
        <f>IFERROR(__xludf.DUMMYFUNCTION("""COMPUTED_VALUE"""),"➖")</f>
        <v>➖</v>
      </c>
      <c r="P557" s="288" t="str">
        <f>IFERROR(__xludf.DUMMYFUNCTION("""COMPUTED_VALUE"""),"➖")</f>
        <v>➖</v>
      </c>
      <c r="Q557" s="288" t="str">
        <f>IFERROR(__xludf.DUMMYFUNCTION("""COMPUTED_VALUE"""),"✅")</f>
        <v>✅</v>
      </c>
      <c r="R557" s="257" t="str">
        <f>IFERROR(__xludf.DUMMYFUNCTION("""COMPUTED_VALUE"""),"   ✅")</f>
        <v>✅</v>
      </c>
      <c r="S557" s="258"/>
      <c r="T557" s="255" t="str">
        <f>IFERROR(__xludf.DUMMYFUNCTION("""COMPUTED_VALUE"""),"➖")</f>
        <v>➖</v>
      </c>
      <c r="U557" s="255" t="str">
        <f>IFERROR(__xludf.DUMMYFUNCTION("""COMPUTED_VALUE"""),"➖")</f>
        <v>➖</v>
      </c>
      <c r="V557" s="259"/>
      <c r="W557" s="286"/>
      <c r="X557" s="286"/>
      <c r="Y557" s="286"/>
    </row>
    <row r="558">
      <c r="A558" s="28"/>
      <c r="B558" s="293"/>
      <c r="C558" s="28"/>
      <c r="D558" s="289"/>
      <c r="E558" s="294"/>
      <c r="F558" s="291"/>
      <c r="G558" s="292"/>
      <c r="H558" s="292"/>
      <c r="I558" s="292"/>
      <c r="J558" s="292"/>
      <c r="K558" s="288"/>
      <c r="L558" s="288"/>
      <c r="M558" s="288"/>
      <c r="N558" s="288"/>
      <c r="O558" s="288"/>
      <c r="P558" s="288"/>
      <c r="Q558" s="288"/>
      <c r="R558" s="257"/>
      <c r="S558" s="258"/>
      <c r="T558" s="255"/>
      <c r="U558" s="255"/>
      <c r="V558" s="259"/>
      <c r="W558" s="286"/>
      <c r="X558" s="286"/>
      <c r="Y558" s="286"/>
    </row>
    <row r="559">
      <c r="A559" s="28"/>
      <c r="B559" s="293"/>
      <c r="C559" s="28"/>
      <c r="D559" s="289"/>
      <c r="E559" s="294"/>
      <c r="F559" s="291"/>
      <c r="G559" s="292"/>
      <c r="H559" s="292"/>
      <c r="I559" s="292"/>
      <c r="J559" s="292"/>
      <c r="K559" s="288"/>
      <c r="L559" s="288"/>
      <c r="M559" s="288"/>
      <c r="N559" s="288"/>
      <c r="O559" s="288"/>
      <c r="P559" s="288"/>
      <c r="Q559" s="288"/>
      <c r="R559" s="257"/>
      <c r="S559" s="258"/>
      <c r="T559" s="255"/>
      <c r="U559" s="255"/>
      <c r="V559" s="259"/>
      <c r="W559" s="286"/>
      <c r="X559" s="286"/>
      <c r="Y559" s="286"/>
    </row>
    <row r="560">
      <c r="A560" s="28"/>
      <c r="B560" s="293"/>
      <c r="C560" s="28"/>
      <c r="D560" s="289"/>
      <c r="E560" s="294"/>
      <c r="F560" s="291"/>
      <c r="G560" s="292"/>
      <c r="H560" s="292"/>
      <c r="I560" s="292"/>
      <c r="J560" s="292"/>
      <c r="K560" s="288"/>
      <c r="L560" s="288"/>
      <c r="M560" s="288"/>
      <c r="N560" s="288"/>
      <c r="O560" s="288"/>
      <c r="P560" s="288"/>
      <c r="Q560" s="288"/>
      <c r="R560" s="257"/>
      <c r="S560" s="258"/>
      <c r="T560" s="255"/>
      <c r="U560" s="255"/>
      <c r="V560" s="259"/>
      <c r="W560" s="286"/>
      <c r="X560" s="286"/>
      <c r="Y560" s="286"/>
    </row>
    <row r="561">
      <c r="A561" s="28"/>
      <c r="B561" s="293"/>
      <c r="C561" s="28"/>
      <c r="D561" s="289"/>
      <c r="E561" s="294"/>
      <c r="F561" s="291"/>
      <c r="G561" s="292"/>
      <c r="H561" s="292"/>
      <c r="I561" s="292"/>
      <c r="J561" s="292"/>
      <c r="K561" s="288"/>
      <c r="L561" s="288"/>
      <c r="M561" s="288"/>
      <c r="N561" s="288"/>
      <c r="O561" s="288"/>
      <c r="P561" s="288"/>
      <c r="Q561" s="288"/>
      <c r="R561" s="257"/>
      <c r="S561" s="258"/>
      <c r="T561" s="255"/>
      <c r="U561" s="255"/>
      <c r="V561" s="259"/>
      <c r="W561" s="286"/>
      <c r="X561" s="286"/>
      <c r="Y561" s="286"/>
    </row>
    <row r="562">
      <c r="A562" s="28"/>
      <c r="B562" s="293"/>
      <c r="C562" s="28"/>
      <c r="D562" s="289"/>
      <c r="E562" s="294"/>
      <c r="F562" s="291"/>
      <c r="G562" s="292"/>
      <c r="H562" s="292"/>
      <c r="I562" s="292"/>
      <c r="J562" s="292"/>
      <c r="K562" s="288"/>
      <c r="L562" s="288"/>
      <c r="M562" s="288"/>
      <c r="N562" s="288"/>
      <c r="O562" s="288"/>
      <c r="P562" s="288"/>
      <c r="Q562" s="288"/>
      <c r="R562" s="257"/>
      <c r="S562" s="258"/>
      <c r="T562" s="255"/>
      <c r="U562" s="255"/>
      <c r="V562" s="259"/>
      <c r="W562" s="286"/>
      <c r="X562" s="286"/>
      <c r="Y562" s="286"/>
    </row>
    <row r="563">
      <c r="A563" s="28"/>
      <c r="B563" s="293"/>
      <c r="C563" s="28"/>
      <c r="D563" s="289"/>
      <c r="E563" s="294"/>
      <c r="F563" s="291"/>
      <c r="G563" s="292"/>
      <c r="H563" s="292"/>
      <c r="I563" s="292"/>
      <c r="J563" s="292"/>
      <c r="K563" s="288"/>
      <c r="L563" s="288"/>
      <c r="M563" s="288"/>
      <c r="N563" s="288"/>
      <c r="O563" s="288"/>
      <c r="P563" s="288"/>
      <c r="Q563" s="288"/>
      <c r="R563" s="257"/>
      <c r="S563" s="258"/>
      <c r="T563" s="255"/>
      <c r="U563" s="255"/>
      <c r="V563" s="259"/>
      <c r="W563" s="286"/>
      <c r="X563" s="286"/>
      <c r="Y563" s="286"/>
    </row>
    <row r="564">
      <c r="A564" s="28"/>
      <c r="B564" s="293"/>
      <c r="C564" s="28"/>
      <c r="D564" s="289"/>
      <c r="E564" s="294"/>
      <c r="F564" s="291"/>
      <c r="G564" s="292"/>
      <c r="H564" s="292"/>
      <c r="I564" s="292"/>
      <c r="J564" s="292"/>
      <c r="K564" s="288"/>
      <c r="L564" s="288"/>
      <c r="M564" s="288"/>
      <c r="N564" s="288"/>
      <c r="O564" s="288"/>
      <c r="P564" s="288"/>
      <c r="Q564" s="288"/>
      <c r="R564" s="257"/>
      <c r="S564" s="258"/>
      <c r="T564" s="255"/>
      <c r="U564" s="255"/>
      <c r="V564" s="259"/>
      <c r="W564" s="286"/>
      <c r="X564" s="286"/>
      <c r="Y564" s="286"/>
    </row>
    <row r="565">
      <c r="A565" s="28"/>
      <c r="B565" s="293"/>
      <c r="C565" s="28"/>
      <c r="D565" s="289"/>
      <c r="E565" s="294"/>
      <c r="F565" s="291"/>
      <c r="G565" s="292"/>
      <c r="H565" s="292"/>
      <c r="I565" s="292"/>
      <c r="J565" s="292"/>
      <c r="K565" s="288"/>
      <c r="L565" s="288"/>
      <c r="M565" s="288"/>
      <c r="N565" s="288"/>
      <c r="O565" s="288"/>
      <c r="P565" s="288"/>
      <c r="Q565" s="288"/>
      <c r="R565" s="257"/>
      <c r="S565" s="258"/>
      <c r="T565" s="255"/>
      <c r="U565" s="255"/>
      <c r="V565" s="259"/>
      <c r="W565" s="286"/>
      <c r="X565" s="286"/>
      <c r="Y565" s="286"/>
    </row>
    <row r="566">
      <c r="A566" s="28"/>
      <c r="B566" s="293"/>
      <c r="C566" s="28"/>
      <c r="D566" s="289"/>
      <c r="E566" s="294"/>
      <c r="F566" s="291"/>
      <c r="G566" s="292"/>
      <c r="H566" s="292"/>
      <c r="I566" s="292"/>
      <c r="J566" s="292"/>
      <c r="K566" s="288"/>
      <c r="L566" s="288"/>
      <c r="M566" s="288"/>
      <c r="N566" s="288"/>
      <c r="O566" s="288"/>
      <c r="P566" s="288"/>
      <c r="Q566" s="288"/>
      <c r="R566" s="257"/>
      <c r="S566" s="258"/>
      <c r="T566" s="255"/>
      <c r="U566" s="255"/>
      <c r="V566" s="259"/>
      <c r="W566" s="286"/>
      <c r="X566" s="286"/>
      <c r="Y566" s="286"/>
    </row>
    <row r="567">
      <c r="A567" s="28"/>
      <c r="B567" s="293"/>
      <c r="C567" s="28"/>
      <c r="D567" s="289"/>
      <c r="E567" s="294"/>
      <c r="F567" s="291"/>
      <c r="G567" s="292"/>
      <c r="H567" s="292"/>
      <c r="I567" s="292"/>
      <c r="J567" s="292"/>
      <c r="K567" s="288"/>
      <c r="L567" s="288"/>
      <c r="M567" s="288"/>
      <c r="N567" s="288"/>
      <c r="O567" s="288"/>
      <c r="P567" s="288"/>
      <c r="Q567" s="288"/>
      <c r="R567" s="257"/>
      <c r="S567" s="258"/>
      <c r="T567" s="255"/>
      <c r="U567" s="255"/>
      <c r="V567" s="259"/>
      <c r="W567" s="286"/>
      <c r="X567" s="286"/>
      <c r="Y567" s="286"/>
    </row>
    <row r="568">
      <c r="A568" s="28"/>
      <c r="B568" s="293"/>
      <c r="C568" s="28"/>
      <c r="D568" s="289"/>
      <c r="E568" s="294"/>
      <c r="F568" s="291"/>
      <c r="G568" s="292"/>
      <c r="H568" s="292"/>
      <c r="I568" s="292"/>
      <c r="J568" s="292"/>
      <c r="K568" s="288"/>
      <c r="L568" s="288"/>
      <c r="M568" s="288"/>
      <c r="N568" s="288"/>
      <c r="O568" s="288"/>
      <c r="P568" s="288"/>
      <c r="Q568" s="288"/>
      <c r="R568" s="257"/>
      <c r="S568" s="258"/>
      <c r="T568" s="255"/>
      <c r="U568" s="255"/>
      <c r="V568" s="259"/>
      <c r="W568" s="286"/>
      <c r="X568" s="286"/>
      <c r="Y568" s="286"/>
    </row>
    <row r="569">
      <c r="A569" s="28"/>
      <c r="B569" s="293"/>
      <c r="C569" s="28"/>
      <c r="D569" s="289"/>
      <c r="E569" s="294"/>
      <c r="F569" s="291"/>
      <c r="G569" s="292"/>
      <c r="H569" s="292"/>
      <c r="I569" s="292"/>
      <c r="J569" s="292"/>
      <c r="K569" s="288"/>
      <c r="L569" s="288"/>
      <c r="M569" s="288"/>
      <c r="N569" s="288"/>
      <c r="O569" s="288"/>
      <c r="P569" s="288"/>
      <c r="Q569" s="288"/>
      <c r="R569" s="257"/>
      <c r="S569" s="258"/>
      <c r="T569" s="255"/>
      <c r="U569" s="255"/>
      <c r="V569" s="259"/>
      <c r="W569" s="286"/>
      <c r="X569" s="286"/>
      <c r="Y569" s="286"/>
    </row>
    <row r="570">
      <c r="A570" s="28"/>
      <c r="B570" s="293"/>
      <c r="C570" s="28"/>
      <c r="D570" s="289"/>
      <c r="E570" s="294"/>
      <c r="F570" s="291"/>
      <c r="G570" s="292"/>
      <c r="H570" s="292"/>
      <c r="I570" s="292"/>
      <c r="J570" s="292"/>
      <c r="K570" s="288"/>
      <c r="L570" s="288"/>
      <c r="M570" s="288"/>
      <c r="N570" s="288"/>
      <c r="O570" s="288"/>
      <c r="P570" s="288"/>
      <c r="Q570" s="288"/>
      <c r="R570" s="257"/>
      <c r="S570" s="258"/>
      <c r="T570" s="255"/>
      <c r="U570" s="255"/>
      <c r="V570" s="259"/>
      <c r="W570" s="286"/>
      <c r="X570" s="286"/>
      <c r="Y570" s="286"/>
    </row>
    <row r="571">
      <c r="A571" s="28"/>
      <c r="B571" s="293"/>
      <c r="C571" s="28"/>
      <c r="D571" s="289"/>
      <c r="E571" s="294"/>
      <c r="F571" s="291"/>
      <c r="G571" s="292"/>
      <c r="H571" s="292"/>
      <c r="I571" s="292"/>
      <c r="J571" s="292"/>
      <c r="K571" s="288"/>
      <c r="L571" s="288"/>
      <c r="M571" s="288"/>
      <c r="N571" s="288"/>
      <c r="O571" s="288"/>
      <c r="P571" s="288"/>
      <c r="Q571" s="288"/>
      <c r="R571" s="257"/>
      <c r="S571" s="258"/>
      <c r="T571" s="255"/>
      <c r="U571" s="255"/>
      <c r="V571" s="259"/>
      <c r="W571" s="286"/>
      <c r="X571" s="286"/>
      <c r="Y571" s="286"/>
    </row>
    <row r="572">
      <c r="A572" s="28"/>
      <c r="B572" s="293"/>
      <c r="C572" s="28"/>
      <c r="D572" s="289"/>
      <c r="E572" s="294"/>
      <c r="F572" s="291"/>
      <c r="G572" s="292"/>
      <c r="H572" s="292"/>
      <c r="I572" s="292"/>
      <c r="J572" s="292"/>
      <c r="K572" s="288"/>
      <c r="L572" s="288"/>
      <c r="M572" s="288"/>
      <c r="N572" s="288"/>
      <c r="O572" s="288"/>
      <c r="P572" s="288"/>
      <c r="Q572" s="288"/>
      <c r="R572" s="257"/>
      <c r="S572" s="258"/>
      <c r="T572" s="255"/>
      <c r="U572" s="255"/>
      <c r="V572" s="259"/>
      <c r="W572" s="286"/>
      <c r="X572" s="286"/>
      <c r="Y572" s="286"/>
    </row>
    <row r="573">
      <c r="A573" s="28"/>
      <c r="B573" s="293"/>
      <c r="C573" s="28"/>
      <c r="D573" s="289"/>
      <c r="E573" s="294"/>
      <c r="F573" s="291"/>
      <c r="G573" s="292"/>
      <c r="H573" s="292"/>
      <c r="I573" s="292"/>
      <c r="J573" s="292"/>
      <c r="K573" s="288"/>
      <c r="L573" s="288"/>
      <c r="M573" s="288"/>
      <c r="N573" s="288"/>
      <c r="O573" s="288"/>
      <c r="P573" s="288"/>
      <c r="Q573" s="288"/>
      <c r="R573" s="257"/>
      <c r="S573" s="258"/>
      <c r="T573" s="255"/>
      <c r="U573" s="255"/>
      <c r="V573" s="259"/>
      <c r="W573" s="286"/>
      <c r="X573" s="286"/>
      <c r="Y573" s="286"/>
    </row>
    <row r="574">
      <c r="A574" s="28"/>
      <c r="B574" s="293"/>
      <c r="C574" s="28"/>
      <c r="D574" s="289"/>
      <c r="E574" s="294"/>
      <c r="F574" s="291"/>
      <c r="G574" s="292"/>
      <c r="H574" s="292"/>
      <c r="I574" s="292"/>
      <c r="J574" s="292"/>
      <c r="K574" s="288"/>
      <c r="L574" s="288"/>
      <c r="M574" s="288"/>
      <c r="N574" s="288"/>
      <c r="O574" s="288"/>
      <c r="P574" s="288"/>
      <c r="Q574" s="288"/>
      <c r="R574" s="257"/>
      <c r="S574" s="258"/>
      <c r="T574" s="255"/>
      <c r="U574" s="255"/>
      <c r="V574" s="259"/>
      <c r="W574" s="286"/>
      <c r="X574" s="286"/>
      <c r="Y574" s="286"/>
    </row>
    <row r="575">
      <c r="A575" s="28"/>
      <c r="B575" s="293"/>
      <c r="C575" s="28"/>
      <c r="D575" s="289"/>
      <c r="E575" s="294"/>
      <c r="F575" s="291"/>
      <c r="G575" s="292"/>
      <c r="H575" s="292"/>
      <c r="I575" s="292"/>
      <c r="J575" s="292"/>
      <c r="K575" s="288"/>
      <c r="L575" s="288"/>
      <c r="M575" s="288"/>
      <c r="N575" s="288"/>
      <c r="O575" s="288"/>
      <c r="P575" s="288"/>
      <c r="Q575" s="288"/>
      <c r="R575" s="257"/>
      <c r="S575" s="258"/>
      <c r="T575" s="255"/>
      <c r="U575" s="255"/>
      <c r="V575" s="259"/>
      <c r="W575" s="286"/>
      <c r="X575" s="286"/>
      <c r="Y575" s="286"/>
    </row>
    <row r="576">
      <c r="A576" s="28"/>
      <c r="B576" s="293"/>
      <c r="C576" s="28"/>
      <c r="D576" s="289"/>
      <c r="E576" s="294"/>
      <c r="F576" s="291"/>
      <c r="G576" s="292"/>
      <c r="H576" s="292"/>
      <c r="I576" s="292"/>
      <c r="J576" s="292"/>
      <c r="K576" s="288"/>
      <c r="L576" s="288"/>
      <c r="M576" s="288"/>
      <c r="N576" s="288"/>
      <c r="O576" s="288"/>
      <c r="P576" s="288"/>
      <c r="Q576" s="288"/>
      <c r="R576" s="257"/>
      <c r="S576" s="258"/>
      <c r="T576" s="255"/>
      <c r="U576" s="255"/>
      <c r="V576" s="259"/>
      <c r="W576" s="286"/>
      <c r="X576" s="286"/>
      <c r="Y576" s="286"/>
    </row>
    <row r="577">
      <c r="A577" s="28"/>
      <c r="B577" s="293"/>
      <c r="C577" s="28"/>
      <c r="D577" s="289"/>
      <c r="E577" s="294"/>
      <c r="F577" s="291"/>
      <c r="G577" s="292"/>
      <c r="H577" s="292"/>
      <c r="I577" s="292"/>
      <c r="J577" s="292"/>
      <c r="K577" s="288"/>
      <c r="L577" s="288"/>
      <c r="M577" s="288"/>
      <c r="N577" s="288"/>
      <c r="O577" s="288"/>
      <c r="P577" s="288"/>
      <c r="Q577" s="288"/>
      <c r="R577" s="257"/>
      <c r="S577" s="258"/>
      <c r="T577" s="255"/>
      <c r="U577" s="255"/>
      <c r="V577" s="259"/>
      <c r="W577" s="286"/>
      <c r="X577" s="286"/>
      <c r="Y577" s="286"/>
    </row>
    <row r="578">
      <c r="A578" s="28"/>
      <c r="B578" s="293"/>
      <c r="C578" s="28"/>
      <c r="D578" s="289"/>
      <c r="E578" s="294"/>
      <c r="F578" s="291"/>
      <c r="G578" s="292"/>
      <c r="H578" s="292"/>
      <c r="I578" s="292"/>
      <c r="J578" s="292"/>
      <c r="K578" s="288"/>
      <c r="L578" s="288"/>
      <c r="M578" s="288"/>
      <c r="N578" s="288"/>
      <c r="O578" s="288"/>
      <c r="P578" s="288"/>
      <c r="Q578" s="288"/>
      <c r="R578" s="257"/>
      <c r="S578" s="258"/>
      <c r="T578" s="255"/>
      <c r="U578" s="255"/>
      <c r="V578" s="259"/>
      <c r="W578" s="286"/>
      <c r="X578" s="286"/>
      <c r="Y578" s="286"/>
    </row>
    <row r="579">
      <c r="A579" s="28"/>
      <c r="B579" s="293"/>
      <c r="C579" s="28"/>
      <c r="D579" s="289"/>
      <c r="E579" s="294"/>
      <c r="F579" s="291"/>
      <c r="G579" s="292"/>
      <c r="H579" s="292"/>
      <c r="I579" s="292"/>
      <c r="J579" s="292"/>
      <c r="K579" s="288"/>
      <c r="L579" s="288"/>
      <c r="M579" s="288"/>
      <c r="N579" s="288"/>
      <c r="O579" s="288"/>
      <c r="P579" s="288"/>
      <c r="Q579" s="288"/>
      <c r="R579" s="257"/>
      <c r="S579" s="258"/>
      <c r="T579" s="255"/>
      <c r="U579" s="255"/>
      <c r="V579" s="259"/>
      <c r="W579" s="286"/>
      <c r="X579" s="286"/>
      <c r="Y579" s="286"/>
    </row>
    <row r="580">
      <c r="A580" s="28"/>
      <c r="B580" s="293"/>
      <c r="C580" s="28"/>
      <c r="D580" s="289"/>
      <c r="E580" s="294"/>
      <c r="F580" s="291"/>
      <c r="G580" s="292"/>
      <c r="H580" s="292"/>
      <c r="I580" s="292"/>
      <c r="J580" s="292"/>
      <c r="K580" s="288"/>
      <c r="L580" s="288"/>
      <c r="M580" s="288"/>
      <c r="N580" s="288"/>
      <c r="O580" s="288"/>
      <c r="P580" s="288"/>
      <c r="Q580" s="288"/>
      <c r="R580" s="257"/>
      <c r="S580" s="258"/>
      <c r="T580" s="255"/>
      <c r="U580" s="255"/>
      <c r="V580" s="259"/>
      <c r="W580" s="286"/>
      <c r="X580" s="286"/>
      <c r="Y580" s="286"/>
    </row>
    <row r="581">
      <c r="A581" s="28"/>
      <c r="B581" s="293"/>
      <c r="C581" s="28"/>
      <c r="D581" s="289"/>
      <c r="E581" s="294"/>
      <c r="F581" s="291"/>
      <c r="G581" s="292"/>
      <c r="H581" s="292"/>
      <c r="I581" s="292"/>
      <c r="J581" s="292"/>
      <c r="K581" s="288"/>
      <c r="L581" s="288"/>
      <c r="M581" s="288"/>
      <c r="N581" s="288"/>
      <c r="O581" s="288"/>
      <c r="P581" s="288"/>
      <c r="Q581" s="288"/>
      <c r="R581" s="257"/>
      <c r="S581" s="258"/>
      <c r="T581" s="255"/>
      <c r="U581" s="255"/>
      <c r="V581" s="259"/>
      <c r="W581" s="286"/>
      <c r="X581" s="286"/>
      <c r="Y581" s="286"/>
    </row>
    <row r="582">
      <c r="A582" s="28"/>
      <c r="B582" s="293"/>
      <c r="C582" s="28"/>
      <c r="D582" s="289"/>
      <c r="E582" s="294"/>
      <c r="F582" s="291"/>
      <c r="G582" s="292"/>
      <c r="H582" s="292"/>
      <c r="I582" s="292"/>
      <c r="J582" s="292"/>
      <c r="K582" s="288"/>
      <c r="L582" s="288"/>
      <c r="M582" s="288"/>
      <c r="N582" s="288"/>
      <c r="O582" s="288"/>
      <c r="P582" s="288"/>
      <c r="Q582" s="288"/>
      <c r="R582" s="257"/>
      <c r="S582" s="258"/>
      <c r="T582" s="255"/>
      <c r="U582" s="255"/>
      <c r="V582" s="259"/>
      <c r="W582" s="286"/>
      <c r="X582" s="286"/>
      <c r="Y582" s="286"/>
    </row>
    <row r="583">
      <c r="A583" s="28"/>
      <c r="B583" s="293"/>
      <c r="C583" s="28"/>
      <c r="D583" s="289"/>
      <c r="E583" s="294"/>
      <c r="F583" s="291"/>
      <c r="G583" s="292"/>
      <c r="H583" s="292"/>
      <c r="I583" s="292"/>
      <c r="J583" s="292"/>
      <c r="K583" s="288"/>
      <c r="L583" s="288"/>
      <c r="M583" s="288"/>
      <c r="N583" s="288"/>
      <c r="O583" s="288"/>
      <c r="P583" s="288"/>
      <c r="Q583" s="288"/>
      <c r="R583" s="257"/>
      <c r="S583" s="258"/>
      <c r="T583" s="255"/>
      <c r="U583" s="255"/>
      <c r="V583" s="259"/>
      <c r="W583" s="286"/>
      <c r="X583" s="286"/>
      <c r="Y583" s="286"/>
    </row>
    <row r="584">
      <c r="A584" s="28"/>
      <c r="B584" s="293"/>
      <c r="C584" s="28"/>
      <c r="D584" s="289"/>
      <c r="E584" s="294"/>
      <c r="F584" s="291"/>
      <c r="G584" s="292"/>
      <c r="H584" s="292"/>
      <c r="I584" s="292"/>
      <c r="J584" s="292"/>
      <c r="K584" s="288"/>
      <c r="L584" s="288"/>
      <c r="M584" s="288"/>
      <c r="N584" s="288"/>
      <c r="O584" s="288"/>
      <c r="P584" s="288"/>
      <c r="Q584" s="288"/>
      <c r="R584" s="257"/>
      <c r="S584" s="258"/>
      <c r="T584" s="255"/>
      <c r="U584" s="255"/>
      <c r="V584" s="259"/>
      <c r="W584" s="286"/>
      <c r="X584" s="286"/>
      <c r="Y584" s="286"/>
    </row>
    <row r="585">
      <c r="A585" s="28"/>
      <c r="B585" s="293"/>
      <c r="C585" s="28"/>
      <c r="D585" s="289"/>
      <c r="E585" s="294"/>
      <c r="F585" s="291"/>
      <c r="G585" s="292"/>
      <c r="H585" s="292"/>
      <c r="I585" s="292"/>
      <c r="J585" s="292"/>
      <c r="K585" s="288"/>
      <c r="L585" s="288"/>
      <c r="M585" s="288"/>
      <c r="N585" s="288"/>
      <c r="O585" s="288"/>
      <c r="P585" s="288"/>
      <c r="Q585" s="288"/>
      <c r="R585" s="257"/>
      <c r="S585" s="258"/>
      <c r="T585" s="255"/>
      <c r="U585" s="255"/>
      <c r="V585" s="259"/>
      <c r="W585" s="286"/>
      <c r="X585" s="286"/>
      <c r="Y585" s="286"/>
    </row>
    <row r="586">
      <c r="A586" s="28"/>
      <c r="B586" s="293"/>
      <c r="C586" s="28"/>
      <c r="D586" s="289"/>
      <c r="E586" s="294"/>
      <c r="F586" s="291"/>
      <c r="G586" s="292"/>
      <c r="H586" s="292"/>
      <c r="I586" s="292"/>
      <c r="J586" s="292"/>
      <c r="K586" s="288"/>
      <c r="L586" s="288"/>
      <c r="M586" s="288"/>
      <c r="N586" s="288"/>
      <c r="O586" s="288"/>
      <c r="P586" s="288"/>
      <c r="Q586" s="288"/>
      <c r="R586" s="257"/>
      <c r="S586" s="258"/>
      <c r="T586" s="255"/>
      <c r="U586" s="255"/>
      <c r="V586" s="259"/>
      <c r="W586" s="286"/>
      <c r="X586" s="286"/>
      <c r="Y586" s="286"/>
    </row>
    <row r="587">
      <c r="A587" s="28"/>
      <c r="B587" s="293"/>
      <c r="C587" s="28"/>
      <c r="D587" s="289"/>
      <c r="E587" s="294"/>
      <c r="F587" s="291"/>
      <c r="G587" s="292"/>
      <c r="H587" s="292"/>
      <c r="I587" s="292"/>
      <c r="J587" s="292"/>
      <c r="K587" s="288"/>
      <c r="L587" s="288"/>
      <c r="M587" s="288"/>
      <c r="N587" s="288"/>
      <c r="O587" s="288"/>
      <c r="P587" s="288"/>
      <c r="Q587" s="288"/>
      <c r="R587" s="257"/>
      <c r="S587" s="258"/>
      <c r="T587" s="255"/>
      <c r="U587" s="255"/>
      <c r="V587" s="259"/>
      <c r="W587" s="286"/>
      <c r="X587" s="286"/>
      <c r="Y587" s="286"/>
    </row>
    <row r="588">
      <c r="A588" s="28"/>
      <c r="B588" s="293"/>
      <c r="C588" s="28"/>
      <c r="D588" s="289"/>
      <c r="E588" s="294"/>
      <c r="F588" s="291"/>
      <c r="G588" s="292"/>
      <c r="H588" s="292"/>
      <c r="I588" s="292"/>
      <c r="J588" s="292"/>
      <c r="K588" s="288"/>
      <c r="L588" s="288"/>
      <c r="M588" s="288"/>
      <c r="N588" s="288"/>
      <c r="O588" s="288"/>
      <c r="P588" s="288"/>
      <c r="Q588" s="288"/>
      <c r="R588" s="257"/>
      <c r="S588" s="258"/>
      <c r="T588" s="255"/>
      <c r="U588" s="255"/>
      <c r="V588" s="259"/>
      <c r="W588" s="286"/>
      <c r="X588" s="286"/>
      <c r="Y588" s="286"/>
    </row>
    <row r="589">
      <c r="A589" s="28"/>
      <c r="B589" s="293"/>
      <c r="C589" s="28"/>
      <c r="D589" s="289"/>
      <c r="E589" s="294"/>
      <c r="F589" s="291"/>
      <c r="G589" s="292"/>
      <c r="H589" s="292"/>
      <c r="I589" s="292"/>
      <c r="J589" s="292"/>
      <c r="K589" s="288"/>
      <c r="L589" s="288"/>
      <c r="M589" s="288"/>
      <c r="N589" s="288"/>
      <c r="O589" s="288"/>
      <c r="P589" s="288"/>
      <c r="Q589" s="288"/>
      <c r="R589" s="257"/>
      <c r="S589" s="258"/>
      <c r="T589" s="255"/>
      <c r="U589" s="255"/>
      <c r="V589" s="259"/>
      <c r="W589" s="286"/>
      <c r="X589" s="286"/>
      <c r="Y589" s="286"/>
    </row>
    <row r="590">
      <c r="A590" s="28"/>
      <c r="B590" s="293"/>
      <c r="C590" s="28"/>
      <c r="D590" s="289"/>
      <c r="E590" s="294"/>
      <c r="F590" s="291"/>
      <c r="G590" s="292"/>
      <c r="H590" s="292"/>
      <c r="I590" s="292"/>
      <c r="J590" s="292"/>
      <c r="K590" s="288"/>
      <c r="L590" s="288"/>
      <c r="M590" s="288"/>
      <c r="N590" s="288"/>
      <c r="O590" s="288"/>
      <c r="P590" s="288"/>
      <c r="Q590" s="288"/>
      <c r="R590" s="257"/>
      <c r="S590" s="258"/>
      <c r="T590" s="255"/>
      <c r="U590" s="255"/>
      <c r="V590" s="259"/>
      <c r="W590" s="286"/>
      <c r="X590" s="286"/>
      <c r="Y590" s="286"/>
    </row>
    <row r="591">
      <c r="A591" s="28"/>
      <c r="B591" s="293"/>
      <c r="C591" s="28"/>
      <c r="D591" s="289"/>
      <c r="E591" s="294"/>
      <c r="F591" s="291"/>
      <c r="G591" s="292"/>
      <c r="H591" s="292"/>
      <c r="I591" s="292"/>
      <c r="J591" s="292"/>
      <c r="K591" s="288"/>
      <c r="L591" s="288"/>
      <c r="M591" s="288"/>
      <c r="N591" s="288"/>
      <c r="O591" s="288"/>
      <c r="P591" s="288"/>
      <c r="Q591" s="288"/>
      <c r="R591" s="257"/>
      <c r="S591" s="258"/>
      <c r="T591" s="255"/>
      <c r="U591" s="255"/>
      <c r="V591" s="259"/>
      <c r="W591" s="286"/>
      <c r="X591" s="286"/>
      <c r="Y591" s="286"/>
    </row>
    <row r="592">
      <c r="A592" s="28"/>
      <c r="B592" s="293"/>
      <c r="C592" s="28"/>
      <c r="D592" s="289"/>
      <c r="E592" s="294"/>
      <c r="F592" s="291"/>
      <c r="G592" s="292"/>
      <c r="H592" s="292"/>
      <c r="I592" s="292"/>
      <c r="J592" s="292"/>
      <c r="K592" s="288"/>
      <c r="L592" s="288"/>
      <c r="M592" s="288"/>
      <c r="N592" s="288"/>
      <c r="O592" s="288"/>
      <c r="P592" s="288"/>
      <c r="Q592" s="288"/>
      <c r="R592" s="257"/>
      <c r="S592" s="258"/>
      <c r="T592" s="255"/>
      <c r="U592" s="255"/>
      <c r="V592" s="259"/>
      <c r="W592" s="286"/>
      <c r="X592" s="286"/>
      <c r="Y592" s="286"/>
    </row>
    <row r="593">
      <c r="A593" s="28"/>
      <c r="B593" s="293"/>
      <c r="C593" s="28"/>
      <c r="D593" s="289"/>
      <c r="E593" s="294"/>
      <c r="F593" s="291"/>
      <c r="G593" s="292"/>
      <c r="H593" s="292"/>
      <c r="I593" s="292"/>
      <c r="J593" s="292"/>
      <c r="K593" s="288"/>
      <c r="L593" s="288"/>
      <c r="M593" s="288"/>
      <c r="N593" s="288"/>
      <c r="O593" s="288"/>
      <c r="P593" s="288"/>
      <c r="Q593" s="288"/>
      <c r="R593" s="257"/>
      <c r="S593" s="258"/>
      <c r="T593" s="255"/>
      <c r="U593" s="255"/>
      <c r="V593" s="259"/>
      <c r="W593" s="286"/>
      <c r="X593" s="286"/>
      <c r="Y593" s="286"/>
    </row>
    <row r="594">
      <c r="A594" s="28"/>
      <c r="B594" s="293"/>
      <c r="C594" s="28"/>
      <c r="D594" s="289"/>
      <c r="E594" s="294"/>
      <c r="F594" s="291"/>
      <c r="G594" s="292"/>
      <c r="H594" s="292"/>
      <c r="I594" s="292"/>
      <c r="J594" s="292"/>
      <c r="K594" s="288"/>
      <c r="L594" s="288"/>
      <c r="M594" s="288"/>
      <c r="N594" s="288"/>
      <c r="O594" s="288"/>
      <c r="P594" s="288"/>
      <c r="Q594" s="288"/>
      <c r="R594" s="257"/>
      <c r="S594" s="258"/>
      <c r="T594" s="255"/>
      <c r="U594" s="255"/>
      <c r="V594" s="259"/>
      <c r="W594" s="286"/>
      <c r="X594" s="286"/>
      <c r="Y594" s="286"/>
    </row>
    <row r="595">
      <c r="A595" s="28"/>
      <c r="B595" s="293"/>
      <c r="C595" s="28"/>
      <c r="D595" s="289"/>
      <c r="E595" s="294"/>
      <c r="F595" s="291"/>
      <c r="G595" s="292"/>
      <c r="H595" s="292"/>
      <c r="I595" s="292"/>
      <c r="J595" s="292"/>
      <c r="K595" s="288"/>
      <c r="L595" s="288"/>
      <c r="M595" s="288"/>
      <c r="N595" s="288"/>
      <c r="O595" s="288"/>
      <c r="P595" s="288"/>
      <c r="Q595" s="288"/>
      <c r="R595" s="257"/>
      <c r="S595" s="258"/>
      <c r="T595" s="255"/>
      <c r="U595" s="255"/>
      <c r="V595" s="259"/>
      <c r="W595" s="286"/>
      <c r="X595" s="286"/>
      <c r="Y595" s="286"/>
    </row>
    <row r="596">
      <c r="A596" s="28"/>
      <c r="B596" s="293"/>
      <c r="C596" s="28"/>
      <c r="D596" s="289"/>
      <c r="E596" s="294"/>
      <c r="F596" s="291"/>
      <c r="G596" s="292"/>
      <c r="H596" s="292"/>
      <c r="I596" s="292"/>
      <c r="J596" s="292"/>
      <c r="K596" s="288"/>
      <c r="L596" s="288"/>
      <c r="M596" s="288"/>
      <c r="N596" s="288"/>
      <c r="O596" s="288"/>
      <c r="P596" s="288"/>
      <c r="Q596" s="288"/>
      <c r="R596" s="257"/>
      <c r="S596" s="258"/>
      <c r="T596" s="255"/>
      <c r="U596" s="255"/>
      <c r="V596" s="259"/>
      <c r="W596" s="286"/>
      <c r="X596" s="286"/>
      <c r="Y596" s="286"/>
    </row>
    <row r="597">
      <c r="A597" s="28"/>
      <c r="B597" s="293"/>
      <c r="C597" s="28"/>
      <c r="D597" s="289"/>
      <c r="E597" s="294"/>
      <c r="F597" s="291"/>
      <c r="G597" s="292"/>
      <c r="H597" s="292"/>
      <c r="I597" s="292"/>
      <c r="J597" s="292"/>
      <c r="K597" s="288"/>
      <c r="L597" s="288"/>
      <c r="M597" s="288"/>
      <c r="N597" s="288"/>
      <c r="O597" s="288"/>
      <c r="P597" s="288"/>
      <c r="Q597" s="288"/>
      <c r="R597" s="257"/>
      <c r="S597" s="258"/>
      <c r="T597" s="255"/>
      <c r="U597" s="255"/>
      <c r="V597" s="259"/>
      <c r="W597" s="286"/>
      <c r="X597" s="286"/>
      <c r="Y597" s="286"/>
    </row>
    <row r="598">
      <c r="A598" s="28"/>
      <c r="B598" s="293"/>
      <c r="C598" s="28"/>
      <c r="D598" s="289"/>
      <c r="E598" s="294"/>
      <c r="F598" s="291"/>
      <c r="G598" s="292"/>
      <c r="H598" s="292"/>
      <c r="I598" s="292"/>
      <c r="J598" s="292"/>
      <c r="K598" s="288"/>
      <c r="L598" s="288"/>
      <c r="M598" s="288"/>
      <c r="N598" s="288"/>
      <c r="O598" s="288"/>
      <c r="P598" s="288"/>
      <c r="Q598" s="288"/>
      <c r="R598" s="257"/>
      <c r="S598" s="258"/>
      <c r="T598" s="255"/>
      <c r="U598" s="255"/>
      <c r="V598" s="259"/>
      <c r="W598" s="286"/>
      <c r="X598" s="286"/>
      <c r="Y598" s="286"/>
    </row>
    <row r="599">
      <c r="A599" s="28"/>
      <c r="B599" s="293"/>
      <c r="C599" s="28"/>
      <c r="D599" s="289"/>
      <c r="E599" s="294"/>
      <c r="F599" s="291"/>
      <c r="G599" s="292"/>
      <c r="H599" s="292"/>
      <c r="I599" s="292"/>
      <c r="J599" s="292"/>
      <c r="K599" s="288"/>
      <c r="L599" s="288"/>
      <c r="M599" s="288"/>
      <c r="N599" s="288"/>
      <c r="O599" s="288"/>
      <c r="P599" s="288"/>
      <c r="Q599" s="288"/>
      <c r="R599" s="257"/>
      <c r="S599" s="258"/>
      <c r="T599" s="255"/>
      <c r="U599" s="255"/>
      <c r="V599" s="259"/>
      <c r="W599" s="286"/>
      <c r="X599" s="286"/>
      <c r="Y599" s="286"/>
    </row>
    <row r="600">
      <c r="A600" s="28"/>
      <c r="B600" s="293"/>
      <c r="C600" s="28"/>
      <c r="D600" s="289"/>
      <c r="E600" s="294"/>
      <c r="F600" s="291"/>
      <c r="G600" s="292"/>
      <c r="H600" s="292"/>
      <c r="I600" s="292"/>
      <c r="J600" s="292"/>
      <c r="K600" s="288"/>
      <c r="L600" s="288"/>
      <c r="M600" s="288"/>
      <c r="N600" s="288"/>
      <c r="O600" s="288"/>
      <c r="P600" s="288"/>
      <c r="Q600" s="288"/>
      <c r="R600" s="257"/>
      <c r="S600" s="258"/>
      <c r="T600" s="255"/>
      <c r="U600" s="255"/>
      <c r="V600" s="259"/>
      <c r="W600" s="286"/>
      <c r="X600" s="286"/>
      <c r="Y600" s="286"/>
    </row>
    <row r="601">
      <c r="A601" s="28"/>
      <c r="B601" s="293"/>
      <c r="C601" s="28"/>
      <c r="D601" s="289"/>
      <c r="E601" s="294"/>
      <c r="F601" s="291"/>
      <c r="G601" s="292"/>
      <c r="H601" s="292"/>
      <c r="I601" s="292"/>
      <c r="J601" s="292"/>
      <c r="K601" s="288"/>
      <c r="L601" s="288"/>
      <c r="M601" s="288"/>
      <c r="N601" s="288"/>
      <c r="O601" s="288"/>
      <c r="P601" s="288"/>
      <c r="Q601" s="288"/>
      <c r="R601" s="257"/>
      <c r="S601" s="258"/>
      <c r="T601" s="255"/>
      <c r="U601" s="255"/>
      <c r="V601" s="259"/>
      <c r="W601" s="286"/>
      <c r="X601" s="286"/>
      <c r="Y601" s="286"/>
    </row>
    <row r="602">
      <c r="A602" s="28"/>
      <c r="B602" s="293"/>
      <c r="C602" s="28"/>
      <c r="D602" s="289"/>
      <c r="E602" s="294"/>
      <c r="F602" s="291"/>
      <c r="G602" s="292"/>
      <c r="H602" s="292"/>
      <c r="I602" s="292"/>
      <c r="J602" s="292"/>
      <c r="K602" s="288"/>
      <c r="L602" s="288"/>
      <c r="M602" s="288"/>
      <c r="N602" s="288"/>
      <c r="O602" s="288"/>
      <c r="P602" s="288"/>
      <c r="Q602" s="288"/>
      <c r="R602" s="257"/>
      <c r="S602" s="258"/>
      <c r="T602" s="255"/>
      <c r="U602" s="255"/>
      <c r="V602" s="259"/>
      <c r="W602" s="286"/>
      <c r="X602" s="286"/>
      <c r="Y602" s="286"/>
    </row>
    <row r="603">
      <c r="A603" s="28"/>
      <c r="B603" s="293"/>
      <c r="C603" s="28"/>
      <c r="D603" s="289"/>
      <c r="E603" s="294"/>
      <c r="F603" s="291"/>
      <c r="G603" s="292"/>
      <c r="H603" s="292"/>
      <c r="I603" s="292"/>
      <c r="J603" s="292"/>
      <c r="K603" s="288"/>
      <c r="L603" s="288"/>
      <c r="M603" s="288"/>
      <c r="N603" s="288"/>
      <c r="O603" s="288"/>
      <c r="P603" s="288"/>
      <c r="Q603" s="288"/>
      <c r="R603" s="257"/>
      <c r="S603" s="258"/>
      <c r="T603" s="255"/>
      <c r="U603" s="255"/>
      <c r="V603" s="259"/>
      <c r="W603" s="286"/>
      <c r="X603" s="286"/>
      <c r="Y603" s="286"/>
    </row>
    <row r="604">
      <c r="A604" s="28"/>
      <c r="B604" s="293"/>
      <c r="C604" s="28"/>
      <c r="D604" s="289"/>
      <c r="E604" s="294"/>
      <c r="F604" s="291"/>
      <c r="G604" s="292"/>
      <c r="H604" s="292"/>
      <c r="I604" s="292"/>
      <c r="J604" s="292"/>
      <c r="K604" s="288"/>
      <c r="L604" s="288"/>
      <c r="M604" s="288"/>
      <c r="N604" s="288"/>
      <c r="O604" s="288"/>
      <c r="P604" s="288"/>
      <c r="Q604" s="288"/>
      <c r="R604" s="257"/>
      <c r="S604" s="258"/>
      <c r="T604" s="255"/>
      <c r="U604" s="255"/>
      <c r="V604" s="259"/>
      <c r="W604" s="286"/>
      <c r="X604" s="286"/>
      <c r="Y604" s="286"/>
    </row>
    <row r="605">
      <c r="A605" s="28"/>
      <c r="B605" s="293"/>
      <c r="C605" s="28"/>
      <c r="D605" s="289"/>
      <c r="E605" s="294"/>
      <c r="F605" s="291"/>
      <c r="G605" s="292"/>
      <c r="H605" s="292"/>
      <c r="I605" s="292"/>
      <c r="J605" s="292"/>
      <c r="K605" s="288"/>
      <c r="L605" s="288"/>
      <c r="M605" s="288"/>
      <c r="N605" s="288"/>
      <c r="O605" s="288"/>
      <c r="P605" s="288"/>
      <c r="Q605" s="288"/>
      <c r="R605" s="257"/>
      <c r="S605" s="258"/>
      <c r="T605" s="255"/>
      <c r="U605" s="255"/>
      <c r="V605" s="259"/>
      <c r="W605" s="286"/>
      <c r="X605" s="286"/>
      <c r="Y605" s="286"/>
    </row>
    <row r="606">
      <c r="A606" s="28"/>
      <c r="B606" s="293"/>
      <c r="C606" s="28"/>
      <c r="D606" s="289"/>
      <c r="E606" s="294"/>
      <c r="F606" s="291"/>
      <c r="G606" s="292"/>
      <c r="H606" s="292"/>
      <c r="I606" s="292"/>
      <c r="J606" s="292"/>
      <c r="K606" s="288"/>
      <c r="L606" s="288"/>
      <c r="M606" s="288"/>
      <c r="N606" s="288"/>
      <c r="O606" s="288"/>
      <c r="P606" s="288"/>
      <c r="Q606" s="288"/>
      <c r="R606" s="257"/>
      <c r="S606" s="258"/>
      <c r="T606" s="255"/>
      <c r="U606" s="255"/>
      <c r="V606" s="259"/>
      <c r="W606" s="286"/>
      <c r="X606" s="286"/>
      <c r="Y606" s="286"/>
    </row>
    <row r="607">
      <c r="A607" s="28"/>
      <c r="B607" s="293"/>
      <c r="C607" s="28"/>
      <c r="D607" s="289"/>
      <c r="E607" s="294"/>
      <c r="F607" s="291"/>
      <c r="G607" s="292"/>
      <c r="H607" s="292"/>
      <c r="I607" s="292"/>
      <c r="J607" s="292"/>
      <c r="K607" s="288"/>
      <c r="L607" s="288"/>
      <c r="M607" s="288"/>
      <c r="N607" s="288"/>
      <c r="O607" s="288"/>
      <c r="P607" s="288"/>
      <c r="Q607" s="288"/>
      <c r="R607" s="257"/>
      <c r="S607" s="258"/>
      <c r="T607" s="255"/>
      <c r="U607" s="255"/>
      <c r="V607" s="259"/>
      <c r="W607" s="286"/>
      <c r="X607" s="286"/>
      <c r="Y607" s="286"/>
    </row>
    <row r="608">
      <c r="A608" s="28"/>
      <c r="B608" s="293"/>
      <c r="C608" s="28"/>
      <c r="D608" s="289"/>
      <c r="E608" s="294"/>
      <c r="F608" s="291"/>
      <c r="G608" s="292"/>
      <c r="H608" s="292"/>
      <c r="I608" s="292"/>
      <c r="J608" s="292"/>
      <c r="K608" s="288"/>
      <c r="L608" s="288"/>
      <c r="M608" s="288"/>
      <c r="N608" s="288"/>
      <c r="O608" s="288"/>
      <c r="P608" s="288"/>
      <c r="Q608" s="288"/>
      <c r="R608" s="257"/>
      <c r="S608" s="258"/>
      <c r="T608" s="255"/>
      <c r="U608" s="255"/>
      <c r="V608" s="259"/>
      <c r="W608" s="286"/>
      <c r="X608" s="286"/>
      <c r="Y608" s="286"/>
    </row>
    <row r="609">
      <c r="A609" s="28"/>
      <c r="B609" s="293"/>
      <c r="C609" s="28"/>
      <c r="D609" s="289"/>
      <c r="E609" s="294"/>
      <c r="F609" s="291"/>
      <c r="G609" s="292"/>
      <c r="H609" s="292"/>
      <c r="I609" s="292"/>
      <c r="J609" s="292"/>
      <c r="K609" s="288"/>
      <c r="L609" s="288"/>
      <c r="M609" s="288"/>
      <c r="N609" s="288"/>
      <c r="O609" s="288"/>
      <c r="P609" s="288"/>
      <c r="Q609" s="288"/>
      <c r="R609" s="257"/>
      <c r="S609" s="258"/>
      <c r="T609" s="255"/>
      <c r="U609" s="255"/>
      <c r="V609" s="259"/>
      <c r="W609" s="286"/>
      <c r="X609" s="286"/>
      <c r="Y609" s="286"/>
    </row>
    <row r="610">
      <c r="A610" s="28"/>
      <c r="B610" s="293"/>
      <c r="C610" s="28"/>
      <c r="D610" s="289"/>
      <c r="E610" s="294"/>
      <c r="F610" s="291"/>
      <c r="G610" s="292"/>
      <c r="H610" s="292"/>
      <c r="I610" s="292"/>
      <c r="J610" s="292"/>
      <c r="K610" s="288"/>
      <c r="L610" s="288"/>
      <c r="M610" s="288"/>
      <c r="N610" s="288"/>
      <c r="O610" s="288"/>
      <c r="P610" s="288"/>
      <c r="Q610" s="288"/>
      <c r="R610" s="257"/>
      <c r="S610" s="258"/>
      <c r="T610" s="255"/>
      <c r="U610" s="255"/>
      <c r="V610" s="259"/>
      <c r="W610" s="286"/>
      <c r="X610" s="286"/>
      <c r="Y610" s="286"/>
    </row>
    <row r="611">
      <c r="A611" s="28"/>
      <c r="B611" s="293"/>
      <c r="C611" s="28"/>
      <c r="D611" s="289"/>
      <c r="E611" s="294"/>
      <c r="F611" s="291"/>
      <c r="G611" s="292"/>
      <c r="H611" s="292"/>
      <c r="I611" s="292"/>
      <c r="J611" s="292"/>
      <c r="K611" s="288"/>
      <c r="L611" s="288"/>
      <c r="M611" s="288"/>
      <c r="N611" s="288"/>
      <c r="O611" s="288"/>
      <c r="P611" s="288"/>
      <c r="Q611" s="288"/>
      <c r="R611" s="257"/>
      <c r="S611" s="258"/>
      <c r="T611" s="255"/>
      <c r="U611" s="255"/>
      <c r="V611" s="259"/>
      <c r="W611" s="286"/>
      <c r="X611" s="286"/>
      <c r="Y611" s="286"/>
    </row>
    <row r="612">
      <c r="A612" s="28"/>
      <c r="B612" s="293"/>
      <c r="C612" s="28"/>
      <c r="D612" s="289"/>
      <c r="E612" s="294"/>
      <c r="F612" s="291"/>
      <c r="G612" s="292"/>
      <c r="H612" s="292"/>
      <c r="I612" s="292"/>
      <c r="J612" s="292"/>
      <c r="K612" s="288"/>
      <c r="L612" s="288"/>
      <c r="M612" s="288"/>
      <c r="N612" s="288"/>
      <c r="O612" s="288"/>
      <c r="P612" s="288"/>
      <c r="Q612" s="288"/>
      <c r="R612" s="257"/>
      <c r="S612" s="258"/>
      <c r="T612" s="255"/>
      <c r="U612" s="255"/>
      <c r="V612" s="259"/>
      <c r="W612" s="286"/>
      <c r="X612" s="286"/>
      <c r="Y612" s="286"/>
    </row>
    <row r="613">
      <c r="A613" s="28"/>
      <c r="B613" s="293"/>
      <c r="C613" s="28"/>
      <c r="D613" s="289"/>
      <c r="E613" s="294"/>
      <c r="F613" s="291"/>
      <c r="G613" s="292"/>
      <c r="H613" s="292"/>
      <c r="I613" s="292"/>
      <c r="J613" s="292"/>
      <c r="K613" s="288"/>
      <c r="L613" s="288"/>
      <c r="M613" s="288"/>
      <c r="N613" s="288"/>
      <c r="O613" s="288"/>
      <c r="P613" s="288"/>
      <c r="Q613" s="288"/>
      <c r="R613" s="257"/>
      <c r="S613" s="258"/>
      <c r="T613" s="255"/>
      <c r="U613" s="255"/>
      <c r="V613" s="259"/>
      <c r="W613" s="286"/>
      <c r="X613" s="286"/>
      <c r="Y613" s="286"/>
    </row>
    <row r="614">
      <c r="A614" s="28"/>
      <c r="B614" s="293"/>
      <c r="C614" s="28"/>
      <c r="D614" s="289"/>
      <c r="E614" s="294"/>
      <c r="F614" s="291"/>
      <c r="G614" s="292"/>
      <c r="H614" s="292"/>
      <c r="I614" s="292"/>
      <c r="J614" s="292"/>
      <c r="K614" s="288"/>
      <c r="L614" s="288"/>
      <c r="M614" s="288"/>
      <c r="N614" s="288"/>
      <c r="O614" s="288"/>
      <c r="P614" s="288"/>
      <c r="Q614" s="288"/>
      <c r="R614" s="257"/>
      <c r="S614" s="258"/>
      <c r="T614" s="255"/>
      <c r="U614" s="255"/>
      <c r="V614" s="259"/>
      <c r="W614" s="286"/>
      <c r="X614" s="286"/>
      <c r="Y614" s="286"/>
    </row>
    <row r="615">
      <c r="A615" s="28"/>
      <c r="B615" s="293"/>
      <c r="C615" s="28"/>
      <c r="D615" s="289"/>
      <c r="E615" s="294"/>
      <c r="F615" s="291"/>
      <c r="G615" s="292"/>
      <c r="H615" s="292"/>
      <c r="I615" s="292"/>
      <c r="J615" s="292"/>
      <c r="K615" s="288"/>
      <c r="L615" s="288"/>
      <c r="M615" s="288"/>
      <c r="N615" s="288"/>
      <c r="O615" s="288"/>
      <c r="P615" s="288"/>
      <c r="Q615" s="288"/>
      <c r="R615" s="257"/>
      <c r="S615" s="258"/>
      <c r="T615" s="255"/>
      <c r="U615" s="255"/>
      <c r="V615" s="259"/>
      <c r="W615" s="286"/>
      <c r="X615" s="286"/>
      <c r="Y615" s="286"/>
    </row>
    <row r="616">
      <c r="A616" s="28"/>
      <c r="B616" s="293"/>
      <c r="C616" s="28"/>
      <c r="D616" s="289"/>
      <c r="E616" s="294"/>
      <c r="F616" s="291"/>
      <c r="G616" s="292"/>
      <c r="H616" s="292"/>
      <c r="I616" s="292"/>
      <c r="J616" s="292"/>
      <c r="K616" s="288"/>
      <c r="L616" s="288"/>
      <c r="M616" s="288"/>
      <c r="N616" s="288"/>
      <c r="O616" s="288"/>
      <c r="P616" s="288"/>
      <c r="Q616" s="288"/>
      <c r="R616" s="257"/>
      <c r="S616" s="258"/>
      <c r="T616" s="255"/>
      <c r="U616" s="255"/>
      <c r="V616" s="259"/>
      <c r="W616" s="286"/>
      <c r="X616" s="286"/>
      <c r="Y616" s="286"/>
    </row>
    <row r="617">
      <c r="A617" s="28"/>
      <c r="B617" s="293"/>
      <c r="C617" s="28"/>
      <c r="D617" s="289"/>
      <c r="E617" s="294"/>
      <c r="F617" s="291"/>
      <c r="G617" s="292"/>
      <c r="H617" s="292"/>
      <c r="I617" s="292"/>
      <c r="J617" s="292"/>
      <c r="K617" s="288"/>
      <c r="L617" s="288"/>
      <c r="M617" s="288"/>
      <c r="N617" s="288"/>
      <c r="O617" s="288"/>
      <c r="P617" s="288"/>
      <c r="Q617" s="288"/>
      <c r="R617" s="257"/>
      <c r="S617" s="258"/>
      <c r="T617" s="255"/>
      <c r="U617" s="255"/>
      <c r="V617" s="259"/>
      <c r="W617" s="286"/>
      <c r="X617" s="286"/>
      <c r="Y617" s="286"/>
    </row>
    <row r="618">
      <c r="A618" s="28"/>
      <c r="B618" s="293"/>
      <c r="C618" s="28"/>
      <c r="D618" s="289"/>
      <c r="E618" s="294"/>
      <c r="F618" s="291"/>
      <c r="G618" s="292"/>
      <c r="H618" s="292"/>
      <c r="I618" s="292"/>
      <c r="J618" s="292"/>
      <c r="K618" s="288"/>
      <c r="L618" s="288"/>
      <c r="M618" s="288"/>
      <c r="N618" s="288"/>
      <c r="O618" s="288"/>
      <c r="P618" s="288"/>
      <c r="Q618" s="288"/>
      <c r="R618" s="257"/>
      <c r="S618" s="258"/>
      <c r="T618" s="255"/>
      <c r="U618" s="255"/>
      <c r="V618" s="259"/>
      <c r="W618" s="286"/>
      <c r="X618" s="286"/>
      <c r="Y618" s="286"/>
    </row>
    <row r="619">
      <c r="A619" s="28"/>
      <c r="B619" s="293"/>
      <c r="C619" s="28"/>
      <c r="D619" s="289"/>
      <c r="E619" s="294"/>
      <c r="F619" s="291"/>
      <c r="G619" s="292"/>
      <c r="H619" s="292"/>
      <c r="I619" s="292"/>
      <c r="J619" s="292"/>
      <c r="K619" s="288"/>
      <c r="L619" s="288"/>
      <c r="M619" s="288"/>
      <c r="N619" s="288"/>
      <c r="O619" s="288"/>
      <c r="P619" s="288"/>
      <c r="Q619" s="288"/>
      <c r="R619" s="257"/>
      <c r="S619" s="258"/>
      <c r="T619" s="255"/>
      <c r="U619" s="255"/>
      <c r="V619" s="259"/>
      <c r="W619" s="286"/>
      <c r="X619" s="286"/>
      <c r="Y619" s="286"/>
    </row>
    <row r="620">
      <c r="A620" s="28"/>
      <c r="B620" s="293"/>
      <c r="C620" s="28"/>
      <c r="D620" s="289"/>
      <c r="E620" s="294"/>
      <c r="F620" s="291"/>
      <c r="G620" s="292"/>
      <c r="H620" s="292"/>
      <c r="I620" s="292"/>
      <c r="J620" s="292"/>
      <c r="K620" s="288"/>
      <c r="L620" s="288"/>
      <c r="M620" s="288"/>
      <c r="N620" s="288"/>
      <c r="O620" s="288"/>
      <c r="P620" s="288"/>
      <c r="Q620" s="288"/>
      <c r="R620" s="257"/>
      <c r="S620" s="258"/>
      <c r="T620" s="255"/>
      <c r="U620" s="255"/>
      <c r="V620" s="259"/>
      <c r="W620" s="286"/>
      <c r="X620" s="286"/>
      <c r="Y620" s="286"/>
    </row>
    <row r="621">
      <c r="A621" s="28"/>
      <c r="B621" s="293"/>
      <c r="C621" s="28"/>
      <c r="D621" s="289"/>
      <c r="E621" s="294"/>
      <c r="F621" s="291"/>
      <c r="G621" s="292"/>
      <c r="H621" s="292"/>
      <c r="I621" s="292"/>
      <c r="J621" s="292"/>
      <c r="K621" s="288"/>
      <c r="L621" s="288"/>
      <c r="M621" s="288"/>
      <c r="N621" s="288"/>
      <c r="O621" s="288"/>
      <c r="P621" s="288"/>
      <c r="Q621" s="288"/>
      <c r="R621" s="257"/>
      <c r="S621" s="258"/>
      <c r="T621" s="255"/>
      <c r="U621" s="255"/>
      <c r="V621" s="259"/>
      <c r="W621" s="286"/>
      <c r="X621" s="286"/>
      <c r="Y621" s="286"/>
    </row>
    <row r="622">
      <c r="A622" s="28"/>
      <c r="B622" s="293"/>
      <c r="C622" s="28"/>
      <c r="D622" s="289"/>
      <c r="E622" s="294"/>
      <c r="F622" s="291"/>
      <c r="G622" s="292"/>
      <c r="H622" s="292"/>
      <c r="I622" s="292"/>
      <c r="J622" s="292"/>
      <c r="K622" s="288"/>
      <c r="L622" s="288"/>
      <c r="M622" s="288"/>
      <c r="N622" s="288"/>
      <c r="O622" s="288"/>
      <c r="P622" s="288"/>
      <c r="Q622" s="288"/>
      <c r="R622" s="257"/>
      <c r="S622" s="258"/>
      <c r="T622" s="255"/>
      <c r="U622" s="255"/>
      <c r="V622" s="259"/>
      <c r="W622" s="286"/>
      <c r="X622" s="286"/>
      <c r="Y622" s="286"/>
    </row>
    <row r="623">
      <c r="A623" s="28"/>
      <c r="B623" s="293"/>
      <c r="C623" s="28"/>
      <c r="D623" s="289"/>
      <c r="E623" s="294"/>
      <c r="F623" s="291"/>
      <c r="G623" s="292"/>
      <c r="H623" s="292"/>
      <c r="I623" s="292"/>
      <c r="J623" s="292"/>
      <c r="K623" s="288"/>
      <c r="L623" s="288"/>
      <c r="M623" s="288"/>
      <c r="N623" s="288"/>
      <c r="O623" s="288"/>
      <c r="P623" s="288"/>
      <c r="Q623" s="288"/>
      <c r="R623" s="257"/>
      <c r="S623" s="258"/>
      <c r="T623" s="255"/>
      <c r="U623" s="255"/>
      <c r="V623" s="259"/>
      <c r="W623" s="286"/>
      <c r="X623" s="286"/>
      <c r="Y623" s="286"/>
    </row>
    <row r="624">
      <c r="A624" s="28"/>
      <c r="B624" s="293"/>
      <c r="C624" s="28"/>
      <c r="D624" s="289"/>
      <c r="E624" s="294"/>
      <c r="F624" s="291"/>
      <c r="G624" s="292"/>
      <c r="H624" s="292"/>
      <c r="I624" s="292"/>
      <c r="J624" s="292"/>
      <c r="K624" s="288"/>
      <c r="L624" s="288"/>
      <c r="M624" s="288"/>
      <c r="N624" s="288"/>
      <c r="O624" s="288"/>
      <c r="P624" s="288"/>
      <c r="Q624" s="288"/>
      <c r="R624" s="257"/>
      <c r="S624" s="258"/>
      <c r="T624" s="255"/>
      <c r="U624" s="255"/>
      <c r="V624" s="259"/>
      <c r="W624" s="286"/>
      <c r="X624" s="286"/>
      <c r="Y624" s="286"/>
    </row>
    <row r="625">
      <c r="A625" s="28"/>
      <c r="B625" s="293"/>
      <c r="C625" s="28"/>
      <c r="D625" s="289"/>
      <c r="E625" s="294"/>
      <c r="F625" s="291"/>
      <c r="G625" s="292"/>
      <c r="H625" s="292"/>
      <c r="I625" s="292"/>
      <c r="J625" s="292"/>
      <c r="K625" s="288"/>
      <c r="L625" s="288"/>
      <c r="M625" s="288"/>
      <c r="N625" s="288"/>
      <c r="O625" s="288"/>
      <c r="P625" s="288"/>
      <c r="Q625" s="288"/>
      <c r="R625" s="257"/>
      <c r="S625" s="258"/>
      <c r="T625" s="255"/>
      <c r="U625" s="255"/>
      <c r="V625" s="259"/>
      <c r="W625" s="286"/>
      <c r="X625" s="286"/>
      <c r="Y625" s="286"/>
    </row>
    <row r="626">
      <c r="A626" s="28"/>
      <c r="B626" s="293"/>
      <c r="C626" s="28"/>
      <c r="D626" s="289"/>
      <c r="E626" s="294"/>
      <c r="F626" s="291"/>
      <c r="G626" s="292"/>
      <c r="H626" s="292"/>
      <c r="I626" s="292"/>
      <c r="J626" s="292"/>
      <c r="K626" s="288"/>
      <c r="L626" s="288"/>
      <c r="M626" s="288"/>
      <c r="N626" s="288"/>
      <c r="O626" s="288"/>
      <c r="P626" s="288"/>
      <c r="Q626" s="288"/>
      <c r="R626" s="257"/>
      <c r="S626" s="258"/>
      <c r="T626" s="255"/>
      <c r="U626" s="255"/>
      <c r="V626" s="259"/>
      <c r="W626" s="286"/>
      <c r="X626" s="286"/>
      <c r="Y626" s="286"/>
    </row>
    <row r="627">
      <c r="A627" s="28"/>
      <c r="B627" s="293"/>
      <c r="C627" s="28"/>
      <c r="D627" s="289"/>
      <c r="E627" s="294"/>
      <c r="F627" s="291"/>
      <c r="G627" s="292"/>
      <c r="H627" s="292"/>
      <c r="I627" s="292"/>
      <c r="J627" s="292"/>
      <c r="K627" s="288"/>
      <c r="L627" s="288"/>
      <c r="M627" s="288"/>
      <c r="N627" s="288"/>
      <c r="O627" s="288"/>
      <c r="P627" s="288"/>
      <c r="Q627" s="288"/>
      <c r="R627" s="257"/>
      <c r="S627" s="258"/>
      <c r="T627" s="255"/>
      <c r="U627" s="255"/>
      <c r="V627" s="259"/>
      <c r="W627" s="286"/>
      <c r="X627" s="286"/>
      <c r="Y627" s="286"/>
    </row>
    <row r="628">
      <c r="A628" s="28"/>
      <c r="B628" s="293"/>
      <c r="C628" s="28"/>
      <c r="D628" s="289"/>
      <c r="E628" s="294"/>
      <c r="F628" s="291"/>
      <c r="G628" s="292"/>
      <c r="H628" s="292"/>
      <c r="I628" s="292"/>
      <c r="J628" s="292"/>
      <c r="K628" s="288"/>
      <c r="L628" s="288"/>
      <c r="M628" s="288"/>
      <c r="N628" s="288"/>
      <c r="O628" s="288"/>
      <c r="P628" s="288"/>
      <c r="Q628" s="288"/>
      <c r="R628" s="257"/>
      <c r="S628" s="258"/>
      <c r="T628" s="255"/>
      <c r="U628" s="255"/>
      <c r="V628" s="259"/>
      <c r="W628" s="286"/>
      <c r="X628" s="286"/>
      <c r="Y628" s="286"/>
    </row>
    <row r="629">
      <c r="A629" s="28"/>
      <c r="B629" s="293"/>
      <c r="C629" s="28"/>
      <c r="D629" s="289"/>
      <c r="E629" s="294"/>
      <c r="F629" s="291"/>
      <c r="G629" s="292"/>
      <c r="H629" s="292"/>
      <c r="I629" s="292"/>
      <c r="J629" s="292"/>
      <c r="K629" s="288"/>
      <c r="L629" s="288"/>
      <c r="M629" s="288"/>
      <c r="N629" s="288"/>
      <c r="O629" s="288"/>
      <c r="P629" s="288"/>
      <c r="Q629" s="288"/>
      <c r="R629" s="257"/>
      <c r="S629" s="258"/>
      <c r="T629" s="255"/>
      <c r="U629" s="255"/>
      <c r="V629" s="259"/>
      <c r="W629" s="286"/>
      <c r="X629" s="286"/>
      <c r="Y629" s="286"/>
    </row>
    <row r="630">
      <c r="A630" s="28"/>
      <c r="B630" s="293"/>
      <c r="C630" s="28"/>
      <c r="D630" s="289"/>
      <c r="E630" s="294"/>
      <c r="F630" s="291"/>
      <c r="G630" s="292"/>
      <c r="H630" s="292"/>
      <c r="I630" s="292"/>
      <c r="J630" s="292"/>
      <c r="K630" s="288"/>
      <c r="L630" s="288"/>
      <c r="M630" s="288"/>
      <c r="N630" s="288"/>
      <c r="O630" s="288"/>
      <c r="P630" s="288"/>
      <c r="Q630" s="288"/>
      <c r="R630" s="257"/>
      <c r="S630" s="258"/>
      <c r="T630" s="255"/>
      <c r="U630" s="255"/>
      <c r="V630" s="259"/>
      <c r="W630" s="286"/>
      <c r="X630" s="286"/>
      <c r="Y630" s="286"/>
    </row>
    <row r="631">
      <c r="A631" s="28"/>
      <c r="B631" s="293"/>
      <c r="C631" s="28"/>
      <c r="D631" s="289"/>
      <c r="E631" s="294"/>
      <c r="F631" s="291"/>
      <c r="G631" s="292"/>
      <c r="H631" s="292"/>
      <c r="I631" s="292"/>
      <c r="J631" s="292"/>
      <c r="K631" s="288"/>
      <c r="L631" s="288"/>
      <c r="M631" s="288"/>
      <c r="N631" s="288"/>
      <c r="O631" s="288"/>
      <c r="P631" s="288"/>
      <c r="Q631" s="288"/>
      <c r="R631" s="257"/>
      <c r="S631" s="258"/>
      <c r="T631" s="255"/>
      <c r="U631" s="255"/>
      <c r="V631" s="259"/>
      <c r="W631" s="286"/>
      <c r="X631" s="286"/>
      <c r="Y631" s="286"/>
    </row>
    <row r="632">
      <c r="A632" s="28"/>
      <c r="B632" s="293"/>
      <c r="C632" s="28"/>
      <c r="D632" s="289"/>
      <c r="E632" s="294"/>
      <c r="F632" s="291"/>
      <c r="G632" s="292"/>
      <c r="H632" s="292"/>
      <c r="I632" s="292"/>
      <c r="J632" s="292"/>
      <c r="K632" s="288"/>
      <c r="L632" s="288"/>
      <c r="M632" s="288"/>
      <c r="N632" s="288"/>
      <c r="O632" s="288"/>
      <c r="P632" s="288"/>
      <c r="Q632" s="288"/>
      <c r="R632" s="257"/>
      <c r="S632" s="258"/>
      <c r="T632" s="255"/>
      <c r="U632" s="255"/>
      <c r="V632" s="259"/>
      <c r="W632" s="286"/>
      <c r="X632" s="286"/>
      <c r="Y632" s="286"/>
    </row>
    <row r="633">
      <c r="A633" s="28"/>
      <c r="B633" s="293"/>
      <c r="C633" s="28"/>
      <c r="D633" s="289"/>
      <c r="E633" s="294"/>
      <c r="F633" s="291"/>
      <c r="G633" s="292"/>
      <c r="H633" s="292"/>
      <c r="I633" s="292"/>
      <c r="J633" s="292"/>
      <c r="K633" s="288"/>
      <c r="L633" s="288"/>
      <c r="M633" s="288"/>
      <c r="N633" s="288"/>
      <c r="O633" s="288"/>
      <c r="P633" s="288"/>
      <c r="Q633" s="288"/>
      <c r="R633" s="257"/>
      <c r="S633" s="258"/>
      <c r="T633" s="255"/>
      <c r="U633" s="255"/>
      <c r="V633" s="259"/>
      <c r="W633" s="286"/>
      <c r="X633" s="286"/>
      <c r="Y633" s="286"/>
    </row>
    <row r="634">
      <c r="A634" s="28"/>
      <c r="B634" s="293"/>
      <c r="C634" s="28"/>
      <c r="D634" s="289"/>
      <c r="E634" s="294"/>
      <c r="F634" s="291"/>
      <c r="G634" s="292"/>
      <c r="H634" s="292"/>
      <c r="I634" s="292"/>
      <c r="J634" s="292"/>
      <c r="K634" s="288"/>
      <c r="L634" s="288"/>
      <c r="M634" s="288"/>
      <c r="N634" s="288"/>
      <c r="O634" s="288"/>
      <c r="P634" s="288"/>
      <c r="Q634" s="288"/>
      <c r="R634" s="257"/>
      <c r="S634" s="258"/>
      <c r="T634" s="255"/>
      <c r="U634" s="255"/>
      <c r="V634" s="259"/>
      <c r="W634" s="286"/>
      <c r="X634" s="286"/>
      <c r="Y634" s="286"/>
    </row>
    <row r="635">
      <c r="A635" s="28"/>
      <c r="B635" s="293"/>
      <c r="C635" s="28"/>
      <c r="D635" s="289"/>
      <c r="E635" s="294"/>
      <c r="F635" s="291"/>
      <c r="G635" s="292"/>
      <c r="H635" s="292"/>
      <c r="I635" s="292"/>
      <c r="J635" s="292"/>
      <c r="K635" s="288"/>
      <c r="L635" s="288"/>
      <c r="M635" s="288"/>
      <c r="N635" s="288"/>
      <c r="O635" s="288"/>
      <c r="P635" s="288"/>
      <c r="Q635" s="288"/>
      <c r="R635" s="257"/>
      <c r="S635" s="258"/>
      <c r="T635" s="255"/>
      <c r="U635" s="255"/>
      <c r="V635" s="259"/>
      <c r="W635" s="286"/>
      <c r="X635" s="286"/>
      <c r="Y635" s="286"/>
    </row>
    <row r="636">
      <c r="A636" s="28"/>
      <c r="B636" s="293"/>
      <c r="C636" s="28"/>
      <c r="D636" s="289"/>
      <c r="E636" s="294"/>
      <c r="F636" s="291"/>
      <c r="G636" s="292"/>
      <c r="H636" s="292"/>
      <c r="I636" s="292"/>
      <c r="J636" s="292"/>
      <c r="K636" s="288"/>
      <c r="L636" s="288"/>
      <c r="M636" s="288"/>
      <c r="N636" s="288"/>
      <c r="O636" s="288"/>
      <c r="P636" s="288"/>
      <c r="Q636" s="288"/>
      <c r="R636" s="257"/>
      <c r="S636" s="258"/>
      <c r="T636" s="255"/>
      <c r="U636" s="255"/>
      <c r="V636" s="259"/>
      <c r="W636" s="286"/>
      <c r="X636" s="286"/>
      <c r="Y636" s="286"/>
    </row>
    <row r="637">
      <c r="A637" s="28"/>
      <c r="B637" s="293"/>
      <c r="C637" s="28"/>
      <c r="D637" s="289"/>
      <c r="E637" s="294"/>
      <c r="F637" s="291"/>
      <c r="G637" s="292"/>
      <c r="H637" s="292"/>
      <c r="I637" s="292"/>
      <c r="J637" s="292"/>
      <c r="K637" s="288"/>
      <c r="L637" s="288"/>
      <c r="M637" s="288"/>
      <c r="N637" s="288"/>
      <c r="O637" s="288"/>
      <c r="P637" s="288"/>
      <c r="Q637" s="288"/>
      <c r="R637" s="257"/>
      <c r="S637" s="258"/>
      <c r="T637" s="255"/>
      <c r="U637" s="255"/>
      <c r="V637" s="259"/>
      <c r="W637" s="286"/>
      <c r="X637" s="286"/>
      <c r="Y637" s="286"/>
    </row>
    <row r="638">
      <c r="A638" s="28"/>
      <c r="B638" s="293"/>
      <c r="C638" s="28"/>
      <c r="D638" s="289"/>
      <c r="E638" s="294"/>
      <c r="F638" s="291"/>
      <c r="G638" s="292"/>
      <c r="H638" s="292"/>
      <c r="I638" s="292"/>
      <c r="J638" s="292"/>
      <c r="K638" s="288"/>
      <c r="L638" s="288"/>
      <c r="M638" s="288"/>
      <c r="N638" s="288"/>
      <c r="O638" s="288"/>
      <c r="P638" s="288"/>
      <c r="Q638" s="288"/>
      <c r="R638" s="257"/>
      <c r="S638" s="258"/>
      <c r="T638" s="255"/>
      <c r="U638" s="255"/>
      <c r="V638" s="259"/>
      <c r="W638" s="286"/>
      <c r="X638" s="286"/>
      <c r="Y638" s="286"/>
    </row>
    <row r="639">
      <c r="A639" s="28"/>
      <c r="B639" s="293"/>
      <c r="C639" s="28"/>
      <c r="D639" s="289"/>
      <c r="E639" s="294"/>
      <c r="F639" s="291"/>
      <c r="G639" s="292"/>
      <c r="H639" s="292"/>
      <c r="I639" s="292"/>
      <c r="J639" s="292"/>
      <c r="K639" s="288"/>
      <c r="L639" s="288"/>
      <c r="M639" s="288"/>
      <c r="N639" s="288"/>
      <c r="O639" s="288"/>
      <c r="P639" s="288"/>
      <c r="Q639" s="288"/>
      <c r="R639" s="257"/>
      <c r="S639" s="258"/>
      <c r="T639" s="255"/>
      <c r="U639" s="255"/>
      <c r="V639" s="259"/>
      <c r="W639" s="286"/>
      <c r="X639" s="286"/>
      <c r="Y639" s="286"/>
    </row>
    <row r="640">
      <c r="A640" s="28"/>
      <c r="B640" s="293"/>
      <c r="C640" s="28"/>
      <c r="D640" s="289"/>
      <c r="E640" s="294"/>
      <c r="F640" s="291"/>
      <c r="G640" s="292"/>
      <c r="H640" s="292"/>
      <c r="I640" s="292"/>
      <c r="J640" s="292"/>
      <c r="K640" s="288"/>
      <c r="L640" s="288"/>
      <c r="M640" s="288"/>
      <c r="N640" s="288"/>
      <c r="O640" s="288"/>
      <c r="P640" s="288"/>
      <c r="Q640" s="288"/>
      <c r="R640" s="257"/>
      <c r="S640" s="258"/>
      <c r="T640" s="255"/>
      <c r="U640" s="255"/>
      <c r="V640" s="259"/>
      <c r="W640" s="286"/>
      <c r="X640" s="286"/>
      <c r="Y640" s="286"/>
    </row>
    <row r="641">
      <c r="A641" s="28"/>
      <c r="B641" s="293"/>
      <c r="C641" s="28"/>
      <c r="D641" s="289"/>
      <c r="E641" s="294"/>
      <c r="F641" s="291"/>
      <c r="G641" s="292"/>
      <c r="H641" s="292"/>
      <c r="I641" s="292"/>
      <c r="J641" s="292"/>
      <c r="K641" s="288"/>
      <c r="L641" s="288"/>
      <c r="M641" s="288"/>
      <c r="N641" s="288"/>
      <c r="O641" s="288"/>
      <c r="P641" s="288"/>
      <c r="Q641" s="288"/>
      <c r="R641" s="257"/>
      <c r="S641" s="258"/>
      <c r="T641" s="255"/>
      <c r="U641" s="255"/>
      <c r="V641" s="259"/>
      <c r="W641" s="286"/>
      <c r="X641" s="286"/>
      <c r="Y641" s="286"/>
    </row>
    <row r="642">
      <c r="A642" s="28"/>
      <c r="B642" s="293"/>
      <c r="C642" s="28"/>
      <c r="D642" s="289"/>
      <c r="E642" s="294"/>
      <c r="F642" s="291"/>
      <c r="G642" s="292"/>
      <c r="H642" s="292"/>
      <c r="I642" s="292"/>
      <c r="J642" s="292"/>
      <c r="K642" s="288"/>
      <c r="L642" s="288"/>
      <c r="M642" s="288"/>
      <c r="N642" s="288"/>
      <c r="O642" s="288"/>
      <c r="P642" s="288"/>
      <c r="Q642" s="288"/>
      <c r="R642" s="257"/>
      <c r="S642" s="258"/>
      <c r="T642" s="255"/>
      <c r="U642" s="255"/>
      <c r="V642" s="259"/>
      <c r="W642" s="286"/>
      <c r="X642" s="286"/>
      <c r="Y642" s="286"/>
    </row>
    <row r="643">
      <c r="A643" s="28"/>
      <c r="B643" s="293"/>
      <c r="C643" s="28"/>
      <c r="D643" s="289"/>
      <c r="E643" s="294"/>
      <c r="F643" s="291"/>
      <c r="G643" s="292"/>
      <c r="H643" s="292"/>
      <c r="I643" s="292"/>
      <c r="J643" s="292"/>
      <c r="K643" s="288"/>
      <c r="L643" s="288"/>
      <c r="M643" s="288"/>
      <c r="N643" s="288"/>
      <c r="O643" s="288"/>
      <c r="P643" s="288"/>
      <c r="Q643" s="288"/>
      <c r="R643" s="257"/>
      <c r="S643" s="258"/>
      <c r="T643" s="255"/>
      <c r="U643" s="255"/>
      <c r="V643" s="259"/>
      <c r="W643" s="286"/>
      <c r="X643" s="286"/>
      <c r="Y643" s="286"/>
    </row>
    <row r="644">
      <c r="A644" s="28"/>
      <c r="B644" s="293"/>
      <c r="C644" s="28"/>
      <c r="D644" s="289"/>
      <c r="E644" s="294"/>
      <c r="F644" s="291"/>
      <c r="G644" s="292"/>
      <c r="H644" s="292"/>
      <c r="I644" s="292"/>
      <c r="J644" s="292"/>
      <c r="K644" s="288"/>
      <c r="L644" s="288"/>
      <c r="M644" s="288"/>
      <c r="N644" s="288"/>
      <c r="O644" s="288"/>
      <c r="P644" s="288"/>
      <c r="Q644" s="288"/>
      <c r="R644" s="257"/>
      <c r="S644" s="258"/>
      <c r="T644" s="255"/>
      <c r="U644" s="255"/>
      <c r="V644" s="259"/>
      <c r="W644" s="286"/>
      <c r="X644" s="286"/>
      <c r="Y644" s="286"/>
    </row>
    <row r="645">
      <c r="A645" s="28"/>
      <c r="B645" s="293"/>
      <c r="C645" s="28"/>
      <c r="D645" s="289"/>
      <c r="E645" s="294"/>
      <c r="F645" s="291"/>
      <c r="G645" s="292"/>
      <c r="H645" s="292"/>
      <c r="I645" s="292"/>
      <c r="J645" s="292"/>
      <c r="K645" s="288"/>
      <c r="L645" s="288"/>
      <c r="M645" s="288"/>
      <c r="N645" s="288"/>
      <c r="O645" s="288"/>
      <c r="P645" s="288"/>
      <c r="Q645" s="288"/>
      <c r="R645" s="257"/>
      <c r="S645" s="258"/>
      <c r="T645" s="255"/>
      <c r="U645" s="255"/>
      <c r="V645" s="259"/>
      <c r="W645" s="286"/>
      <c r="X645" s="286"/>
      <c r="Y645" s="286"/>
    </row>
    <row r="646">
      <c r="A646" s="28"/>
      <c r="B646" s="293"/>
      <c r="C646" s="28"/>
      <c r="D646" s="289"/>
      <c r="E646" s="294"/>
      <c r="F646" s="291"/>
      <c r="G646" s="292"/>
      <c r="H646" s="292"/>
      <c r="I646" s="292"/>
      <c r="J646" s="292"/>
      <c r="K646" s="288"/>
      <c r="L646" s="288"/>
      <c r="M646" s="288"/>
      <c r="N646" s="288"/>
      <c r="O646" s="288"/>
      <c r="P646" s="288"/>
      <c r="Q646" s="288"/>
      <c r="R646" s="257"/>
      <c r="S646" s="258"/>
      <c r="T646" s="255"/>
      <c r="U646" s="255"/>
      <c r="V646" s="259"/>
      <c r="W646" s="286"/>
      <c r="X646" s="286"/>
      <c r="Y646" s="286"/>
    </row>
    <row r="647">
      <c r="A647" s="28"/>
      <c r="B647" s="293"/>
      <c r="C647" s="28"/>
      <c r="D647" s="289"/>
      <c r="E647" s="294"/>
      <c r="F647" s="291"/>
      <c r="G647" s="292"/>
      <c r="H647" s="292"/>
      <c r="I647" s="292"/>
      <c r="J647" s="292"/>
      <c r="K647" s="288"/>
      <c r="L647" s="288"/>
      <c r="M647" s="288"/>
      <c r="N647" s="288"/>
      <c r="O647" s="288"/>
      <c r="P647" s="288"/>
      <c r="Q647" s="288"/>
      <c r="R647" s="257"/>
      <c r="S647" s="258"/>
      <c r="T647" s="255"/>
      <c r="U647" s="255"/>
      <c r="V647" s="259"/>
      <c r="W647" s="286"/>
      <c r="X647" s="286"/>
      <c r="Y647" s="286"/>
    </row>
    <row r="648">
      <c r="A648" s="28"/>
      <c r="B648" s="293"/>
      <c r="C648" s="28"/>
      <c r="D648" s="289"/>
      <c r="E648" s="294"/>
      <c r="F648" s="291"/>
      <c r="G648" s="292"/>
      <c r="H648" s="292"/>
      <c r="I648" s="292"/>
      <c r="J648" s="292"/>
      <c r="K648" s="288"/>
      <c r="L648" s="288"/>
      <c r="M648" s="288"/>
      <c r="N648" s="288"/>
      <c r="O648" s="288"/>
      <c r="P648" s="288"/>
      <c r="Q648" s="288"/>
      <c r="R648" s="257"/>
      <c r="S648" s="258"/>
      <c r="T648" s="255"/>
      <c r="U648" s="255"/>
      <c r="V648" s="259"/>
      <c r="W648" s="286"/>
      <c r="X648" s="286"/>
      <c r="Y648" s="286"/>
    </row>
    <row r="649">
      <c r="A649" s="28"/>
      <c r="B649" s="293"/>
      <c r="C649" s="28"/>
      <c r="D649" s="289"/>
      <c r="E649" s="294"/>
      <c r="F649" s="291"/>
      <c r="G649" s="292"/>
      <c r="H649" s="292"/>
      <c r="I649" s="292"/>
      <c r="J649" s="292"/>
      <c r="K649" s="288"/>
      <c r="L649" s="288"/>
      <c r="M649" s="288"/>
      <c r="N649" s="288"/>
      <c r="O649" s="288"/>
      <c r="P649" s="288"/>
      <c r="Q649" s="288"/>
      <c r="R649" s="257"/>
      <c r="S649" s="258"/>
      <c r="T649" s="255"/>
      <c r="U649" s="255"/>
      <c r="V649" s="259"/>
      <c r="W649" s="286"/>
      <c r="X649" s="286"/>
      <c r="Y649" s="286"/>
    </row>
    <row r="650">
      <c r="A650" s="28"/>
      <c r="B650" s="293"/>
      <c r="C650" s="28"/>
      <c r="D650" s="289"/>
      <c r="E650" s="294"/>
      <c r="F650" s="291"/>
      <c r="G650" s="292"/>
      <c r="H650" s="292"/>
      <c r="I650" s="292"/>
      <c r="J650" s="292"/>
      <c r="K650" s="288"/>
      <c r="L650" s="288"/>
      <c r="M650" s="288"/>
      <c r="N650" s="288"/>
      <c r="O650" s="288"/>
      <c r="P650" s="288"/>
      <c r="Q650" s="288"/>
      <c r="R650" s="257"/>
      <c r="S650" s="258"/>
      <c r="T650" s="255"/>
      <c r="U650" s="255"/>
      <c r="V650" s="259"/>
      <c r="W650" s="286"/>
      <c r="X650" s="286"/>
      <c r="Y650" s="286"/>
    </row>
    <row r="651">
      <c r="A651" s="28"/>
      <c r="B651" s="293"/>
      <c r="C651" s="28"/>
      <c r="D651" s="289"/>
      <c r="E651" s="294"/>
      <c r="F651" s="291"/>
      <c r="G651" s="292"/>
      <c r="H651" s="292"/>
      <c r="I651" s="292"/>
      <c r="J651" s="292"/>
      <c r="K651" s="288"/>
      <c r="L651" s="288"/>
      <c r="M651" s="288"/>
      <c r="N651" s="288"/>
      <c r="O651" s="288"/>
      <c r="P651" s="288"/>
      <c r="Q651" s="288"/>
      <c r="R651" s="257"/>
      <c r="S651" s="258"/>
      <c r="T651" s="255"/>
      <c r="U651" s="255"/>
      <c r="V651" s="259"/>
      <c r="W651" s="286"/>
      <c r="X651" s="286"/>
      <c r="Y651" s="286"/>
    </row>
    <row r="652">
      <c r="A652" s="28"/>
      <c r="B652" s="293"/>
      <c r="C652" s="28"/>
      <c r="D652" s="289"/>
      <c r="E652" s="294"/>
      <c r="F652" s="291"/>
      <c r="G652" s="292"/>
      <c r="H652" s="292"/>
      <c r="I652" s="292"/>
      <c r="J652" s="292"/>
      <c r="K652" s="288"/>
      <c r="L652" s="288"/>
      <c r="M652" s="288"/>
      <c r="N652" s="288"/>
      <c r="O652" s="288"/>
      <c r="P652" s="288"/>
      <c r="Q652" s="288"/>
      <c r="R652" s="257"/>
      <c r="S652" s="258"/>
      <c r="T652" s="255"/>
      <c r="U652" s="255"/>
      <c r="V652" s="259"/>
      <c r="W652" s="286"/>
      <c r="X652" s="286"/>
      <c r="Y652" s="286"/>
    </row>
    <row r="653">
      <c r="A653" s="28"/>
      <c r="B653" s="293"/>
      <c r="C653" s="28"/>
      <c r="D653" s="289"/>
      <c r="E653" s="294"/>
      <c r="F653" s="291"/>
      <c r="G653" s="292"/>
      <c r="H653" s="292"/>
      <c r="I653" s="292"/>
      <c r="J653" s="292"/>
      <c r="K653" s="288"/>
      <c r="L653" s="288"/>
      <c r="M653" s="288"/>
      <c r="N653" s="288"/>
      <c r="O653" s="288"/>
      <c r="P653" s="288"/>
      <c r="Q653" s="288"/>
      <c r="R653" s="257"/>
      <c r="S653" s="258"/>
      <c r="T653" s="255"/>
      <c r="U653" s="255"/>
      <c r="V653" s="259"/>
      <c r="W653" s="286"/>
      <c r="X653" s="286"/>
      <c r="Y653" s="286"/>
    </row>
    <row r="654">
      <c r="A654" s="28"/>
      <c r="B654" s="293"/>
      <c r="C654" s="28"/>
      <c r="D654" s="289"/>
      <c r="E654" s="294"/>
      <c r="F654" s="291"/>
      <c r="G654" s="292"/>
      <c r="H654" s="292"/>
      <c r="I654" s="292"/>
      <c r="J654" s="292"/>
      <c r="K654" s="288"/>
      <c r="L654" s="288"/>
      <c r="M654" s="288"/>
      <c r="N654" s="288"/>
      <c r="O654" s="288"/>
      <c r="P654" s="288"/>
      <c r="Q654" s="288"/>
      <c r="R654" s="257"/>
      <c r="S654" s="258"/>
      <c r="T654" s="255"/>
      <c r="U654" s="255"/>
      <c r="V654" s="259"/>
      <c r="W654" s="286"/>
      <c r="X654" s="286"/>
      <c r="Y654" s="286"/>
    </row>
    <row r="655">
      <c r="A655" s="28"/>
      <c r="B655" s="293"/>
      <c r="C655" s="28"/>
      <c r="D655" s="289"/>
      <c r="E655" s="294"/>
      <c r="F655" s="291"/>
      <c r="G655" s="292"/>
      <c r="H655" s="292"/>
      <c r="I655" s="292"/>
      <c r="J655" s="292"/>
      <c r="K655" s="288"/>
      <c r="L655" s="288"/>
      <c r="M655" s="288"/>
      <c r="N655" s="288"/>
      <c r="O655" s="288"/>
      <c r="P655" s="288"/>
      <c r="Q655" s="288"/>
      <c r="R655" s="257"/>
      <c r="S655" s="258"/>
      <c r="T655" s="255"/>
      <c r="U655" s="255"/>
      <c r="V655" s="259"/>
      <c r="W655" s="286"/>
      <c r="X655" s="286"/>
      <c r="Y655" s="286"/>
    </row>
    <row r="656">
      <c r="A656" s="28"/>
      <c r="B656" s="293"/>
      <c r="C656" s="28"/>
      <c r="D656" s="289"/>
      <c r="E656" s="294"/>
      <c r="F656" s="291"/>
      <c r="G656" s="292"/>
      <c r="H656" s="292"/>
      <c r="I656" s="292"/>
      <c r="J656" s="292"/>
      <c r="K656" s="288"/>
      <c r="L656" s="288"/>
      <c r="M656" s="288"/>
      <c r="N656" s="288"/>
      <c r="O656" s="288"/>
      <c r="P656" s="288"/>
      <c r="Q656" s="288"/>
      <c r="R656" s="257"/>
      <c r="S656" s="258"/>
      <c r="T656" s="255"/>
      <c r="U656" s="255"/>
      <c r="V656" s="259"/>
      <c r="W656" s="286"/>
      <c r="X656" s="286"/>
      <c r="Y656" s="286"/>
    </row>
    <row r="657">
      <c r="A657" s="28"/>
      <c r="B657" s="293"/>
      <c r="C657" s="28"/>
      <c r="D657" s="289"/>
      <c r="E657" s="294"/>
      <c r="F657" s="291"/>
      <c r="G657" s="292"/>
      <c r="H657" s="292"/>
      <c r="I657" s="292"/>
      <c r="J657" s="292"/>
      <c r="K657" s="288"/>
      <c r="L657" s="288"/>
      <c r="M657" s="288"/>
      <c r="N657" s="288"/>
      <c r="O657" s="288"/>
      <c r="P657" s="288"/>
      <c r="Q657" s="288"/>
      <c r="R657" s="257"/>
      <c r="S657" s="258"/>
      <c r="T657" s="255"/>
      <c r="U657" s="255"/>
      <c r="V657" s="259"/>
      <c r="W657" s="286"/>
      <c r="X657" s="286"/>
      <c r="Y657" s="286"/>
    </row>
    <row r="658">
      <c r="A658" s="28"/>
      <c r="B658" s="293"/>
      <c r="C658" s="28"/>
      <c r="D658" s="289"/>
      <c r="E658" s="294"/>
      <c r="F658" s="291"/>
      <c r="G658" s="292"/>
      <c r="H658" s="292"/>
      <c r="I658" s="292"/>
      <c r="J658" s="292"/>
      <c r="K658" s="288"/>
      <c r="L658" s="288"/>
      <c r="M658" s="288"/>
      <c r="N658" s="288"/>
      <c r="O658" s="288"/>
      <c r="P658" s="288"/>
      <c r="Q658" s="288"/>
      <c r="R658" s="257"/>
      <c r="S658" s="258"/>
      <c r="T658" s="255"/>
      <c r="U658" s="255"/>
      <c r="V658" s="259"/>
      <c r="W658" s="286"/>
      <c r="X658" s="286"/>
      <c r="Y658" s="286"/>
    </row>
    <row r="659">
      <c r="A659" s="28"/>
      <c r="B659" s="293"/>
      <c r="C659" s="28"/>
      <c r="D659" s="289"/>
      <c r="E659" s="294"/>
      <c r="F659" s="291"/>
      <c r="G659" s="292"/>
      <c r="H659" s="292"/>
      <c r="I659" s="292"/>
      <c r="J659" s="292"/>
      <c r="K659" s="288"/>
      <c r="L659" s="288"/>
      <c r="M659" s="288"/>
      <c r="N659" s="288"/>
      <c r="O659" s="288"/>
      <c r="P659" s="288"/>
      <c r="Q659" s="288"/>
      <c r="R659" s="257"/>
      <c r="S659" s="258"/>
      <c r="T659" s="255"/>
      <c r="U659" s="255"/>
      <c r="V659" s="259"/>
      <c r="W659" s="286"/>
      <c r="X659" s="286"/>
      <c r="Y659" s="286"/>
    </row>
    <row r="660">
      <c r="A660" s="28"/>
      <c r="B660" s="293"/>
      <c r="C660" s="28"/>
      <c r="D660" s="289"/>
      <c r="E660" s="294"/>
      <c r="F660" s="291"/>
      <c r="G660" s="292"/>
      <c r="H660" s="292"/>
      <c r="I660" s="292"/>
      <c r="J660" s="292"/>
      <c r="K660" s="288"/>
      <c r="L660" s="288"/>
      <c r="M660" s="288"/>
      <c r="N660" s="288"/>
      <c r="O660" s="288"/>
      <c r="P660" s="288"/>
      <c r="Q660" s="288"/>
      <c r="R660" s="257"/>
      <c r="S660" s="258"/>
      <c r="T660" s="255"/>
      <c r="U660" s="255"/>
      <c r="V660" s="259"/>
      <c r="W660" s="286"/>
      <c r="X660" s="286"/>
      <c r="Y660" s="286"/>
    </row>
    <row r="661">
      <c r="A661" s="28"/>
      <c r="B661" s="293"/>
      <c r="C661" s="28"/>
      <c r="D661" s="289"/>
      <c r="E661" s="294"/>
      <c r="F661" s="291"/>
      <c r="G661" s="292"/>
      <c r="H661" s="292"/>
      <c r="I661" s="292"/>
      <c r="J661" s="292"/>
      <c r="K661" s="288"/>
      <c r="L661" s="288"/>
      <c r="M661" s="288"/>
      <c r="N661" s="288"/>
      <c r="O661" s="288"/>
      <c r="P661" s="288"/>
      <c r="Q661" s="288"/>
      <c r="R661" s="257"/>
      <c r="S661" s="258"/>
      <c r="T661" s="255"/>
      <c r="U661" s="255"/>
      <c r="V661" s="259"/>
      <c r="W661" s="286"/>
      <c r="X661" s="286"/>
      <c r="Y661" s="286"/>
    </row>
    <row r="662">
      <c r="A662" s="28"/>
      <c r="B662" s="293"/>
      <c r="C662" s="28"/>
      <c r="D662" s="289"/>
      <c r="E662" s="294"/>
      <c r="F662" s="291"/>
      <c r="G662" s="292"/>
      <c r="H662" s="292"/>
      <c r="I662" s="292"/>
      <c r="J662" s="292"/>
      <c r="K662" s="288"/>
      <c r="L662" s="288"/>
      <c r="M662" s="288"/>
      <c r="N662" s="288"/>
      <c r="O662" s="288"/>
      <c r="P662" s="288"/>
      <c r="Q662" s="288"/>
      <c r="R662" s="257"/>
      <c r="S662" s="258"/>
      <c r="T662" s="255"/>
      <c r="U662" s="255"/>
      <c r="V662" s="259"/>
      <c r="W662" s="286"/>
      <c r="X662" s="286"/>
      <c r="Y662" s="286"/>
    </row>
    <row r="663">
      <c r="A663" s="28"/>
      <c r="B663" s="293"/>
      <c r="C663" s="28"/>
      <c r="D663" s="289"/>
      <c r="E663" s="294"/>
      <c r="F663" s="291"/>
      <c r="G663" s="292"/>
      <c r="H663" s="292"/>
      <c r="I663" s="292"/>
      <c r="J663" s="292"/>
      <c r="K663" s="288"/>
      <c r="L663" s="288"/>
      <c r="M663" s="288"/>
      <c r="N663" s="288"/>
      <c r="O663" s="288"/>
      <c r="P663" s="288"/>
      <c r="Q663" s="288"/>
      <c r="R663" s="257"/>
      <c r="S663" s="258"/>
      <c r="T663" s="255"/>
      <c r="U663" s="255"/>
      <c r="V663" s="259"/>
      <c r="W663" s="286"/>
      <c r="X663" s="286"/>
      <c r="Y663" s="286"/>
    </row>
    <row r="664">
      <c r="A664" s="28"/>
      <c r="B664" s="293"/>
      <c r="C664" s="28"/>
      <c r="D664" s="289"/>
      <c r="E664" s="294"/>
      <c r="F664" s="291"/>
      <c r="G664" s="292"/>
      <c r="H664" s="292"/>
      <c r="I664" s="292"/>
      <c r="J664" s="292"/>
      <c r="K664" s="288"/>
      <c r="L664" s="288"/>
      <c r="M664" s="288"/>
      <c r="N664" s="288"/>
      <c r="O664" s="288"/>
      <c r="P664" s="288"/>
      <c r="Q664" s="288"/>
      <c r="R664" s="257"/>
      <c r="S664" s="258"/>
      <c r="T664" s="255"/>
      <c r="U664" s="255"/>
      <c r="V664" s="259"/>
      <c r="W664" s="286"/>
      <c r="X664" s="286"/>
      <c r="Y664" s="286"/>
    </row>
    <row r="665">
      <c r="A665" s="28"/>
      <c r="B665" s="293"/>
      <c r="C665" s="28"/>
      <c r="D665" s="289"/>
      <c r="E665" s="294"/>
      <c r="F665" s="291"/>
      <c r="G665" s="292"/>
      <c r="H665" s="292"/>
      <c r="I665" s="292"/>
      <c r="J665" s="292"/>
      <c r="K665" s="288"/>
      <c r="L665" s="288"/>
      <c r="M665" s="288"/>
      <c r="N665" s="288"/>
      <c r="O665" s="288"/>
      <c r="P665" s="288"/>
      <c r="Q665" s="288"/>
      <c r="R665" s="257"/>
      <c r="S665" s="258"/>
      <c r="T665" s="255"/>
      <c r="U665" s="255"/>
      <c r="V665" s="259"/>
      <c r="W665" s="286"/>
      <c r="X665" s="286"/>
      <c r="Y665" s="286"/>
    </row>
    <row r="666">
      <c r="A666" s="28"/>
      <c r="B666" s="293"/>
      <c r="C666" s="28"/>
      <c r="D666" s="289"/>
      <c r="E666" s="294"/>
      <c r="F666" s="291"/>
      <c r="G666" s="292"/>
      <c r="H666" s="292"/>
      <c r="I666" s="292"/>
      <c r="J666" s="292"/>
      <c r="K666" s="288"/>
      <c r="L666" s="288"/>
      <c r="M666" s="288"/>
      <c r="N666" s="288"/>
      <c r="O666" s="288"/>
      <c r="P666" s="288"/>
      <c r="Q666" s="288"/>
      <c r="R666" s="257"/>
      <c r="S666" s="258"/>
      <c r="T666" s="255"/>
      <c r="U666" s="255"/>
      <c r="V666" s="259"/>
      <c r="W666" s="286"/>
      <c r="X666" s="286"/>
      <c r="Y666" s="286"/>
    </row>
    <row r="667">
      <c r="A667" s="28"/>
      <c r="B667" s="293"/>
      <c r="C667" s="28"/>
      <c r="D667" s="289"/>
      <c r="E667" s="294"/>
      <c r="F667" s="291"/>
      <c r="G667" s="292"/>
      <c r="H667" s="292"/>
      <c r="I667" s="292"/>
      <c r="J667" s="292"/>
      <c r="K667" s="288"/>
      <c r="L667" s="288"/>
      <c r="M667" s="288"/>
      <c r="N667" s="288"/>
      <c r="O667" s="288"/>
      <c r="P667" s="288"/>
      <c r="Q667" s="288"/>
      <c r="R667" s="257"/>
      <c r="S667" s="258"/>
      <c r="T667" s="255"/>
      <c r="U667" s="255"/>
      <c r="V667" s="259"/>
      <c r="W667" s="286"/>
      <c r="X667" s="286"/>
      <c r="Y667" s="286"/>
    </row>
    <row r="668">
      <c r="A668" s="28"/>
      <c r="B668" s="293"/>
      <c r="C668" s="28"/>
      <c r="D668" s="289"/>
      <c r="E668" s="294"/>
      <c r="F668" s="291"/>
      <c r="G668" s="292"/>
      <c r="H668" s="292"/>
      <c r="I668" s="292"/>
      <c r="J668" s="292"/>
      <c r="K668" s="288"/>
      <c r="L668" s="288"/>
      <c r="M668" s="288"/>
      <c r="N668" s="288"/>
      <c r="O668" s="288"/>
      <c r="P668" s="288"/>
      <c r="Q668" s="288"/>
      <c r="R668" s="257"/>
      <c r="S668" s="258"/>
      <c r="T668" s="255"/>
      <c r="U668" s="255"/>
      <c r="V668" s="259"/>
      <c r="W668" s="286"/>
      <c r="X668" s="286"/>
      <c r="Y668" s="286"/>
    </row>
    <row r="669">
      <c r="A669" s="28"/>
      <c r="B669" s="293"/>
      <c r="C669" s="28"/>
      <c r="D669" s="289"/>
      <c r="E669" s="294"/>
      <c r="F669" s="291"/>
      <c r="G669" s="292"/>
      <c r="H669" s="292"/>
      <c r="I669" s="292"/>
      <c r="J669" s="292"/>
      <c r="K669" s="288"/>
      <c r="L669" s="288"/>
      <c r="M669" s="288"/>
      <c r="N669" s="288"/>
      <c r="O669" s="288"/>
      <c r="P669" s="288"/>
      <c r="Q669" s="288"/>
      <c r="R669" s="257"/>
      <c r="S669" s="258"/>
      <c r="T669" s="255"/>
      <c r="U669" s="255"/>
      <c r="V669" s="259"/>
      <c r="W669" s="286"/>
      <c r="X669" s="286"/>
      <c r="Y669" s="286"/>
    </row>
    <row r="670">
      <c r="A670" s="28"/>
      <c r="B670" s="293"/>
      <c r="C670" s="28"/>
      <c r="D670" s="289"/>
      <c r="E670" s="294"/>
      <c r="F670" s="291"/>
      <c r="G670" s="292"/>
      <c r="H670" s="292"/>
      <c r="I670" s="292"/>
      <c r="J670" s="292"/>
      <c r="K670" s="288"/>
      <c r="L670" s="288"/>
      <c r="M670" s="288"/>
      <c r="N670" s="288"/>
      <c r="O670" s="288"/>
      <c r="P670" s="288"/>
      <c r="Q670" s="288"/>
      <c r="R670" s="257"/>
      <c r="S670" s="258"/>
      <c r="T670" s="255"/>
      <c r="U670" s="255"/>
      <c r="V670" s="259"/>
      <c r="W670" s="286"/>
      <c r="X670" s="286"/>
      <c r="Y670" s="286"/>
    </row>
    <row r="671">
      <c r="A671" s="28"/>
      <c r="B671" s="293"/>
      <c r="C671" s="28"/>
      <c r="D671" s="289"/>
      <c r="E671" s="294"/>
      <c r="F671" s="291"/>
      <c r="G671" s="292"/>
      <c r="H671" s="292"/>
      <c r="I671" s="292"/>
      <c r="J671" s="292"/>
      <c r="K671" s="288"/>
      <c r="L671" s="288"/>
      <c r="M671" s="288"/>
      <c r="N671" s="288"/>
      <c r="O671" s="288"/>
      <c r="P671" s="288"/>
      <c r="Q671" s="288"/>
      <c r="R671" s="257"/>
      <c r="S671" s="258"/>
      <c r="T671" s="255"/>
      <c r="U671" s="255"/>
      <c r="V671" s="259"/>
      <c r="W671" s="286"/>
      <c r="X671" s="286"/>
      <c r="Y671" s="286"/>
    </row>
    <row r="672">
      <c r="A672" s="28"/>
      <c r="B672" s="293"/>
      <c r="C672" s="28"/>
      <c r="D672" s="289"/>
      <c r="E672" s="294"/>
      <c r="F672" s="291"/>
      <c r="G672" s="292"/>
      <c r="H672" s="292"/>
      <c r="I672" s="292"/>
      <c r="J672" s="292"/>
      <c r="K672" s="288"/>
      <c r="L672" s="288"/>
      <c r="M672" s="288"/>
      <c r="N672" s="288"/>
      <c r="O672" s="288"/>
      <c r="P672" s="288"/>
      <c r="Q672" s="288"/>
      <c r="R672" s="257"/>
      <c r="S672" s="258"/>
      <c r="T672" s="255"/>
      <c r="U672" s="255"/>
      <c r="V672" s="259"/>
      <c r="W672" s="286"/>
      <c r="X672" s="286"/>
      <c r="Y672" s="286"/>
    </row>
    <row r="673">
      <c r="A673" s="28"/>
      <c r="B673" s="293"/>
      <c r="C673" s="28"/>
      <c r="D673" s="289"/>
      <c r="E673" s="294"/>
      <c r="F673" s="291"/>
      <c r="G673" s="292"/>
      <c r="H673" s="292"/>
      <c r="I673" s="292"/>
      <c r="J673" s="292"/>
      <c r="K673" s="288"/>
      <c r="L673" s="288"/>
      <c r="M673" s="288"/>
      <c r="N673" s="288"/>
      <c r="O673" s="288"/>
      <c r="P673" s="288"/>
      <c r="Q673" s="288"/>
      <c r="R673" s="257"/>
      <c r="S673" s="258"/>
      <c r="T673" s="255"/>
      <c r="U673" s="255"/>
      <c r="V673" s="259"/>
      <c r="W673" s="286"/>
      <c r="X673" s="286"/>
      <c r="Y673" s="286"/>
    </row>
    <row r="674">
      <c r="A674" s="28"/>
      <c r="B674" s="293"/>
      <c r="C674" s="28"/>
      <c r="D674" s="289"/>
      <c r="E674" s="294"/>
      <c r="F674" s="291"/>
      <c r="G674" s="292"/>
      <c r="H674" s="292"/>
      <c r="I674" s="292"/>
      <c r="J674" s="292"/>
      <c r="K674" s="288"/>
      <c r="L674" s="288"/>
      <c r="M674" s="288"/>
      <c r="N674" s="288"/>
      <c r="O674" s="288"/>
      <c r="P674" s="288"/>
      <c r="Q674" s="288"/>
      <c r="R674" s="257"/>
      <c r="S674" s="258"/>
      <c r="T674" s="255"/>
      <c r="U674" s="255"/>
      <c r="V674" s="259"/>
      <c r="W674" s="286"/>
      <c r="X674" s="286"/>
      <c r="Y674" s="286"/>
    </row>
    <row r="675">
      <c r="A675" s="28"/>
      <c r="B675" s="293"/>
      <c r="C675" s="28"/>
      <c r="D675" s="289"/>
      <c r="E675" s="294"/>
      <c r="F675" s="291"/>
      <c r="G675" s="292"/>
      <c r="H675" s="292"/>
      <c r="I675" s="292"/>
      <c r="J675" s="292"/>
      <c r="K675" s="288"/>
      <c r="L675" s="288"/>
      <c r="M675" s="288"/>
      <c r="N675" s="288"/>
      <c r="O675" s="288"/>
      <c r="P675" s="288"/>
      <c r="Q675" s="288"/>
      <c r="R675" s="257"/>
      <c r="S675" s="258"/>
      <c r="T675" s="255"/>
      <c r="U675" s="255"/>
      <c r="V675" s="259"/>
      <c r="W675" s="286"/>
      <c r="X675" s="286"/>
      <c r="Y675" s="286"/>
    </row>
    <row r="676">
      <c r="A676" s="28"/>
      <c r="B676" s="293"/>
      <c r="C676" s="28"/>
      <c r="D676" s="289"/>
      <c r="E676" s="294"/>
      <c r="F676" s="291"/>
      <c r="G676" s="292"/>
      <c r="H676" s="292"/>
      <c r="I676" s="292"/>
      <c r="J676" s="292"/>
      <c r="K676" s="288"/>
      <c r="L676" s="288"/>
      <c r="M676" s="288"/>
      <c r="N676" s="288"/>
      <c r="O676" s="288"/>
      <c r="P676" s="288"/>
      <c r="Q676" s="288"/>
      <c r="R676" s="257"/>
      <c r="S676" s="258"/>
      <c r="T676" s="255"/>
      <c r="U676" s="255"/>
      <c r="V676" s="259"/>
      <c r="W676" s="286"/>
      <c r="X676" s="286"/>
      <c r="Y676" s="286"/>
    </row>
    <row r="677">
      <c r="A677" s="28"/>
      <c r="B677" s="293"/>
      <c r="C677" s="28"/>
      <c r="D677" s="289"/>
      <c r="E677" s="294"/>
      <c r="F677" s="291"/>
      <c r="G677" s="292"/>
      <c r="H677" s="292"/>
      <c r="I677" s="292"/>
      <c r="J677" s="292"/>
      <c r="K677" s="288"/>
      <c r="L677" s="288"/>
      <c r="M677" s="288"/>
      <c r="N677" s="288"/>
      <c r="O677" s="288"/>
      <c r="P677" s="288"/>
      <c r="Q677" s="288"/>
      <c r="R677" s="257"/>
      <c r="S677" s="258"/>
      <c r="T677" s="255"/>
      <c r="U677" s="255"/>
      <c r="V677" s="259"/>
      <c r="W677" s="286"/>
      <c r="X677" s="286"/>
      <c r="Y677" s="286"/>
    </row>
    <row r="678">
      <c r="A678" s="28"/>
      <c r="B678" s="293"/>
      <c r="C678" s="28"/>
      <c r="D678" s="289"/>
      <c r="E678" s="294"/>
      <c r="F678" s="291"/>
      <c r="G678" s="292"/>
      <c r="H678" s="292"/>
      <c r="I678" s="292"/>
      <c r="J678" s="292"/>
      <c r="K678" s="288"/>
      <c r="L678" s="288"/>
      <c r="M678" s="288"/>
      <c r="N678" s="288"/>
      <c r="O678" s="288"/>
      <c r="P678" s="288"/>
      <c r="Q678" s="288"/>
      <c r="R678" s="257"/>
      <c r="S678" s="258"/>
      <c r="T678" s="255"/>
      <c r="U678" s="255"/>
      <c r="V678" s="259"/>
      <c r="W678" s="286"/>
      <c r="X678" s="286"/>
      <c r="Y678" s="286"/>
    </row>
    <row r="679">
      <c r="A679" s="28"/>
      <c r="B679" s="293"/>
      <c r="C679" s="28"/>
      <c r="D679" s="289"/>
      <c r="E679" s="294"/>
      <c r="F679" s="291"/>
      <c r="G679" s="292"/>
      <c r="H679" s="292"/>
      <c r="I679" s="292"/>
      <c r="J679" s="292"/>
      <c r="K679" s="288"/>
      <c r="L679" s="288"/>
      <c r="M679" s="288"/>
      <c r="N679" s="288"/>
      <c r="O679" s="288"/>
      <c r="P679" s="288"/>
      <c r="Q679" s="288"/>
      <c r="R679" s="257"/>
      <c r="S679" s="258"/>
      <c r="T679" s="255"/>
      <c r="U679" s="255"/>
      <c r="V679" s="259"/>
      <c r="W679" s="286"/>
      <c r="X679" s="286"/>
      <c r="Y679" s="286"/>
    </row>
    <row r="680">
      <c r="A680" s="28"/>
      <c r="B680" s="293"/>
      <c r="C680" s="28"/>
      <c r="D680" s="289"/>
      <c r="E680" s="294"/>
      <c r="F680" s="291"/>
      <c r="G680" s="292"/>
      <c r="H680" s="292"/>
      <c r="I680" s="292"/>
      <c r="J680" s="292"/>
      <c r="K680" s="288"/>
      <c r="L680" s="288"/>
      <c r="M680" s="288"/>
      <c r="N680" s="288"/>
      <c r="O680" s="288"/>
      <c r="P680" s="288"/>
      <c r="Q680" s="288"/>
      <c r="R680" s="257"/>
      <c r="S680" s="258"/>
      <c r="T680" s="255"/>
      <c r="U680" s="255"/>
      <c r="V680" s="259"/>
      <c r="W680" s="286"/>
      <c r="X680" s="286"/>
      <c r="Y680" s="286"/>
    </row>
    <row r="681">
      <c r="A681" s="28"/>
      <c r="B681" s="293"/>
      <c r="C681" s="28"/>
      <c r="D681" s="289"/>
      <c r="E681" s="294"/>
      <c r="F681" s="291"/>
      <c r="G681" s="292"/>
      <c r="H681" s="292"/>
      <c r="I681" s="292"/>
      <c r="J681" s="292"/>
      <c r="K681" s="288"/>
      <c r="L681" s="288"/>
      <c r="M681" s="288"/>
      <c r="N681" s="288"/>
      <c r="O681" s="288"/>
      <c r="P681" s="288"/>
      <c r="Q681" s="288"/>
      <c r="R681" s="257"/>
      <c r="S681" s="258"/>
      <c r="T681" s="255"/>
      <c r="U681" s="255"/>
      <c r="V681" s="259"/>
      <c r="W681" s="286"/>
      <c r="X681" s="286"/>
      <c r="Y681" s="286"/>
    </row>
    <row r="682">
      <c r="A682" s="28"/>
      <c r="B682" s="293"/>
      <c r="C682" s="28"/>
      <c r="D682" s="289"/>
      <c r="E682" s="294"/>
      <c r="F682" s="291"/>
      <c r="G682" s="292"/>
      <c r="H682" s="292"/>
      <c r="I682" s="292"/>
      <c r="J682" s="292"/>
      <c r="K682" s="288"/>
      <c r="L682" s="288"/>
      <c r="M682" s="288"/>
      <c r="N682" s="288"/>
      <c r="O682" s="288"/>
      <c r="P682" s="288"/>
      <c r="Q682" s="288"/>
      <c r="R682" s="257"/>
      <c r="S682" s="258"/>
      <c r="T682" s="255"/>
      <c r="U682" s="255"/>
      <c r="V682" s="259"/>
      <c r="W682" s="286"/>
      <c r="X682" s="286"/>
      <c r="Y682" s="286"/>
    </row>
    <row r="683">
      <c r="A683" s="28"/>
      <c r="B683" s="293"/>
      <c r="C683" s="28"/>
      <c r="D683" s="289"/>
      <c r="E683" s="294"/>
      <c r="F683" s="291"/>
      <c r="G683" s="292"/>
      <c r="H683" s="292"/>
      <c r="I683" s="292"/>
      <c r="J683" s="292"/>
      <c r="K683" s="288"/>
      <c r="L683" s="288"/>
      <c r="M683" s="288"/>
      <c r="N683" s="288"/>
      <c r="O683" s="288"/>
      <c r="P683" s="288"/>
      <c r="Q683" s="288"/>
      <c r="R683" s="257"/>
      <c r="S683" s="258"/>
      <c r="T683" s="255"/>
      <c r="U683" s="255"/>
      <c r="V683" s="259"/>
      <c r="W683" s="286"/>
      <c r="X683" s="286"/>
      <c r="Y683" s="286"/>
    </row>
    <row r="684">
      <c r="A684" s="28"/>
      <c r="B684" s="293"/>
      <c r="C684" s="28"/>
      <c r="D684" s="289"/>
      <c r="E684" s="294"/>
      <c r="F684" s="291"/>
      <c r="G684" s="292"/>
      <c r="H684" s="292"/>
      <c r="I684" s="292"/>
      <c r="J684" s="292"/>
      <c r="K684" s="288"/>
      <c r="L684" s="288"/>
      <c r="M684" s="288"/>
      <c r="N684" s="288"/>
      <c r="O684" s="288"/>
      <c r="P684" s="288"/>
      <c r="Q684" s="288"/>
      <c r="R684" s="257"/>
      <c r="S684" s="258"/>
      <c r="T684" s="255"/>
      <c r="U684" s="255"/>
      <c r="V684" s="259"/>
      <c r="W684" s="286"/>
      <c r="X684" s="286"/>
      <c r="Y684" s="286"/>
    </row>
    <row r="685">
      <c r="A685" s="28"/>
      <c r="B685" s="293"/>
      <c r="C685" s="28"/>
      <c r="D685" s="289"/>
      <c r="E685" s="294"/>
      <c r="F685" s="291"/>
      <c r="G685" s="292"/>
      <c r="H685" s="292"/>
      <c r="I685" s="292"/>
      <c r="J685" s="292"/>
      <c r="K685" s="288"/>
      <c r="L685" s="288"/>
      <c r="M685" s="288"/>
      <c r="N685" s="288"/>
      <c r="O685" s="288"/>
      <c r="P685" s="288"/>
      <c r="Q685" s="288"/>
      <c r="R685" s="257"/>
      <c r="S685" s="258"/>
      <c r="T685" s="255"/>
      <c r="U685" s="255"/>
      <c r="V685" s="259"/>
      <c r="W685" s="286"/>
      <c r="X685" s="286"/>
      <c r="Y685" s="286"/>
    </row>
    <row r="686">
      <c r="A686" s="28"/>
      <c r="B686" s="293"/>
      <c r="C686" s="28"/>
      <c r="D686" s="289"/>
      <c r="E686" s="294"/>
      <c r="F686" s="291"/>
      <c r="G686" s="292"/>
      <c r="H686" s="292"/>
      <c r="I686" s="292"/>
      <c r="J686" s="292"/>
      <c r="K686" s="288"/>
      <c r="L686" s="288"/>
      <c r="M686" s="288"/>
      <c r="N686" s="288"/>
      <c r="O686" s="288"/>
      <c r="P686" s="288"/>
      <c r="Q686" s="288"/>
      <c r="R686" s="257"/>
      <c r="S686" s="258"/>
      <c r="T686" s="255"/>
      <c r="U686" s="255"/>
      <c r="V686" s="259"/>
      <c r="W686" s="286"/>
      <c r="X686" s="286"/>
      <c r="Y686" s="286"/>
    </row>
    <row r="687">
      <c r="A687" s="28"/>
      <c r="B687" s="293"/>
      <c r="C687" s="28"/>
      <c r="D687" s="289"/>
      <c r="E687" s="294"/>
      <c r="F687" s="291"/>
      <c r="G687" s="292"/>
      <c r="H687" s="292"/>
      <c r="I687" s="292"/>
      <c r="J687" s="292"/>
      <c r="K687" s="288"/>
      <c r="L687" s="288"/>
      <c r="M687" s="288"/>
      <c r="N687" s="288"/>
      <c r="O687" s="288"/>
      <c r="P687" s="288"/>
      <c r="Q687" s="288"/>
      <c r="R687" s="257"/>
      <c r="S687" s="258"/>
      <c r="T687" s="255"/>
      <c r="U687" s="255"/>
      <c r="V687" s="259"/>
      <c r="W687" s="286"/>
      <c r="X687" s="286"/>
      <c r="Y687" s="286"/>
    </row>
    <row r="688">
      <c r="A688" s="28"/>
      <c r="B688" s="293"/>
      <c r="C688" s="28"/>
      <c r="D688" s="289"/>
      <c r="E688" s="294"/>
      <c r="F688" s="291"/>
      <c r="G688" s="292"/>
      <c r="H688" s="292"/>
      <c r="I688" s="292"/>
      <c r="J688" s="292"/>
      <c r="K688" s="288"/>
      <c r="L688" s="288"/>
      <c r="M688" s="288"/>
      <c r="N688" s="288"/>
      <c r="O688" s="288"/>
      <c r="P688" s="288"/>
      <c r="Q688" s="288"/>
      <c r="R688" s="257"/>
      <c r="S688" s="258"/>
      <c r="T688" s="255"/>
      <c r="U688" s="255"/>
      <c r="V688" s="259"/>
      <c r="W688" s="286"/>
      <c r="X688" s="286"/>
      <c r="Y688" s="286"/>
    </row>
    <row r="689">
      <c r="A689" s="28"/>
      <c r="B689" s="293"/>
      <c r="C689" s="28"/>
      <c r="D689" s="289"/>
      <c r="E689" s="294"/>
      <c r="F689" s="291"/>
      <c r="G689" s="292"/>
      <c r="H689" s="292"/>
      <c r="I689" s="292"/>
      <c r="J689" s="292"/>
      <c r="K689" s="288"/>
      <c r="L689" s="288"/>
      <c r="M689" s="288"/>
      <c r="N689" s="288"/>
      <c r="O689" s="288"/>
      <c r="P689" s="288"/>
      <c r="Q689" s="288"/>
      <c r="R689" s="257"/>
      <c r="S689" s="258"/>
      <c r="T689" s="255"/>
      <c r="U689" s="255"/>
      <c r="V689" s="259"/>
      <c r="W689" s="286"/>
      <c r="X689" s="286"/>
      <c r="Y689" s="286"/>
    </row>
    <row r="690">
      <c r="A690" s="28"/>
      <c r="B690" s="293"/>
      <c r="C690" s="28"/>
      <c r="D690" s="289"/>
      <c r="E690" s="294"/>
      <c r="F690" s="291"/>
      <c r="G690" s="292"/>
      <c r="H690" s="292"/>
      <c r="I690" s="292"/>
      <c r="J690" s="292"/>
      <c r="K690" s="288"/>
      <c r="L690" s="288"/>
      <c r="M690" s="288"/>
      <c r="N690" s="288"/>
      <c r="O690" s="288"/>
      <c r="P690" s="288"/>
      <c r="Q690" s="288"/>
      <c r="R690" s="257"/>
      <c r="S690" s="258"/>
      <c r="T690" s="255"/>
      <c r="U690" s="255"/>
      <c r="V690" s="259"/>
      <c r="W690" s="286"/>
      <c r="X690" s="286"/>
      <c r="Y690" s="286"/>
    </row>
    <row r="691">
      <c r="A691" s="28"/>
      <c r="B691" s="293"/>
      <c r="C691" s="28"/>
      <c r="D691" s="289"/>
      <c r="E691" s="294"/>
      <c r="F691" s="291"/>
      <c r="G691" s="292"/>
      <c r="H691" s="292"/>
      <c r="I691" s="292"/>
      <c r="J691" s="292"/>
      <c r="K691" s="288"/>
      <c r="L691" s="288"/>
      <c r="M691" s="288"/>
      <c r="N691" s="288"/>
      <c r="O691" s="288"/>
      <c r="P691" s="288"/>
      <c r="Q691" s="288"/>
      <c r="R691" s="257"/>
      <c r="S691" s="258"/>
      <c r="T691" s="255"/>
      <c r="U691" s="255"/>
      <c r="V691" s="259"/>
      <c r="W691" s="286"/>
      <c r="X691" s="286"/>
      <c r="Y691" s="286"/>
    </row>
    <row r="692">
      <c r="A692" s="28"/>
      <c r="B692" s="293"/>
      <c r="C692" s="28"/>
      <c r="D692" s="289"/>
      <c r="E692" s="294"/>
      <c r="F692" s="291"/>
      <c r="G692" s="292"/>
      <c r="H692" s="292"/>
      <c r="I692" s="292"/>
      <c r="J692" s="292"/>
      <c r="K692" s="288"/>
      <c r="L692" s="288"/>
      <c r="M692" s="288"/>
      <c r="N692" s="288"/>
      <c r="O692" s="288"/>
      <c r="P692" s="288"/>
      <c r="Q692" s="288"/>
      <c r="R692" s="257"/>
      <c r="S692" s="258"/>
      <c r="T692" s="255"/>
      <c r="U692" s="255"/>
      <c r="V692" s="259"/>
      <c r="W692" s="286"/>
      <c r="X692" s="286"/>
      <c r="Y692" s="286"/>
    </row>
    <row r="693">
      <c r="A693" s="28"/>
      <c r="B693" s="293"/>
      <c r="C693" s="28"/>
      <c r="D693" s="289"/>
      <c r="E693" s="294"/>
      <c r="F693" s="291"/>
      <c r="G693" s="292"/>
      <c r="H693" s="292"/>
      <c r="I693" s="292"/>
      <c r="J693" s="292"/>
      <c r="K693" s="288"/>
      <c r="L693" s="288"/>
      <c r="M693" s="288"/>
      <c r="N693" s="288"/>
      <c r="O693" s="288"/>
      <c r="P693" s="288"/>
      <c r="Q693" s="288"/>
      <c r="R693" s="257"/>
      <c r="S693" s="258"/>
      <c r="T693" s="255"/>
      <c r="U693" s="255"/>
      <c r="V693" s="259"/>
      <c r="W693" s="286"/>
      <c r="X693" s="286"/>
      <c r="Y693" s="286"/>
    </row>
    <row r="694">
      <c r="A694" s="28"/>
      <c r="B694" s="293"/>
      <c r="C694" s="28"/>
      <c r="D694" s="289"/>
      <c r="E694" s="294"/>
      <c r="F694" s="291"/>
      <c r="G694" s="292"/>
      <c r="H694" s="292"/>
      <c r="I694" s="292"/>
      <c r="J694" s="292"/>
      <c r="K694" s="288"/>
      <c r="L694" s="288"/>
      <c r="M694" s="288"/>
      <c r="N694" s="288"/>
      <c r="O694" s="288"/>
      <c r="P694" s="288"/>
      <c r="Q694" s="288"/>
      <c r="R694" s="257"/>
      <c r="S694" s="258"/>
      <c r="T694" s="255"/>
      <c r="U694" s="255"/>
      <c r="V694" s="259"/>
      <c r="W694" s="286"/>
      <c r="X694" s="286"/>
      <c r="Y694" s="286"/>
    </row>
    <row r="695">
      <c r="A695" s="28"/>
      <c r="B695" s="293"/>
      <c r="C695" s="28"/>
      <c r="D695" s="289"/>
      <c r="E695" s="294"/>
      <c r="F695" s="291"/>
      <c r="G695" s="292"/>
      <c r="H695" s="292"/>
      <c r="I695" s="292"/>
      <c r="J695" s="292"/>
      <c r="K695" s="288"/>
      <c r="L695" s="288"/>
      <c r="M695" s="288"/>
      <c r="N695" s="288"/>
      <c r="O695" s="288"/>
      <c r="P695" s="288"/>
      <c r="Q695" s="288"/>
      <c r="R695" s="257"/>
      <c r="S695" s="258"/>
      <c r="T695" s="255"/>
      <c r="U695" s="255"/>
      <c r="V695" s="259"/>
      <c r="W695" s="286"/>
      <c r="X695" s="286"/>
      <c r="Y695" s="286"/>
    </row>
    <row r="696">
      <c r="A696" s="28"/>
      <c r="B696" s="293"/>
      <c r="C696" s="28"/>
      <c r="D696" s="289"/>
      <c r="E696" s="294"/>
      <c r="F696" s="291"/>
      <c r="G696" s="292"/>
      <c r="H696" s="292"/>
      <c r="I696" s="292"/>
      <c r="J696" s="292"/>
      <c r="K696" s="288"/>
      <c r="L696" s="288"/>
      <c r="M696" s="288"/>
      <c r="N696" s="288"/>
      <c r="O696" s="288"/>
      <c r="P696" s="288"/>
      <c r="Q696" s="288"/>
      <c r="R696" s="257"/>
      <c r="S696" s="258"/>
      <c r="T696" s="255"/>
      <c r="U696" s="255"/>
      <c r="V696" s="259"/>
      <c r="W696" s="286"/>
      <c r="X696" s="286"/>
      <c r="Y696" s="286"/>
    </row>
    <row r="697">
      <c r="A697" s="28"/>
      <c r="B697" s="293"/>
      <c r="C697" s="28"/>
      <c r="D697" s="289"/>
      <c r="E697" s="294"/>
      <c r="F697" s="291"/>
      <c r="G697" s="292"/>
      <c r="H697" s="292"/>
      <c r="I697" s="292"/>
      <c r="J697" s="292"/>
      <c r="K697" s="288"/>
      <c r="L697" s="288"/>
      <c r="M697" s="288"/>
      <c r="N697" s="288"/>
      <c r="O697" s="288"/>
      <c r="P697" s="288"/>
      <c r="Q697" s="288"/>
      <c r="R697" s="257"/>
      <c r="S697" s="258"/>
      <c r="T697" s="255"/>
      <c r="U697" s="255"/>
      <c r="V697" s="259"/>
      <c r="W697" s="286"/>
      <c r="X697" s="286"/>
      <c r="Y697" s="286"/>
    </row>
    <row r="698">
      <c r="A698" s="28"/>
      <c r="B698" s="293"/>
      <c r="C698" s="28"/>
      <c r="D698" s="289"/>
      <c r="E698" s="294"/>
      <c r="F698" s="291"/>
      <c r="G698" s="292"/>
      <c r="H698" s="292"/>
      <c r="I698" s="292"/>
      <c r="J698" s="292"/>
      <c r="K698" s="288"/>
      <c r="L698" s="288"/>
      <c r="M698" s="288"/>
      <c r="N698" s="288"/>
      <c r="O698" s="288"/>
      <c r="P698" s="288"/>
      <c r="Q698" s="288"/>
      <c r="R698" s="257"/>
      <c r="S698" s="258"/>
      <c r="T698" s="255"/>
      <c r="U698" s="255"/>
      <c r="V698" s="259"/>
      <c r="W698" s="286"/>
      <c r="X698" s="286"/>
      <c r="Y698" s="286"/>
    </row>
    <row r="699">
      <c r="A699" s="28"/>
      <c r="B699" s="293"/>
      <c r="C699" s="28"/>
      <c r="D699" s="289"/>
      <c r="E699" s="294"/>
      <c r="F699" s="291"/>
      <c r="G699" s="292"/>
      <c r="H699" s="292"/>
      <c r="I699" s="292"/>
      <c r="J699" s="292"/>
      <c r="K699" s="288"/>
      <c r="L699" s="288"/>
      <c r="M699" s="288"/>
      <c r="N699" s="288"/>
      <c r="O699" s="288"/>
      <c r="P699" s="288"/>
      <c r="Q699" s="288"/>
      <c r="R699" s="257"/>
      <c r="S699" s="258"/>
      <c r="T699" s="255"/>
      <c r="U699" s="255"/>
      <c r="V699" s="259"/>
      <c r="W699" s="286"/>
      <c r="X699" s="286"/>
      <c r="Y699" s="286"/>
    </row>
    <row r="700">
      <c r="A700" s="28"/>
      <c r="B700" s="293"/>
      <c r="C700" s="28"/>
      <c r="D700" s="289"/>
      <c r="E700" s="294"/>
      <c r="F700" s="291"/>
      <c r="G700" s="292"/>
      <c r="H700" s="292"/>
      <c r="I700" s="292"/>
      <c r="J700" s="292"/>
      <c r="K700" s="288"/>
      <c r="L700" s="288"/>
      <c r="M700" s="288"/>
      <c r="N700" s="288"/>
      <c r="O700" s="288"/>
      <c r="P700" s="288"/>
      <c r="Q700" s="288"/>
      <c r="R700" s="257"/>
      <c r="S700" s="258"/>
      <c r="T700" s="255"/>
      <c r="U700" s="255"/>
      <c r="V700" s="259"/>
      <c r="W700" s="286"/>
      <c r="X700" s="286"/>
      <c r="Y700" s="286"/>
    </row>
    <row r="701">
      <c r="A701" s="28"/>
      <c r="B701" s="293"/>
      <c r="C701" s="28"/>
      <c r="D701" s="289"/>
      <c r="E701" s="294"/>
      <c r="F701" s="291"/>
      <c r="G701" s="292"/>
      <c r="H701" s="292"/>
      <c r="I701" s="292"/>
      <c r="J701" s="292"/>
      <c r="K701" s="288"/>
      <c r="L701" s="288"/>
      <c r="M701" s="288"/>
      <c r="N701" s="288"/>
      <c r="O701" s="288"/>
      <c r="P701" s="288"/>
      <c r="Q701" s="288"/>
      <c r="R701" s="257"/>
      <c r="S701" s="258"/>
      <c r="T701" s="255"/>
      <c r="U701" s="255"/>
      <c r="V701" s="259"/>
      <c r="W701" s="286"/>
      <c r="X701" s="286"/>
      <c r="Y701" s="286"/>
    </row>
    <row r="702">
      <c r="A702" s="28"/>
      <c r="B702" s="293"/>
      <c r="C702" s="28"/>
      <c r="D702" s="289"/>
      <c r="E702" s="294"/>
      <c r="F702" s="291"/>
      <c r="G702" s="292"/>
      <c r="H702" s="292"/>
      <c r="I702" s="292"/>
      <c r="J702" s="292"/>
      <c r="K702" s="288"/>
      <c r="L702" s="288"/>
      <c r="M702" s="288"/>
      <c r="N702" s="288"/>
      <c r="O702" s="288"/>
      <c r="P702" s="288"/>
      <c r="Q702" s="288"/>
      <c r="R702" s="257"/>
      <c r="S702" s="258"/>
      <c r="T702" s="255"/>
      <c r="U702" s="255"/>
      <c r="V702" s="259"/>
      <c r="W702" s="286"/>
      <c r="X702" s="286"/>
      <c r="Y702" s="286"/>
    </row>
    <row r="703">
      <c r="A703" s="28"/>
      <c r="B703" s="293"/>
      <c r="C703" s="28"/>
      <c r="D703" s="289"/>
      <c r="E703" s="294"/>
      <c r="F703" s="291"/>
      <c r="G703" s="292"/>
      <c r="H703" s="292"/>
      <c r="I703" s="292"/>
      <c r="J703" s="292"/>
      <c r="K703" s="288"/>
      <c r="L703" s="288"/>
      <c r="M703" s="288"/>
      <c r="N703" s="288"/>
      <c r="O703" s="288"/>
      <c r="P703" s="288"/>
      <c r="Q703" s="288"/>
      <c r="R703" s="257"/>
      <c r="S703" s="258"/>
      <c r="T703" s="255"/>
      <c r="U703" s="255"/>
      <c r="V703" s="259"/>
      <c r="W703" s="286"/>
      <c r="X703" s="286"/>
      <c r="Y703" s="286"/>
    </row>
    <row r="704">
      <c r="A704" s="28"/>
      <c r="B704" s="293"/>
      <c r="C704" s="28"/>
      <c r="D704" s="289"/>
      <c r="E704" s="294"/>
      <c r="F704" s="291"/>
      <c r="G704" s="292"/>
      <c r="H704" s="292"/>
      <c r="I704" s="292"/>
      <c r="J704" s="292"/>
      <c r="K704" s="288"/>
      <c r="L704" s="288"/>
      <c r="M704" s="288"/>
      <c r="N704" s="288"/>
      <c r="O704" s="288"/>
      <c r="P704" s="288"/>
      <c r="Q704" s="288"/>
      <c r="R704" s="257"/>
      <c r="S704" s="258"/>
      <c r="T704" s="255"/>
      <c r="U704" s="255"/>
      <c r="V704" s="259"/>
      <c r="W704" s="286"/>
      <c r="X704" s="286"/>
      <c r="Y704" s="286"/>
    </row>
    <row r="705">
      <c r="A705" s="28"/>
      <c r="B705" s="293"/>
      <c r="C705" s="28"/>
      <c r="D705" s="289"/>
      <c r="E705" s="294"/>
      <c r="F705" s="291"/>
      <c r="G705" s="292"/>
      <c r="H705" s="292"/>
      <c r="I705" s="292"/>
      <c r="J705" s="292"/>
      <c r="K705" s="288"/>
      <c r="L705" s="288"/>
      <c r="M705" s="288"/>
      <c r="N705" s="288"/>
      <c r="O705" s="288"/>
      <c r="P705" s="288"/>
      <c r="Q705" s="288"/>
      <c r="R705" s="257"/>
      <c r="S705" s="258"/>
      <c r="T705" s="255"/>
      <c r="U705" s="255"/>
      <c r="V705" s="259"/>
      <c r="W705" s="286"/>
      <c r="X705" s="286"/>
      <c r="Y705" s="286"/>
    </row>
    <row r="706">
      <c r="A706" s="28"/>
      <c r="B706" s="293"/>
      <c r="C706" s="28"/>
      <c r="D706" s="289"/>
      <c r="E706" s="294"/>
      <c r="F706" s="291"/>
      <c r="G706" s="292"/>
      <c r="H706" s="292"/>
      <c r="I706" s="292"/>
      <c r="J706" s="292"/>
      <c r="K706" s="288"/>
      <c r="L706" s="288"/>
      <c r="M706" s="288"/>
      <c r="N706" s="288"/>
      <c r="O706" s="288"/>
      <c r="P706" s="288"/>
      <c r="Q706" s="288"/>
      <c r="R706" s="257"/>
      <c r="S706" s="258"/>
      <c r="T706" s="255"/>
      <c r="U706" s="255"/>
      <c r="V706" s="259"/>
      <c r="W706" s="286"/>
      <c r="X706" s="286"/>
      <c r="Y706" s="286"/>
    </row>
    <row r="707">
      <c r="A707" s="28"/>
      <c r="B707" s="293"/>
      <c r="C707" s="28"/>
      <c r="D707" s="289"/>
      <c r="E707" s="294"/>
      <c r="F707" s="291"/>
      <c r="G707" s="292"/>
      <c r="H707" s="292"/>
      <c r="I707" s="292"/>
      <c r="J707" s="292"/>
      <c r="K707" s="288"/>
      <c r="L707" s="288"/>
      <c r="M707" s="288"/>
      <c r="N707" s="288"/>
      <c r="O707" s="288"/>
      <c r="P707" s="288"/>
      <c r="Q707" s="288"/>
      <c r="R707" s="257"/>
      <c r="S707" s="258"/>
      <c r="T707" s="255"/>
      <c r="U707" s="255"/>
      <c r="V707" s="259"/>
      <c r="W707" s="286"/>
      <c r="X707" s="286"/>
      <c r="Y707" s="286"/>
    </row>
    <row r="708">
      <c r="A708" s="28"/>
      <c r="B708" s="293"/>
      <c r="C708" s="28"/>
      <c r="D708" s="289"/>
      <c r="E708" s="294"/>
      <c r="F708" s="291"/>
      <c r="G708" s="292"/>
      <c r="H708" s="292"/>
      <c r="I708" s="292"/>
      <c r="J708" s="292"/>
      <c r="K708" s="288"/>
      <c r="L708" s="288"/>
      <c r="M708" s="288"/>
      <c r="N708" s="288"/>
      <c r="O708" s="288"/>
      <c r="P708" s="288"/>
      <c r="Q708" s="288"/>
      <c r="R708" s="257"/>
      <c r="S708" s="258"/>
      <c r="T708" s="255"/>
      <c r="U708" s="255"/>
      <c r="V708" s="259"/>
      <c r="W708" s="286"/>
      <c r="X708" s="286"/>
      <c r="Y708" s="286"/>
    </row>
    <row r="709">
      <c r="A709" s="28"/>
      <c r="B709" s="293"/>
      <c r="C709" s="28"/>
      <c r="D709" s="289"/>
      <c r="E709" s="294"/>
      <c r="F709" s="291"/>
      <c r="G709" s="292"/>
      <c r="H709" s="292"/>
      <c r="I709" s="292"/>
      <c r="J709" s="292"/>
      <c r="K709" s="288"/>
      <c r="L709" s="288"/>
      <c r="M709" s="288"/>
      <c r="N709" s="288"/>
      <c r="O709" s="288"/>
      <c r="P709" s="288"/>
      <c r="Q709" s="288"/>
      <c r="R709" s="257"/>
      <c r="S709" s="258"/>
      <c r="T709" s="255"/>
      <c r="U709" s="255"/>
      <c r="V709" s="259"/>
      <c r="W709" s="286"/>
      <c r="X709" s="286"/>
      <c r="Y709" s="286"/>
    </row>
    <row r="710">
      <c r="A710" s="28"/>
      <c r="B710" s="293"/>
      <c r="C710" s="28"/>
      <c r="D710" s="289"/>
      <c r="E710" s="294"/>
      <c r="F710" s="291"/>
      <c r="G710" s="292"/>
      <c r="H710" s="292"/>
      <c r="I710" s="292"/>
      <c r="J710" s="292"/>
      <c r="K710" s="288"/>
      <c r="L710" s="288"/>
      <c r="M710" s="288"/>
      <c r="N710" s="288"/>
      <c r="O710" s="288"/>
      <c r="P710" s="288"/>
      <c r="Q710" s="288"/>
      <c r="R710" s="257"/>
      <c r="S710" s="258"/>
      <c r="T710" s="255"/>
      <c r="U710" s="255"/>
      <c r="V710" s="259"/>
      <c r="W710" s="286"/>
      <c r="X710" s="286"/>
      <c r="Y710" s="286"/>
    </row>
    <row r="711">
      <c r="A711" s="28"/>
      <c r="B711" s="293"/>
      <c r="C711" s="28"/>
      <c r="D711" s="289"/>
      <c r="E711" s="294"/>
      <c r="F711" s="291"/>
      <c r="G711" s="292"/>
      <c r="H711" s="292"/>
      <c r="I711" s="292"/>
      <c r="J711" s="292"/>
      <c r="K711" s="288"/>
      <c r="L711" s="288"/>
      <c r="M711" s="288"/>
      <c r="N711" s="288"/>
      <c r="O711" s="288"/>
      <c r="P711" s="288"/>
      <c r="Q711" s="288"/>
      <c r="R711" s="257"/>
      <c r="S711" s="258"/>
      <c r="T711" s="255"/>
      <c r="U711" s="255"/>
      <c r="V711" s="259"/>
      <c r="W711" s="286"/>
      <c r="X711" s="286"/>
      <c r="Y711" s="286"/>
    </row>
    <row r="712">
      <c r="A712" s="28"/>
      <c r="B712" s="293"/>
      <c r="C712" s="28"/>
      <c r="D712" s="289"/>
      <c r="E712" s="294"/>
      <c r="F712" s="291"/>
      <c r="G712" s="292"/>
      <c r="H712" s="292"/>
      <c r="I712" s="292"/>
      <c r="J712" s="292"/>
      <c r="K712" s="288"/>
      <c r="L712" s="288"/>
      <c r="M712" s="288"/>
      <c r="N712" s="288"/>
      <c r="O712" s="288"/>
      <c r="P712" s="288"/>
      <c r="Q712" s="288"/>
      <c r="R712" s="257"/>
      <c r="S712" s="258"/>
      <c r="T712" s="255"/>
      <c r="U712" s="255"/>
      <c r="V712" s="259"/>
      <c r="W712" s="286"/>
      <c r="X712" s="286"/>
      <c r="Y712" s="286"/>
    </row>
    <row r="713">
      <c r="A713" s="28"/>
      <c r="B713" s="293"/>
      <c r="C713" s="28"/>
      <c r="D713" s="289"/>
      <c r="E713" s="294"/>
      <c r="F713" s="291"/>
      <c r="G713" s="292"/>
      <c r="H713" s="292"/>
      <c r="I713" s="292"/>
      <c r="J713" s="292"/>
      <c r="K713" s="288"/>
      <c r="L713" s="288"/>
      <c r="M713" s="288"/>
      <c r="N713" s="288"/>
      <c r="O713" s="288"/>
      <c r="P713" s="288"/>
      <c r="Q713" s="288"/>
      <c r="R713" s="257"/>
      <c r="S713" s="258"/>
      <c r="T713" s="255"/>
      <c r="U713" s="255"/>
      <c r="V713" s="259"/>
      <c r="W713" s="286"/>
      <c r="X713" s="286"/>
      <c r="Y713" s="286"/>
    </row>
    <row r="714">
      <c r="A714" s="28"/>
      <c r="B714" s="293"/>
      <c r="C714" s="28"/>
      <c r="D714" s="289"/>
      <c r="E714" s="294"/>
      <c r="F714" s="291"/>
      <c r="G714" s="292"/>
      <c r="H714" s="292"/>
      <c r="I714" s="292"/>
      <c r="J714" s="292"/>
      <c r="K714" s="288"/>
      <c r="L714" s="288"/>
      <c r="M714" s="288"/>
      <c r="N714" s="288"/>
      <c r="O714" s="288"/>
      <c r="P714" s="288"/>
      <c r="Q714" s="288"/>
      <c r="R714" s="257"/>
      <c r="S714" s="258"/>
      <c r="T714" s="255"/>
      <c r="U714" s="255"/>
      <c r="V714" s="259"/>
      <c r="W714" s="286"/>
      <c r="X714" s="286"/>
      <c r="Y714" s="286"/>
    </row>
    <row r="715">
      <c r="A715" s="28"/>
      <c r="B715" s="293"/>
      <c r="C715" s="28"/>
      <c r="D715" s="289"/>
      <c r="E715" s="294"/>
      <c r="F715" s="291"/>
      <c r="G715" s="292"/>
      <c r="H715" s="292"/>
      <c r="I715" s="292"/>
      <c r="J715" s="292"/>
      <c r="K715" s="288"/>
      <c r="L715" s="288"/>
      <c r="M715" s="288"/>
      <c r="N715" s="288"/>
      <c r="O715" s="288"/>
      <c r="P715" s="288"/>
      <c r="Q715" s="288"/>
      <c r="R715" s="257"/>
      <c r="S715" s="258"/>
      <c r="T715" s="255"/>
      <c r="U715" s="255"/>
      <c r="V715" s="259"/>
      <c r="W715" s="286"/>
      <c r="X715" s="286"/>
      <c r="Y715" s="286"/>
    </row>
    <row r="716">
      <c r="A716" s="28"/>
      <c r="B716" s="293"/>
      <c r="C716" s="28"/>
      <c r="D716" s="289"/>
      <c r="E716" s="294"/>
      <c r="F716" s="291"/>
      <c r="G716" s="292"/>
      <c r="H716" s="292"/>
      <c r="I716" s="292"/>
      <c r="J716" s="292"/>
      <c r="K716" s="288"/>
      <c r="L716" s="288"/>
      <c r="M716" s="288"/>
      <c r="N716" s="288"/>
      <c r="O716" s="288"/>
      <c r="P716" s="288"/>
      <c r="Q716" s="288"/>
      <c r="R716" s="257"/>
      <c r="S716" s="258"/>
      <c r="T716" s="255"/>
      <c r="U716" s="255"/>
      <c r="V716" s="259"/>
      <c r="W716" s="286"/>
      <c r="X716" s="286"/>
      <c r="Y716" s="286"/>
    </row>
    <row r="717">
      <c r="A717" s="28"/>
      <c r="B717" s="293"/>
      <c r="C717" s="28"/>
      <c r="D717" s="289"/>
      <c r="E717" s="294"/>
      <c r="F717" s="291"/>
      <c r="G717" s="292"/>
      <c r="H717" s="292"/>
      <c r="I717" s="292"/>
      <c r="J717" s="292"/>
      <c r="K717" s="288"/>
      <c r="L717" s="288"/>
      <c r="M717" s="288"/>
      <c r="N717" s="288"/>
      <c r="O717" s="288"/>
      <c r="P717" s="288"/>
      <c r="Q717" s="288"/>
      <c r="R717" s="257"/>
      <c r="S717" s="258"/>
      <c r="T717" s="255"/>
      <c r="U717" s="255"/>
      <c r="V717" s="259"/>
      <c r="W717" s="286"/>
      <c r="X717" s="286"/>
      <c r="Y717" s="286"/>
    </row>
    <row r="718">
      <c r="A718" s="28"/>
      <c r="B718" s="293"/>
      <c r="C718" s="28"/>
      <c r="D718" s="289"/>
      <c r="E718" s="294"/>
      <c r="F718" s="291"/>
      <c r="G718" s="292"/>
      <c r="H718" s="292"/>
      <c r="I718" s="292"/>
      <c r="J718" s="292"/>
      <c r="K718" s="288"/>
      <c r="L718" s="288"/>
      <c r="M718" s="288"/>
      <c r="N718" s="288"/>
      <c r="O718" s="288"/>
      <c r="P718" s="288"/>
      <c r="Q718" s="288"/>
      <c r="R718" s="257"/>
      <c r="S718" s="258"/>
      <c r="T718" s="255"/>
      <c r="U718" s="255"/>
      <c r="V718" s="259"/>
      <c r="W718" s="286"/>
      <c r="X718" s="286"/>
      <c r="Y718" s="286"/>
    </row>
    <row r="719">
      <c r="A719" s="28"/>
      <c r="B719" s="293"/>
      <c r="C719" s="28"/>
      <c r="D719" s="289"/>
      <c r="E719" s="294"/>
      <c r="F719" s="291"/>
      <c r="G719" s="292"/>
      <c r="H719" s="292"/>
      <c r="I719" s="292"/>
      <c r="J719" s="292"/>
      <c r="K719" s="288"/>
      <c r="L719" s="288"/>
      <c r="M719" s="288"/>
      <c r="N719" s="288"/>
      <c r="O719" s="288"/>
      <c r="P719" s="288"/>
      <c r="Q719" s="288"/>
      <c r="R719" s="257"/>
      <c r="S719" s="258"/>
      <c r="T719" s="255"/>
      <c r="U719" s="255"/>
      <c r="V719" s="259"/>
      <c r="W719" s="286"/>
      <c r="X719" s="286"/>
      <c r="Y719" s="286"/>
    </row>
    <row r="720">
      <c r="A720" s="28"/>
      <c r="B720" s="293"/>
      <c r="C720" s="28"/>
      <c r="D720" s="289"/>
      <c r="E720" s="294"/>
      <c r="F720" s="291"/>
      <c r="G720" s="292"/>
      <c r="H720" s="292"/>
      <c r="I720" s="292"/>
      <c r="J720" s="292"/>
      <c r="K720" s="288"/>
      <c r="L720" s="288"/>
      <c r="M720" s="288"/>
      <c r="N720" s="288"/>
      <c r="O720" s="288"/>
      <c r="P720" s="288"/>
      <c r="Q720" s="288"/>
      <c r="R720" s="257"/>
      <c r="S720" s="258"/>
      <c r="T720" s="255"/>
      <c r="U720" s="255"/>
      <c r="V720" s="259"/>
      <c r="W720" s="286"/>
      <c r="X720" s="286"/>
      <c r="Y720" s="286"/>
    </row>
    <row r="721">
      <c r="A721" s="28"/>
      <c r="B721" s="293"/>
      <c r="C721" s="28"/>
      <c r="D721" s="289"/>
      <c r="E721" s="294"/>
      <c r="F721" s="291"/>
      <c r="G721" s="292"/>
      <c r="H721" s="292"/>
      <c r="I721" s="292"/>
      <c r="J721" s="292"/>
      <c r="K721" s="288"/>
      <c r="L721" s="288"/>
      <c r="M721" s="288"/>
      <c r="N721" s="288"/>
      <c r="O721" s="288"/>
      <c r="P721" s="288"/>
      <c r="Q721" s="288"/>
      <c r="R721" s="257"/>
      <c r="S721" s="258"/>
      <c r="T721" s="255"/>
      <c r="U721" s="255"/>
      <c r="V721" s="259"/>
      <c r="W721" s="286"/>
      <c r="X721" s="286"/>
      <c r="Y721" s="286"/>
    </row>
    <row r="722">
      <c r="A722" s="28"/>
      <c r="B722" s="293"/>
      <c r="C722" s="28"/>
      <c r="D722" s="289"/>
      <c r="E722" s="294"/>
      <c r="F722" s="291"/>
      <c r="G722" s="292"/>
      <c r="H722" s="292"/>
      <c r="I722" s="292"/>
      <c r="J722" s="292"/>
      <c r="K722" s="288"/>
      <c r="L722" s="288"/>
      <c r="M722" s="288"/>
      <c r="N722" s="288"/>
      <c r="O722" s="288"/>
      <c r="P722" s="288"/>
      <c r="Q722" s="288"/>
      <c r="R722" s="257"/>
      <c r="S722" s="258"/>
      <c r="T722" s="255"/>
      <c r="U722" s="255"/>
      <c r="V722" s="259"/>
      <c r="W722" s="286"/>
      <c r="X722" s="286"/>
      <c r="Y722" s="286"/>
    </row>
    <row r="723">
      <c r="A723" s="28"/>
      <c r="B723" s="293"/>
      <c r="C723" s="28"/>
      <c r="D723" s="289"/>
      <c r="E723" s="294"/>
      <c r="F723" s="291"/>
      <c r="G723" s="292"/>
      <c r="H723" s="292"/>
      <c r="I723" s="292"/>
      <c r="J723" s="292"/>
      <c r="K723" s="288"/>
      <c r="L723" s="288"/>
      <c r="M723" s="288"/>
      <c r="N723" s="288"/>
      <c r="O723" s="288"/>
      <c r="P723" s="288"/>
      <c r="Q723" s="288"/>
      <c r="R723" s="257"/>
      <c r="S723" s="258"/>
      <c r="T723" s="255"/>
      <c r="U723" s="255"/>
      <c r="V723" s="259"/>
      <c r="W723" s="286"/>
      <c r="X723" s="286"/>
      <c r="Y723" s="286"/>
    </row>
    <row r="724">
      <c r="A724" s="28"/>
      <c r="B724" s="293"/>
      <c r="C724" s="28"/>
      <c r="D724" s="289"/>
      <c r="E724" s="294"/>
      <c r="F724" s="291"/>
      <c r="G724" s="292"/>
      <c r="H724" s="292"/>
      <c r="I724" s="292"/>
      <c r="J724" s="292"/>
      <c r="K724" s="288"/>
      <c r="L724" s="288"/>
      <c r="M724" s="288"/>
      <c r="N724" s="288"/>
      <c r="O724" s="288"/>
      <c r="P724" s="288"/>
      <c r="Q724" s="288"/>
      <c r="R724" s="257"/>
      <c r="S724" s="258"/>
      <c r="T724" s="255"/>
      <c r="U724" s="255"/>
      <c r="V724" s="259"/>
      <c r="W724" s="286"/>
      <c r="X724" s="286"/>
      <c r="Y724" s="286"/>
    </row>
    <row r="725">
      <c r="A725" s="28"/>
      <c r="B725" s="293"/>
      <c r="C725" s="28"/>
      <c r="D725" s="289"/>
      <c r="E725" s="294"/>
      <c r="F725" s="291"/>
      <c r="G725" s="292"/>
      <c r="H725" s="292"/>
      <c r="I725" s="292"/>
      <c r="J725" s="292"/>
      <c r="K725" s="288"/>
      <c r="L725" s="288"/>
      <c r="M725" s="288"/>
      <c r="N725" s="288"/>
      <c r="O725" s="288"/>
      <c r="P725" s="288"/>
      <c r="Q725" s="288"/>
      <c r="R725" s="257"/>
      <c r="S725" s="258"/>
      <c r="T725" s="255"/>
      <c r="U725" s="255"/>
      <c r="V725" s="259"/>
      <c r="W725" s="286"/>
      <c r="X725" s="286"/>
      <c r="Y725" s="286"/>
    </row>
    <row r="726">
      <c r="A726" s="28"/>
      <c r="B726" s="293"/>
      <c r="C726" s="28"/>
      <c r="D726" s="289"/>
      <c r="E726" s="294"/>
      <c r="F726" s="291"/>
      <c r="G726" s="292"/>
      <c r="H726" s="292"/>
      <c r="I726" s="292"/>
      <c r="J726" s="292"/>
      <c r="K726" s="288"/>
      <c r="L726" s="288"/>
      <c r="M726" s="288"/>
      <c r="N726" s="288"/>
      <c r="O726" s="288"/>
      <c r="P726" s="288"/>
      <c r="Q726" s="288"/>
      <c r="R726" s="257"/>
      <c r="S726" s="258"/>
      <c r="T726" s="255"/>
      <c r="U726" s="255"/>
      <c r="V726" s="259"/>
      <c r="W726" s="286"/>
      <c r="X726" s="286"/>
      <c r="Y726" s="286"/>
    </row>
    <row r="727">
      <c r="A727" s="28"/>
      <c r="B727" s="293"/>
      <c r="C727" s="28"/>
      <c r="D727" s="289"/>
      <c r="E727" s="294"/>
      <c r="F727" s="291"/>
      <c r="G727" s="292"/>
      <c r="H727" s="292"/>
      <c r="I727" s="292"/>
      <c r="J727" s="292"/>
      <c r="K727" s="288"/>
      <c r="L727" s="288"/>
      <c r="M727" s="288"/>
      <c r="N727" s="288"/>
      <c r="O727" s="288"/>
      <c r="P727" s="288"/>
      <c r="Q727" s="288"/>
      <c r="R727" s="257"/>
      <c r="S727" s="258"/>
      <c r="T727" s="255"/>
      <c r="U727" s="255"/>
      <c r="V727" s="259"/>
      <c r="W727" s="286"/>
      <c r="X727" s="286"/>
      <c r="Y727" s="286"/>
    </row>
    <row r="728">
      <c r="A728" s="28"/>
      <c r="B728" s="293"/>
      <c r="C728" s="28"/>
      <c r="D728" s="289"/>
      <c r="E728" s="294"/>
      <c r="F728" s="291"/>
      <c r="G728" s="292"/>
      <c r="H728" s="292"/>
      <c r="I728" s="292"/>
      <c r="J728" s="292"/>
      <c r="K728" s="288"/>
      <c r="L728" s="288"/>
      <c r="M728" s="288"/>
      <c r="N728" s="288"/>
      <c r="O728" s="288"/>
      <c r="P728" s="288"/>
      <c r="Q728" s="288"/>
      <c r="R728" s="257"/>
      <c r="S728" s="258"/>
      <c r="T728" s="255"/>
      <c r="U728" s="255"/>
      <c r="V728" s="259"/>
      <c r="W728" s="286"/>
      <c r="X728" s="286"/>
      <c r="Y728" s="286"/>
    </row>
    <row r="729">
      <c r="A729" s="28"/>
      <c r="B729" s="293"/>
      <c r="C729" s="28"/>
      <c r="D729" s="289"/>
      <c r="E729" s="294"/>
      <c r="F729" s="291"/>
      <c r="G729" s="292"/>
      <c r="H729" s="292"/>
      <c r="I729" s="292"/>
      <c r="J729" s="292"/>
      <c r="K729" s="288"/>
      <c r="L729" s="288"/>
      <c r="M729" s="288"/>
      <c r="N729" s="288"/>
      <c r="O729" s="288"/>
      <c r="P729" s="288"/>
      <c r="Q729" s="288"/>
      <c r="R729" s="257"/>
      <c r="S729" s="258"/>
      <c r="T729" s="255"/>
      <c r="U729" s="255"/>
      <c r="V729" s="259"/>
      <c r="W729" s="286"/>
      <c r="X729" s="286"/>
      <c r="Y729" s="286"/>
    </row>
    <row r="730">
      <c r="A730" s="28"/>
      <c r="B730" s="293"/>
      <c r="C730" s="28"/>
      <c r="D730" s="289"/>
      <c r="E730" s="294"/>
      <c r="F730" s="291"/>
      <c r="G730" s="292"/>
      <c r="H730" s="292"/>
      <c r="I730" s="292"/>
      <c r="J730" s="292"/>
      <c r="K730" s="288"/>
      <c r="L730" s="288"/>
      <c r="M730" s="288"/>
      <c r="N730" s="288"/>
      <c r="O730" s="288"/>
      <c r="P730" s="288"/>
      <c r="Q730" s="288"/>
      <c r="R730" s="257"/>
      <c r="S730" s="258"/>
      <c r="T730" s="255"/>
      <c r="U730" s="255"/>
      <c r="V730" s="259"/>
      <c r="W730" s="286"/>
      <c r="X730" s="286"/>
      <c r="Y730" s="286"/>
    </row>
    <row r="731">
      <c r="A731" s="28"/>
      <c r="B731" s="293"/>
      <c r="C731" s="28"/>
      <c r="D731" s="289"/>
      <c r="E731" s="294"/>
      <c r="F731" s="291"/>
      <c r="G731" s="292"/>
      <c r="H731" s="292"/>
      <c r="I731" s="292"/>
      <c r="J731" s="292"/>
      <c r="K731" s="288"/>
      <c r="L731" s="288"/>
      <c r="M731" s="288"/>
      <c r="N731" s="288"/>
      <c r="O731" s="288"/>
      <c r="P731" s="288"/>
      <c r="Q731" s="288"/>
      <c r="R731" s="257"/>
      <c r="S731" s="258"/>
      <c r="T731" s="255"/>
      <c r="U731" s="255"/>
      <c r="V731" s="259"/>
      <c r="W731" s="286"/>
      <c r="X731" s="286"/>
      <c r="Y731" s="286"/>
    </row>
    <row r="732">
      <c r="A732" s="28"/>
      <c r="B732" s="293"/>
      <c r="C732" s="28"/>
      <c r="D732" s="289"/>
      <c r="E732" s="294"/>
      <c r="F732" s="291"/>
      <c r="G732" s="292"/>
      <c r="H732" s="292"/>
      <c r="I732" s="292"/>
      <c r="J732" s="292"/>
      <c r="K732" s="288"/>
      <c r="L732" s="288"/>
      <c r="M732" s="288"/>
      <c r="N732" s="288"/>
      <c r="O732" s="288"/>
      <c r="P732" s="288"/>
      <c r="Q732" s="288"/>
      <c r="R732" s="257"/>
      <c r="S732" s="258"/>
      <c r="T732" s="255"/>
      <c r="U732" s="255"/>
      <c r="V732" s="259"/>
      <c r="W732" s="286"/>
      <c r="X732" s="286"/>
      <c r="Y732" s="286"/>
    </row>
    <row r="733">
      <c r="A733" s="28"/>
      <c r="B733" s="293"/>
      <c r="C733" s="28"/>
      <c r="D733" s="289"/>
      <c r="E733" s="294"/>
      <c r="F733" s="291"/>
      <c r="G733" s="292"/>
      <c r="H733" s="292"/>
      <c r="I733" s="292"/>
      <c r="J733" s="292"/>
      <c r="K733" s="288"/>
      <c r="L733" s="288"/>
      <c r="M733" s="288"/>
      <c r="N733" s="288"/>
      <c r="O733" s="288"/>
      <c r="P733" s="288"/>
      <c r="Q733" s="288"/>
      <c r="R733" s="257"/>
      <c r="S733" s="258"/>
      <c r="T733" s="255"/>
      <c r="U733" s="255"/>
      <c r="V733" s="259"/>
      <c r="W733" s="286"/>
      <c r="X733" s="286"/>
      <c r="Y733" s="286"/>
    </row>
    <row r="734">
      <c r="A734" s="28"/>
      <c r="B734" s="293"/>
      <c r="C734" s="28"/>
      <c r="D734" s="289"/>
      <c r="E734" s="294"/>
      <c r="F734" s="291"/>
      <c r="G734" s="292"/>
      <c r="H734" s="292"/>
      <c r="I734" s="292"/>
      <c r="J734" s="292"/>
      <c r="K734" s="288"/>
      <c r="L734" s="288"/>
      <c r="M734" s="288"/>
      <c r="N734" s="288"/>
      <c r="O734" s="288"/>
      <c r="P734" s="288"/>
      <c r="Q734" s="288"/>
      <c r="R734" s="257"/>
      <c r="S734" s="258"/>
      <c r="T734" s="255"/>
      <c r="U734" s="255"/>
      <c r="V734" s="259"/>
      <c r="W734" s="286"/>
      <c r="X734" s="286"/>
      <c r="Y734" s="286"/>
    </row>
    <row r="735">
      <c r="A735" s="28"/>
      <c r="B735" s="293"/>
      <c r="C735" s="28"/>
      <c r="D735" s="289"/>
      <c r="E735" s="294"/>
      <c r="F735" s="291"/>
      <c r="G735" s="292"/>
      <c r="H735" s="292"/>
      <c r="I735" s="292"/>
      <c r="J735" s="292"/>
      <c r="K735" s="288"/>
      <c r="L735" s="288"/>
      <c r="M735" s="288"/>
      <c r="N735" s="288"/>
      <c r="O735" s="288"/>
      <c r="P735" s="288"/>
      <c r="Q735" s="288"/>
      <c r="R735" s="257"/>
      <c r="S735" s="258"/>
      <c r="T735" s="255"/>
      <c r="U735" s="255"/>
      <c r="V735" s="259"/>
      <c r="W735" s="286"/>
      <c r="X735" s="286"/>
      <c r="Y735" s="286"/>
    </row>
    <row r="736">
      <c r="A736" s="28"/>
      <c r="B736" s="293"/>
      <c r="C736" s="28"/>
      <c r="D736" s="289"/>
      <c r="E736" s="294"/>
      <c r="F736" s="291"/>
      <c r="G736" s="292"/>
      <c r="H736" s="292"/>
      <c r="I736" s="292"/>
      <c r="J736" s="292"/>
      <c r="K736" s="288"/>
      <c r="L736" s="288"/>
      <c r="M736" s="288"/>
      <c r="N736" s="288"/>
      <c r="O736" s="288"/>
      <c r="P736" s="288"/>
      <c r="Q736" s="288"/>
      <c r="R736" s="257"/>
      <c r="S736" s="258"/>
      <c r="T736" s="255"/>
      <c r="U736" s="255"/>
      <c r="V736" s="259"/>
      <c r="W736" s="286"/>
      <c r="X736" s="286"/>
      <c r="Y736" s="286"/>
    </row>
    <row r="737">
      <c r="A737" s="28"/>
      <c r="B737" s="293"/>
      <c r="C737" s="28"/>
      <c r="D737" s="289"/>
      <c r="E737" s="294"/>
      <c r="F737" s="291"/>
      <c r="G737" s="292"/>
      <c r="H737" s="292"/>
      <c r="I737" s="292"/>
      <c r="J737" s="292"/>
      <c r="K737" s="288"/>
      <c r="L737" s="288"/>
      <c r="M737" s="288"/>
      <c r="N737" s="288"/>
      <c r="O737" s="288"/>
      <c r="P737" s="288"/>
      <c r="Q737" s="288"/>
      <c r="R737" s="257"/>
      <c r="S737" s="258"/>
      <c r="T737" s="255"/>
      <c r="U737" s="255"/>
      <c r="V737" s="259"/>
      <c r="W737" s="286"/>
      <c r="X737" s="286"/>
      <c r="Y737" s="286"/>
    </row>
    <row r="738">
      <c r="A738" s="28"/>
      <c r="B738" s="293"/>
      <c r="C738" s="28"/>
      <c r="D738" s="289"/>
      <c r="E738" s="294"/>
      <c r="F738" s="291"/>
      <c r="G738" s="292"/>
      <c r="H738" s="292"/>
      <c r="I738" s="292"/>
      <c r="J738" s="292"/>
      <c r="K738" s="288"/>
      <c r="L738" s="288"/>
      <c r="M738" s="288"/>
      <c r="N738" s="288"/>
      <c r="O738" s="288"/>
      <c r="P738" s="288"/>
      <c r="Q738" s="288"/>
      <c r="R738" s="257"/>
      <c r="S738" s="258"/>
      <c r="T738" s="255"/>
      <c r="U738" s="255"/>
      <c r="V738" s="259"/>
      <c r="W738" s="286"/>
      <c r="X738" s="286"/>
      <c r="Y738" s="286"/>
    </row>
    <row r="739">
      <c r="A739" s="28"/>
      <c r="B739" s="293"/>
      <c r="C739" s="28"/>
      <c r="D739" s="289"/>
      <c r="E739" s="294"/>
      <c r="F739" s="291"/>
      <c r="G739" s="292"/>
      <c r="H739" s="292"/>
      <c r="I739" s="292"/>
      <c r="J739" s="292"/>
      <c r="K739" s="288"/>
      <c r="L739" s="288"/>
      <c r="M739" s="288"/>
      <c r="N739" s="288"/>
      <c r="O739" s="288"/>
      <c r="P739" s="288"/>
      <c r="Q739" s="288"/>
      <c r="R739" s="257"/>
      <c r="S739" s="258"/>
      <c r="T739" s="255"/>
      <c r="U739" s="255"/>
      <c r="V739" s="259"/>
      <c r="W739" s="286"/>
      <c r="X739" s="286"/>
      <c r="Y739" s="286"/>
    </row>
    <row r="740">
      <c r="A740" s="28"/>
      <c r="B740" s="293"/>
      <c r="C740" s="28"/>
      <c r="D740" s="289"/>
      <c r="E740" s="294"/>
      <c r="F740" s="291"/>
      <c r="G740" s="292"/>
      <c r="H740" s="292"/>
      <c r="I740" s="292"/>
      <c r="J740" s="292"/>
      <c r="K740" s="288"/>
      <c r="L740" s="288"/>
      <c r="M740" s="288"/>
      <c r="N740" s="288"/>
      <c r="O740" s="288"/>
      <c r="P740" s="288"/>
      <c r="Q740" s="288"/>
      <c r="R740" s="257"/>
      <c r="S740" s="258"/>
      <c r="T740" s="255"/>
      <c r="U740" s="255"/>
      <c r="V740" s="259"/>
      <c r="W740" s="286"/>
      <c r="X740" s="286"/>
      <c r="Y740" s="286"/>
    </row>
    <row r="741">
      <c r="A741" s="28"/>
      <c r="B741" s="293"/>
      <c r="C741" s="28"/>
      <c r="D741" s="289"/>
      <c r="E741" s="294"/>
      <c r="F741" s="291"/>
      <c r="G741" s="292"/>
      <c r="H741" s="292"/>
      <c r="I741" s="292"/>
      <c r="J741" s="292"/>
      <c r="K741" s="288"/>
      <c r="L741" s="288"/>
      <c r="M741" s="288"/>
      <c r="N741" s="288"/>
      <c r="O741" s="288"/>
      <c r="P741" s="288"/>
      <c r="Q741" s="288"/>
      <c r="R741" s="257"/>
      <c r="S741" s="258"/>
      <c r="T741" s="255"/>
      <c r="U741" s="255"/>
      <c r="V741" s="259"/>
      <c r="W741" s="286"/>
      <c r="X741" s="286"/>
      <c r="Y741" s="286"/>
    </row>
    <row r="742">
      <c r="A742" s="28"/>
      <c r="B742" s="293"/>
      <c r="C742" s="28"/>
      <c r="D742" s="289"/>
      <c r="E742" s="294"/>
      <c r="F742" s="291"/>
      <c r="G742" s="292"/>
      <c r="H742" s="292"/>
      <c r="I742" s="292"/>
      <c r="J742" s="292"/>
      <c r="K742" s="288"/>
      <c r="L742" s="288"/>
      <c r="M742" s="288"/>
      <c r="N742" s="288"/>
      <c r="O742" s="288"/>
      <c r="P742" s="288"/>
      <c r="Q742" s="288"/>
      <c r="R742" s="257"/>
      <c r="S742" s="258"/>
      <c r="T742" s="255"/>
      <c r="U742" s="255"/>
      <c r="V742" s="259"/>
      <c r="W742" s="286"/>
      <c r="X742" s="286"/>
      <c r="Y742" s="286"/>
    </row>
    <row r="743">
      <c r="A743" s="28"/>
      <c r="B743" s="293"/>
      <c r="C743" s="28"/>
      <c r="D743" s="289"/>
      <c r="E743" s="294"/>
      <c r="F743" s="291"/>
      <c r="G743" s="292"/>
      <c r="H743" s="292"/>
      <c r="I743" s="292"/>
      <c r="J743" s="292"/>
      <c r="K743" s="288"/>
      <c r="L743" s="288"/>
      <c r="M743" s="288"/>
      <c r="N743" s="288"/>
      <c r="O743" s="288"/>
      <c r="P743" s="288"/>
      <c r="Q743" s="288"/>
      <c r="R743" s="257"/>
      <c r="S743" s="258"/>
      <c r="T743" s="255"/>
      <c r="U743" s="255"/>
      <c r="V743" s="259"/>
      <c r="W743" s="286"/>
      <c r="X743" s="286"/>
      <c r="Y743" s="286"/>
    </row>
    <row r="744">
      <c r="A744" s="28"/>
      <c r="B744" s="293"/>
      <c r="C744" s="28"/>
      <c r="D744" s="289"/>
      <c r="E744" s="294"/>
      <c r="F744" s="291"/>
      <c r="G744" s="292"/>
      <c r="H744" s="292"/>
      <c r="I744" s="292"/>
      <c r="J744" s="292"/>
      <c r="K744" s="288"/>
      <c r="L744" s="288"/>
      <c r="M744" s="288"/>
      <c r="N744" s="288"/>
      <c r="O744" s="288"/>
      <c r="P744" s="288"/>
      <c r="Q744" s="288"/>
      <c r="R744" s="257"/>
      <c r="S744" s="258"/>
      <c r="T744" s="255"/>
      <c r="U744" s="255"/>
      <c r="V744" s="259"/>
      <c r="W744" s="286"/>
      <c r="X744" s="286"/>
      <c r="Y744" s="286"/>
    </row>
    <row r="745">
      <c r="A745" s="28"/>
      <c r="B745" s="293"/>
      <c r="C745" s="28"/>
      <c r="D745" s="289"/>
      <c r="E745" s="294"/>
      <c r="F745" s="291"/>
      <c r="G745" s="292"/>
      <c r="H745" s="292"/>
      <c r="I745" s="292"/>
      <c r="J745" s="292"/>
      <c r="K745" s="288"/>
      <c r="L745" s="288"/>
      <c r="M745" s="288"/>
      <c r="N745" s="288"/>
      <c r="O745" s="288"/>
      <c r="P745" s="288"/>
      <c r="Q745" s="288"/>
      <c r="R745" s="257"/>
      <c r="S745" s="258"/>
      <c r="T745" s="255"/>
      <c r="U745" s="255"/>
      <c r="V745" s="259"/>
      <c r="W745" s="286"/>
      <c r="X745" s="286"/>
      <c r="Y745" s="286"/>
    </row>
    <row r="746">
      <c r="A746" s="28"/>
      <c r="B746" s="293"/>
      <c r="C746" s="28"/>
      <c r="D746" s="289"/>
      <c r="E746" s="294"/>
      <c r="F746" s="291"/>
      <c r="G746" s="292"/>
      <c r="H746" s="292"/>
      <c r="I746" s="292"/>
      <c r="J746" s="292"/>
      <c r="K746" s="288"/>
      <c r="L746" s="288"/>
      <c r="M746" s="288"/>
      <c r="N746" s="288"/>
      <c r="O746" s="288"/>
      <c r="P746" s="288"/>
      <c r="Q746" s="288"/>
      <c r="R746" s="257"/>
      <c r="S746" s="258"/>
      <c r="T746" s="255"/>
      <c r="U746" s="255"/>
      <c r="V746" s="259"/>
      <c r="W746" s="286"/>
      <c r="X746" s="286"/>
      <c r="Y746" s="286"/>
    </row>
    <row r="747">
      <c r="A747" s="28"/>
      <c r="B747" s="293"/>
      <c r="C747" s="28"/>
      <c r="D747" s="289"/>
      <c r="E747" s="294"/>
      <c r="F747" s="291"/>
      <c r="G747" s="292"/>
      <c r="H747" s="292"/>
      <c r="I747" s="292"/>
      <c r="J747" s="292"/>
      <c r="K747" s="288"/>
      <c r="L747" s="288"/>
      <c r="M747" s="288"/>
      <c r="N747" s="288"/>
      <c r="O747" s="288"/>
      <c r="P747" s="288"/>
      <c r="Q747" s="288"/>
      <c r="R747" s="257"/>
      <c r="S747" s="258"/>
      <c r="T747" s="255"/>
      <c r="U747" s="255"/>
      <c r="V747" s="259"/>
      <c r="W747" s="286"/>
      <c r="X747" s="286"/>
      <c r="Y747" s="286"/>
    </row>
    <row r="748">
      <c r="A748" s="28"/>
      <c r="B748" s="293"/>
      <c r="C748" s="28"/>
      <c r="D748" s="289"/>
      <c r="E748" s="294"/>
      <c r="F748" s="291"/>
      <c r="G748" s="292"/>
      <c r="H748" s="292"/>
      <c r="I748" s="292"/>
      <c r="J748" s="292"/>
      <c r="K748" s="288"/>
      <c r="L748" s="288"/>
      <c r="M748" s="288"/>
      <c r="N748" s="288"/>
      <c r="O748" s="288"/>
      <c r="P748" s="288"/>
      <c r="Q748" s="288"/>
      <c r="R748" s="257"/>
      <c r="S748" s="258"/>
      <c r="T748" s="255"/>
      <c r="U748" s="255"/>
      <c r="V748" s="259"/>
      <c r="W748" s="286"/>
      <c r="X748" s="286"/>
      <c r="Y748" s="286"/>
    </row>
    <row r="749">
      <c r="A749" s="28"/>
      <c r="B749" s="293"/>
      <c r="C749" s="28"/>
      <c r="D749" s="289"/>
      <c r="E749" s="294"/>
      <c r="F749" s="291"/>
      <c r="G749" s="292"/>
      <c r="H749" s="292"/>
      <c r="I749" s="292"/>
      <c r="J749" s="292"/>
      <c r="K749" s="288"/>
      <c r="L749" s="288"/>
      <c r="M749" s="288"/>
      <c r="N749" s="288"/>
      <c r="O749" s="288"/>
      <c r="P749" s="288"/>
      <c r="Q749" s="288"/>
      <c r="R749" s="257"/>
      <c r="S749" s="258"/>
      <c r="T749" s="255"/>
      <c r="U749" s="255"/>
      <c r="V749" s="259"/>
      <c r="W749" s="286"/>
      <c r="X749" s="286"/>
      <c r="Y749" s="286"/>
    </row>
    <row r="750">
      <c r="A750" s="28"/>
      <c r="B750" s="293"/>
      <c r="C750" s="28"/>
      <c r="D750" s="289"/>
      <c r="E750" s="294"/>
      <c r="F750" s="291"/>
      <c r="G750" s="292"/>
      <c r="H750" s="292"/>
      <c r="I750" s="292"/>
      <c r="J750" s="292"/>
      <c r="K750" s="288"/>
      <c r="L750" s="288"/>
      <c r="M750" s="288"/>
      <c r="N750" s="288"/>
      <c r="O750" s="288"/>
      <c r="P750" s="288"/>
      <c r="Q750" s="288"/>
      <c r="R750" s="257"/>
      <c r="S750" s="258"/>
      <c r="T750" s="255"/>
      <c r="U750" s="255"/>
      <c r="V750" s="259"/>
      <c r="W750" s="286"/>
      <c r="X750" s="286"/>
      <c r="Y750" s="286"/>
    </row>
    <row r="751">
      <c r="A751" s="28"/>
      <c r="B751" s="293"/>
      <c r="C751" s="28"/>
      <c r="D751" s="289"/>
      <c r="E751" s="294"/>
      <c r="F751" s="291"/>
      <c r="G751" s="292"/>
      <c r="H751" s="292"/>
      <c r="I751" s="292"/>
      <c r="J751" s="292"/>
      <c r="K751" s="288"/>
      <c r="L751" s="288"/>
      <c r="M751" s="288"/>
      <c r="N751" s="288"/>
      <c r="O751" s="288"/>
      <c r="P751" s="288"/>
      <c r="Q751" s="288"/>
      <c r="R751" s="257"/>
      <c r="S751" s="258"/>
      <c r="T751" s="255"/>
      <c r="U751" s="255"/>
      <c r="V751" s="259"/>
      <c r="W751" s="286"/>
      <c r="X751" s="286"/>
      <c r="Y751" s="286"/>
    </row>
    <row r="752">
      <c r="A752" s="28"/>
      <c r="B752" s="293"/>
      <c r="C752" s="28"/>
      <c r="D752" s="289"/>
      <c r="E752" s="294"/>
      <c r="F752" s="291"/>
      <c r="G752" s="292"/>
      <c r="H752" s="292"/>
      <c r="I752" s="292"/>
      <c r="J752" s="292"/>
      <c r="K752" s="288"/>
      <c r="L752" s="288"/>
      <c r="M752" s="288"/>
      <c r="N752" s="288"/>
      <c r="O752" s="288"/>
      <c r="P752" s="288"/>
      <c r="Q752" s="288"/>
      <c r="R752" s="257"/>
      <c r="S752" s="258"/>
      <c r="T752" s="255"/>
      <c r="U752" s="255"/>
      <c r="V752" s="259"/>
      <c r="W752" s="286"/>
      <c r="X752" s="286"/>
      <c r="Y752" s="286"/>
    </row>
    <row r="753">
      <c r="A753" s="28"/>
      <c r="B753" s="293"/>
      <c r="C753" s="28"/>
      <c r="D753" s="289"/>
      <c r="E753" s="294"/>
      <c r="F753" s="291"/>
      <c r="G753" s="292"/>
      <c r="H753" s="292"/>
      <c r="I753" s="292"/>
      <c r="J753" s="292"/>
      <c r="K753" s="288"/>
      <c r="L753" s="288"/>
      <c r="M753" s="288"/>
      <c r="N753" s="288"/>
      <c r="O753" s="288"/>
      <c r="P753" s="288"/>
      <c r="Q753" s="288"/>
      <c r="R753" s="257"/>
      <c r="S753" s="258"/>
      <c r="T753" s="255"/>
      <c r="U753" s="255"/>
      <c r="V753" s="259"/>
      <c r="W753" s="286"/>
      <c r="X753" s="286"/>
      <c r="Y753" s="286"/>
    </row>
    <row r="754">
      <c r="A754" s="28"/>
      <c r="B754" s="293"/>
      <c r="C754" s="28"/>
      <c r="D754" s="289"/>
      <c r="E754" s="294"/>
      <c r="F754" s="291"/>
      <c r="G754" s="292"/>
      <c r="H754" s="292"/>
      <c r="I754" s="292"/>
      <c r="J754" s="292"/>
      <c r="K754" s="288"/>
      <c r="L754" s="288"/>
      <c r="M754" s="288"/>
      <c r="N754" s="288"/>
      <c r="O754" s="288"/>
      <c r="P754" s="288"/>
      <c r="Q754" s="288"/>
      <c r="R754" s="257"/>
      <c r="S754" s="258"/>
      <c r="T754" s="255"/>
      <c r="U754" s="255"/>
      <c r="V754" s="259"/>
      <c r="W754" s="286"/>
      <c r="X754" s="286"/>
      <c r="Y754" s="286"/>
    </row>
    <row r="755">
      <c r="A755" s="28"/>
      <c r="B755" s="293"/>
      <c r="C755" s="28"/>
      <c r="D755" s="289"/>
      <c r="E755" s="294"/>
      <c r="F755" s="291"/>
      <c r="G755" s="292"/>
      <c r="H755" s="292"/>
      <c r="I755" s="292"/>
      <c r="J755" s="292"/>
      <c r="K755" s="288"/>
      <c r="L755" s="288"/>
      <c r="M755" s="288"/>
      <c r="N755" s="288"/>
      <c r="O755" s="288"/>
      <c r="P755" s="288"/>
      <c r="Q755" s="288"/>
      <c r="R755" s="257"/>
      <c r="S755" s="258"/>
      <c r="T755" s="255"/>
      <c r="U755" s="255"/>
      <c r="V755" s="259"/>
      <c r="W755" s="286"/>
      <c r="X755" s="286"/>
      <c r="Y755" s="286"/>
    </row>
    <row r="756">
      <c r="A756" s="28"/>
      <c r="B756" s="293"/>
      <c r="C756" s="28"/>
      <c r="D756" s="289"/>
      <c r="E756" s="294"/>
      <c r="F756" s="291"/>
      <c r="G756" s="292"/>
      <c r="H756" s="292"/>
      <c r="I756" s="292"/>
      <c r="J756" s="292"/>
      <c r="K756" s="288"/>
      <c r="L756" s="288"/>
      <c r="M756" s="288"/>
      <c r="N756" s="288"/>
      <c r="O756" s="288"/>
      <c r="P756" s="288"/>
      <c r="Q756" s="288"/>
      <c r="R756" s="257"/>
      <c r="S756" s="258"/>
      <c r="T756" s="255"/>
      <c r="U756" s="255"/>
      <c r="V756" s="259"/>
      <c r="W756" s="286"/>
      <c r="X756" s="286"/>
      <c r="Y756" s="286"/>
    </row>
    <row r="757">
      <c r="A757" s="28"/>
      <c r="B757" s="293"/>
      <c r="C757" s="28"/>
      <c r="D757" s="289"/>
      <c r="E757" s="294"/>
      <c r="F757" s="291"/>
      <c r="G757" s="292"/>
      <c r="H757" s="292"/>
      <c r="I757" s="292"/>
      <c r="J757" s="292"/>
      <c r="K757" s="288"/>
      <c r="L757" s="288"/>
      <c r="M757" s="288"/>
      <c r="N757" s="288"/>
      <c r="O757" s="288"/>
      <c r="P757" s="288"/>
      <c r="Q757" s="288"/>
      <c r="R757" s="257"/>
      <c r="S757" s="258"/>
      <c r="T757" s="255"/>
      <c r="U757" s="255"/>
      <c r="V757" s="259"/>
      <c r="W757" s="286"/>
      <c r="X757" s="286"/>
      <c r="Y757" s="286"/>
    </row>
    <row r="758">
      <c r="A758" s="28"/>
      <c r="B758" s="293"/>
      <c r="C758" s="28"/>
      <c r="D758" s="289"/>
      <c r="E758" s="294"/>
      <c r="F758" s="291"/>
      <c r="G758" s="292"/>
      <c r="H758" s="292"/>
      <c r="I758" s="292"/>
      <c r="J758" s="292"/>
      <c r="K758" s="288"/>
      <c r="L758" s="288"/>
      <c r="M758" s="288"/>
      <c r="N758" s="288"/>
      <c r="O758" s="288"/>
      <c r="P758" s="288"/>
      <c r="Q758" s="288"/>
      <c r="R758" s="257"/>
      <c r="S758" s="258"/>
      <c r="T758" s="255"/>
      <c r="U758" s="255"/>
      <c r="V758" s="259"/>
      <c r="W758" s="286"/>
      <c r="X758" s="286"/>
      <c r="Y758" s="286"/>
    </row>
    <row r="759">
      <c r="A759" s="28"/>
      <c r="B759" s="293"/>
      <c r="C759" s="28"/>
      <c r="D759" s="289"/>
      <c r="E759" s="294"/>
      <c r="F759" s="291"/>
      <c r="G759" s="292"/>
      <c r="H759" s="292"/>
      <c r="I759" s="292"/>
      <c r="J759" s="292"/>
      <c r="K759" s="288"/>
      <c r="L759" s="288"/>
      <c r="M759" s="288"/>
      <c r="N759" s="288"/>
      <c r="O759" s="288"/>
      <c r="P759" s="288"/>
      <c r="Q759" s="288"/>
      <c r="R759" s="257"/>
      <c r="S759" s="258"/>
      <c r="T759" s="255"/>
      <c r="U759" s="255"/>
      <c r="V759" s="259"/>
      <c r="W759" s="286"/>
      <c r="X759" s="286"/>
      <c r="Y759" s="286"/>
    </row>
    <row r="760">
      <c r="A760" s="28"/>
      <c r="B760" s="293"/>
      <c r="C760" s="28"/>
      <c r="D760" s="289"/>
      <c r="E760" s="294"/>
      <c r="F760" s="291"/>
      <c r="G760" s="292"/>
      <c r="H760" s="292"/>
      <c r="I760" s="292"/>
      <c r="J760" s="292"/>
      <c r="K760" s="288"/>
      <c r="L760" s="288"/>
      <c r="M760" s="288"/>
      <c r="N760" s="288"/>
      <c r="O760" s="288"/>
      <c r="P760" s="288"/>
      <c r="Q760" s="288"/>
      <c r="R760" s="257"/>
      <c r="S760" s="258"/>
      <c r="T760" s="255"/>
      <c r="U760" s="255"/>
      <c r="V760" s="259"/>
      <c r="W760" s="286"/>
      <c r="X760" s="286"/>
      <c r="Y760" s="286"/>
    </row>
    <row r="761">
      <c r="A761" s="28"/>
      <c r="B761" s="293"/>
      <c r="C761" s="28"/>
      <c r="D761" s="289"/>
      <c r="E761" s="294"/>
      <c r="F761" s="291"/>
      <c r="G761" s="292"/>
      <c r="H761" s="292"/>
      <c r="I761" s="292"/>
      <c r="J761" s="292"/>
      <c r="K761" s="288"/>
      <c r="L761" s="288"/>
      <c r="M761" s="288"/>
      <c r="N761" s="288"/>
      <c r="O761" s="288"/>
      <c r="P761" s="288"/>
      <c r="Q761" s="288"/>
      <c r="R761" s="257"/>
      <c r="S761" s="258"/>
      <c r="T761" s="255"/>
      <c r="U761" s="255"/>
      <c r="V761" s="259"/>
      <c r="W761" s="286"/>
      <c r="X761" s="286"/>
      <c r="Y761" s="286"/>
    </row>
    <row r="762">
      <c r="A762" s="28"/>
      <c r="B762" s="293"/>
      <c r="C762" s="28"/>
      <c r="D762" s="289"/>
      <c r="E762" s="294"/>
      <c r="F762" s="291"/>
      <c r="G762" s="292"/>
      <c r="H762" s="292"/>
      <c r="I762" s="292"/>
      <c r="J762" s="292"/>
      <c r="K762" s="288"/>
      <c r="L762" s="288"/>
      <c r="M762" s="288"/>
      <c r="N762" s="288"/>
      <c r="O762" s="288"/>
      <c r="P762" s="288"/>
      <c r="Q762" s="288"/>
      <c r="R762" s="257"/>
      <c r="S762" s="258"/>
      <c r="T762" s="255"/>
      <c r="U762" s="255"/>
      <c r="V762" s="259"/>
      <c r="W762" s="286"/>
      <c r="X762" s="286"/>
      <c r="Y762" s="286"/>
    </row>
    <row r="763">
      <c r="A763" s="28"/>
      <c r="B763" s="293"/>
      <c r="C763" s="28"/>
      <c r="D763" s="289"/>
      <c r="E763" s="294"/>
      <c r="F763" s="291"/>
      <c r="G763" s="292"/>
      <c r="H763" s="292"/>
      <c r="I763" s="292"/>
      <c r="J763" s="292"/>
      <c r="K763" s="288"/>
      <c r="L763" s="288"/>
      <c r="M763" s="288"/>
      <c r="N763" s="288"/>
      <c r="O763" s="288"/>
      <c r="P763" s="288"/>
      <c r="Q763" s="288"/>
      <c r="R763" s="257"/>
      <c r="S763" s="258"/>
      <c r="T763" s="255"/>
      <c r="U763" s="255"/>
      <c r="V763" s="259"/>
      <c r="W763" s="286"/>
      <c r="X763" s="286"/>
      <c r="Y763" s="286"/>
    </row>
    <row r="764">
      <c r="A764" s="28"/>
      <c r="B764" s="293"/>
      <c r="C764" s="28"/>
      <c r="D764" s="289"/>
      <c r="E764" s="294"/>
      <c r="F764" s="291"/>
      <c r="G764" s="292"/>
      <c r="H764" s="292"/>
      <c r="I764" s="292"/>
      <c r="J764" s="292"/>
      <c r="K764" s="288"/>
      <c r="L764" s="288"/>
      <c r="M764" s="288"/>
      <c r="N764" s="288"/>
      <c r="O764" s="288"/>
      <c r="P764" s="288"/>
      <c r="Q764" s="288"/>
      <c r="R764" s="257"/>
      <c r="S764" s="258"/>
      <c r="T764" s="255"/>
      <c r="U764" s="255"/>
      <c r="V764" s="259"/>
      <c r="W764" s="286"/>
      <c r="X764" s="286"/>
      <c r="Y764" s="286"/>
    </row>
    <row r="765">
      <c r="A765" s="28"/>
      <c r="B765" s="293"/>
      <c r="C765" s="28"/>
      <c r="D765" s="289"/>
      <c r="E765" s="294"/>
      <c r="F765" s="291"/>
      <c r="G765" s="292"/>
      <c r="H765" s="292"/>
      <c r="I765" s="292"/>
      <c r="J765" s="292"/>
      <c r="K765" s="288"/>
      <c r="L765" s="288"/>
      <c r="M765" s="288"/>
      <c r="N765" s="288"/>
      <c r="O765" s="288"/>
      <c r="P765" s="288"/>
      <c r="Q765" s="288"/>
      <c r="R765" s="257"/>
      <c r="S765" s="258"/>
      <c r="T765" s="255"/>
      <c r="U765" s="255"/>
      <c r="V765" s="259"/>
      <c r="W765" s="286"/>
      <c r="X765" s="286"/>
      <c r="Y765" s="286"/>
    </row>
    <row r="766">
      <c r="A766" s="28"/>
      <c r="B766" s="293"/>
      <c r="C766" s="28"/>
      <c r="D766" s="289"/>
      <c r="E766" s="294"/>
      <c r="F766" s="291"/>
      <c r="G766" s="292"/>
      <c r="H766" s="292"/>
      <c r="I766" s="292"/>
      <c r="J766" s="292"/>
      <c r="K766" s="288"/>
      <c r="L766" s="288"/>
      <c r="M766" s="288"/>
      <c r="N766" s="288"/>
      <c r="O766" s="288"/>
      <c r="P766" s="288"/>
      <c r="Q766" s="288"/>
      <c r="R766" s="257"/>
      <c r="S766" s="258"/>
      <c r="T766" s="255"/>
      <c r="U766" s="255"/>
      <c r="V766" s="259"/>
      <c r="W766" s="286"/>
      <c r="X766" s="286"/>
      <c r="Y766" s="286"/>
    </row>
    <row r="767">
      <c r="A767" s="28"/>
      <c r="B767" s="293"/>
      <c r="C767" s="28"/>
      <c r="D767" s="289"/>
      <c r="E767" s="294"/>
      <c r="F767" s="291"/>
      <c r="G767" s="292"/>
      <c r="H767" s="292"/>
      <c r="I767" s="292"/>
      <c r="J767" s="292"/>
      <c r="K767" s="288"/>
      <c r="L767" s="288"/>
      <c r="M767" s="288"/>
      <c r="N767" s="288"/>
      <c r="O767" s="288"/>
      <c r="P767" s="288"/>
      <c r="Q767" s="288"/>
      <c r="R767" s="257"/>
      <c r="S767" s="258"/>
      <c r="T767" s="255"/>
      <c r="U767" s="255"/>
      <c r="V767" s="259"/>
      <c r="W767" s="286"/>
      <c r="X767" s="286"/>
      <c r="Y767" s="286"/>
    </row>
    <row r="768">
      <c r="A768" s="28"/>
      <c r="B768" s="293"/>
      <c r="C768" s="28"/>
      <c r="D768" s="289"/>
      <c r="E768" s="294"/>
      <c r="F768" s="291"/>
      <c r="G768" s="292"/>
      <c r="H768" s="292"/>
      <c r="I768" s="292"/>
      <c r="J768" s="292"/>
      <c r="K768" s="288"/>
      <c r="L768" s="288"/>
      <c r="M768" s="288"/>
      <c r="N768" s="288"/>
      <c r="O768" s="288"/>
      <c r="P768" s="288"/>
      <c r="Q768" s="288"/>
      <c r="R768" s="257"/>
      <c r="S768" s="258"/>
      <c r="T768" s="255"/>
      <c r="U768" s="255"/>
      <c r="V768" s="259"/>
      <c r="W768" s="286"/>
      <c r="X768" s="286"/>
      <c r="Y768" s="286"/>
    </row>
    <row r="769">
      <c r="A769" s="28"/>
      <c r="B769" s="293"/>
      <c r="C769" s="28"/>
      <c r="D769" s="289"/>
      <c r="E769" s="294"/>
      <c r="F769" s="291"/>
      <c r="G769" s="292"/>
      <c r="H769" s="292"/>
      <c r="I769" s="292"/>
      <c r="J769" s="292"/>
      <c r="K769" s="288"/>
      <c r="L769" s="288"/>
      <c r="M769" s="288"/>
      <c r="N769" s="288"/>
      <c r="O769" s="288"/>
      <c r="P769" s="288"/>
      <c r="Q769" s="288"/>
      <c r="R769" s="257"/>
      <c r="S769" s="258"/>
      <c r="T769" s="255"/>
      <c r="U769" s="255"/>
      <c r="V769" s="259"/>
      <c r="W769" s="286"/>
      <c r="X769" s="286"/>
      <c r="Y769" s="286"/>
    </row>
    <row r="770">
      <c r="A770" s="28"/>
      <c r="B770" s="293"/>
      <c r="C770" s="28"/>
      <c r="D770" s="289"/>
      <c r="E770" s="294"/>
      <c r="F770" s="291"/>
      <c r="G770" s="292"/>
      <c r="H770" s="292"/>
      <c r="I770" s="292"/>
      <c r="J770" s="292"/>
      <c r="K770" s="288"/>
      <c r="L770" s="288"/>
      <c r="M770" s="288"/>
      <c r="N770" s="288"/>
      <c r="O770" s="288"/>
      <c r="P770" s="288"/>
      <c r="Q770" s="288"/>
      <c r="R770" s="257"/>
      <c r="S770" s="258"/>
      <c r="T770" s="255"/>
      <c r="U770" s="255"/>
      <c r="V770" s="259"/>
      <c r="W770" s="286"/>
      <c r="X770" s="286"/>
      <c r="Y770" s="286"/>
    </row>
    <row r="771">
      <c r="A771" s="28"/>
      <c r="B771" s="293"/>
      <c r="C771" s="28"/>
      <c r="D771" s="289"/>
      <c r="E771" s="294"/>
      <c r="F771" s="291"/>
      <c r="G771" s="292"/>
      <c r="H771" s="292"/>
      <c r="I771" s="292"/>
      <c r="J771" s="292"/>
      <c r="K771" s="288"/>
      <c r="L771" s="288"/>
      <c r="M771" s="288"/>
      <c r="N771" s="288"/>
      <c r="O771" s="288"/>
      <c r="P771" s="288"/>
      <c r="Q771" s="288"/>
      <c r="R771" s="257"/>
      <c r="S771" s="258"/>
      <c r="T771" s="255"/>
      <c r="U771" s="255"/>
      <c r="V771" s="259"/>
      <c r="W771" s="286"/>
      <c r="X771" s="286"/>
      <c r="Y771" s="286"/>
    </row>
    <row r="772">
      <c r="A772" s="28"/>
      <c r="B772" s="293"/>
      <c r="C772" s="28"/>
      <c r="D772" s="289"/>
      <c r="E772" s="294"/>
      <c r="F772" s="291"/>
      <c r="G772" s="292"/>
      <c r="H772" s="292"/>
      <c r="I772" s="292"/>
      <c r="J772" s="292"/>
      <c r="K772" s="288"/>
      <c r="L772" s="288"/>
      <c r="M772" s="288"/>
      <c r="N772" s="288"/>
      <c r="O772" s="288"/>
      <c r="P772" s="288"/>
      <c r="Q772" s="288"/>
      <c r="R772" s="257"/>
      <c r="S772" s="258"/>
      <c r="T772" s="255"/>
      <c r="U772" s="255"/>
      <c r="V772" s="259"/>
      <c r="W772" s="286"/>
      <c r="X772" s="286"/>
      <c r="Y772" s="286"/>
    </row>
    <row r="773">
      <c r="A773" s="28"/>
      <c r="B773" s="293"/>
      <c r="C773" s="28"/>
      <c r="D773" s="289"/>
      <c r="E773" s="294"/>
      <c r="F773" s="291"/>
      <c r="G773" s="292"/>
      <c r="H773" s="292"/>
      <c r="I773" s="292"/>
      <c r="J773" s="292"/>
      <c r="K773" s="288"/>
      <c r="L773" s="288"/>
      <c r="M773" s="288"/>
      <c r="N773" s="288"/>
      <c r="O773" s="288"/>
      <c r="P773" s="288"/>
      <c r="Q773" s="288"/>
      <c r="R773" s="257"/>
      <c r="S773" s="258"/>
      <c r="T773" s="255"/>
      <c r="U773" s="255"/>
      <c r="V773" s="259"/>
      <c r="W773" s="286"/>
      <c r="X773" s="286"/>
      <c r="Y773" s="286"/>
    </row>
    <row r="774">
      <c r="A774" s="28"/>
      <c r="B774" s="293"/>
      <c r="C774" s="28"/>
      <c r="D774" s="289"/>
      <c r="E774" s="294"/>
      <c r="F774" s="291"/>
      <c r="G774" s="292"/>
      <c r="H774" s="292"/>
      <c r="I774" s="292"/>
      <c r="J774" s="292"/>
      <c r="K774" s="288"/>
      <c r="L774" s="288"/>
      <c r="M774" s="288"/>
      <c r="N774" s="288"/>
      <c r="O774" s="288"/>
      <c r="P774" s="288"/>
      <c r="Q774" s="288"/>
      <c r="R774" s="257"/>
      <c r="S774" s="258"/>
      <c r="T774" s="255"/>
      <c r="U774" s="255"/>
      <c r="V774" s="259"/>
      <c r="W774" s="286"/>
      <c r="X774" s="286"/>
      <c r="Y774" s="286"/>
    </row>
    <row r="775">
      <c r="A775" s="28"/>
      <c r="B775" s="293"/>
      <c r="C775" s="28"/>
      <c r="D775" s="289"/>
      <c r="E775" s="294"/>
      <c r="F775" s="291"/>
      <c r="G775" s="292"/>
      <c r="H775" s="292"/>
      <c r="I775" s="292"/>
      <c r="J775" s="292"/>
      <c r="K775" s="288"/>
      <c r="L775" s="288"/>
      <c r="M775" s="288"/>
      <c r="N775" s="288"/>
      <c r="O775" s="288"/>
      <c r="P775" s="288"/>
      <c r="Q775" s="288"/>
      <c r="R775" s="257"/>
      <c r="S775" s="258"/>
      <c r="T775" s="255"/>
      <c r="U775" s="255"/>
      <c r="V775" s="259"/>
      <c r="W775" s="286"/>
      <c r="X775" s="286"/>
      <c r="Y775" s="286"/>
    </row>
    <row r="776">
      <c r="A776" s="28"/>
      <c r="B776" s="293"/>
      <c r="C776" s="28"/>
      <c r="D776" s="289"/>
      <c r="E776" s="294"/>
      <c r="F776" s="291"/>
      <c r="G776" s="292"/>
      <c r="H776" s="292"/>
      <c r="I776" s="292"/>
      <c r="J776" s="292"/>
      <c r="K776" s="288"/>
      <c r="L776" s="288"/>
      <c r="M776" s="288"/>
      <c r="N776" s="288"/>
      <c r="O776" s="288"/>
      <c r="P776" s="288"/>
      <c r="Q776" s="288"/>
      <c r="R776" s="257"/>
      <c r="S776" s="258"/>
      <c r="T776" s="255"/>
      <c r="U776" s="255"/>
      <c r="V776" s="259"/>
      <c r="W776" s="286"/>
      <c r="X776" s="286"/>
      <c r="Y776" s="286"/>
    </row>
    <row r="777">
      <c r="A777" s="28"/>
      <c r="B777" s="293"/>
      <c r="C777" s="28"/>
      <c r="D777" s="289"/>
      <c r="E777" s="294"/>
      <c r="F777" s="291"/>
      <c r="G777" s="292"/>
      <c r="H777" s="292"/>
      <c r="I777" s="292"/>
      <c r="J777" s="292"/>
      <c r="K777" s="288"/>
      <c r="L777" s="288"/>
      <c r="M777" s="288"/>
      <c r="N777" s="288"/>
      <c r="O777" s="288"/>
      <c r="P777" s="288"/>
      <c r="Q777" s="288"/>
      <c r="R777" s="257"/>
      <c r="S777" s="258"/>
      <c r="T777" s="255"/>
      <c r="U777" s="255"/>
      <c r="V777" s="259"/>
      <c r="W777" s="286"/>
      <c r="X777" s="286"/>
      <c r="Y777" s="286"/>
    </row>
    <row r="778">
      <c r="A778" s="28"/>
      <c r="B778" s="293"/>
      <c r="C778" s="28"/>
      <c r="D778" s="289"/>
      <c r="E778" s="294"/>
      <c r="F778" s="291"/>
      <c r="G778" s="292"/>
      <c r="H778" s="292"/>
      <c r="I778" s="292"/>
      <c r="J778" s="292"/>
      <c r="K778" s="288"/>
      <c r="L778" s="288"/>
      <c r="M778" s="288"/>
      <c r="N778" s="288"/>
      <c r="O778" s="288"/>
      <c r="P778" s="288"/>
      <c r="Q778" s="288"/>
      <c r="R778" s="257"/>
      <c r="S778" s="258"/>
      <c r="T778" s="255"/>
      <c r="U778" s="255"/>
      <c r="V778" s="259"/>
      <c r="W778" s="286"/>
      <c r="X778" s="286"/>
      <c r="Y778" s="286"/>
    </row>
    <row r="779">
      <c r="A779" s="28"/>
      <c r="B779" s="293"/>
      <c r="C779" s="28"/>
      <c r="D779" s="289"/>
      <c r="E779" s="294"/>
      <c r="F779" s="291"/>
      <c r="G779" s="292"/>
      <c r="H779" s="292"/>
      <c r="I779" s="292"/>
      <c r="J779" s="292"/>
      <c r="K779" s="288"/>
      <c r="L779" s="288"/>
      <c r="M779" s="288"/>
      <c r="N779" s="288"/>
      <c r="O779" s="288"/>
      <c r="P779" s="288"/>
      <c r="Q779" s="288"/>
      <c r="R779" s="257"/>
      <c r="S779" s="258"/>
      <c r="T779" s="255"/>
      <c r="U779" s="255"/>
      <c r="V779" s="259"/>
      <c r="W779" s="286"/>
      <c r="X779" s="286"/>
      <c r="Y779" s="286"/>
    </row>
    <row r="780">
      <c r="A780" s="28"/>
      <c r="B780" s="293"/>
      <c r="C780" s="28"/>
      <c r="D780" s="289"/>
      <c r="E780" s="294"/>
      <c r="F780" s="291"/>
      <c r="G780" s="292"/>
      <c r="H780" s="292"/>
      <c r="I780" s="292"/>
      <c r="J780" s="292"/>
      <c r="K780" s="288"/>
      <c r="L780" s="288"/>
      <c r="M780" s="288"/>
      <c r="N780" s="288"/>
      <c r="O780" s="288"/>
      <c r="P780" s="288"/>
      <c r="Q780" s="288"/>
      <c r="R780" s="257"/>
      <c r="S780" s="258"/>
      <c r="T780" s="255"/>
      <c r="U780" s="255"/>
      <c r="V780" s="259"/>
      <c r="W780" s="286"/>
      <c r="X780" s="286"/>
      <c r="Y780" s="286"/>
    </row>
    <row r="781">
      <c r="A781" s="28"/>
      <c r="B781" s="293"/>
      <c r="C781" s="28"/>
      <c r="D781" s="289"/>
      <c r="E781" s="294"/>
      <c r="F781" s="291"/>
      <c r="G781" s="292"/>
      <c r="H781" s="292"/>
      <c r="I781" s="292"/>
      <c r="J781" s="292"/>
      <c r="K781" s="288"/>
      <c r="L781" s="288"/>
      <c r="M781" s="288"/>
      <c r="N781" s="288"/>
      <c r="O781" s="288"/>
      <c r="P781" s="288"/>
      <c r="Q781" s="288"/>
      <c r="R781" s="257"/>
      <c r="S781" s="258"/>
      <c r="T781" s="255"/>
      <c r="U781" s="255"/>
      <c r="V781" s="259"/>
      <c r="W781" s="286"/>
      <c r="X781" s="286"/>
      <c r="Y781" s="286"/>
    </row>
    <row r="782">
      <c r="A782" s="28"/>
      <c r="B782" s="293"/>
      <c r="C782" s="28"/>
      <c r="D782" s="289"/>
      <c r="E782" s="294"/>
      <c r="F782" s="291"/>
      <c r="G782" s="292"/>
      <c r="H782" s="292"/>
      <c r="I782" s="292"/>
      <c r="J782" s="292"/>
      <c r="K782" s="288"/>
      <c r="L782" s="288"/>
      <c r="M782" s="288"/>
      <c r="N782" s="288"/>
      <c r="O782" s="288"/>
      <c r="P782" s="288"/>
      <c r="Q782" s="288"/>
      <c r="R782" s="257"/>
      <c r="S782" s="258"/>
      <c r="T782" s="255"/>
      <c r="U782" s="255"/>
      <c r="V782" s="259"/>
      <c r="W782" s="286"/>
      <c r="X782" s="286"/>
      <c r="Y782" s="286"/>
    </row>
    <row r="783">
      <c r="A783" s="28"/>
      <c r="B783" s="293"/>
      <c r="C783" s="28"/>
      <c r="D783" s="289"/>
      <c r="E783" s="294"/>
      <c r="F783" s="291"/>
      <c r="G783" s="292"/>
      <c r="H783" s="292"/>
      <c r="I783" s="292"/>
      <c r="J783" s="292"/>
      <c r="K783" s="288"/>
      <c r="L783" s="288"/>
      <c r="M783" s="288"/>
      <c r="N783" s="288"/>
      <c r="O783" s="288"/>
      <c r="P783" s="288"/>
      <c r="Q783" s="288"/>
      <c r="R783" s="257"/>
      <c r="S783" s="258"/>
      <c r="T783" s="255"/>
      <c r="U783" s="255"/>
      <c r="V783" s="259"/>
      <c r="W783" s="286"/>
      <c r="X783" s="286"/>
      <c r="Y783" s="286"/>
    </row>
    <row r="784">
      <c r="A784" s="28"/>
      <c r="B784" s="293"/>
      <c r="C784" s="28"/>
      <c r="D784" s="289"/>
      <c r="E784" s="294"/>
      <c r="F784" s="291"/>
      <c r="G784" s="292"/>
      <c r="H784" s="292"/>
      <c r="I784" s="292"/>
      <c r="J784" s="292"/>
      <c r="K784" s="288"/>
      <c r="L784" s="288"/>
      <c r="M784" s="288"/>
      <c r="N784" s="288"/>
      <c r="O784" s="288"/>
      <c r="P784" s="288"/>
      <c r="Q784" s="288"/>
      <c r="R784" s="257"/>
      <c r="S784" s="258"/>
      <c r="T784" s="255"/>
      <c r="U784" s="255"/>
      <c r="V784" s="259"/>
      <c r="W784" s="286"/>
      <c r="X784" s="286"/>
      <c r="Y784" s="286"/>
    </row>
    <row r="785">
      <c r="A785" s="28"/>
      <c r="B785" s="293"/>
      <c r="C785" s="28"/>
      <c r="D785" s="289"/>
      <c r="E785" s="294"/>
      <c r="F785" s="291"/>
      <c r="G785" s="292"/>
      <c r="H785" s="292"/>
      <c r="I785" s="292"/>
      <c r="J785" s="292"/>
      <c r="K785" s="288"/>
      <c r="L785" s="288"/>
      <c r="M785" s="288"/>
      <c r="N785" s="288"/>
      <c r="O785" s="288"/>
      <c r="P785" s="288"/>
      <c r="Q785" s="288"/>
      <c r="R785" s="257"/>
      <c r="S785" s="258"/>
      <c r="T785" s="255"/>
      <c r="U785" s="255"/>
      <c r="V785" s="259"/>
      <c r="W785" s="286"/>
      <c r="X785" s="286"/>
      <c r="Y785" s="286"/>
    </row>
    <row r="786">
      <c r="A786" s="28"/>
      <c r="B786" s="293"/>
      <c r="C786" s="28"/>
      <c r="D786" s="289"/>
      <c r="E786" s="294"/>
      <c r="F786" s="291"/>
      <c r="G786" s="292"/>
      <c r="H786" s="292"/>
      <c r="I786" s="292"/>
      <c r="J786" s="292"/>
      <c r="K786" s="288"/>
      <c r="L786" s="288"/>
      <c r="M786" s="288"/>
      <c r="N786" s="288"/>
      <c r="O786" s="288"/>
      <c r="P786" s="288"/>
      <c r="Q786" s="288"/>
      <c r="R786" s="257"/>
      <c r="S786" s="258"/>
      <c r="T786" s="255"/>
      <c r="U786" s="255"/>
      <c r="V786" s="259"/>
      <c r="W786" s="286"/>
      <c r="X786" s="286"/>
      <c r="Y786" s="286"/>
    </row>
    <row r="787">
      <c r="A787" s="28"/>
      <c r="B787" s="293"/>
      <c r="C787" s="28"/>
      <c r="D787" s="289"/>
      <c r="E787" s="294"/>
      <c r="F787" s="291"/>
      <c r="G787" s="292"/>
      <c r="H787" s="292"/>
      <c r="I787" s="292"/>
      <c r="J787" s="292"/>
      <c r="K787" s="288"/>
      <c r="L787" s="288"/>
      <c r="M787" s="288"/>
      <c r="N787" s="288"/>
      <c r="O787" s="288"/>
      <c r="P787" s="288"/>
      <c r="Q787" s="288"/>
      <c r="R787" s="257"/>
      <c r="S787" s="258"/>
      <c r="T787" s="255"/>
      <c r="U787" s="255"/>
      <c r="V787" s="259"/>
      <c r="W787" s="286"/>
      <c r="X787" s="286"/>
      <c r="Y787" s="286"/>
    </row>
    <row r="788">
      <c r="A788" s="28"/>
      <c r="B788" s="293"/>
      <c r="C788" s="28"/>
      <c r="D788" s="289"/>
      <c r="E788" s="294"/>
      <c r="F788" s="291"/>
      <c r="G788" s="292"/>
      <c r="H788" s="292"/>
      <c r="I788" s="292"/>
      <c r="J788" s="292"/>
      <c r="K788" s="288"/>
      <c r="L788" s="288"/>
      <c r="M788" s="288"/>
      <c r="N788" s="288"/>
      <c r="O788" s="288"/>
      <c r="P788" s="288"/>
      <c r="Q788" s="288"/>
      <c r="R788" s="257"/>
      <c r="S788" s="258"/>
      <c r="T788" s="255"/>
      <c r="U788" s="255"/>
      <c r="V788" s="259"/>
      <c r="W788" s="286"/>
      <c r="X788" s="286"/>
      <c r="Y788" s="286"/>
    </row>
    <row r="789">
      <c r="A789" s="28"/>
      <c r="B789" s="293"/>
      <c r="C789" s="28"/>
      <c r="D789" s="289"/>
      <c r="E789" s="294"/>
      <c r="F789" s="291"/>
      <c r="G789" s="292"/>
      <c r="H789" s="292"/>
      <c r="I789" s="292"/>
      <c r="J789" s="292"/>
      <c r="K789" s="288"/>
      <c r="L789" s="288"/>
      <c r="M789" s="288"/>
      <c r="N789" s="288"/>
      <c r="O789" s="288"/>
      <c r="P789" s="288"/>
      <c r="Q789" s="288"/>
      <c r="R789" s="257"/>
      <c r="S789" s="258"/>
      <c r="T789" s="255"/>
      <c r="U789" s="255"/>
      <c r="V789" s="259"/>
      <c r="W789" s="286"/>
      <c r="X789" s="286"/>
      <c r="Y789" s="286"/>
    </row>
    <row r="790">
      <c r="A790" s="28"/>
      <c r="B790" s="293"/>
      <c r="C790" s="28"/>
      <c r="D790" s="289"/>
      <c r="E790" s="294"/>
      <c r="F790" s="291"/>
      <c r="G790" s="292"/>
      <c r="H790" s="292"/>
      <c r="I790" s="292"/>
      <c r="J790" s="292"/>
      <c r="K790" s="288"/>
      <c r="L790" s="288"/>
      <c r="M790" s="288"/>
      <c r="N790" s="288"/>
      <c r="O790" s="288"/>
      <c r="P790" s="288"/>
      <c r="Q790" s="288"/>
      <c r="R790" s="257"/>
      <c r="S790" s="258"/>
      <c r="T790" s="255"/>
      <c r="U790" s="255"/>
      <c r="V790" s="259"/>
      <c r="W790" s="286"/>
      <c r="X790" s="286"/>
      <c r="Y790" s="286"/>
    </row>
    <row r="791">
      <c r="A791" s="28"/>
      <c r="B791" s="293"/>
      <c r="C791" s="28"/>
      <c r="D791" s="289"/>
      <c r="E791" s="294"/>
      <c r="F791" s="291"/>
      <c r="G791" s="292"/>
      <c r="H791" s="292"/>
      <c r="I791" s="292"/>
      <c r="J791" s="292"/>
      <c r="K791" s="288"/>
      <c r="L791" s="288"/>
      <c r="M791" s="288"/>
      <c r="N791" s="288"/>
      <c r="O791" s="288"/>
      <c r="P791" s="288"/>
      <c r="Q791" s="288"/>
      <c r="R791" s="257"/>
      <c r="S791" s="258"/>
      <c r="T791" s="255"/>
      <c r="U791" s="255"/>
      <c r="V791" s="259"/>
      <c r="W791" s="286"/>
      <c r="X791" s="286"/>
      <c r="Y791" s="286"/>
    </row>
    <row r="792">
      <c r="A792" s="28"/>
      <c r="B792" s="293"/>
      <c r="C792" s="28"/>
      <c r="D792" s="289"/>
      <c r="E792" s="294"/>
      <c r="F792" s="291"/>
      <c r="G792" s="292"/>
      <c r="H792" s="292"/>
      <c r="I792" s="292"/>
      <c r="J792" s="292"/>
      <c r="K792" s="288"/>
      <c r="L792" s="288"/>
      <c r="M792" s="288"/>
      <c r="N792" s="288"/>
      <c r="O792" s="288"/>
      <c r="P792" s="288"/>
      <c r="Q792" s="288"/>
      <c r="R792" s="257"/>
      <c r="S792" s="258"/>
      <c r="T792" s="255"/>
      <c r="U792" s="255"/>
      <c r="V792" s="259"/>
      <c r="W792" s="286"/>
      <c r="X792" s="286"/>
      <c r="Y792" s="286"/>
    </row>
    <row r="793">
      <c r="A793" s="28"/>
      <c r="B793" s="293"/>
      <c r="C793" s="28"/>
      <c r="D793" s="289"/>
      <c r="E793" s="294"/>
      <c r="F793" s="291"/>
      <c r="G793" s="292"/>
      <c r="H793" s="292"/>
      <c r="I793" s="292"/>
      <c r="J793" s="292"/>
      <c r="K793" s="288"/>
      <c r="L793" s="288"/>
      <c r="M793" s="288"/>
      <c r="N793" s="288"/>
      <c r="O793" s="288"/>
      <c r="P793" s="288"/>
      <c r="Q793" s="288"/>
      <c r="R793" s="257"/>
      <c r="S793" s="258"/>
      <c r="T793" s="255"/>
      <c r="U793" s="255"/>
      <c r="V793" s="259"/>
      <c r="W793" s="286"/>
      <c r="X793" s="286"/>
      <c r="Y793" s="286"/>
    </row>
    <row r="794">
      <c r="A794" s="28"/>
      <c r="B794" s="293"/>
      <c r="C794" s="28"/>
      <c r="D794" s="289"/>
      <c r="E794" s="294"/>
      <c r="F794" s="291"/>
      <c r="G794" s="292"/>
      <c r="H794" s="292"/>
      <c r="I794" s="292"/>
      <c r="J794" s="292"/>
      <c r="K794" s="288"/>
      <c r="L794" s="288"/>
      <c r="M794" s="288"/>
      <c r="N794" s="288"/>
      <c r="O794" s="288"/>
      <c r="P794" s="288"/>
      <c r="Q794" s="288"/>
      <c r="R794" s="257"/>
      <c r="S794" s="258"/>
      <c r="T794" s="255"/>
      <c r="U794" s="255"/>
      <c r="V794" s="259"/>
      <c r="W794" s="286"/>
      <c r="X794" s="286"/>
      <c r="Y794" s="286"/>
    </row>
    <row r="795">
      <c r="A795" s="28"/>
      <c r="B795" s="293"/>
      <c r="C795" s="28"/>
      <c r="D795" s="289"/>
      <c r="E795" s="294"/>
      <c r="F795" s="291"/>
      <c r="G795" s="292"/>
      <c r="H795" s="292"/>
      <c r="I795" s="292"/>
      <c r="J795" s="292"/>
      <c r="K795" s="288"/>
      <c r="L795" s="288"/>
      <c r="M795" s="288"/>
      <c r="N795" s="288"/>
      <c r="O795" s="288"/>
      <c r="P795" s="288"/>
      <c r="Q795" s="288"/>
      <c r="R795" s="257"/>
      <c r="S795" s="258"/>
      <c r="T795" s="255"/>
      <c r="U795" s="255"/>
      <c r="V795" s="259"/>
      <c r="W795" s="286"/>
      <c r="X795" s="286"/>
      <c r="Y795" s="286"/>
    </row>
    <row r="796">
      <c r="A796" s="28"/>
      <c r="B796" s="293"/>
      <c r="C796" s="28"/>
      <c r="D796" s="289"/>
      <c r="E796" s="294"/>
      <c r="F796" s="291"/>
      <c r="G796" s="292"/>
      <c r="H796" s="292"/>
      <c r="I796" s="292"/>
      <c r="J796" s="292"/>
      <c r="K796" s="288"/>
      <c r="L796" s="288"/>
      <c r="M796" s="288"/>
      <c r="N796" s="288"/>
      <c r="O796" s="288"/>
      <c r="P796" s="288"/>
      <c r="Q796" s="288"/>
      <c r="R796" s="257"/>
      <c r="S796" s="258"/>
      <c r="T796" s="255"/>
      <c r="U796" s="255"/>
      <c r="V796" s="259"/>
      <c r="W796" s="286"/>
      <c r="X796" s="286"/>
      <c r="Y796" s="286"/>
    </row>
    <row r="797">
      <c r="A797" s="28"/>
      <c r="B797" s="293"/>
      <c r="C797" s="28"/>
      <c r="D797" s="289"/>
      <c r="E797" s="294"/>
      <c r="F797" s="291"/>
      <c r="G797" s="292"/>
      <c r="H797" s="292"/>
      <c r="I797" s="292"/>
      <c r="J797" s="292"/>
      <c r="K797" s="288"/>
      <c r="L797" s="288"/>
      <c r="M797" s="288"/>
      <c r="N797" s="288"/>
      <c r="O797" s="288"/>
      <c r="P797" s="288"/>
      <c r="Q797" s="288"/>
      <c r="R797" s="257"/>
      <c r="S797" s="258"/>
      <c r="T797" s="255"/>
      <c r="U797" s="255"/>
      <c r="V797" s="259"/>
      <c r="W797" s="286"/>
      <c r="X797" s="286"/>
      <c r="Y797" s="286"/>
    </row>
    <row r="798">
      <c r="A798" s="28"/>
      <c r="B798" s="293"/>
      <c r="C798" s="28"/>
      <c r="D798" s="289"/>
      <c r="E798" s="294"/>
      <c r="F798" s="291"/>
      <c r="G798" s="292"/>
      <c r="H798" s="292"/>
      <c r="I798" s="292"/>
      <c r="J798" s="292"/>
      <c r="K798" s="288"/>
      <c r="L798" s="288"/>
      <c r="M798" s="288"/>
      <c r="N798" s="288"/>
      <c r="O798" s="288"/>
      <c r="P798" s="288"/>
      <c r="Q798" s="288"/>
      <c r="R798" s="257"/>
      <c r="S798" s="258"/>
      <c r="T798" s="255"/>
      <c r="U798" s="255"/>
      <c r="V798" s="259"/>
      <c r="W798" s="286"/>
      <c r="X798" s="286"/>
      <c r="Y798" s="286"/>
    </row>
    <row r="799">
      <c r="A799" s="28"/>
      <c r="B799" s="293"/>
      <c r="C799" s="28"/>
      <c r="D799" s="289"/>
      <c r="E799" s="294"/>
      <c r="F799" s="291"/>
      <c r="G799" s="292"/>
      <c r="H799" s="292"/>
      <c r="I799" s="292"/>
      <c r="J799" s="292"/>
      <c r="K799" s="288"/>
      <c r="L799" s="288"/>
      <c r="M799" s="288"/>
      <c r="N799" s="288"/>
      <c r="O799" s="288"/>
      <c r="P799" s="288"/>
      <c r="Q799" s="288"/>
      <c r="R799" s="257"/>
      <c r="S799" s="258"/>
      <c r="T799" s="255"/>
      <c r="U799" s="255"/>
      <c r="V799" s="259"/>
      <c r="W799" s="286"/>
      <c r="X799" s="286"/>
      <c r="Y799" s="286"/>
    </row>
    <row r="800">
      <c r="A800" s="28"/>
      <c r="B800" s="293"/>
      <c r="C800" s="28"/>
      <c r="D800" s="289"/>
      <c r="E800" s="294"/>
      <c r="F800" s="291"/>
      <c r="G800" s="292"/>
      <c r="H800" s="292"/>
      <c r="I800" s="292"/>
      <c r="J800" s="292"/>
      <c r="K800" s="288"/>
      <c r="L800" s="288"/>
      <c r="M800" s="288"/>
      <c r="N800" s="288"/>
      <c r="O800" s="288"/>
      <c r="P800" s="288"/>
      <c r="Q800" s="288"/>
      <c r="R800" s="257"/>
      <c r="S800" s="258"/>
      <c r="T800" s="255"/>
      <c r="U800" s="255"/>
      <c r="V800" s="259"/>
      <c r="W800" s="286"/>
      <c r="X800" s="286"/>
      <c r="Y800" s="286"/>
    </row>
    <row r="801">
      <c r="A801" s="28"/>
      <c r="B801" s="293"/>
      <c r="C801" s="28"/>
      <c r="D801" s="289"/>
      <c r="E801" s="294"/>
      <c r="F801" s="291"/>
      <c r="G801" s="292"/>
      <c r="H801" s="292"/>
      <c r="I801" s="292"/>
      <c r="J801" s="292"/>
      <c r="K801" s="288"/>
      <c r="L801" s="288"/>
      <c r="M801" s="288"/>
      <c r="N801" s="288"/>
      <c r="O801" s="288"/>
      <c r="P801" s="288"/>
      <c r="Q801" s="288"/>
      <c r="R801" s="257"/>
      <c r="S801" s="258"/>
      <c r="T801" s="255"/>
      <c r="U801" s="255"/>
      <c r="V801" s="259"/>
      <c r="W801" s="286"/>
      <c r="X801" s="286"/>
      <c r="Y801" s="286"/>
    </row>
    <row r="802">
      <c r="A802" s="28"/>
      <c r="B802" s="293"/>
      <c r="C802" s="28"/>
      <c r="D802" s="289"/>
      <c r="E802" s="294"/>
      <c r="F802" s="291"/>
      <c r="G802" s="292"/>
      <c r="H802" s="292"/>
      <c r="I802" s="292"/>
      <c r="J802" s="292"/>
      <c r="K802" s="288"/>
      <c r="L802" s="288"/>
      <c r="M802" s="288"/>
      <c r="N802" s="288"/>
      <c r="O802" s="288"/>
      <c r="P802" s="288"/>
      <c r="Q802" s="288"/>
      <c r="R802" s="257"/>
      <c r="S802" s="258"/>
      <c r="T802" s="255"/>
      <c r="U802" s="255"/>
      <c r="V802" s="259"/>
      <c r="W802" s="286"/>
      <c r="X802" s="286"/>
      <c r="Y802" s="286"/>
    </row>
    <row r="803">
      <c r="A803" s="28"/>
      <c r="B803" s="293"/>
      <c r="C803" s="28"/>
      <c r="D803" s="289"/>
      <c r="E803" s="294"/>
      <c r="F803" s="291"/>
      <c r="G803" s="292"/>
      <c r="H803" s="292"/>
      <c r="I803" s="292"/>
      <c r="J803" s="292"/>
      <c r="K803" s="288"/>
      <c r="L803" s="288"/>
      <c r="M803" s="288"/>
      <c r="N803" s="288"/>
      <c r="O803" s="288"/>
      <c r="P803" s="288"/>
      <c r="Q803" s="288"/>
      <c r="R803" s="257"/>
      <c r="S803" s="258"/>
      <c r="T803" s="255"/>
      <c r="U803" s="255"/>
      <c r="V803" s="259"/>
      <c r="W803" s="286"/>
      <c r="X803" s="286"/>
      <c r="Y803" s="286"/>
    </row>
    <row r="804">
      <c r="A804" s="28"/>
      <c r="B804" s="293"/>
      <c r="C804" s="28"/>
      <c r="D804" s="289"/>
      <c r="E804" s="294"/>
      <c r="F804" s="291"/>
      <c r="G804" s="292"/>
      <c r="H804" s="292"/>
      <c r="I804" s="292"/>
      <c r="J804" s="292"/>
      <c r="K804" s="288"/>
      <c r="L804" s="288"/>
      <c r="M804" s="288"/>
      <c r="N804" s="288"/>
      <c r="O804" s="288"/>
      <c r="P804" s="288"/>
      <c r="Q804" s="288"/>
      <c r="R804" s="257"/>
      <c r="S804" s="258"/>
      <c r="T804" s="255"/>
      <c r="U804" s="255"/>
      <c r="V804" s="259"/>
      <c r="W804" s="286"/>
      <c r="X804" s="286"/>
      <c r="Y804" s="286"/>
    </row>
    <row r="805">
      <c r="A805" s="28"/>
      <c r="B805" s="293"/>
      <c r="C805" s="28"/>
      <c r="D805" s="289"/>
      <c r="E805" s="294"/>
      <c r="F805" s="291"/>
      <c r="G805" s="292"/>
      <c r="H805" s="292"/>
      <c r="I805" s="292"/>
      <c r="J805" s="292"/>
      <c r="K805" s="288"/>
      <c r="L805" s="288"/>
      <c r="M805" s="288"/>
      <c r="N805" s="288"/>
      <c r="O805" s="288"/>
      <c r="P805" s="288"/>
      <c r="Q805" s="288"/>
      <c r="R805" s="257"/>
      <c r="S805" s="258"/>
      <c r="T805" s="255"/>
      <c r="U805" s="255"/>
      <c r="V805" s="259"/>
      <c r="W805" s="286"/>
      <c r="X805" s="286"/>
      <c r="Y805" s="286"/>
    </row>
    <row r="806">
      <c r="A806" s="28"/>
      <c r="B806" s="293"/>
      <c r="C806" s="28"/>
      <c r="D806" s="289"/>
      <c r="E806" s="294"/>
      <c r="F806" s="291"/>
      <c r="G806" s="292"/>
      <c r="H806" s="292"/>
      <c r="I806" s="292"/>
      <c r="J806" s="292"/>
      <c r="K806" s="288"/>
      <c r="L806" s="288"/>
      <c r="M806" s="288"/>
      <c r="N806" s="288"/>
      <c r="O806" s="288"/>
      <c r="P806" s="288"/>
      <c r="Q806" s="288"/>
      <c r="R806" s="257"/>
      <c r="S806" s="258"/>
      <c r="T806" s="255"/>
      <c r="U806" s="255"/>
      <c r="V806" s="259"/>
      <c r="W806" s="286"/>
      <c r="X806" s="286"/>
      <c r="Y806" s="286"/>
    </row>
    <row r="807">
      <c r="A807" s="28"/>
      <c r="B807" s="293"/>
      <c r="C807" s="28"/>
      <c r="D807" s="289"/>
      <c r="E807" s="294"/>
      <c r="F807" s="291"/>
      <c r="G807" s="292"/>
      <c r="H807" s="292"/>
      <c r="I807" s="292"/>
      <c r="J807" s="292"/>
      <c r="K807" s="288"/>
      <c r="L807" s="288"/>
      <c r="M807" s="288"/>
      <c r="N807" s="288"/>
      <c r="O807" s="288"/>
      <c r="P807" s="288"/>
      <c r="Q807" s="288"/>
      <c r="R807" s="257"/>
      <c r="S807" s="258"/>
      <c r="T807" s="255"/>
      <c r="U807" s="255"/>
      <c r="V807" s="259"/>
      <c r="W807" s="286"/>
      <c r="X807" s="286"/>
      <c r="Y807" s="286"/>
    </row>
    <row r="808">
      <c r="A808" s="28"/>
      <c r="B808" s="293"/>
      <c r="C808" s="28"/>
      <c r="D808" s="289"/>
      <c r="E808" s="294"/>
      <c r="F808" s="291"/>
      <c r="G808" s="292"/>
      <c r="H808" s="292"/>
      <c r="I808" s="292"/>
      <c r="J808" s="292"/>
      <c r="K808" s="288"/>
      <c r="L808" s="288"/>
      <c r="M808" s="288"/>
      <c r="N808" s="288"/>
      <c r="O808" s="288"/>
      <c r="P808" s="288"/>
      <c r="Q808" s="288"/>
      <c r="R808" s="257"/>
      <c r="S808" s="258"/>
      <c r="T808" s="255"/>
      <c r="U808" s="255"/>
      <c r="V808" s="259"/>
      <c r="W808" s="286"/>
      <c r="X808" s="286"/>
      <c r="Y808" s="286"/>
    </row>
    <row r="809">
      <c r="A809" s="28"/>
      <c r="B809" s="293"/>
      <c r="C809" s="28"/>
      <c r="D809" s="289"/>
      <c r="E809" s="294"/>
      <c r="F809" s="291"/>
      <c r="G809" s="292"/>
      <c r="H809" s="292"/>
      <c r="I809" s="292"/>
      <c r="J809" s="292"/>
      <c r="K809" s="288"/>
      <c r="L809" s="288"/>
      <c r="M809" s="288"/>
      <c r="N809" s="288"/>
      <c r="O809" s="288"/>
      <c r="P809" s="288"/>
      <c r="Q809" s="288"/>
      <c r="R809" s="257"/>
      <c r="S809" s="258"/>
      <c r="T809" s="255"/>
      <c r="U809" s="255"/>
      <c r="V809" s="259"/>
      <c r="W809" s="286"/>
      <c r="X809" s="286"/>
      <c r="Y809" s="286"/>
    </row>
    <row r="810">
      <c r="A810" s="28"/>
      <c r="B810" s="293"/>
      <c r="C810" s="28"/>
      <c r="D810" s="289"/>
      <c r="E810" s="294"/>
      <c r="F810" s="291"/>
      <c r="G810" s="292"/>
      <c r="H810" s="292"/>
      <c r="I810" s="292"/>
      <c r="J810" s="292"/>
      <c r="K810" s="288"/>
      <c r="L810" s="288"/>
      <c r="M810" s="288"/>
      <c r="N810" s="288"/>
      <c r="O810" s="288"/>
      <c r="P810" s="288"/>
      <c r="Q810" s="288"/>
      <c r="R810" s="257"/>
      <c r="S810" s="258"/>
      <c r="T810" s="255"/>
      <c r="U810" s="255"/>
      <c r="V810" s="259"/>
      <c r="W810" s="286"/>
      <c r="X810" s="286"/>
      <c r="Y810" s="286"/>
    </row>
    <row r="811">
      <c r="A811" s="28"/>
      <c r="B811" s="293"/>
      <c r="C811" s="28"/>
      <c r="D811" s="289"/>
      <c r="E811" s="294"/>
      <c r="F811" s="291"/>
      <c r="G811" s="292"/>
      <c r="H811" s="292"/>
      <c r="I811" s="292"/>
      <c r="J811" s="292"/>
      <c r="K811" s="288"/>
      <c r="L811" s="288"/>
      <c r="M811" s="288"/>
      <c r="N811" s="288"/>
      <c r="O811" s="288"/>
      <c r="P811" s="288"/>
      <c r="Q811" s="288"/>
      <c r="R811" s="257"/>
      <c r="S811" s="258"/>
      <c r="T811" s="255"/>
      <c r="U811" s="255"/>
      <c r="V811" s="259"/>
      <c r="W811" s="286"/>
      <c r="X811" s="286"/>
      <c r="Y811" s="286"/>
    </row>
    <row r="812">
      <c r="A812" s="28"/>
      <c r="B812" s="293"/>
      <c r="C812" s="28"/>
      <c r="D812" s="289"/>
      <c r="E812" s="294"/>
      <c r="F812" s="291"/>
      <c r="G812" s="292"/>
      <c r="H812" s="292"/>
      <c r="I812" s="292"/>
      <c r="J812" s="292"/>
      <c r="K812" s="288"/>
      <c r="L812" s="288"/>
      <c r="M812" s="288"/>
      <c r="N812" s="288"/>
      <c r="O812" s="288"/>
      <c r="P812" s="288"/>
      <c r="Q812" s="288"/>
      <c r="R812" s="257"/>
      <c r="S812" s="258"/>
      <c r="T812" s="255"/>
      <c r="U812" s="255"/>
      <c r="V812" s="259"/>
      <c r="W812" s="286"/>
      <c r="X812" s="286"/>
      <c r="Y812" s="286"/>
    </row>
    <row r="813">
      <c r="A813" s="28"/>
      <c r="B813" s="293"/>
      <c r="C813" s="28"/>
      <c r="D813" s="289"/>
      <c r="E813" s="294"/>
      <c r="F813" s="291"/>
      <c r="G813" s="292"/>
      <c r="H813" s="292"/>
      <c r="I813" s="292"/>
      <c r="J813" s="292"/>
      <c r="K813" s="288"/>
      <c r="L813" s="288"/>
      <c r="M813" s="288"/>
      <c r="N813" s="288"/>
      <c r="O813" s="288"/>
      <c r="P813" s="288"/>
      <c r="Q813" s="288"/>
      <c r="R813" s="257"/>
      <c r="S813" s="258"/>
      <c r="T813" s="255"/>
      <c r="U813" s="255"/>
      <c r="V813" s="259"/>
      <c r="W813" s="286"/>
      <c r="X813" s="286"/>
      <c r="Y813" s="286"/>
    </row>
    <row r="814">
      <c r="A814" s="28"/>
      <c r="B814" s="293"/>
      <c r="C814" s="28"/>
      <c r="D814" s="289"/>
      <c r="E814" s="294"/>
      <c r="F814" s="291"/>
      <c r="G814" s="292"/>
      <c r="H814" s="292"/>
      <c r="I814" s="292"/>
      <c r="J814" s="292"/>
      <c r="K814" s="288"/>
      <c r="L814" s="288"/>
      <c r="M814" s="288"/>
      <c r="N814" s="288"/>
      <c r="O814" s="288"/>
      <c r="P814" s="288"/>
      <c r="Q814" s="288"/>
      <c r="R814" s="257"/>
      <c r="S814" s="258"/>
      <c r="T814" s="255"/>
      <c r="U814" s="255"/>
      <c r="V814" s="259"/>
      <c r="W814" s="286"/>
      <c r="X814" s="286"/>
      <c r="Y814" s="286"/>
    </row>
    <row r="815">
      <c r="A815" s="28"/>
      <c r="B815" s="293"/>
      <c r="C815" s="28"/>
      <c r="D815" s="289"/>
      <c r="E815" s="294"/>
      <c r="F815" s="291"/>
      <c r="G815" s="292"/>
      <c r="H815" s="292"/>
      <c r="I815" s="292"/>
      <c r="J815" s="292"/>
      <c r="K815" s="288"/>
      <c r="L815" s="288"/>
      <c r="M815" s="288"/>
      <c r="N815" s="288"/>
      <c r="O815" s="288"/>
      <c r="P815" s="288"/>
      <c r="Q815" s="288"/>
      <c r="R815" s="257"/>
      <c r="S815" s="258"/>
      <c r="T815" s="255"/>
      <c r="U815" s="255"/>
      <c r="V815" s="259"/>
      <c r="W815" s="286"/>
      <c r="X815" s="286"/>
      <c r="Y815" s="286"/>
    </row>
    <row r="816">
      <c r="A816" s="28"/>
      <c r="B816" s="293"/>
      <c r="C816" s="28"/>
      <c r="D816" s="289"/>
      <c r="E816" s="294"/>
      <c r="F816" s="291"/>
      <c r="G816" s="292"/>
      <c r="H816" s="292"/>
      <c r="I816" s="292"/>
      <c r="J816" s="292"/>
      <c r="K816" s="288"/>
      <c r="L816" s="288"/>
      <c r="M816" s="288"/>
      <c r="N816" s="288"/>
      <c r="O816" s="288"/>
      <c r="P816" s="288"/>
      <c r="Q816" s="288"/>
      <c r="R816" s="257"/>
      <c r="S816" s="258"/>
      <c r="T816" s="255"/>
      <c r="U816" s="255"/>
      <c r="V816" s="259"/>
      <c r="W816" s="286"/>
      <c r="X816" s="286"/>
      <c r="Y816" s="286"/>
    </row>
    <row r="817">
      <c r="A817" s="28"/>
      <c r="B817" s="293"/>
      <c r="C817" s="28"/>
      <c r="D817" s="289"/>
      <c r="E817" s="294"/>
      <c r="F817" s="291"/>
      <c r="G817" s="292"/>
      <c r="H817" s="292"/>
      <c r="I817" s="292"/>
      <c r="J817" s="292"/>
      <c r="K817" s="288"/>
      <c r="L817" s="288"/>
      <c r="M817" s="288"/>
      <c r="N817" s="288"/>
      <c r="O817" s="288"/>
      <c r="P817" s="288"/>
      <c r="Q817" s="288"/>
      <c r="R817" s="257"/>
      <c r="S817" s="258"/>
      <c r="T817" s="255"/>
      <c r="U817" s="255"/>
      <c r="V817" s="259"/>
      <c r="W817" s="286"/>
      <c r="X817" s="286"/>
      <c r="Y817" s="286"/>
    </row>
    <row r="818">
      <c r="A818" s="28"/>
      <c r="B818" s="293"/>
      <c r="C818" s="28"/>
      <c r="D818" s="289"/>
      <c r="E818" s="294"/>
      <c r="F818" s="291"/>
      <c r="G818" s="292"/>
      <c r="H818" s="292"/>
      <c r="I818" s="292"/>
      <c r="J818" s="292"/>
      <c r="K818" s="288"/>
      <c r="L818" s="288"/>
      <c r="M818" s="288"/>
      <c r="N818" s="288"/>
      <c r="O818" s="288"/>
      <c r="P818" s="288"/>
      <c r="Q818" s="288"/>
      <c r="R818" s="257"/>
      <c r="S818" s="258"/>
      <c r="T818" s="255"/>
      <c r="U818" s="255"/>
      <c r="V818" s="259"/>
      <c r="W818" s="286"/>
      <c r="X818" s="286"/>
      <c r="Y818" s="286"/>
    </row>
    <row r="819">
      <c r="A819" s="28"/>
      <c r="B819" s="293"/>
      <c r="C819" s="28"/>
      <c r="D819" s="289"/>
      <c r="E819" s="294"/>
      <c r="F819" s="291"/>
      <c r="G819" s="292"/>
      <c r="H819" s="292"/>
      <c r="I819" s="292"/>
      <c r="J819" s="292"/>
      <c r="K819" s="288"/>
      <c r="L819" s="288"/>
      <c r="M819" s="288"/>
      <c r="N819" s="288"/>
      <c r="O819" s="288"/>
      <c r="P819" s="288"/>
      <c r="Q819" s="288"/>
      <c r="R819" s="257"/>
      <c r="S819" s="258"/>
      <c r="T819" s="255"/>
      <c r="U819" s="255"/>
      <c r="V819" s="259"/>
      <c r="W819" s="286"/>
      <c r="X819" s="286"/>
      <c r="Y819" s="286"/>
    </row>
    <row r="820">
      <c r="A820" s="28"/>
      <c r="B820" s="293"/>
      <c r="C820" s="28"/>
      <c r="D820" s="289"/>
      <c r="E820" s="294"/>
      <c r="F820" s="291"/>
      <c r="G820" s="292"/>
      <c r="H820" s="292"/>
      <c r="I820" s="292"/>
      <c r="J820" s="292"/>
      <c r="K820" s="288"/>
      <c r="L820" s="288"/>
      <c r="M820" s="288"/>
      <c r="N820" s="288"/>
      <c r="O820" s="288"/>
      <c r="P820" s="288"/>
      <c r="Q820" s="288"/>
      <c r="R820" s="257"/>
      <c r="S820" s="258"/>
      <c r="T820" s="255"/>
      <c r="U820" s="255"/>
      <c r="V820" s="259"/>
      <c r="W820" s="286"/>
      <c r="X820" s="286"/>
      <c r="Y820" s="286"/>
    </row>
    <row r="821">
      <c r="A821" s="28"/>
      <c r="B821" s="293"/>
      <c r="C821" s="28"/>
      <c r="D821" s="289"/>
      <c r="E821" s="294"/>
      <c r="F821" s="291"/>
      <c r="G821" s="292"/>
      <c r="H821" s="292"/>
      <c r="I821" s="292"/>
      <c r="J821" s="292"/>
      <c r="K821" s="288"/>
      <c r="L821" s="288"/>
      <c r="M821" s="288"/>
      <c r="N821" s="288"/>
      <c r="O821" s="288"/>
      <c r="P821" s="288"/>
      <c r="Q821" s="288"/>
      <c r="R821" s="257"/>
      <c r="S821" s="258"/>
      <c r="T821" s="255"/>
      <c r="U821" s="255"/>
      <c r="V821" s="259"/>
      <c r="W821" s="286"/>
      <c r="X821" s="286"/>
      <c r="Y821" s="286"/>
    </row>
    <row r="822">
      <c r="A822" s="28"/>
      <c r="B822" s="293"/>
      <c r="C822" s="28"/>
      <c r="D822" s="289"/>
      <c r="E822" s="294"/>
      <c r="F822" s="291"/>
      <c r="G822" s="292"/>
      <c r="H822" s="292"/>
      <c r="I822" s="292"/>
      <c r="J822" s="292"/>
      <c r="K822" s="288"/>
      <c r="L822" s="288"/>
      <c r="M822" s="288"/>
      <c r="N822" s="288"/>
      <c r="O822" s="288"/>
      <c r="P822" s="288"/>
      <c r="Q822" s="288"/>
      <c r="R822" s="257"/>
      <c r="S822" s="258"/>
      <c r="T822" s="255"/>
      <c r="U822" s="255"/>
      <c r="V822" s="259"/>
      <c r="W822" s="286"/>
      <c r="X822" s="286"/>
      <c r="Y822" s="286"/>
    </row>
    <row r="823">
      <c r="A823" s="28"/>
      <c r="B823" s="293"/>
      <c r="C823" s="28"/>
      <c r="D823" s="289"/>
      <c r="E823" s="294"/>
      <c r="F823" s="291"/>
      <c r="G823" s="292"/>
      <c r="H823" s="292"/>
      <c r="I823" s="292"/>
      <c r="J823" s="292"/>
      <c r="K823" s="288"/>
      <c r="L823" s="288"/>
      <c r="M823" s="288"/>
      <c r="N823" s="288"/>
      <c r="O823" s="288"/>
      <c r="P823" s="288"/>
      <c r="Q823" s="288"/>
      <c r="R823" s="257"/>
      <c r="S823" s="258"/>
      <c r="T823" s="255"/>
      <c r="U823" s="255"/>
      <c r="V823" s="259"/>
      <c r="W823" s="286"/>
      <c r="X823" s="286"/>
      <c r="Y823" s="286"/>
    </row>
    <row r="824">
      <c r="A824" s="28"/>
      <c r="B824" s="293"/>
      <c r="C824" s="28"/>
      <c r="D824" s="289"/>
      <c r="E824" s="294"/>
      <c r="F824" s="291"/>
      <c r="G824" s="292"/>
      <c r="H824" s="292"/>
      <c r="I824" s="292"/>
      <c r="J824" s="292"/>
      <c r="K824" s="288"/>
      <c r="L824" s="288"/>
      <c r="M824" s="288"/>
      <c r="N824" s="288"/>
      <c r="O824" s="288"/>
      <c r="P824" s="288"/>
      <c r="Q824" s="288"/>
      <c r="R824" s="257"/>
      <c r="S824" s="258"/>
      <c r="T824" s="255"/>
      <c r="U824" s="255"/>
      <c r="V824" s="259"/>
      <c r="W824" s="286"/>
      <c r="X824" s="286"/>
      <c r="Y824" s="286"/>
    </row>
    <row r="825">
      <c r="A825" s="28"/>
      <c r="B825" s="293"/>
      <c r="C825" s="28"/>
      <c r="D825" s="289"/>
      <c r="E825" s="294"/>
      <c r="F825" s="291"/>
      <c r="G825" s="292"/>
      <c r="H825" s="292"/>
      <c r="I825" s="292"/>
      <c r="J825" s="292"/>
      <c r="K825" s="288"/>
      <c r="L825" s="288"/>
      <c r="M825" s="288"/>
      <c r="N825" s="288"/>
      <c r="O825" s="288"/>
      <c r="P825" s="288"/>
      <c r="Q825" s="288"/>
      <c r="R825" s="257"/>
      <c r="S825" s="258"/>
      <c r="T825" s="255"/>
      <c r="U825" s="255"/>
      <c r="V825" s="259"/>
      <c r="W825" s="286"/>
      <c r="X825" s="286"/>
      <c r="Y825" s="286"/>
    </row>
    <row r="826">
      <c r="A826" s="28"/>
      <c r="B826" s="293"/>
      <c r="C826" s="28"/>
      <c r="D826" s="289"/>
      <c r="E826" s="294"/>
      <c r="F826" s="291"/>
      <c r="G826" s="292"/>
      <c r="H826" s="292"/>
      <c r="I826" s="292"/>
      <c r="J826" s="292"/>
      <c r="K826" s="288"/>
      <c r="L826" s="288"/>
      <c r="M826" s="288"/>
      <c r="N826" s="288"/>
      <c r="O826" s="288"/>
      <c r="P826" s="288"/>
      <c r="Q826" s="288"/>
      <c r="R826" s="257"/>
      <c r="S826" s="258"/>
      <c r="T826" s="255"/>
      <c r="U826" s="255"/>
      <c r="V826" s="259"/>
      <c r="W826" s="286"/>
      <c r="X826" s="286"/>
      <c r="Y826" s="286"/>
    </row>
    <row r="827">
      <c r="A827" s="28"/>
      <c r="B827" s="293"/>
      <c r="C827" s="28"/>
      <c r="D827" s="289"/>
      <c r="E827" s="294"/>
      <c r="F827" s="291"/>
      <c r="G827" s="292"/>
      <c r="H827" s="292"/>
      <c r="I827" s="292"/>
      <c r="J827" s="292"/>
      <c r="K827" s="288"/>
      <c r="L827" s="288"/>
      <c r="M827" s="288"/>
      <c r="N827" s="288"/>
      <c r="O827" s="288"/>
      <c r="P827" s="288"/>
      <c r="Q827" s="288"/>
      <c r="R827" s="257"/>
      <c r="S827" s="258"/>
      <c r="T827" s="255"/>
      <c r="U827" s="255"/>
      <c r="V827" s="259"/>
      <c r="W827" s="286"/>
      <c r="X827" s="286"/>
      <c r="Y827" s="286"/>
    </row>
    <row r="828">
      <c r="A828" s="28"/>
      <c r="B828" s="293"/>
      <c r="C828" s="28"/>
      <c r="D828" s="289"/>
      <c r="E828" s="294"/>
      <c r="F828" s="291"/>
      <c r="G828" s="292"/>
      <c r="H828" s="292"/>
      <c r="I828" s="292"/>
      <c r="J828" s="292"/>
      <c r="K828" s="288"/>
      <c r="L828" s="288"/>
      <c r="M828" s="288"/>
      <c r="N828" s="288"/>
      <c r="O828" s="288"/>
      <c r="P828" s="288"/>
      <c r="Q828" s="288"/>
      <c r="R828" s="257"/>
      <c r="S828" s="258"/>
      <c r="T828" s="255"/>
      <c r="U828" s="255"/>
      <c r="V828" s="259"/>
      <c r="W828" s="286"/>
      <c r="X828" s="286"/>
      <c r="Y828" s="286"/>
    </row>
    <row r="829">
      <c r="A829" s="28"/>
      <c r="B829" s="293"/>
      <c r="C829" s="28"/>
      <c r="D829" s="289"/>
      <c r="E829" s="294"/>
      <c r="F829" s="291"/>
      <c r="G829" s="292"/>
      <c r="H829" s="292"/>
      <c r="I829" s="292"/>
      <c r="J829" s="292"/>
      <c r="K829" s="288"/>
      <c r="L829" s="288"/>
      <c r="M829" s="288"/>
      <c r="N829" s="288"/>
      <c r="O829" s="288"/>
      <c r="P829" s="288"/>
      <c r="Q829" s="288"/>
      <c r="R829" s="257"/>
      <c r="S829" s="258"/>
      <c r="T829" s="255"/>
      <c r="U829" s="255"/>
      <c r="V829" s="259"/>
      <c r="W829" s="286"/>
      <c r="X829" s="286"/>
      <c r="Y829" s="286"/>
    </row>
    <row r="830">
      <c r="A830" s="28"/>
      <c r="B830" s="293"/>
      <c r="C830" s="28"/>
      <c r="D830" s="289"/>
      <c r="E830" s="294"/>
      <c r="F830" s="291"/>
      <c r="G830" s="292"/>
      <c r="H830" s="292"/>
      <c r="I830" s="292"/>
      <c r="J830" s="292"/>
      <c r="K830" s="288"/>
      <c r="L830" s="288"/>
      <c r="M830" s="288"/>
      <c r="N830" s="288"/>
      <c r="O830" s="288"/>
      <c r="P830" s="288"/>
      <c r="Q830" s="288"/>
      <c r="R830" s="257"/>
      <c r="S830" s="258"/>
      <c r="T830" s="255"/>
      <c r="U830" s="255"/>
      <c r="V830" s="259"/>
      <c r="W830" s="286"/>
      <c r="X830" s="286"/>
      <c r="Y830" s="286"/>
    </row>
    <row r="831">
      <c r="A831" s="28"/>
      <c r="B831" s="293"/>
      <c r="C831" s="28"/>
      <c r="D831" s="289"/>
      <c r="E831" s="294"/>
      <c r="F831" s="291"/>
      <c r="G831" s="292"/>
      <c r="H831" s="292"/>
      <c r="I831" s="292"/>
      <c r="J831" s="292"/>
      <c r="K831" s="288"/>
      <c r="L831" s="288"/>
      <c r="M831" s="288"/>
      <c r="N831" s="288"/>
      <c r="O831" s="288"/>
      <c r="P831" s="288"/>
      <c r="Q831" s="288"/>
      <c r="R831" s="257"/>
      <c r="S831" s="258"/>
      <c r="T831" s="255"/>
      <c r="U831" s="255"/>
      <c r="V831" s="259"/>
      <c r="W831" s="286"/>
      <c r="X831" s="286"/>
      <c r="Y831" s="286"/>
    </row>
    <row r="832">
      <c r="A832" s="28"/>
      <c r="B832" s="293"/>
      <c r="C832" s="28"/>
      <c r="D832" s="289"/>
      <c r="E832" s="294"/>
      <c r="F832" s="291"/>
      <c r="G832" s="292"/>
      <c r="H832" s="292"/>
      <c r="I832" s="292"/>
      <c r="J832" s="292"/>
      <c r="K832" s="288"/>
      <c r="L832" s="288"/>
      <c r="M832" s="288"/>
      <c r="N832" s="288"/>
      <c r="O832" s="288"/>
      <c r="P832" s="288"/>
      <c r="Q832" s="288"/>
      <c r="R832" s="257"/>
      <c r="S832" s="258"/>
      <c r="T832" s="255"/>
      <c r="U832" s="255"/>
      <c r="V832" s="259"/>
      <c r="W832" s="286"/>
      <c r="X832" s="286"/>
      <c r="Y832" s="286"/>
    </row>
    <row r="833">
      <c r="A833" s="28"/>
      <c r="B833" s="293"/>
      <c r="C833" s="28"/>
      <c r="D833" s="289"/>
      <c r="E833" s="294"/>
      <c r="F833" s="291"/>
      <c r="G833" s="292"/>
      <c r="H833" s="292"/>
      <c r="I833" s="292"/>
      <c r="J833" s="292"/>
      <c r="K833" s="288"/>
      <c r="L833" s="288"/>
      <c r="M833" s="288"/>
      <c r="N833" s="288"/>
      <c r="O833" s="288"/>
      <c r="P833" s="288"/>
      <c r="Q833" s="288"/>
      <c r="R833" s="257"/>
      <c r="S833" s="258"/>
      <c r="T833" s="255"/>
      <c r="U833" s="255"/>
      <c r="V833" s="259"/>
      <c r="W833" s="286"/>
      <c r="X833" s="286"/>
      <c r="Y833" s="286"/>
    </row>
    <row r="834">
      <c r="A834" s="28"/>
      <c r="B834" s="293"/>
      <c r="C834" s="28"/>
      <c r="D834" s="289"/>
      <c r="E834" s="294"/>
      <c r="F834" s="291"/>
      <c r="G834" s="292"/>
      <c r="H834" s="292"/>
      <c r="I834" s="292"/>
      <c r="J834" s="292"/>
      <c r="K834" s="288"/>
      <c r="L834" s="288"/>
      <c r="M834" s="288"/>
      <c r="N834" s="288"/>
      <c r="O834" s="288"/>
      <c r="P834" s="288"/>
      <c r="Q834" s="288"/>
      <c r="R834" s="257"/>
      <c r="S834" s="258"/>
      <c r="T834" s="255"/>
      <c r="U834" s="255"/>
      <c r="V834" s="259"/>
      <c r="W834" s="286"/>
      <c r="X834" s="286"/>
      <c r="Y834" s="286"/>
    </row>
    <row r="835">
      <c r="A835" s="28"/>
      <c r="B835" s="293"/>
      <c r="C835" s="28"/>
      <c r="D835" s="289"/>
      <c r="E835" s="294"/>
      <c r="F835" s="291"/>
      <c r="G835" s="292"/>
      <c r="H835" s="292"/>
      <c r="I835" s="292"/>
      <c r="J835" s="292"/>
      <c r="K835" s="288"/>
      <c r="L835" s="288"/>
      <c r="M835" s="288"/>
      <c r="N835" s="288"/>
      <c r="O835" s="288"/>
      <c r="P835" s="288"/>
      <c r="Q835" s="288"/>
      <c r="R835" s="257"/>
      <c r="S835" s="258"/>
      <c r="T835" s="255"/>
      <c r="U835" s="255"/>
      <c r="V835" s="259"/>
      <c r="W835" s="286"/>
      <c r="X835" s="286"/>
      <c r="Y835" s="286"/>
    </row>
    <row r="836">
      <c r="A836" s="28"/>
      <c r="B836" s="293"/>
      <c r="C836" s="28"/>
      <c r="D836" s="289"/>
      <c r="E836" s="294"/>
      <c r="F836" s="291"/>
      <c r="G836" s="292"/>
      <c r="H836" s="292"/>
      <c r="I836" s="292"/>
      <c r="J836" s="292"/>
      <c r="K836" s="288"/>
      <c r="L836" s="288"/>
      <c r="M836" s="288"/>
      <c r="N836" s="288"/>
      <c r="O836" s="288"/>
      <c r="P836" s="288"/>
      <c r="Q836" s="288"/>
      <c r="R836" s="257"/>
      <c r="S836" s="258"/>
      <c r="T836" s="255"/>
      <c r="U836" s="255"/>
      <c r="V836" s="259"/>
      <c r="W836" s="286"/>
      <c r="X836" s="286"/>
      <c r="Y836" s="286"/>
    </row>
    <row r="837">
      <c r="A837" s="28"/>
      <c r="B837" s="293"/>
      <c r="C837" s="28"/>
      <c r="D837" s="289"/>
      <c r="E837" s="294"/>
      <c r="F837" s="291"/>
      <c r="G837" s="292"/>
      <c r="H837" s="292"/>
      <c r="I837" s="292"/>
      <c r="J837" s="292"/>
      <c r="K837" s="288"/>
      <c r="L837" s="288"/>
      <c r="M837" s="288"/>
      <c r="N837" s="288"/>
      <c r="O837" s="288"/>
      <c r="P837" s="288"/>
      <c r="Q837" s="288"/>
      <c r="R837" s="257"/>
      <c r="S837" s="258"/>
      <c r="T837" s="255"/>
      <c r="U837" s="255"/>
      <c r="V837" s="259"/>
      <c r="W837" s="286"/>
      <c r="X837" s="286"/>
      <c r="Y837" s="286"/>
    </row>
    <row r="838">
      <c r="A838" s="28"/>
      <c r="B838" s="293"/>
      <c r="C838" s="28"/>
      <c r="D838" s="289"/>
      <c r="E838" s="294"/>
      <c r="F838" s="291"/>
      <c r="G838" s="292"/>
      <c r="H838" s="292"/>
      <c r="I838" s="292"/>
      <c r="J838" s="292"/>
      <c r="K838" s="288"/>
      <c r="L838" s="288"/>
      <c r="M838" s="288"/>
      <c r="N838" s="288"/>
      <c r="O838" s="288"/>
      <c r="P838" s="288"/>
      <c r="Q838" s="288"/>
      <c r="R838" s="257"/>
      <c r="S838" s="258"/>
      <c r="T838" s="255"/>
      <c r="U838" s="255"/>
      <c r="V838" s="259"/>
      <c r="W838" s="286"/>
      <c r="X838" s="286"/>
      <c r="Y838" s="286"/>
    </row>
    <row r="839">
      <c r="A839" s="28"/>
      <c r="B839" s="293"/>
      <c r="C839" s="28"/>
      <c r="D839" s="289"/>
      <c r="E839" s="294"/>
      <c r="F839" s="291"/>
      <c r="G839" s="292"/>
      <c r="H839" s="292"/>
      <c r="I839" s="292"/>
      <c r="J839" s="292"/>
      <c r="K839" s="288"/>
      <c r="L839" s="288"/>
      <c r="M839" s="288"/>
      <c r="N839" s="288"/>
      <c r="O839" s="288"/>
      <c r="P839" s="288"/>
      <c r="Q839" s="288"/>
      <c r="R839" s="257"/>
      <c r="S839" s="258"/>
      <c r="T839" s="255"/>
      <c r="U839" s="255"/>
      <c r="V839" s="259"/>
      <c r="W839" s="286"/>
      <c r="X839" s="286"/>
      <c r="Y839" s="286"/>
    </row>
    <row r="840">
      <c r="A840" s="28"/>
      <c r="B840" s="293"/>
      <c r="C840" s="28"/>
      <c r="D840" s="289"/>
      <c r="E840" s="294"/>
      <c r="F840" s="291"/>
      <c r="G840" s="292"/>
      <c r="H840" s="292"/>
      <c r="I840" s="292"/>
      <c r="J840" s="292"/>
      <c r="K840" s="288"/>
      <c r="L840" s="288"/>
      <c r="M840" s="288"/>
      <c r="N840" s="288"/>
      <c r="O840" s="288"/>
      <c r="P840" s="288"/>
      <c r="Q840" s="288"/>
      <c r="R840" s="257"/>
      <c r="S840" s="258"/>
      <c r="T840" s="255"/>
      <c r="U840" s="255"/>
      <c r="V840" s="259"/>
      <c r="W840" s="286"/>
      <c r="X840" s="286"/>
      <c r="Y840" s="286"/>
    </row>
    <row r="841">
      <c r="A841" s="28"/>
      <c r="B841" s="293"/>
      <c r="C841" s="28"/>
      <c r="D841" s="289"/>
      <c r="E841" s="294"/>
      <c r="F841" s="291"/>
      <c r="G841" s="292"/>
      <c r="H841" s="292"/>
      <c r="I841" s="292"/>
      <c r="J841" s="292"/>
      <c r="K841" s="288"/>
      <c r="L841" s="288"/>
      <c r="M841" s="288"/>
      <c r="N841" s="288"/>
      <c r="O841" s="288"/>
      <c r="P841" s="288"/>
      <c r="Q841" s="288"/>
      <c r="R841" s="257"/>
      <c r="S841" s="258"/>
      <c r="T841" s="255"/>
      <c r="U841" s="255"/>
      <c r="V841" s="259"/>
      <c r="W841" s="286"/>
      <c r="X841" s="286"/>
      <c r="Y841" s="286"/>
    </row>
    <row r="842">
      <c r="A842" s="28"/>
      <c r="B842" s="293"/>
      <c r="C842" s="28"/>
      <c r="D842" s="289"/>
      <c r="E842" s="294"/>
      <c r="F842" s="291"/>
      <c r="G842" s="292"/>
      <c r="H842" s="292"/>
      <c r="I842" s="292"/>
      <c r="J842" s="292"/>
      <c r="K842" s="288"/>
      <c r="L842" s="288"/>
      <c r="M842" s="288"/>
      <c r="N842" s="288"/>
      <c r="O842" s="288"/>
      <c r="P842" s="288"/>
      <c r="Q842" s="288"/>
      <c r="R842" s="257"/>
      <c r="S842" s="258"/>
      <c r="T842" s="255"/>
      <c r="U842" s="255"/>
      <c r="V842" s="259"/>
      <c r="W842" s="286"/>
      <c r="X842" s="286"/>
      <c r="Y842" s="286"/>
    </row>
    <row r="843">
      <c r="A843" s="28"/>
      <c r="B843" s="293"/>
      <c r="C843" s="28"/>
      <c r="D843" s="289"/>
      <c r="E843" s="294"/>
      <c r="F843" s="291"/>
      <c r="G843" s="292"/>
      <c r="H843" s="292"/>
      <c r="I843" s="292"/>
      <c r="J843" s="292"/>
      <c r="K843" s="288"/>
      <c r="L843" s="288"/>
      <c r="M843" s="288"/>
      <c r="N843" s="288"/>
      <c r="O843" s="288"/>
      <c r="P843" s="288"/>
      <c r="Q843" s="288"/>
      <c r="R843" s="257"/>
      <c r="S843" s="258"/>
      <c r="T843" s="255"/>
      <c r="U843" s="255"/>
      <c r="V843" s="259"/>
      <c r="W843" s="286"/>
      <c r="X843" s="286"/>
      <c r="Y843" s="286"/>
    </row>
    <row r="844">
      <c r="A844" s="28"/>
      <c r="B844" s="293"/>
      <c r="C844" s="28"/>
      <c r="D844" s="289"/>
      <c r="E844" s="294"/>
      <c r="F844" s="291"/>
      <c r="G844" s="292"/>
      <c r="H844" s="292"/>
      <c r="I844" s="292"/>
      <c r="J844" s="292"/>
      <c r="K844" s="288"/>
      <c r="L844" s="288"/>
      <c r="M844" s="288"/>
      <c r="N844" s="288"/>
      <c r="O844" s="288"/>
      <c r="P844" s="288"/>
      <c r="Q844" s="288"/>
      <c r="R844" s="257"/>
      <c r="S844" s="258"/>
      <c r="T844" s="255"/>
      <c r="U844" s="255"/>
      <c r="V844" s="259"/>
      <c r="W844" s="286"/>
      <c r="X844" s="286"/>
      <c r="Y844" s="286"/>
    </row>
    <row r="845">
      <c r="A845" s="28"/>
      <c r="B845" s="293"/>
      <c r="C845" s="28"/>
      <c r="D845" s="289"/>
      <c r="E845" s="294"/>
      <c r="F845" s="291"/>
      <c r="G845" s="292"/>
      <c r="H845" s="292"/>
      <c r="I845" s="292"/>
      <c r="J845" s="292"/>
      <c r="K845" s="288"/>
      <c r="L845" s="288"/>
      <c r="M845" s="288"/>
      <c r="N845" s="288"/>
      <c r="O845" s="288"/>
      <c r="P845" s="288"/>
      <c r="Q845" s="288"/>
      <c r="R845" s="257"/>
      <c r="S845" s="258"/>
      <c r="T845" s="255"/>
      <c r="U845" s="255"/>
      <c r="V845" s="259"/>
      <c r="W845" s="286"/>
      <c r="X845" s="286"/>
      <c r="Y845" s="286"/>
    </row>
    <row r="846">
      <c r="A846" s="28"/>
      <c r="B846" s="293"/>
      <c r="C846" s="28"/>
      <c r="D846" s="289"/>
      <c r="E846" s="294"/>
      <c r="F846" s="291"/>
      <c r="G846" s="292"/>
      <c r="H846" s="292"/>
      <c r="I846" s="292"/>
      <c r="J846" s="292"/>
      <c r="K846" s="288"/>
      <c r="L846" s="288"/>
      <c r="M846" s="288"/>
      <c r="N846" s="288"/>
      <c r="O846" s="288"/>
      <c r="P846" s="288"/>
      <c r="Q846" s="288"/>
      <c r="R846" s="257"/>
      <c r="S846" s="258"/>
      <c r="T846" s="255"/>
      <c r="U846" s="255"/>
      <c r="V846" s="259"/>
      <c r="W846" s="286"/>
      <c r="X846" s="286"/>
      <c r="Y846" s="286"/>
    </row>
    <row r="847">
      <c r="A847" s="28"/>
      <c r="B847" s="293"/>
      <c r="C847" s="28"/>
      <c r="D847" s="289"/>
      <c r="E847" s="294"/>
      <c r="F847" s="291"/>
      <c r="G847" s="292"/>
      <c r="H847" s="292"/>
      <c r="I847" s="292"/>
      <c r="J847" s="292"/>
      <c r="K847" s="288"/>
      <c r="L847" s="288"/>
      <c r="M847" s="288"/>
      <c r="N847" s="288"/>
      <c r="O847" s="288"/>
      <c r="P847" s="288"/>
      <c r="Q847" s="288"/>
      <c r="R847" s="257"/>
      <c r="S847" s="258"/>
      <c r="T847" s="255"/>
      <c r="U847" s="255"/>
      <c r="V847" s="259"/>
      <c r="W847" s="286"/>
      <c r="X847" s="286"/>
      <c r="Y847" s="286"/>
    </row>
    <row r="848">
      <c r="A848" s="28"/>
      <c r="B848" s="293"/>
      <c r="C848" s="28"/>
      <c r="D848" s="289"/>
      <c r="E848" s="294"/>
      <c r="F848" s="291"/>
      <c r="G848" s="292"/>
      <c r="H848" s="292"/>
      <c r="I848" s="292"/>
      <c r="J848" s="292"/>
      <c r="K848" s="288"/>
      <c r="L848" s="288"/>
      <c r="M848" s="288"/>
      <c r="N848" s="288"/>
      <c r="O848" s="288"/>
      <c r="P848" s="288"/>
      <c r="Q848" s="288"/>
      <c r="R848" s="257"/>
      <c r="S848" s="258"/>
      <c r="T848" s="255"/>
      <c r="U848" s="255"/>
      <c r="V848" s="259"/>
      <c r="W848" s="286"/>
      <c r="X848" s="286"/>
      <c r="Y848" s="286"/>
    </row>
    <row r="849">
      <c r="A849" s="28"/>
      <c r="B849" s="293"/>
      <c r="C849" s="28"/>
      <c r="D849" s="289"/>
      <c r="E849" s="294"/>
      <c r="F849" s="291"/>
      <c r="G849" s="292"/>
      <c r="H849" s="292"/>
      <c r="I849" s="292"/>
      <c r="J849" s="292"/>
      <c r="K849" s="288"/>
      <c r="L849" s="288"/>
      <c r="M849" s="288"/>
      <c r="N849" s="288"/>
      <c r="O849" s="288"/>
      <c r="P849" s="288"/>
      <c r="Q849" s="288"/>
      <c r="R849" s="257"/>
      <c r="S849" s="258"/>
      <c r="T849" s="255"/>
      <c r="U849" s="255"/>
      <c r="V849" s="259"/>
      <c r="W849" s="286"/>
      <c r="X849" s="286"/>
      <c r="Y849" s="286"/>
    </row>
    <row r="850">
      <c r="A850" s="28"/>
      <c r="B850" s="293"/>
      <c r="C850" s="28"/>
      <c r="D850" s="289"/>
      <c r="E850" s="294"/>
      <c r="F850" s="291"/>
      <c r="G850" s="292"/>
      <c r="H850" s="292"/>
      <c r="I850" s="292"/>
      <c r="J850" s="292"/>
      <c r="K850" s="288"/>
      <c r="L850" s="288"/>
      <c r="M850" s="288"/>
      <c r="N850" s="288"/>
      <c r="O850" s="288"/>
      <c r="P850" s="288"/>
      <c r="Q850" s="288"/>
      <c r="R850" s="257"/>
      <c r="S850" s="258"/>
      <c r="T850" s="255"/>
      <c r="U850" s="255"/>
      <c r="V850" s="259"/>
      <c r="W850" s="286"/>
      <c r="X850" s="286"/>
      <c r="Y850" s="286"/>
    </row>
    <row r="851">
      <c r="A851" s="28"/>
      <c r="B851" s="293"/>
      <c r="C851" s="28"/>
      <c r="D851" s="289"/>
      <c r="E851" s="294"/>
      <c r="F851" s="291"/>
      <c r="G851" s="292"/>
      <c r="H851" s="292"/>
      <c r="I851" s="292"/>
      <c r="J851" s="292"/>
      <c r="K851" s="288"/>
      <c r="L851" s="288"/>
      <c r="M851" s="288"/>
      <c r="N851" s="288"/>
      <c r="O851" s="288"/>
      <c r="P851" s="288"/>
      <c r="Q851" s="288"/>
      <c r="R851" s="257"/>
      <c r="S851" s="258"/>
      <c r="T851" s="255"/>
      <c r="U851" s="255"/>
      <c r="V851" s="259"/>
      <c r="W851" s="286"/>
      <c r="X851" s="286"/>
      <c r="Y851" s="286"/>
    </row>
    <row r="852">
      <c r="A852" s="28"/>
      <c r="B852" s="293"/>
      <c r="C852" s="28"/>
      <c r="D852" s="289"/>
      <c r="E852" s="294"/>
      <c r="F852" s="291"/>
      <c r="G852" s="292"/>
      <c r="H852" s="292"/>
      <c r="I852" s="292"/>
      <c r="J852" s="292"/>
      <c r="K852" s="288"/>
      <c r="L852" s="288"/>
      <c r="M852" s="288"/>
      <c r="N852" s="288"/>
      <c r="O852" s="288"/>
      <c r="P852" s="288"/>
      <c r="Q852" s="288"/>
      <c r="R852" s="257"/>
      <c r="S852" s="258"/>
      <c r="T852" s="255"/>
      <c r="U852" s="255"/>
      <c r="V852" s="259"/>
      <c r="W852" s="286"/>
      <c r="X852" s="286"/>
      <c r="Y852" s="286"/>
    </row>
    <row r="853">
      <c r="A853" s="28"/>
      <c r="B853" s="293"/>
      <c r="C853" s="28"/>
      <c r="D853" s="289"/>
      <c r="E853" s="294"/>
      <c r="F853" s="291"/>
      <c r="G853" s="292"/>
      <c r="H853" s="292"/>
      <c r="I853" s="292"/>
      <c r="J853" s="292"/>
      <c r="K853" s="288"/>
      <c r="L853" s="288"/>
      <c r="M853" s="288"/>
      <c r="N853" s="288"/>
      <c r="O853" s="288"/>
      <c r="P853" s="288"/>
      <c r="Q853" s="288"/>
      <c r="R853" s="257"/>
      <c r="S853" s="258"/>
      <c r="T853" s="255"/>
      <c r="U853" s="255"/>
      <c r="V853" s="259"/>
      <c r="W853" s="286"/>
      <c r="X853" s="286"/>
      <c r="Y853" s="286"/>
    </row>
    <row r="854">
      <c r="A854" s="28"/>
      <c r="B854" s="293"/>
      <c r="C854" s="28"/>
      <c r="D854" s="289"/>
      <c r="E854" s="294"/>
      <c r="F854" s="291"/>
      <c r="G854" s="292"/>
      <c r="H854" s="292"/>
      <c r="I854" s="292"/>
      <c r="J854" s="292"/>
      <c r="K854" s="288"/>
      <c r="L854" s="288"/>
      <c r="M854" s="288"/>
      <c r="N854" s="288"/>
      <c r="O854" s="288"/>
      <c r="P854" s="288"/>
      <c r="Q854" s="288"/>
      <c r="R854" s="257"/>
      <c r="S854" s="258"/>
      <c r="T854" s="255"/>
      <c r="U854" s="255"/>
      <c r="V854" s="259"/>
      <c r="W854" s="286"/>
      <c r="X854" s="286"/>
      <c r="Y854" s="286"/>
    </row>
    <row r="855">
      <c r="A855" s="28"/>
      <c r="B855" s="293"/>
      <c r="C855" s="28"/>
      <c r="D855" s="289"/>
      <c r="E855" s="294"/>
      <c r="F855" s="291"/>
      <c r="G855" s="292"/>
      <c r="H855" s="292"/>
      <c r="I855" s="292"/>
      <c r="J855" s="292"/>
      <c r="K855" s="288"/>
      <c r="L855" s="288"/>
      <c r="M855" s="288"/>
      <c r="N855" s="288"/>
      <c r="O855" s="288"/>
      <c r="P855" s="288"/>
      <c r="Q855" s="288"/>
      <c r="R855" s="257"/>
      <c r="S855" s="258"/>
      <c r="T855" s="255"/>
      <c r="U855" s="255"/>
      <c r="V855" s="259"/>
      <c r="W855" s="286"/>
      <c r="X855" s="286"/>
      <c r="Y855" s="286"/>
    </row>
    <row r="856">
      <c r="A856" s="28"/>
      <c r="B856" s="293"/>
      <c r="C856" s="28"/>
      <c r="D856" s="289"/>
      <c r="E856" s="294"/>
      <c r="F856" s="291"/>
      <c r="G856" s="292"/>
      <c r="H856" s="292"/>
      <c r="I856" s="292"/>
      <c r="J856" s="292"/>
      <c r="K856" s="288"/>
      <c r="L856" s="288"/>
      <c r="M856" s="288"/>
      <c r="N856" s="288"/>
      <c r="O856" s="288"/>
      <c r="P856" s="288"/>
      <c r="Q856" s="288"/>
      <c r="R856" s="257"/>
      <c r="S856" s="258"/>
      <c r="T856" s="255"/>
      <c r="U856" s="255"/>
      <c r="V856" s="259"/>
      <c r="W856" s="286"/>
      <c r="X856" s="286"/>
      <c r="Y856" s="286"/>
    </row>
    <row r="857">
      <c r="A857" s="28"/>
      <c r="B857" s="293"/>
      <c r="C857" s="28"/>
      <c r="D857" s="289"/>
      <c r="E857" s="294"/>
      <c r="F857" s="291"/>
      <c r="G857" s="292"/>
      <c r="H857" s="292"/>
      <c r="I857" s="292"/>
      <c r="J857" s="292"/>
      <c r="K857" s="288"/>
      <c r="L857" s="288"/>
      <c r="M857" s="288"/>
      <c r="N857" s="288"/>
      <c r="O857" s="288"/>
      <c r="P857" s="288"/>
      <c r="Q857" s="288"/>
      <c r="R857" s="257"/>
      <c r="S857" s="258"/>
      <c r="T857" s="255"/>
      <c r="U857" s="255"/>
      <c r="V857" s="259"/>
      <c r="W857" s="286"/>
      <c r="X857" s="286"/>
      <c r="Y857" s="286"/>
    </row>
    <row r="858">
      <c r="A858" s="28"/>
      <c r="B858" s="293"/>
      <c r="C858" s="28"/>
      <c r="D858" s="289"/>
      <c r="E858" s="294"/>
      <c r="F858" s="291"/>
      <c r="G858" s="292"/>
      <c r="H858" s="292"/>
      <c r="I858" s="292"/>
      <c r="J858" s="292"/>
      <c r="K858" s="288"/>
      <c r="L858" s="288"/>
      <c r="M858" s="288"/>
      <c r="N858" s="288"/>
      <c r="O858" s="288"/>
      <c r="P858" s="288"/>
      <c r="Q858" s="288"/>
      <c r="R858" s="257"/>
      <c r="S858" s="258"/>
      <c r="T858" s="255"/>
      <c r="U858" s="255"/>
      <c r="V858" s="259"/>
      <c r="W858" s="286"/>
      <c r="X858" s="286"/>
      <c r="Y858" s="286"/>
    </row>
    <row r="859">
      <c r="A859" s="28"/>
      <c r="B859" s="293"/>
      <c r="C859" s="28"/>
      <c r="D859" s="289"/>
      <c r="E859" s="294"/>
      <c r="F859" s="291"/>
      <c r="G859" s="292"/>
      <c r="H859" s="292"/>
      <c r="I859" s="292"/>
      <c r="J859" s="292"/>
      <c r="K859" s="288"/>
      <c r="L859" s="288"/>
      <c r="M859" s="288"/>
      <c r="N859" s="288"/>
      <c r="O859" s="288"/>
      <c r="P859" s="288"/>
      <c r="Q859" s="288"/>
      <c r="R859" s="257"/>
      <c r="S859" s="258"/>
      <c r="T859" s="255"/>
      <c r="U859" s="255"/>
      <c r="V859" s="259"/>
      <c r="W859" s="286"/>
      <c r="X859" s="286"/>
      <c r="Y859" s="286"/>
    </row>
    <row r="860">
      <c r="A860" s="28"/>
      <c r="B860" s="293"/>
      <c r="C860" s="28"/>
      <c r="D860" s="289"/>
      <c r="E860" s="294"/>
      <c r="F860" s="291"/>
      <c r="G860" s="292"/>
      <c r="H860" s="292"/>
      <c r="I860" s="292"/>
      <c r="J860" s="292"/>
      <c r="K860" s="288"/>
      <c r="L860" s="288"/>
      <c r="M860" s="288"/>
      <c r="N860" s="288"/>
      <c r="O860" s="288"/>
      <c r="P860" s="288"/>
      <c r="Q860" s="288"/>
      <c r="R860" s="257"/>
      <c r="S860" s="258"/>
      <c r="T860" s="255"/>
      <c r="U860" s="255"/>
      <c r="V860" s="259"/>
      <c r="W860" s="286"/>
      <c r="X860" s="286"/>
      <c r="Y860" s="286"/>
    </row>
    <row r="861">
      <c r="A861" s="28"/>
      <c r="B861" s="293"/>
      <c r="C861" s="28"/>
      <c r="D861" s="289"/>
      <c r="E861" s="294"/>
      <c r="F861" s="291"/>
      <c r="G861" s="292"/>
      <c r="H861" s="292"/>
      <c r="I861" s="292"/>
      <c r="J861" s="292"/>
      <c r="K861" s="288"/>
      <c r="L861" s="288"/>
      <c r="M861" s="288"/>
      <c r="N861" s="288"/>
      <c r="O861" s="288"/>
      <c r="P861" s="288"/>
      <c r="Q861" s="288"/>
      <c r="R861" s="257"/>
      <c r="S861" s="258"/>
      <c r="T861" s="255"/>
      <c r="U861" s="255"/>
      <c r="V861" s="259"/>
      <c r="W861" s="286"/>
      <c r="X861" s="286"/>
      <c r="Y861" s="286"/>
    </row>
    <row r="862">
      <c r="A862" s="28"/>
      <c r="B862" s="293"/>
      <c r="C862" s="28"/>
      <c r="D862" s="289"/>
      <c r="E862" s="294"/>
      <c r="F862" s="291"/>
      <c r="G862" s="292"/>
      <c r="H862" s="292"/>
      <c r="I862" s="292"/>
      <c r="J862" s="292"/>
      <c r="K862" s="288"/>
      <c r="L862" s="288"/>
      <c r="M862" s="288"/>
      <c r="N862" s="288"/>
      <c r="O862" s="288"/>
      <c r="P862" s="288"/>
      <c r="Q862" s="288"/>
      <c r="R862" s="257"/>
      <c r="S862" s="258"/>
      <c r="T862" s="255"/>
      <c r="U862" s="255"/>
      <c r="V862" s="259"/>
      <c r="W862" s="286"/>
      <c r="X862" s="286"/>
      <c r="Y862" s="286"/>
    </row>
    <row r="863">
      <c r="A863" s="28"/>
      <c r="B863" s="293"/>
      <c r="C863" s="28"/>
      <c r="D863" s="289"/>
      <c r="E863" s="294"/>
      <c r="F863" s="291"/>
      <c r="G863" s="292"/>
      <c r="H863" s="292"/>
      <c r="I863" s="292"/>
      <c r="J863" s="292"/>
      <c r="K863" s="288"/>
      <c r="L863" s="288"/>
      <c r="M863" s="288"/>
      <c r="N863" s="288"/>
      <c r="O863" s="288"/>
      <c r="P863" s="288"/>
      <c r="Q863" s="288"/>
      <c r="R863" s="257"/>
      <c r="S863" s="258"/>
      <c r="T863" s="255"/>
      <c r="U863" s="255"/>
      <c r="V863" s="259"/>
      <c r="W863" s="286"/>
      <c r="X863" s="286"/>
      <c r="Y863" s="286"/>
    </row>
    <row r="864">
      <c r="A864" s="28"/>
      <c r="B864" s="293"/>
      <c r="C864" s="28"/>
      <c r="D864" s="289"/>
      <c r="E864" s="294"/>
      <c r="F864" s="291"/>
      <c r="G864" s="292"/>
      <c r="H864" s="292"/>
      <c r="I864" s="292"/>
      <c r="J864" s="292"/>
      <c r="K864" s="288"/>
      <c r="L864" s="288"/>
      <c r="M864" s="288"/>
      <c r="N864" s="288"/>
      <c r="O864" s="288"/>
      <c r="P864" s="288"/>
      <c r="Q864" s="288"/>
      <c r="R864" s="257"/>
      <c r="S864" s="258"/>
      <c r="T864" s="255"/>
      <c r="U864" s="255"/>
      <c r="V864" s="259"/>
      <c r="W864" s="286"/>
      <c r="X864" s="286"/>
      <c r="Y864" s="286"/>
    </row>
    <row r="865">
      <c r="A865" s="28"/>
      <c r="B865" s="293"/>
      <c r="C865" s="28"/>
      <c r="D865" s="289"/>
      <c r="E865" s="294"/>
      <c r="F865" s="291"/>
      <c r="G865" s="292"/>
      <c r="H865" s="292"/>
      <c r="I865" s="292"/>
      <c r="J865" s="292"/>
      <c r="K865" s="288"/>
      <c r="L865" s="288"/>
      <c r="M865" s="288"/>
      <c r="N865" s="288"/>
      <c r="O865" s="288"/>
      <c r="P865" s="288"/>
      <c r="Q865" s="288"/>
      <c r="R865" s="257"/>
      <c r="S865" s="258"/>
      <c r="T865" s="255"/>
      <c r="U865" s="255"/>
      <c r="V865" s="259"/>
      <c r="W865" s="286"/>
      <c r="X865" s="286"/>
      <c r="Y865" s="286"/>
    </row>
    <row r="866">
      <c r="A866" s="28"/>
      <c r="B866" s="293"/>
      <c r="C866" s="28"/>
      <c r="D866" s="289"/>
      <c r="E866" s="294"/>
      <c r="F866" s="291"/>
      <c r="G866" s="292"/>
      <c r="H866" s="292"/>
      <c r="I866" s="292"/>
      <c r="J866" s="292"/>
      <c r="K866" s="288"/>
      <c r="L866" s="288"/>
      <c r="M866" s="288"/>
      <c r="N866" s="288"/>
      <c r="O866" s="288"/>
      <c r="P866" s="288"/>
      <c r="Q866" s="288"/>
      <c r="R866" s="257"/>
      <c r="S866" s="258"/>
      <c r="T866" s="255"/>
      <c r="U866" s="255"/>
      <c r="V866" s="259"/>
      <c r="W866" s="286"/>
      <c r="X866" s="286"/>
      <c r="Y866" s="286"/>
    </row>
    <row r="867">
      <c r="A867" s="28"/>
      <c r="B867" s="293"/>
      <c r="C867" s="28"/>
      <c r="D867" s="289"/>
      <c r="E867" s="294"/>
      <c r="F867" s="291"/>
      <c r="G867" s="292"/>
      <c r="H867" s="292"/>
      <c r="I867" s="292"/>
      <c r="J867" s="292"/>
      <c r="K867" s="288"/>
      <c r="L867" s="288"/>
      <c r="M867" s="288"/>
      <c r="N867" s="288"/>
      <c r="O867" s="288"/>
      <c r="P867" s="288"/>
      <c r="Q867" s="288"/>
      <c r="R867" s="257"/>
      <c r="S867" s="258"/>
      <c r="T867" s="255"/>
      <c r="U867" s="255"/>
      <c r="V867" s="259"/>
      <c r="W867" s="286"/>
      <c r="X867" s="286"/>
      <c r="Y867" s="286"/>
    </row>
    <row r="868">
      <c r="A868" s="28"/>
      <c r="B868" s="293"/>
      <c r="C868" s="28"/>
      <c r="D868" s="289"/>
      <c r="E868" s="294"/>
      <c r="F868" s="291"/>
      <c r="G868" s="292"/>
      <c r="H868" s="292"/>
      <c r="I868" s="292"/>
      <c r="J868" s="292"/>
      <c r="K868" s="288"/>
      <c r="L868" s="288"/>
      <c r="M868" s="288"/>
      <c r="N868" s="288"/>
      <c r="O868" s="288"/>
      <c r="P868" s="288"/>
      <c r="Q868" s="288"/>
      <c r="R868" s="257"/>
      <c r="S868" s="258"/>
      <c r="T868" s="255"/>
      <c r="U868" s="255"/>
      <c r="V868" s="259"/>
      <c r="W868" s="286"/>
      <c r="X868" s="286"/>
      <c r="Y868" s="286"/>
    </row>
    <row r="869">
      <c r="A869" s="28"/>
      <c r="B869" s="293"/>
      <c r="C869" s="28"/>
      <c r="D869" s="289"/>
      <c r="E869" s="294"/>
      <c r="F869" s="291"/>
      <c r="G869" s="292"/>
      <c r="H869" s="292"/>
      <c r="I869" s="292"/>
      <c r="J869" s="292"/>
      <c r="K869" s="288"/>
      <c r="L869" s="288"/>
      <c r="M869" s="288"/>
      <c r="N869" s="288"/>
      <c r="O869" s="288"/>
      <c r="P869" s="288"/>
      <c r="Q869" s="288"/>
      <c r="R869" s="257"/>
      <c r="S869" s="258"/>
      <c r="T869" s="255"/>
      <c r="U869" s="255"/>
      <c r="V869" s="259"/>
      <c r="W869" s="286"/>
      <c r="X869" s="286"/>
      <c r="Y869" s="286"/>
    </row>
    <row r="870">
      <c r="A870" s="28"/>
      <c r="B870" s="293"/>
      <c r="C870" s="28"/>
      <c r="D870" s="289"/>
      <c r="E870" s="294"/>
      <c r="F870" s="291"/>
      <c r="G870" s="292"/>
      <c r="H870" s="292"/>
      <c r="I870" s="292"/>
      <c r="J870" s="292"/>
      <c r="K870" s="288"/>
      <c r="L870" s="288"/>
      <c r="M870" s="288"/>
      <c r="N870" s="288"/>
      <c r="O870" s="288"/>
      <c r="P870" s="288"/>
      <c r="Q870" s="288"/>
      <c r="R870" s="257"/>
      <c r="S870" s="258"/>
      <c r="T870" s="255"/>
      <c r="U870" s="255"/>
      <c r="V870" s="259"/>
      <c r="W870" s="286"/>
      <c r="X870" s="286"/>
      <c r="Y870" s="286"/>
    </row>
    <row r="871">
      <c r="A871" s="28"/>
      <c r="B871" s="293"/>
      <c r="C871" s="28"/>
      <c r="D871" s="289"/>
      <c r="E871" s="294"/>
      <c r="F871" s="291"/>
      <c r="G871" s="292"/>
      <c r="H871" s="292"/>
      <c r="I871" s="292"/>
      <c r="J871" s="292"/>
      <c r="K871" s="288"/>
      <c r="L871" s="288"/>
      <c r="M871" s="288"/>
      <c r="N871" s="288"/>
      <c r="O871" s="288"/>
      <c r="P871" s="288"/>
      <c r="Q871" s="288"/>
      <c r="R871" s="257"/>
      <c r="S871" s="258"/>
      <c r="T871" s="255"/>
      <c r="U871" s="255"/>
      <c r="V871" s="259"/>
      <c r="W871" s="286"/>
      <c r="X871" s="286"/>
      <c r="Y871" s="286"/>
    </row>
    <row r="872">
      <c r="A872" s="28"/>
      <c r="B872" s="293"/>
      <c r="C872" s="28"/>
      <c r="D872" s="289"/>
      <c r="E872" s="294"/>
      <c r="F872" s="291"/>
      <c r="G872" s="292"/>
      <c r="H872" s="292"/>
      <c r="I872" s="292"/>
      <c r="J872" s="292"/>
      <c r="K872" s="288"/>
      <c r="L872" s="288"/>
      <c r="M872" s="288"/>
      <c r="N872" s="288"/>
      <c r="O872" s="288"/>
      <c r="P872" s="288"/>
      <c r="Q872" s="288"/>
      <c r="R872" s="257"/>
      <c r="S872" s="258"/>
      <c r="T872" s="255"/>
      <c r="U872" s="255"/>
      <c r="V872" s="259"/>
      <c r="W872" s="286"/>
      <c r="X872" s="286"/>
      <c r="Y872" s="286"/>
    </row>
    <row r="873">
      <c r="A873" s="28"/>
      <c r="B873" s="293"/>
      <c r="C873" s="28"/>
      <c r="D873" s="289"/>
      <c r="E873" s="294"/>
      <c r="F873" s="291"/>
      <c r="G873" s="292"/>
      <c r="H873" s="292"/>
      <c r="I873" s="292"/>
      <c r="J873" s="292"/>
      <c r="K873" s="288"/>
      <c r="L873" s="288"/>
      <c r="M873" s="288"/>
      <c r="N873" s="288"/>
      <c r="O873" s="288"/>
      <c r="P873" s="288"/>
      <c r="Q873" s="288"/>
      <c r="R873" s="257"/>
      <c r="S873" s="258"/>
      <c r="T873" s="255"/>
      <c r="U873" s="255"/>
      <c r="V873" s="259"/>
      <c r="W873" s="286"/>
      <c r="X873" s="286"/>
      <c r="Y873" s="286"/>
    </row>
    <row r="874">
      <c r="A874" s="28"/>
      <c r="B874" s="293"/>
      <c r="C874" s="28"/>
      <c r="D874" s="289"/>
      <c r="E874" s="294"/>
      <c r="F874" s="291"/>
      <c r="G874" s="292"/>
      <c r="H874" s="292"/>
      <c r="I874" s="292"/>
      <c r="J874" s="292"/>
      <c r="K874" s="288"/>
      <c r="L874" s="288"/>
      <c r="M874" s="288"/>
      <c r="N874" s="288"/>
      <c r="O874" s="288"/>
      <c r="P874" s="288"/>
      <c r="Q874" s="288"/>
      <c r="R874" s="257"/>
      <c r="S874" s="258"/>
      <c r="T874" s="255"/>
      <c r="U874" s="255"/>
      <c r="V874" s="259"/>
      <c r="W874" s="286"/>
      <c r="X874" s="286"/>
      <c r="Y874" s="286"/>
    </row>
    <row r="875">
      <c r="A875" s="28"/>
      <c r="B875" s="293"/>
      <c r="C875" s="28"/>
      <c r="D875" s="289"/>
      <c r="E875" s="294"/>
      <c r="F875" s="291"/>
      <c r="G875" s="292"/>
      <c r="H875" s="292"/>
      <c r="I875" s="292"/>
      <c r="J875" s="292"/>
      <c r="K875" s="288"/>
      <c r="L875" s="288"/>
      <c r="M875" s="288"/>
      <c r="N875" s="288"/>
      <c r="O875" s="288"/>
      <c r="P875" s="288"/>
      <c r="Q875" s="288"/>
      <c r="R875" s="257"/>
      <c r="S875" s="258"/>
      <c r="T875" s="255"/>
      <c r="U875" s="255"/>
      <c r="V875" s="259"/>
      <c r="W875" s="286"/>
      <c r="X875" s="286"/>
      <c r="Y875" s="286"/>
    </row>
    <row r="876">
      <c r="A876" s="28"/>
      <c r="B876" s="293"/>
      <c r="C876" s="28"/>
      <c r="D876" s="289"/>
      <c r="E876" s="294"/>
      <c r="F876" s="291"/>
      <c r="G876" s="292"/>
      <c r="H876" s="292"/>
      <c r="I876" s="292"/>
      <c r="J876" s="292"/>
      <c r="K876" s="288"/>
      <c r="L876" s="288"/>
      <c r="M876" s="288"/>
      <c r="N876" s="288"/>
      <c r="O876" s="288"/>
      <c r="P876" s="288"/>
      <c r="Q876" s="288"/>
      <c r="R876" s="257"/>
      <c r="S876" s="258"/>
      <c r="T876" s="255"/>
      <c r="U876" s="255"/>
      <c r="V876" s="259"/>
      <c r="W876" s="286"/>
      <c r="X876" s="286"/>
      <c r="Y876" s="286"/>
    </row>
    <row r="877">
      <c r="A877" s="28"/>
      <c r="B877" s="293"/>
      <c r="C877" s="28"/>
      <c r="D877" s="289"/>
      <c r="E877" s="294"/>
      <c r="F877" s="291"/>
      <c r="G877" s="292"/>
      <c r="H877" s="292"/>
      <c r="I877" s="292"/>
      <c r="J877" s="292"/>
      <c r="K877" s="288"/>
      <c r="L877" s="288"/>
      <c r="M877" s="288"/>
      <c r="N877" s="288"/>
      <c r="O877" s="288"/>
      <c r="P877" s="288"/>
      <c r="Q877" s="288"/>
      <c r="R877" s="257"/>
      <c r="S877" s="258"/>
      <c r="T877" s="255"/>
      <c r="U877" s="255"/>
      <c r="V877" s="259"/>
      <c r="W877" s="286"/>
      <c r="X877" s="286"/>
      <c r="Y877" s="286"/>
    </row>
    <row r="878">
      <c r="A878" s="28"/>
      <c r="B878" s="293"/>
      <c r="C878" s="28"/>
      <c r="D878" s="289"/>
      <c r="E878" s="294"/>
      <c r="F878" s="291"/>
      <c r="G878" s="292"/>
      <c r="H878" s="292"/>
      <c r="I878" s="292"/>
      <c r="J878" s="292"/>
      <c r="K878" s="288"/>
      <c r="L878" s="288"/>
      <c r="M878" s="288"/>
      <c r="N878" s="288"/>
      <c r="O878" s="288"/>
      <c r="P878" s="288"/>
      <c r="Q878" s="288"/>
      <c r="R878" s="257"/>
      <c r="S878" s="258"/>
      <c r="T878" s="255"/>
      <c r="U878" s="255"/>
      <c r="V878" s="259"/>
      <c r="W878" s="286"/>
      <c r="X878" s="286"/>
      <c r="Y878" s="286"/>
    </row>
    <row r="879">
      <c r="A879" s="28"/>
      <c r="B879" s="293"/>
      <c r="C879" s="28"/>
      <c r="D879" s="289"/>
      <c r="E879" s="294"/>
      <c r="F879" s="291"/>
      <c r="G879" s="292"/>
      <c r="H879" s="292"/>
      <c r="I879" s="292"/>
      <c r="J879" s="292"/>
      <c r="K879" s="288"/>
      <c r="L879" s="288"/>
      <c r="M879" s="288"/>
      <c r="N879" s="288"/>
      <c r="O879" s="288"/>
      <c r="P879" s="288"/>
      <c r="Q879" s="288"/>
      <c r="R879" s="257"/>
      <c r="S879" s="258"/>
      <c r="T879" s="255"/>
      <c r="U879" s="255"/>
      <c r="V879" s="259"/>
      <c r="W879" s="286"/>
      <c r="X879" s="286"/>
      <c r="Y879" s="286"/>
    </row>
    <row r="880">
      <c r="A880" s="28"/>
      <c r="B880" s="293"/>
      <c r="C880" s="28"/>
      <c r="D880" s="289"/>
      <c r="E880" s="294"/>
      <c r="F880" s="291"/>
      <c r="G880" s="292"/>
      <c r="H880" s="292"/>
      <c r="I880" s="292"/>
      <c r="J880" s="292"/>
      <c r="K880" s="288"/>
      <c r="L880" s="288"/>
      <c r="M880" s="288"/>
      <c r="N880" s="288"/>
      <c r="O880" s="288"/>
      <c r="P880" s="288"/>
      <c r="Q880" s="288"/>
      <c r="R880" s="257"/>
      <c r="S880" s="258"/>
      <c r="T880" s="255"/>
      <c r="U880" s="255"/>
      <c r="V880" s="259"/>
      <c r="W880" s="286"/>
      <c r="X880" s="286"/>
      <c r="Y880" s="286"/>
    </row>
    <row r="881">
      <c r="A881" s="28"/>
      <c r="B881" s="293"/>
      <c r="C881" s="28"/>
      <c r="D881" s="289"/>
      <c r="E881" s="294"/>
      <c r="F881" s="291"/>
      <c r="G881" s="292"/>
      <c r="H881" s="292"/>
      <c r="I881" s="292"/>
      <c r="J881" s="292"/>
      <c r="K881" s="288"/>
      <c r="L881" s="288"/>
      <c r="M881" s="288"/>
      <c r="N881" s="288"/>
      <c r="O881" s="288"/>
      <c r="P881" s="288"/>
      <c r="Q881" s="288"/>
      <c r="R881" s="257"/>
      <c r="S881" s="258"/>
      <c r="T881" s="255"/>
      <c r="U881" s="255"/>
      <c r="V881" s="259"/>
      <c r="W881" s="286"/>
      <c r="X881" s="286"/>
      <c r="Y881" s="286"/>
    </row>
    <row r="882">
      <c r="A882" s="28"/>
      <c r="B882" s="293"/>
      <c r="C882" s="28"/>
      <c r="D882" s="289"/>
      <c r="E882" s="294"/>
      <c r="F882" s="291"/>
      <c r="G882" s="292"/>
      <c r="H882" s="292"/>
      <c r="I882" s="292"/>
      <c r="J882" s="292"/>
      <c r="K882" s="288"/>
      <c r="L882" s="288"/>
      <c r="M882" s="288"/>
      <c r="N882" s="288"/>
      <c r="O882" s="288"/>
      <c r="P882" s="288"/>
      <c r="Q882" s="288"/>
      <c r="R882" s="257"/>
      <c r="S882" s="258"/>
      <c r="T882" s="255"/>
      <c r="U882" s="255"/>
      <c r="V882" s="259"/>
      <c r="W882" s="286"/>
      <c r="X882" s="286"/>
      <c r="Y882" s="286"/>
    </row>
    <row r="883">
      <c r="A883" s="28"/>
      <c r="B883" s="293"/>
      <c r="C883" s="28"/>
      <c r="D883" s="289"/>
      <c r="E883" s="294"/>
      <c r="F883" s="291"/>
      <c r="G883" s="292"/>
      <c r="H883" s="292"/>
      <c r="I883" s="292"/>
      <c r="J883" s="292"/>
      <c r="K883" s="288"/>
      <c r="L883" s="288"/>
      <c r="M883" s="288"/>
      <c r="N883" s="288"/>
      <c r="O883" s="288"/>
      <c r="P883" s="288"/>
      <c r="Q883" s="288"/>
      <c r="R883" s="257"/>
      <c r="S883" s="258"/>
      <c r="T883" s="255"/>
      <c r="U883" s="255"/>
      <c r="V883" s="259"/>
      <c r="W883" s="286"/>
      <c r="X883" s="286"/>
      <c r="Y883" s="286"/>
    </row>
    <row r="884">
      <c r="A884" s="28"/>
      <c r="B884" s="293"/>
      <c r="C884" s="28"/>
      <c r="D884" s="289"/>
      <c r="E884" s="294"/>
      <c r="F884" s="291"/>
      <c r="G884" s="292"/>
      <c r="H884" s="292"/>
      <c r="I884" s="292"/>
      <c r="J884" s="292"/>
      <c r="K884" s="288"/>
      <c r="L884" s="288"/>
      <c r="M884" s="288"/>
      <c r="N884" s="288"/>
      <c r="O884" s="288"/>
      <c r="P884" s="288"/>
      <c r="Q884" s="288"/>
      <c r="R884" s="257"/>
      <c r="S884" s="258"/>
      <c r="T884" s="255"/>
      <c r="U884" s="255"/>
      <c r="V884" s="259"/>
      <c r="W884" s="286"/>
      <c r="X884" s="286"/>
      <c r="Y884" s="286"/>
    </row>
    <row r="885">
      <c r="A885" s="28"/>
      <c r="B885" s="293"/>
      <c r="C885" s="28"/>
      <c r="D885" s="289"/>
      <c r="E885" s="294"/>
      <c r="F885" s="291"/>
      <c r="G885" s="292"/>
      <c r="H885" s="292"/>
      <c r="I885" s="292"/>
      <c r="J885" s="292"/>
      <c r="K885" s="288"/>
      <c r="L885" s="288"/>
      <c r="M885" s="288"/>
      <c r="N885" s="288"/>
      <c r="O885" s="288"/>
      <c r="P885" s="288"/>
      <c r="Q885" s="288"/>
      <c r="R885" s="257"/>
      <c r="S885" s="258"/>
      <c r="T885" s="255"/>
      <c r="U885" s="255"/>
      <c r="V885" s="259"/>
      <c r="W885" s="286"/>
      <c r="X885" s="286"/>
      <c r="Y885" s="286"/>
    </row>
    <row r="886">
      <c r="A886" s="28"/>
      <c r="B886" s="293"/>
      <c r="C886" s="28"/>
      <c r="D886" s="289"/>
      <c r="E886" s="294"/>
      <c r="F886" s="291"/>
      <c r="G886" s="292"/>
      <c r="H886" s="292"/>
      <c r="I886" s="292"/>
      <c r="J886" s="292"/>
      <c r="K886" s="288"/>
      <c r="L886" s="288"/>
      <c r="M886" s="288"/>
      <c r="N886" s="288"/>
      <c r="O886" s="288"/>
      <c r="P886" s="288"/>
      <c r="Q886" s="288"/>
      <c r="R886" s="257"/>
      <c r="S886" s="258"/>
      <c r="T886" s="255"/>
      <c r="U886" s="255"/>
      <c r="V886" s="259"/>
      <c r="W886" s="286"/>
      <c r="X886" s="286"/>
      <c r="Y886" s="286"/>
    </row>
    <row r="887">
      <c r="A887" s="28"/>
      <c r="B887" s="293"/>
      <c r="C887" s="28"/>
      <c r="D887" s="289"/>
      <c r="E887" s="294"/>
      <c r="F887" s="291"/>
      <c r="G887" s="292"/>
      <c r="H887" s="292"/>
      <c r="I887" s="292"/>
      <c r="J887" s="292"/>
      <c r="K887" s="288"/>
      <c r="L887" s="288"/>
      <c r="M887" s="288"/>
      <c r="N887" s="288"/>
      <c r="O887" s="288"/>
      <c r="P887" s="288"/>
      <c r="Q887" s="288"/>
      <c r="R887" s="257"/>
      <c r="S887" s="258"/>
      <c r="T887" s="255"/>
      <c r="U887" s="255"/>
      <c r="V887" s="259"/>
      <c r="W887" s="286"/>
      <c r="X887" s="286"/>
      <c r="Y887" s="286"/>
    </row>
    <row r="888">
      <c r="A888" s="28"/>
      <c r="B888" s="293"/>
      <c r="C888" s="28"/>
      <c r="D888" s="289"/>
      <c r="E888" s="294"/>
      <c r="F888" s="291"/>
      <c r="G888" s="292"/>
      <c r="H888" s="292"/>
      <c r="I888" s="292"/>
      <c r="J888" s="292"/>
      <c r="K888" s="288"/>
      <c r="L888" s="288"/>
      <c r="M888" s="288"/>
      <c r="N888" s="288"/>
      <c r="O888" s="288"/>
      <c r="P888" s="288"/>
      <c r="Q888" s="288"/>
      <c r="R888" s="257"/>
      <c r="S888" s="258"/>
      <c r="T888" s="255"/>
      <c r="U888" s="255"/>
      <c r="V888" s="259"/>
      <c r="W888" s="286"/>
      <c r="X888" s="286"/>
      <c r="Y888" s="286"/>
    </row>
    <row r="889">
      <c r="A889" s="28"/>
      <c r="B889" s="293"/>
      <c r="C889" s="28"/>
      <c r="D889" s="289"/>
      <c r="E889" s="294"/>
      <c r="F889" s="291"/>
      <c r="G889" s="292"/>
      <c r="H889" s="292"/>
      <c r="I889" s="292"/>
      <c r="J889" s="292"/>
      <c r="K889" s="288"/>
      <c r="L889" s="288"/>
      <c r="M889" s="288"/>
      <c r="N889" s="288"/>
      <c r="O889" s="288"/>
      <c r="P889" s="288"/>
      <c r="Q889" s="288"/>
      <c r="R889" s="257"/>
      <c r="S889" s="258"/>
      <c r="T889" s="255"/>
      <c r="U889" s="255"/>
      <c r="V889" s="259"/>
      <c r="W889" s="286"/>
      <c r="X889" s="286"/>
      <c r="Y889" s="286"/>
    </row>
    <row r="890">
      <c r="A890" s="28"/>
      <c r="B890" s="293"/>
      <c r="C890" s="28"/>
      <c r="D890" s="289"/>
      <c r="E890" s="294"/>
      <c r="F890" s="291"/>
      <c r="G890" s="292"/>
      <c r="H890" s="292"/>
      <c r="I890" s="292"/>
      <c r="J890" s="292"/>
      <c r="K890" s="288"/>
      <c r="L890" s="288"/>
      <c r="M890" s="288"/>
      <c r="N890" s="288"/>
      <c r="O890" s="288"/>
      <c r="P890" s="288"/>
      <c r="Q890" s="288"/>
      <c r="R890" s="257"/>
      <c r="S890" s="258"/>
      <c r="T890" s="255"/>
      <c r="U890" s="255"/>
      <c r="V890" s="259"/>
      <c r="W890" s="286"/>
      <c r="X890" s="286"/>
      <c r="Y890" s="286"/>
    </row>
    <row r="891">
      <c r="A891" s="28"/>
      <c r="B891" s="293"/>
      <c r="C891" s="28"/>
      <c r="D891" s="289"/>
      <c r="E891" s="294"/>
      <c r="F891" s="291"/>
      <c r="G891" s="292"/>
      <c r="H891" s="292"/>
      <c r="I891" s="292"/>
      <c r="J891" s="292"/>
      <c r="K891" s="288"/>
      <c r="L891" s="288"/>
      <c r="M891" s="288"/>
      <c r="N891" s="288"/>
      <c r="O891" s="288"/>
      <c r="P891" s="288"/>
      <c r="Q891" s="288"/>
      <c r="R891" s="257"/>
      <c r="S891" s="258"/>
      <c r="T891" s="255"/>
      <c r="U891" s="255"/>
      <c r="V891" s="259"/>
      <c r="W891" s="286"/>
      <c r="X891" s="286"/>
      <c r="Y891" s="286"/>
    </row>
    <row r="892">
      <c r="A892" s="28"/>
      <c r="B892" s="293"/>
      <c r="C892" s="28"/>
      <c r="D892" s="289"/>
      <c r="E892" s="294"/>
      <c r="F892" s="291"/>
      <c r="G892" s="292"/>
      <c r="H892" s="292"/>
      <c r="I892" s="292"/>
      <c r="J892" s="292"/>
      <c r="K892" s="288"/>
      <c r="L892" s="288"/>
      <c r="M892" s="288"/>
      <c r="N892" s="288"/>
      <c r="O892" s="288"/>
      <c r="P892" s="288"/>
      <c r="Q892" s="288"/>
      <c r="R892" s="257"/>
      <c r="S892" s="258"/>
      <c r="T892" s="255"/>
      <c r="U892" s="255"/>
      <c r="V892" s="259"/>
      <c r="W892" s="286"/>
      <c r="X892" s="286"/>
      <c r="Y892" s="286"/>
    </row>
    <row r="893">
      <c r="A893" s="28"/>
      <c r="B893" s="293"/>
      <c r="C893" s="28"/>
      <c r="D893" s="289"/>
      <c r="E893" s="294"/>
      <c r="F893" s="291"/>
      <c r="G893" s="292"/>
      <c r="H893" s="292"/>
      <c r="I893" s="292"/>
      <c r="J893" s="292"/>
      <c r="K893" s="288"/>
      <c r="L893" s="288"/>
      <c r="M893" s="288"/>
      <c r="N893" s="288"/>
      <c r="O893" s="288"/>
      <c r="P893" s="288"/>
      <c r="Q893" s="288"/>
      <c r="R893" s="257"/>
      <c r="S893" s="258"/>
      <c r="T893" s="255"/>
      <c r="U893" s="255"/>
      <c r="V893" s="259"/>
      <c r="W893" s="286"/>
      <c r="X893" s="286"/>
      <c r="Y893" s="286"/>
    </row>
    <row r="894">
      <c r="A894" s="28"/>
      <c r="B894" s="293"/>
      <c r="C894" s="28"/>
      <c r="D894" s="289"/>
      <c r="E894" s="294"/>
      <c r="F894" s="291"/>
      <c r="G894" s="292"/>
      <c r="H894" s="292"/>
      <c r="I894" s="292"/>
      <c r="J894" s="292"/>
      <c r="K894" s="288"/>
      <c r="L894" s="288"/>
      <c r="M894" s="288"/>
      <c r="N894" s="288"/>
      <c r="O894" s="288"/>
      <c r="P894" s="288"/>
      <c r="Q894" s="288"/>
      <c r="R894" s="257"/>
      <c r="S894" s="258"/>
      <c r="T894" s="255"/>
      <c r="U894" s="255"/>
      <c r="V894" s="259"/>
      <c r="W894" s="286"/>
      <c r="X894" s="286"/>
      <c r="Y894" s="286"/>
    </row>
    <row r="895">
      <c r="A895" s="28"/>
      <c r="B895" s="293"/>
      <c r="C895" s="28"/>
      <c r="D895" s="289"/>
      <c r="E895" s="294"/>
      <c r="F895" s="291"/>
      <c r="G895" s="292"/>
      <c r="H895" s="292"/>
      <c r="I895" s="292"/>
      <c r="J895" s="292"/>
      <c r="K895" s="288"/>
      <c r="L895" s="288"/>
      <c r="M895" s="288"/>
      <c r="N895" s="288"/>
      <c r="O895" s="288"/>
      <c r="P895" s="288"/>
      <c r="Q895" s="288"/>
      <c r="R895" s="257"/>
      <c r="S895" s="258"/>
      <c r="T895" s="255"/>
      <c r="U895" s="255"/>
      <c r="V895" s="259"/>
      <c r="W895" s="286"/>
      <c r="X895" s="286"/>
      <c r="Y895" s="286"/>
    </row>
    <row r="896">
      <c r="A896" s="28"/>
      <c r="B896" s="293"/>
      <c r="C896" s="28"/>
      <c r="D896" s="289"/>
      <c r="E896" s="294"/>
      <c r="F896" s="291"/>
      <c r="G896" s="292"/>
      <c r="H896" s="292"/>
      <c r="I896" s="292"/>
      <c r="J896" s="292"/>
      <c r="K896" s="288"/>
      <c r="L896" s="288"/>
      <c r="M896" s="288"/>
      <c r="N896" s="288"/>
      <c r="O896" s="288"/>
      <c r="P896" s="288"/>
      <c r="Q896" s="288"/>
      <c r="R896" s="257"/>
      <c r="S896" s="258"/>
      <c r="T896" s="255"/>
      <c r="U896" s="255"/>
      <c r="V896" s="259"/>
      <c r="W896" s="286"/>
      <c r="X896" s="286"/>
      <c r="Y896" s="286"/>
    </row>
    <row r="897">
      <c r="A897" s="28"/>
      <c r="B897" s="293"/>
      <c r="C897" s="28"/>
      <c r="D897" s="289"/>
      <c r="E897" s="294"/>
      <c r="F897" s="291"/>
      <c r="G897" s="292"/>
      <c r="H897" s="292"/>
      <c r="I897" s="292"/>
      <c r="J897" s="292"/>
      <c r="K897" s="288"/>
      <c r="L897" s="288"/>
      <c r="M897" s="288"/>
      <c r="N897" s="288"/>
      <c r="O897" s="288"/>
      <c r="P897" s="288"/>
      <c r="Q897" s="288"/>
      <c r="R897" s="257"/>
      <c r="S897" s="258"/>
      <c r="T897" s="255"/>
      <c r="U897" s="255"/>
      <c r="V897" s="259"/>
      <c r="W897" s="286"/>
      <c r="X897" s="286"/>
      <c r="Y897" s="286"/>
    </row>
    <row r="898">
      <c r="A898" s="28"/>
      <c r="B898" s="293"/>
      <c r="C898" s="28"/>
      <c r="D898" s="289"/>
      <c r="E898" s="294"/>
      <c r="F898" s="291"/>
      <c r="G898" s="292"/>
      <c r="H898" s="292"/>
      <c r="I898" s="292"/>
      <c r="J898" s="292"/>
      <c r="K898" s="288"/>
      <c r="L898" s="288"/>
      <c r="M898" s="288"/>
      <c r="N898" s="288"/>
      <c r="O898" s="288"/>
      <c r="P898" s="288"/>
      <c r="Q898" s="288"/>
      <c r="R898" s="257"/>
      <c r="S898" s="258"/>
      <c r="T898" s="255"/>
      <c r="U898" s="255"/>
      <c r="V898" s="259"/>
      <c r="W898" s="286"/>
      <c r="X898" s="286"/>
      <c r="Y898" s="286"/>
    </row>
    <row r="899">
      <c r="A899" s="28"/>
      <c r="B899" s="293"/>
      <c r="C899" s="28"/>
      <c r="D899" s="289"/>
      <c r="E899" s="294"/>
      <c r="F899" s="291"/>
      <c r="G899" s="292"/>
      <c r="H899" s="292"/>
      <c r="I899" s="292"/>
      <c r="J899" s="292"/>
      <c r="K899" s="288"/>
      <c r="L899" s="288"/>
      <c r="M899" s="288"/>
      <c r="N899" s="288"/>
      <c r="O899" s="288"/>
      <c r="P899" s="288"/>
      <c r="Q899" s="288"/>
      <c r="R899" s="257"/>
      <c r="S899" s="258"/>
      <c r="T899" s="255"/>
      <c r="U899" s="255"/>
      <c r="V899" s="259"/>
      <c r="W899" s="286"/>
      <c r="X899" s="286"/>
      <c r="Y899" s="286"/>
    </row>
    <row r="900">
      <c r="A900" s="28"/>
      <c r="B900" s="293"/>
      <c r="C900" s="28"/>
      <c r="D900" s="289"/>
      <c r="E900" s="294"/>
      <c r="F900" s="291"/>
      <c r="G900" s="292"/>
      <c r="H900" s="292"/>
      <c r="I900" s="292"/>
      <c r="J900" s="292"/>
      <c r="K900" s="288"/>
      <c r="L900" s="288"/>
      <c r="M900" s="288"/>
      <c r="N900" s="288"/>
      <c r="O900" s="288"/>
      <c r="P900" s="288"/>
      <c r="Q900" s="288"/>
      <c r="R900" s="257"/>
      <c r="S900" s="258"/>
      <c r="T900" s="255"/>
      <c r="U900" s="255"/>
      <c r="V900" s="259"/>
      <c r="W900" s="286"/>
      <c r="X900" s="286"/>
      <c r="Y900" s="286"/>
    </row>
    <row r="901">
      <c r="A901" s="28"/>
      <c r="B901" s="293"/>
      <c r="C901" s="28"/>
      <c r="D901" s="289"/>
      <c r="E901" s="294"/>
      <c r="F901" s="291"/>
      <c r="G901" s="292"/>
      <c r="H901" s="292"/>
      <c r="I901" s="292"/>
      <c r="J901" s="292"/>
      <c r="K901" s="288"/>
      <c r="L901" s="288"/>
      <c r="M901" s="288"/>
      <c r="N901" s="288"/>
      <c r="O901" s="288"/>
      <c r="P901" s="288"/>
      <c r="Q901" s="288"/>
      <c r="R901" s="257"/>
      <c r="S901" s="258"/>
      <c r="T901" s="255"/>
      <c r="U901" s="255"/>
      <c r="V901" s="259"/>
      <c r="W901" s="286"/>
      <c r="X901" s="286"/>
      <c r="Y901" s="286"/>
    </row>
    <row r="902">
      <c r="A902" s="28"/>
      <c r="B902" s="293"/>
      <c r="C902" s="28"/>
      <c r="D902" s="289"/>
      <c r="E902" s="294"/>
      <c r="F902" s="291"/>
      <c r="G902" s="292"/>
      <c r="H902" s="292"/>
      <c r="I902" s="292"/>
      <c r="J902" s="292"/>
      <c r="K902" s="288"/>
      <c r="L902" s="288"/>
      <c r="M902" s="288"/>
      <c r="N902" s="288"/>
      <c r="O902" s="288"/>
      <c r="P902" s="288"/>
      <c r="Q902" s="288"/>
      <c r="R902" s="257"/>
      <c r="S902" s="258"/>
      <c r="T902" s="255"/>
      <c r="U902" s="255"/>
      <c r="V902" s="259"/>
      <c r="W902" s="286"/>
      <c r="X902" s="286"/>
      <c r="Y902" s="286"/>
    </row>
    <row r="903">
      <c r="A903" s="28"/>
      <c r="B903" s="293"/>
      <c r="C903" s="28"/>
      <c r="D903" s="289"/>
      <c r="E903" s="294"/>
      <c r="F903" s="291"/>
      <c r="G903" s="292"/>
      <c r="H903" s="292"/>
      <c r="I903" s="292"/>
      <c r="J903" s="292"/>
      <c r="K903" s="288"/>
      <c r="L903" s="288"/>
      <c r="M903" s="288"/>
      <c r="N903" s="288"/>
      <c r="O903" s="288"/>
      <c r="P903" s="288"/>
      <c r="Q903" s="288"/>
      <c r="R903" s="257"/>
      <c r="S903" s="258"/>
      <c r="T903" s="255"/>
      <c r="U903" s="255"/>
      <c r="V903" s="259"/>
      <c r="W903" s="286"/>
      <c r="X903" s="286"/>
      <c r="Y903" s="286"/>
    </row>
    <row r="904">
      <c r="A904" s="28"/>
      <c r="B904" s="293"/>
      <c r="C904" s="28"/>
      <c r="D904" s="289"/>
      <c r="E904" s="294"/>
      <c r="F904" s="291"/>
      <c r="G904" s="292"/>
      <c r="H904" s="292"/>
      <c r="I904" s="292"/>
      <c r="J904" s="292"/>
      <c r="K904" s="288"/>
      <c r="L904" s="288"/>
      <c r="M904" s="288"/>
      <c r="N904" s="288"/>
      <c r="O904" s="288"/>
      <c r="P904" s="288"/>
      <c r="Q904" s="288"/>
      <c r="R904" s="257"/>
      <c r="S904" s="258"/>
      <c r="T904" s="255"/>
      <c r="U904" s="255"/>
      <c r="V904" s="259"/>
      <c r="W904" s="286"/>
      <c r="X904" s="286"/>
      <c r="Y904" s="286"/>
    </row>
    <row r="905">
      <c r="A905" s="28"/>
      <c r="B905" s="293"/>
      <c r="C905" s="28"/>
      <c r="D905" s="289"/>
      <c r="E905" s="294"/>
      <c r="F905" s="291"/>
      <c r="G905" s="292"/>
      <c r="H905" s="292"/>
      <c r="I905" s="292"/>
      <c r="J905" s="292"/>
      <c r="K905" s="288"/>
      <c r="L905" s="288"/>
      <c r="M905" s="288"/>
      <c r="N905" s="288"/>
      <c r="O905" s="288"/>
      <c r="P905" s="288"/>
      <c r="Q905" s="288"/>
      <c r="R905" s="257"/>
      <c r="S905" s="258"/>
      <c r="T905" s="255"/>
      <c r="U905" s="255"/>
      <c r="V905" s="259"/>
      <c r="W905" s="286"/>
      <c r="X905" s="286"/>
      <c r="Y905" s="286"/>
    </row>
    <row r="906">
      <c r="A906" s="28"/>
      <c r="B906" s="293"/>
      <c r="C906" s="28"/>
      <c r="D906" s="289"/>
      <c r="E906" s="294"/>
      <c r="F906" s="291"/>
      <c r="G906" s="292"/>
      <c r="H906" s="292"/>
      <c r="I906" s="292"/>
      <c r="J906" s="292"/>
      <c r="K906" s="288"/>
      <c r="L906" s="288"/>
      <c r="M906" s="288"/>
      <c r="N906" s="288"/>
      <c r="O906" s="288"/>
      <c r="P906" s="288"/>
      <c r="Q906" s="288"/>
      <c r="R906" s="257"/>
      <c r="S906" s="258"/>
      <c r="T906" s="255"/>
      <c r="U906" s="255"/>
      <c r="V906" s="259"/>
      <c r="W906" s="286"/>
      <c r="X906" s="286"/>
      <c r="Y906" s="286"/>
    </row>
    <row r="907">
      <c r="A907" s="28"/>
      <c r="B907" s="293"/>
      <c r="C907" s="28"/>
      <c r="D907" s="289"/>
      <c r="E907" s="294"/>
      <c r="F907" s="291"/>
      <c r="G907" s="292"/>
      <c r="H907" s="292"/>
      <c r="I907" s="292"/>
      <c r="J907" s="292"/>
      <c r="K907" s="288"/>
      <c r="L907" s="288"/>
      <c r="M907" s="288"/>
      <c r="N907" s="288"/>
      <c r="O907" s="288"/>
      <c r="P907" s="288"/>
      <c r="Q907" s="288"/>
      <c r="R907" s="257"/>
      <c r="S907" s="258"/>
      <c r="T907" s="255"/>
      <c r="U907" s="255"/>
      <c r="V907" s="259"/>
      <c r="W907" s="286"/>
      <c r="X907" s="286"/>
      <c r="Y907" s="286"/>
    </row>
    <row r="908">
      <c r="A908" s="28"/>
      <c r="B908" s="293"/>
      <c r="C908" s="28"/>
      <c r="D908" s="289"/>
      <c r="E908" s="294"/>
      <c r="F908" s="291"/>
      <c r="G908" s="292"/>
      <c r="H908" s="292"/>
      <c r="I908" s="292"/>
      <c r="J908" s="292"/>
      <c r="K908" s="288"/>
      <c r="L908" s="288"/>
      <c r="M908" s="288"/>
      <c r="N908" s="288"/>
      <c r="O908" s="288"/>
      <c r="P908" s="288"/>
      <c r="Q908" s="288"/>
      <c r="R908" s="257"/>
      <c r="S908" s="258"/>
      <c r="T908" s="255"/>
      <c r="U908" s="255"/>
      <c r="V908" s="259"/>
      <c r="W908" s="286"/>
      <c r="X908" s="286"/>
      <c r="Y908" s="286"/>
    </row>
    <row r="909">
      <c r="A909" s="28"/>
      <c r="B909" s="293"/>
      <c r="C909" s="28"/>
      <c r="D909" s="289"/>
      <c r="E909" s="294"/>
      <c r="F909" s="291"/>
      <c r="G909" s="292"/>
      <c r="H909" s="292"/>
      <c r="I909" s="292"/>
      <c r="J909" s="292"/>
      <c r="K909" s="288"/>
      <c r="L909" s="288"/>
      <c r="M909" s="288"/>
      <c r="N909" s="288"/>
      <c r="O909" s="288"/>
      <c r="P909" s="288"/>
      <c r="Q909" s="288"/>
      <c r="R909" s="257"/>
      <c r="S909" s="258"/>
      <c r="T909" s="255"/>
      <c r="U909" s="255"/>
      <c r="V909" s="259"/>
      <c r="W909" s="286"/>
      <c r="X909" s="286"/>
      <c r="Y909" s="286"/>
    </row>
    <row r="910">
      <c r="A910" s="28"/>
      <c r="B910" s="293"/>
      <c r="C910" s="28"/>
      <c r="D910" s="289"/>
      <c r="E910" s="294"/>
      <c r="F910" s="291"/>
      <c r="G910" s="292"/>
      <c r="H910" s="292"/>
      <c r="I910" s="292"/>
      <c r="J910" s="292"/>
      <c r="K910" s="288"/>
      <c r="L910" s="288"/>
      <c r="M910" s="288"/>
      <c r="N910" s="288"/>
      <c r="O910" s="288"/>
      <c r="P910" s="288"/>
      <c r="Q910" s="288"/>
      <c r="R910" s="257"/>
      <c r="S910" s="258"/>
      <c r="T910" s="255"/>
      <c r="U910" s="255"/>
      <c r="V910" s="259"/>
      <c r="W910" s="286"/>
      <c r="X910" s="286"/>
      <c r="Y910" s="286"/>
    </row>
    <row r="911">
      <c r="A911" s="28"/>
      <c r="B911" s="293"/>
      <c r="C911" s="28"/>
      <c r="D911" s="289"/>
      <c r="E911" s="294"/>
      <c r="F911" s="291"/>
      <c r="G911" s="292"/>
      <c r="H911" s="292"/>
      <c r="I911" s="292"/>
      <c r="J911" s="292"/>
      <c r="K911" s="288"/>
      <c r="L911" s="288"/>
      <c r="M911" s="288"/>
      <c r="N911" s="288"/>
      <c r="O911" s="288"/>
      <c r="P911" s="288"/>
      <c r="Q911" s="288"/>
      <c r="R911" s="257"/>
      <c r="S911" s="258"/>
      <c r="T911" s="255"/>
      <c r="U911" s="255"/>
      <c r="V911" s="259"/>
      <c r="W911" s="286"/>
      <c r="X911" s="286"/>
      <c r="Y911" s="286"/>
    </row>
    <row r="912">
      <c r="A912" s="28"/>
      <c r="B912" s="293"/>
      <c r="C912" s="28"/>
      <c r="D912" s="289"/>
      <c r="E912" s="294"/>
      <c r="F912" s="291"/>
      <c r="G912" s="292"/>
      <c r="H912" s="292"/>
      <c r="I912" s="292"/>
      <c r="J912" s="292"/>
      <c r="K912" s="288"/>
      <c r="L912" s="288"/>
      <c r="M912" s="288"/>
      <c r="N912" s="288"/>
      <c r="O912" s="288"/>
      <c r="P912" s="288"/>
      <c r="Q912" s="288"/>
      <c r="R912" s="257"/>
      <c r="S912" s="258"/>
      <c r="T912" s="255"/>
      <c r="U912" s="255"/>
      <c r="V912" s="259"/>
      <c r="W912" s="286"/>
      <c r="X912" s="286"/>
      <c r="Y912" s="286"/>
    </row>
    <row r="913">
      <c r="A913" s="28"/>
      <c r="B913" s="293"/>
      <c r="C913" s="28"/>
      <c r="D913" s="289"/>
      <c r="E913" s="294"/>
      <c r="F913" s="291"/>
      <c r="G913" s="292"/>
      <c r="H913" s="292"/>
      <c r="I913" s="292"/>
      <c r="J913" s="292"/>
      <c r="K913" s="288"/>
      <c r="L913" s="288"/>
      <c r="M913" s="288"/>
      <c r="N913" s="288"/>
      <c r="O913" s="288"/>
      <c r="P913" s="288"/>
      <c r="Q913" s="288"/>
      <c r="R913" s="257"/>
      <c r="S913" s="258"/>
      <c r="T913" s="255"/>
      <c r="U913" s="255"/>
      <c r="V913" s="259"/>
      <c r="W913" s="286"/>
      <c r="X913" s="286"/>
      <c r="Y913" s="286"/>
    </row>
    <row r="914">
      <c r="A914" s="28"/>
      <c r="B914" s="293"/>
      <c r="C914" s="28"/>
      <c r="D914" s="289"/>
      <c r="E914" s="294"/>
      <c r="F914" s="291"/>
      <c r="G914" s="292"/>
      <c r="H914" s="292"/>
      <c r="I914" s="292"/>
      <c r="J914" s="292"/>
      <c r="K914" s="288"/>
      <c r="L914" s="288"/>
      <c r="M914" s="288"/>
      <c r="N914" s="288"/>
      <c r="O914" s="288"/>
      <c r="P914" s="288"/>
      <c r="Q914" s="288"/>
      <c r="R914" s="257"/>
      <c r="S914" s="258"/>
      <c r="T914" s="255"/>
      <c r="U914" s="255"/>
      <c r="V914" s="259"/>
      <c r="W914" s="286"/>
      <c r="X914" s="286"/>
      <c r="Y914" s="286"/>
    </row>
    <row r="915">
      <c r="A915" s="28"/>
      <c r="B915" s="293"/>
      <c r="C915" s="28"/>
      <c r="D915" s="289"/>
      <c r="E915" s="294"/>
      <c r="F915" s="291"/>
      <c r="G915" s="292"/>
      <c r="H915" s="292"/>
      <c r="I915" s="292"/>
      <c r="J915" s="292"/>
      <c r="K915" s="288"/>
      <c r="L915" s="288"/>
      <c r="M915" s="288"/>
      <c r="N915" s="288"/>
      <c r="O915" s="288"/>
      <c r="P915" s="288"/>
      <c r="Q915" s="288"/>
      <c r="R915" s="257"/>
      <c r="S915" s="258"/>
      <c r="T915" s="255"/>
      <c r="U915" s="255"/>
      <c r="V915" s="259"/>
      <c r="W915" s="286"/>
      <c r="X915" s="286"/>
      <c r="Y915" s="286"/>
    </row>
    <row r="916">
      <c r="A916" s="28"/>
      <c r="B916" s="293"/>
      <c r="C916" s="28"/>
      <c r="D916" s="289"/>
      <c r="E916" s="294"/>
      <c r="F916" s="291"/>
      <c r="G916" s="292"/>
      <c r="H916" s="292"/>
      <c r="I916" s="292"/>
      <c r="J916" s="292"/>
      <c r="K916" s="288"/>
      <c r="L916" s="288"/>
      <c r="M916" s="288"/>
      <c r="N916" s="288"/>
      <c r="O916" s="288"/>
      <c r="P916" s="288"/>
      <c r="Q916" s="288"/>
      <c r="R916" s="257"/>
      <c r="S916" s="258"/>
      <c r="T916" s="255"/>
      <c r="U916" s="255"/>
      <c r="V916" s="259"/>
      <c r="W916" s="286"/>
      <c r="X916" s="286"/>
      <c r="Y916" s="286"/>
    </row>
    <row r="917">
      <c r="A917" s="28"/>
      <c r="B917" s="293"/>
      <c r="C917" s="28"/>
      <c r="D917" s="289"/>
      <c r="E917" s="294"/>
      <c r="F917" s="291"/>
      <c r="G917" s="292"/>
      <c r="H917" s="292"/>
      <c r="I917" s="292"/>
      <c r="J917" s="292"/>
      <c r="K917" s="288"/>
      <c r="L917" s="288"/>
      <c r="M917" s="288"/>
      <c r="N917" s="288"/>
      <c r="O917" s="288"/>
      <c r="P917" s="288"/>
      <c r="Q917" s="288"/>
      <c r="R917" s="257"/>
      <c r="S917" s="258"/>
      <c r="T917" s="255"/>
      <c r="U917" s="255"/>
      <c r="V917" s="259"/>
      <c r="W917" s="286"/>
      <c r="X917" s="286"/>
      <c r="Y917" s="286"/>
    </row>
    <row r="918">
      <c r="A918" s="28"/>
      <c r="B918" s="293"/>
      <c r="C918" s="28"/>
      <c r="D918" s="289"/>
      <c r="E918" s="294"/>
      <c r="F918" s="291"/>
      <c r="G918" s="292"/>
      <c r="H918" s="292"/>
      <c r="I918" s="292"/>
      <c r="J918" s="292"/>
      <c r="K918" s="288"/>
      <c r="L918" s="288"/>
      <c r="M918" s="288"/>
      <c r="N918" s="288"/>
      <c r="O918" s="288"/>
      <c r="P918" s="288"/>
      <c r="Q918" s="288"/>
      <c r="R918" s="257"/>
      <c r="S918" s="258"/>
      <c r="T918" s="255"/>
      <c r="U918" s="255"/>
      <c r="V918" s="259"/>
      <c r="W918" s="286"/>
      <c r="X918" s="286"/>
      <c r="Y918" s="286"/>
    </row>
    <row r="919">
      <c r="A919" s="28"/>
      <c r="B919" s="293"/>
      <c r="C919" s="28"/>
      <c r="D919" s="289"/>
      <c r="E919" s="294"/>
      <c r="F919" s="291"/>
      <c r="G919" s="292"/>
      <c r="H919" s="292"/>
      <c r="I919" s="292"/>
      <c r="J919" s="292"/>
      <c r="K919" s="288"/>
      <c r="L919" s="288"/>
      <c r="M919" s="288"/>
      <c r="N919" s="288"/>
      <c r="O919" s="288"/>
      <c r="P919" s="288"/>
      <c r="Q919" s="288"/>
      <c r="R919" s="257"/>
      <c r="S919" s="258"/>
      <c r="T919" s="255"/>
      <c r="U919" s="255"/>
      <c r="V919" s="259"/>
      <c r="W919" s="286"/>
      <c r="X919" s="286"/>
      <c r="Y919" s="286"/>
    </row>
    <row r="920">
      <c r="A920" s="28"/>
      <c r="B920" s="293"/>
      <c r="C920" s="28"/>
      <c r="D920" s="289"/>
      <c r="E920" s="294"/>
      <c r="F920" s="291"/>
      <c r="G920" s="292"/>
      <c r="H920" s="292"/>
      <c r="I920" s="292"/>
      <c r="J920" s="292"/>
      <c r="K920" s="288"/>
      <c r="L920" s="288"/>
      <c r="M920" s="288"/>
      <c r="N920" s="288"/>
      <c r="O920" s="288"/>
      <c r="P920" s="288"/>
      <c r="Q920" s="288"/>
      <c r="R920" s="257"/>
      <c r="S920" s="258"/>
      <c r="T920" s="255"/>
      <c r="U920" s="255"/>
      <c r="V920" s="259"/>
      <c r="W920" s="286"/>
      <c r="X920" s="286"/>
      <c r="Y920" s="286"/>
    </row>
    <row r="921">
      <c r="A921" s="28"/>
      <c r="B921" s="293"/>
      <c r="C921" s="28"/>
      <c r="D921" s="289"/>
      <c r="E921" s="294"/>
      <c r="F921" s="291"/>
      <c r="G921" s="292"/>
      <c r="H921" s="292"/>
      <c r="I921" s="292"/>
      <c r="J921" s="292"/>
      <c r="K921" s="288"/>
      <c r="L921" s="288"/>
      <c r="M921" s="288"/>
      <c r="N921" s="288"/>
      <c r="O921" s="288"/>
      <c r="P921" s="288"/>
      <c r="Q921" s="288"/>
      <c r="R921" s="257"/>
      <c r="S921" s="258"/>
      <c r="T921" s="255"/>
      <c r="U921" s="255"/>
      <c r="V921" s="259"/>
      <c r="W921" s="286"/>
      <c r="X921" s="286"/>
      <c r="Y921" s="286"/>
    </row>
    <row r="922">
      <c r="A922" s="28"/>
      <c r="B922" s="293"/>
      <c r="C922" s="28"/>
      <c r="D922" s="289"/>
      <c r="E922" s="294"/>
      <c r="F922" s="291"/>
      <c r="G922" s="292"/>
      <c r="H922" s="292"/>
      <c r="I922" s="292"/>
      <c r="J922" s="292"/>
      <c r="K922" s="288"/>
      <c r="L922" s="288"/>
      <c r="M922" s="288"/>
      <c r="N922" s="288"/>
      <c r="O922" s="288"/>
      <c r="P922" s="288"/>
      <c r="Q922" s="288"/>
      <c r="R922" s="257"/>
      <c r="S922" s="258"/>
      <c r="T922" s="255"/>
      <c r="U922" s="255"/>
      <c r="V922" s="259"/>
      <c r="W922" s="286"/>
      <c r="X922" s="286"/>
      <c r="Y922" s="286"/>
    </row>
    <row r="923">
      <c r="A923" s="28"/>
      <c r="B923" s="293"/>
      <c r="C923" s="28"/>
      <c r="D923" s="289"/>
      <c r="E923" s="294"/>
      <c r="F923" s="291"/>
      <c r="G923" s="292"/>
      <c r="H923" s="292"/>
      <c r="I923" s="292"/>
      <c r="J923" s="292"/>
      <c r="K923" s="288"/>
      <c r="L923" s="288"/>
      <c r="M923" s="288"/>
      <c r="N923" s="288"/>
      <c r="O923" s="288"/>
      <c r="P923" s="288"/>
      <c r="Q923" s="288"/>
      <c r="R923" s="257"/>
      <c r="S923" s="258"/>
      <c r="T923" s="255"/>
      <c r="U923" s="255"/>
      <c r="V923" s="259"/>
      <c r="W923" s="286"/>
      <c r="X923" s="286"/>
      <c r="Y923" s="286"/>
    </row>
    <row r="924">
      <c r="A924" s="28"/>
      <c r="B924" s="293"/>
      <c r="C924" s="28"/>
      <c r="D924" s="289"/>
      <c r="E924" s="294"/>
      <c r="F924" s="291"/>
      <c r="G924" s="292"/>
      <c r="H924" s="292"/>
      <c r="I924" s="292"/>
      <c r="J924" s="292"/>
      <c r="K924" s="288"/>
      <c r="L924" s="288"/>
      <c r="M924" s="288"/>
      <c r="N924" s="288"/>
      <c r="O924" s="288"/>
      <c r="P924" s="288"/>
      <c r="Q924" s="288"/>
      <c r="R924" s="257"/>
      <c r="S924" s="258"/>
      <c r="T924" s="255"/>
      <c r="U924" s="255"/>
      <c r="V924" s="259"/>
      <c r="W924" s="286"/>
      <c r="X924" s="286"/>
      <c r="Y924" s="286"/>
    </row>
    <row r="925">
      <c r="A925" s="28"/>
      <c r="B925" s="293"/>
      <c r="C925" s="28"/>
      <c r="D925" s="289"/>
      <c r="E925" s="294"/>
      <c r="F925" s="291"/>
      <c r="G925" s="292"/>
      <c r="H925" s="292"/>
      <c r="I925" s="292"/>
      <c r="J925" s="292"/>
      <c r="K925" s="288"/>
      <c r="L925" s="288"/>
      <c r="M925" s="288"/>
      <c r="N925" s="288"/>
      <c r="O925" s="288"/>
      <c r="P925" s="288"/>
      <c r="Q925" s="288"/>
      <c r="R925" s="257"/>
      <c r="S925" s="258"/>
      <c r="T925" s="255"/>
      <c r="U925" s="255"/>
      <c r="V925" s="259"/>
      <c r="W925" s="286"/>
      <c r="X925" s="286"/>
      <c r="Y925" s="286"/>
    </row>
    <row r="926">
      <c r="A926" s="28"/>
      <c r="B926" s="293"/>
      <c r="C926" s="28"/>
      <c r="D926" s="289"/>
      <c r="E926" s="294"/>
      <c r="F926" s="291"/>
      <c r="G926" s="292"/>
      <c r="H926" s="292"/>
      <c r="I926" s="292"/>
      <c r="J926" s="292"/>
      <c r="K926" s="288"/>
      <c r="L926" s="288"/>
      <c r="M926" s="288"/>
      <c r="N926" s="288"/>
      <c r="O926" s="288"/>
      <c r="P926" s="288"/>
      <c r="Q926" s="288"/>
      <c r="R926" s="257"/>
      <c r="S926" s="258"/>
      <c r="T926" s="255"/>
      <c r="U926" s="255"/>
      <c r="V926" s="259"/>
      <c r="W926" s="286"/>
      <c r="X926" s="286"/>
      <c r="Y926" s="286"/>
    </row>
    <row r="927">
      <c r="A927" s="28"/>
      <c r="B927" s="293"/>
      <c r="C927" s="28"/>
      <c r="D927" s="289"/>
      <c r="E927" s="294"/>
      <c r="F927" s="291"/>
      <c r="G927" s="292"/>
      <c r="H927" s="292"/>
      <c r="I927" s="292"/>
      <c r="J927" s="292"/>
      <c r="K927" s="288"/>
      <c r="L927" s="288"/>
      <c r="M927" s="288"/>
      <c r="N927" s="288"/>
      <c r="O927" s="288"/>
      <c r="P927" s="288"/>
      <c r="Q927" s="288"/>
      <c r="R927" s="257"/>
      <c r="S927" s="258"/>
      <c r="T927" s="255"/>
      <c r="U927" s="255"/>
      <c r="V927" s="259"/>
      <c r="W927" s="286"/>
      <c r="X927" s="286"/>
      <c r="Y927" s="286"/>
    </row>
    <row r="928">
      <c r="A928" s="28"/>
      <c r="B928" s="293"/>
      <c r="C928" s="28"/>
      <c r="D928" s="289"/>
      <c r="E928" s="294"/>
      <c r="F928" s="291"/>
      <c r="G928" s="292"/>
      <c r="H928" s="292"/>
      <c r="I928" s="292"/>
      <c r="J928" s="292"/>
      <c r="K928" s="288"/>
      <c r="L928" s="288"/>
      <c r="M928" s="288"/>
      <c r="N928" s="288"/>
      <c r="O928" s="288"/>
      <c r="P928" s="288"/>
      <c r="Q928" s="288"/>
      <c r="R928" s="257"/>
      <c r="S928" s="258"/>
      <c r="T928" s="255"/>
      <c r="U928" s="255"/>
      <c r="V928" s="259"/>
      <c r="W928" s="286"/>
      <c r="X928" s="286"/>
      <c r="Y928" s="286"/>
    </row>
    <row r="929">
      <c r="A929" s="28"/>
      <c r="B929" s="293"/>
      <c r="C929" s="28"/>
      <c r="D929" s="289"/>
      <c r="E929" s="294"/>
      <c r="F929" s="291"/>
      <c r="G929" s="292"/>
      <c r="H929" s="292"/>
      <c r="I929" s="292"/>
      <c r="J929" s="292"/>
      <c r="K929" s="288"/>
      <c r="L929" s="288"/>
      <c r="M929" s="288"/>
      <c r="N929" s="288"/>
      <c r="O929" s="288"/>
      <c r="P929" s="288"/>
      <c r="Q929" s="288"/>
      <c r="R929" s="257"/>
      <c r="S929" s="258"/>
      <c r="T929" s="255"/>
      <c r="U929" s="255"/>
      <c r="V929" s="259"/>
      <c r="W929" s="286"/>
      <c r="X929" s="286"/>
      <c r="Y929" s="286"/>
    </row>
    <row r="930">
      <c r="A930" s="28"/>
      <c r="B930" s="293"/>
      <c r="C930" s="28"/>
      <c r="D930" s="289"/>
      <c r="E930" s="294"/>
      <c r="F930" s="291"/>
      <c r="G930" s="292"/>
      <c r="H930" s="292"/>
      <c r="I930" s="292"/>
      <c r="J930" s="292"/>
      <c r="K930" s="288"/>
      <c r="L930" s="288"/>
      <c r="M930" s="288"/>
      <c r="N930" s="288"/>
      <c r="O930" s="288"/>
      <c r="P930" s="288"/>
      <c r="Q930" s="288"/>
      <c r="R930" s="257"/>
      <c r="S930" s="258"/>
      <c r="T930" s="255"/>
      <c r="U930" s="255"/>
      <c r="V930" s="259"/>
      <c r="W930" s="286"/>
      <c r="X930" s="286"/>
      <c r="Y930" s="286"/>
    </row>
    <row r="931">
      <c r="A931" s="28"/>
      <c r="B931" s="293"/>
      <c r="C931" s="28"/>
      <c r="D931" s="289"/>
      <c r="E931" s="294"/>
      <c r="F931" s="291"/>
      <c r="G931" s="292"/>
      <c r="H931" s="292"/>
      <c r="I931" s="292"/>
      <c r="J931" s="292"/>
      <c r="K931" s="288"/>
      <c r="L931" s="288"/>
      <c r="M931" s="288"/>
      <c r="N931" s="288"/>
      <c r="O931" s="288"/>
      <c r="P931" s="288"/>
      <c r="Q931" s="288"/>
      <c r="R931" s="257"/>
      <c r="S931" s="258"/>
      <c r="T931" s="255"/>
      <c r="U931" s="255"/>
      <c r="V931" s="259"/>
      <c r="W931" s="286"/>
      <c r="X931" s="286"/>
      <c r="Y931" s="286"/>
    </row>
    <row r="932">
      <c r="A932" s="28"/>
      <c r="B932" s="293"/>
      <c r="C932" s="28"/>
      <c r="D932" s="289"/>
      <c r="E932" s="294"/>
      <c r="F932" s="291"/>
      <c r="G932" s="292"/>
      <c r="H932" s="292"/>
      <c r="I932" s="292"/>
      <c r="J932" s="292"/>
      <c r="K932" s="288"/>
      <c r="L932" s="288"/>
      <c r="M932" s="288"/>
      <c r="N932" s="288"/>
      <c r="O932" s="288"/>
      <c r="P932" s="288"/>
      <c r="Q932" s="288"/>
      <c r="R932" s="257"/>
      <c r="S932" s="258"/>
      <c r="T932" s="255"/>
      <c r="U932" s="255"/>
      <c r="V932" s="259"/>
      <c r="W932" s="286"/>
      <c r="X932" s="286"/>
      <c r="Y932" s="286"/>
    </row>
    <row r="933">
      <c r="A933" s="28"/>
      <c r="B933" s="293"/>
      <c r="C933" s="28"/>
      <c r="D933" s="289"/>
      <c r="E933" s="294"/>
      <c r="F933" s="291"/>
      <c r="G933" s="292"/>
      <c r="H933" s="292"/>
      <c r="I933" s="292"/>
      <c r="J933" s="292"/>
      <c r="K933" s="288"/>
      <c r="L933" s="288"/>
      <c r="M933" s="288"/>
      <c r="N933" s="288"/>
      <c r="O933" s="288"/>
      <c r="P933" s="288"/>
      <c r="Q933" s="288"/>
      <c r="R933" s="257"/>
      <c r="S933" s="258"/>
      <c r="T933" s="255"/>
      <c r="U933" s="255"/>
      <c r="V933" s="259"/>
      <c r="W933" s="286"/>
      <c r="X933" s="286"/>
      <c r="Y933" s="286"/>
    </row>
    <row r="934">
      <c r="A934" s="28"/>
      <c r="B934" s="293"/>
      <c r="C934" s="28"/>
      <c r="D934" s="289"/>
      <c r="E934" s="294"/>
      <c r="F934" s="291"/>
      <c r="G934" s="292"/>
      <c r="H934" s="292"/>
      <c r="I934" s="292"/>
      <c r="J934" s="292"/>
      <c r="K934" s="288"/>
      <c r="L934" s="288"/>
      <c r="M934" s="288"/>
      <c r="N934" s="288"/>
      <c r="O934" s="288"/>
      <c r="P934" s="288"/>
      <c r="Q934" s="288"/>
      <c r="R934" s="257"/>
      <c r="S934" s="258"/>
      <c r="T934" s="255"/>
      <c r="U934" s="255"/>
      <c r="V934" s="259"/>
      <c r="W934" s="286"/>
      <c r="X934" s="286"/>
      <c r="Y934" s="286"/>
    </row>
    <row r="935">
      <c r="A935" s="28"/>
      <c r="B935" s="293"/>
      <c r="C935" s="28"/>
      <c r="D935" s="289"/>
      <c r="E935" s="294"/>
      <c r="F935" s="291"/>
      <c r="G935" s="292"/>
      <c r="H935" s="292"/>
      <c r="I935" s="292"/>
      <c r="J935" s="292"/>
      <c r="K935" s="288"/>
      <c r="L935" s="288"/>
      <c r="M935" s="288"/>
      <c r="N935" s="288"/>
      <c r="O935" s="288"/>
      <c r="P935" s="288"/>
      <c r="Q935" s="288"/>
      <c r="R935" s="257"/>
      <c r="S935" s="258"/>
      <c r="T935" s="255"/>
      <c r="U935" s="255"/>
      <c r="V935" s="259"/>
      <c r="W935" s="286"/>
      <c r="X935" s="286"/>
      <c r="Y935" s="286"/>
    </row>
    <row r="936">
      <c r="A936" s="28"/>
      <c r="B936" s="293"/>
      <c r="C936" s="28"/>
      <c r="D936" s="289"/>
      <c r="E936" s="294"/>
      <c r="F936" s="291"/>
      <c r="G936" s="292"/>
      <c r="H936" s="292"/>
      <c r="I936" s="292"/>
      <c r="J936" s="292"/>
      <c r="K936" s="288"/>
      <c r="L936" s="288"/>
      <c r="M936" s="288"/>
      <c r="N936" s="288"/>
      <c r="O936" s="288"/>
      <c r="P936" s="288"/>
      <c r="Q936" s="288"/>
      <c r="R936" s="257"/>
      <c r="S936" s="258"/>
      <c r="T936" s="255"/>
      <c r="U936" s="255"/>
      <c r="V936" s="259"/>
      <c r="W936" s="286"/>
      <c r="X936" s="286"/>
      <c r="Y936" s="286"/>
    </row>
    <row r="937">
      <c r="A937" s="28"/>
      <c r="B937" s="293"/>
      <c r="C937" s="28"/>
      <c r="D937" s="289"/>
      <c r="E937" s="294"/>
      <c r="F937" s="291"/>
      <c r="G937" s="292"/>
      <c r="H937" s="292"/>
      <c r="I937" s="292"/>
      <c r="J937" s="292"/>
      <c r="K937" s="288"/>
      <c r="L937" s="288"/>
      <c r="M937" s="288"/>
      <c r="N937" s="288"/>
      <c r="O937" s="288"/>
      <c r="P937" s="288"/>
      <c r="Q937" s="288"/>
      <c r="R937" s="257"/>
      <c r="S937" s="258"/>
      <c r="T937" s="255"/>
      <c r="U937" s="255"/>
      <c r="V937" s="259"/>
      <c r="W937" s="286"/>
      <c r="X937" s="286"/>
      <c r="Y937" s="286"/>
    </row>
    <row r="938">
      <c r="A938" s="28"/>
      <c r="B938" s="293"/>
      <c r="C938" s="28"/>
      <c r="D938" s="289"/>
      <c r="E938" s="294"/>
      <c r="F938" s="291"/>
      <c r="G938" s="292"/>
      <c r="H938" s="292"/>
      <c r="I938" s="292"/>
      <c r="J938" s="292"/>
      <c r="K938" s="288"/>
      <c r="L938" s="288"/>
      <c r="M938" s="288"/>
      <c r="N938" s="288"/>
      <c r="O938" s="288"/>
      <c r="P938" s="288"/>
      <c r="Q938" s="288"/>
      <c r="R938" s="257"/>
      <c r="S938" s="258"/>
      <c r="T938" s="255"/>
      <c r="U938" s="255"/>
      <c r="V938" s="259"/>
      <c r="W938" s="286"/>
      <c r="X938" s="286"/>
      <c r="Y938" s="286"/>
    </row>
    <row r="939">
      <c r="A939" s="28"/>
      <c r="B939" s="293"/>
      <c r="C939" s="28"/>
      <c r="D939" s="289"/>
      <c r="E939" s="294"/>
      <c r="F939" s="291"/>
      <c r="G939" s="292"/>
      <c r="H939" s="292"/>
      <c r="I939" s="292"/>
      <c r="J939" s="292"/>
      <c r="K939" s="288"/>
      <c r="L939" s="288"/>
      <c r="M939" s="288"/>
      <c r="N939" s="288"/>
      <c r="O939" s="288"/>
      <c r="P939" s="288"/>
      <c r="Q939" s="288"/>
      <c r="R939" s="257"/>
      <c r="S939" s="258"/>
      <c r="T939" s="255"/>
      <c r="U939" s="255"/>
      <c r="V939" s="259"/>
      <c r="W939" s="286"/>
      <c r="X939" s="286"/>
      <c r="Y939" s="286"/>
    </row>
    <row r="940">
      <c r="A940" s="28"/>
      <c r="B940" s="293"/>
      <c r="C940" s="28"/>
      <c r="D940" s="289"/>
      <c r="E940" s="294"/>
      <c r="F940" s="291"/>
      <c r="G940" s="292"/>
      <c r="H940" s="292"/>
      <c r="I940" s="292"/>
      <c r="J940" s="292"/>
      <c r="K940" s="288"/>
      <c r="L940" s="288"/>
      <c r="M940" s="288"/>
      <c r="N940" s="288"/>
      <c r="O940" s="288"/>
      <c r="P940" s="288"/>
      <c r="Q940" s="288"/>
      <c r="R940" s="257"/>
      <c r="S940" s="258"/>
      <c r="T940" s="255"/>
      <c r="U940" s="255"/>
      <c r="V940" s="259"/>
      <c r="W940" s="286"/>
      <c r="X940" s="286"/>
      <c r="Y940" s="286"/>
    </row>
    <row r="941">
      <c r="A941" s="28"/>
      <c r="B941" s="293"/>
      <c r="C941" s="28"/>
      <c r="D941" s="289"/>
      <c r="E941" s="294"/>
      <c r="F941" s="291"/>
      <c r="G941" s="292"/>
      <c r="H941" s="292"/>
      <c r="I941" s="292"/>
      <c r="J941" s="292"/>
      <c r="K941" s="288"/>
      <c r="L941" s="288"/>
      <c r="M941" s="288"/>
      <c r="N941" s="288"/>
      <c r="O941" s="288"/>
      <c r="P941" s="288"/>
      <c r="Q941" s="288"/>
      <c r="R941" s="257"/>
      <c r="S941" s="258"/>
      <c r="T941" s="255"/>
      <c r="U941" s="255"/>
      <c r="V941" s="259"/>
      <c r="W941" s="286"/>
      <c r="X941" s="286"/>
      <c r="Y941" s="286"/>
    </row>
    <row r="942">
      <c r="A942" s="28"/>
      <c r="B942" s="293"/>
      <c r="C942" s="28"/>
      <c r="D942" s="289"/>
      <c r="E942" s="294"/>
      <c r="F942" s="291"/>
      <c r="G942" s="292"/>
      <c r="H942" s="292"/>
      <c r="I942" s="292"/>
      <c r="J942" s="292"/>
      <c r="K942" s="288"/>
      <c r="L942" s="288"/>
      <c r="M942" s="288"/>
      <c r="N942" s="288"/>
      <c r="O942" s="288"/>
      <c r="P942" s="288"/>
      <c r="Q942" s="288"/>
      <c r="R942" s="257"/>
      <c r="S942" s="258"/>
      <c r="T942" s="255"/>
      <c r="U942" s="255"/>
      <c r="V942" s="259"/>
      <c r="W942" s="286"/>
      <c r="X942" s="286"/>
      <c r="Y942" s="286"/>
    </row>
    <row r="943">
      <c r="A943" s="28"/>
      <c r="B943" s="293"/>
      <c r="C943" s="28"/>
      <c r="D943" s="289"/>
      <c r="E943" s="294"/>
      <c r="F943" s="291"/>
      <c r="G943" s="292"/>
      <c r="H943" s="292"/>
      <c r="I943" s="292"/>
      <c r="J943" s="292"/>
      <c r="K943" s="288"/>
      <c r="L943" s="288"/>
      <c r="M943" s="288"/>
      <c r="N943" s="288"/>
      <c r="O943" s="288"/>
      <c r="P943" s="288"/>
      <c r="Q943" s="288"/>
      <c r="R943" s="257"/>
      <c r="S943" s="258"/>
      <c r="T943" s="255"/>
      <c r="U943" s="255"/>
      <c r="V943" s="259"/>
      <c r="W943" s="286"/>
      <c r="X943" s="286"/>
      <c r="Y943" s="286"/>
    </row>
    <row r="944">
      <c r="A944" s="28"/>
      <c r="B944" s="293"/>
      <c r="C944" s="28"/>
      <c r="D944" s="289"/>
      <c r="E944" s="294"/>
      <c r="F944" s="291"/>
      <c r="G944" s="292"/>
      <c r="H944" s="292"/>
      <c r="I944" s="292"/>
      <c r="J944" s="292"/>
      <c r="K944" s="288"/>
      <c r="L944" s="288"/>
      <c r="M944" s="288"/>
      <c r="N944" s="288"/>
      <c r="O944" s="288"/>
      <c r="P944" s="288"/>
      <c r="Q944" s="288"/>
      <c r="R944" s="257"/>
      <c r="S944" s="258"/>
      <c r="T944" s="255"/>
      <c r="U944" s="255"/>
      <c r="V944" s="259"/>
      <c r="W944" s="286"/>
      <c r="X944" s="286"/>
      <c r="Y944" s="286"/>
    </row>
    <row r="945">
      <c r="A945" s="28"/>
      <c r="B945" s="293"/>
      <c r="C945" s="28"/>
      <c r="D945" s="289"/>
      <c r="E945" s="294"/>
      <c r="F945" s="291"/>
      <c r="G945" s="292"/>
      <c r="H945" s="292"/>
      <c r="I945" s="292"/>
      <c r="J945" s="292"/>
      <c r="K945" s="288"/>
      <c r="L945" s="288"/>
      <c r="M945" s="288"/>
      <c r="N945" s="288"/>
      <c r="O945" s="288"/>
      <c r="P945" s="288"/>
      <c r="Q945" s="288"/>
      <c r="R945" s="257"/>
      <c r="S945" s="258"/>
      <c r="T945" s="255"/>
      <c r="U945" s="255"/>
      <c r="V945" s="259"/>
      <c r="W945" s="286"/>
      <c r="X945" s="286"/>
      <c r="Y945" s="286"/>
    </row>
    <row r="946">
      <c r="A946" s="28"/>
      <c r="B946" s="293"/>
      <c r="C946" s="28"/>
      <c r="D946" s="289"/>
      <c r="E946" s="294"/>
      <c r="F946" s="291"/>
      <c r="G946" s="292"/>
      <c r="H946" s="292"/>
      <c r="I946" s="292"/>
      <c r="J946" s="292"/>
      <c r="K946" s="288"/>
      <c r="L946" s="288"/>
      <c r="M946" s="288"/>
      <c r="N946" s="288"/>
      <c r="O946" s="288"/>
      <c r="P946" s="288"/>
      <c r="Q946" s="288"/>
      <c r="R946" s="257"/>
      <c r="S946" s="258"/>
      <c r="T946" s="255"/>
      <c r="U946" s="255"/>
      <c r="V946" s="259"/>
      <c r="W946" s="286"/>
      <c r="X946" s="286"/>
      <c r="Y946" s="286"/>
    </row>
    <row r="947">
      <c r="A947" s="28"/>
      <c r="B947" s="293"/>
      <c r="C947" s="28"/>
      <c r="D947" s="289"/>
      <c r="E947" s="294"/>
      <c r="F947" s="291"/>
      <c r="G947" s="292"/>
      <c r="H947" s="292"/>
      <c r="I947" s="292"/>
      <c r="J947" s="292"/>
      <c r="K947" s="288"/>
      <c r="L947" s="288"/>
      <c r="M947" s="288"/>
      <c r="N947" s="288"/>
      <c r="O947" s="288"/>
      <c r="P947" s="288"/>
      <c r="Q947" s="288"/>
      <c r="R947" s="257"/>
      <c r="S947" s="258"/>
      <c r="T947" s="255"/>
      <c r="U947" s="255"/>
      <c r="V947" s="259"/>
      <c r="W947" s="286"/>
      <c r="X947" s="286"/>
      <c r="Y947" s="286"/>
    </row>
    <row r="948">
      <c r="A948" s="28"/>
      <c r="B948" s="293"/>
      <c r="C948" s="28"/>
      <c r="D948" s="289"/>
      <c r="E948" s="294"/>
      <c r="F948" s="291"/>
      <c r="G948" s="292"/>
      <c r="H948" s="292"/>
      <c r="I948" s="292"/>
      <c r="J948" s="292"/>
      <c r="K948" s="288"/>
      <c r="L948" s="288"/>
      <c r="M948" s="288"/>
      <c r="N948" s="288"/>
      <c r="O948" s="288"/>
      <c r="P948" s="288"/>
      <c r="Q948" s="288"/>
      <c r="R948" s="257"/>
      <c r="S948" s="258"/>
      <c r="T948" s="255"/>
      <c r="U948" s="255"/>
      <c r="V948" s="259"/>
      <c r="W948" s="286"/>
      <c r="X948" s="286"/>
      <c r="Y948" s="286"/>
    </row>
    <row r="949">
      <c r="A949" s="28"/>
      <c r="B949" s="293"/>
      <c r="C949" s="28"/>
      <c r="D949" s="289"/>
      <c r="E949" s="294"/>
      <c r="F949" s="291"/>
      <c r="G949" s="292"/>
      <c r="H949" s="292"/>
      <c r="I949" s="292"/>
      <c r="J949" s="292"/>
      <c r="K949" s="288"/>
      <c r="L949" s="288"/>
      <c r="M949" s="288"/>
      <c r="N949" s="288"/>
      <c r="O949" s="288"/>
      <c r="P949" s="288"/>
      <c r="Q949" s="288"/>
      <c r="R949" s="257"/>
      <c r="S949" s="258"/>
      <c r="T949" s="255"/>
      <c r="U949" s="255"/>
      <c r="V949" s="259"/>
      <c r="W949" s="286"/>
      <c r="X949" s="286"/>
      <c r="Y949" s="286"/>
    </row>
    <row r="950">
      <c r="A950" s="28"/>
      <c r="B950" s="293"/>
      <c r="C950" s="28"/>
      <c r="D950" s="289"/>
      <c r="E950" s="294"/>
      <c r="F950" s="291"/>
      <c r="G950" s="292"/>
      <c r="H950" s="292"/>
      <c r="I950" s="292"/>
      <c r="J950" s="292"/>
      <c r="K950" s="288"/>
      <c r="L950" s="288"/>
      <c r="M950" s="288"/>
      <c r="N950" s="288"/>
      <c r="O950" s="288"/>
      <c r="P950" s="288"/>
      <c r="Q950" s="288"/>
      <c r="R950" s="257"/>
      <c r="S950" s="258"/>
      <c r="T950" s="255"/>
      <c r="U950" s="255"/>
      <c r="V950" s="259"/>
      <c r="W950" s="286"/>
      <c r="X950" s="286"/>
      <c r="Y950" s="286"/>
    </row>
    <row r="951">
      <c r="A951" s="28"/>
      <c r="B951" s="293"/>
      <c r="C951" s="28"/>
      <c r="D951" s="289"/>
      <c r="E951" s="294"/>
      <c r="F951" s="291"/>
      <c r="G951" s="292"/>
      <c r="H951" s="292"/>
      <c r="I951" s="292"/>
      <c r="J951" s="292"/>
      <c r="K951" s="288"/>
      <c r="L951" s="288"/>
      <c r="M951" s="288"/>
      <c r="N951" s="288"/>
      <c r="O951" s="288"/>
      <c r="P951" s="288"/>
      <c r="Q951" s="288"/>
      <c r="R951" s="257"/>
      <c r="S951" s="258"/>
      <c r="T951" s="255"/>
      <c r="U951" s="255"/>
      <c r="V951" s="259"/>
      <c r="W951" s="286"/>
      <c r="X951" s="286"/>
      <c r="Y951" s="286"/>
    </row>
    <row r="952">
      <c r="A952" s="28"/>
      <c r="B952" s="293"/>
      <c r="C952" s="28"/>
      <c r="D952" s="289"/>
      <c r="E952" s="294"/>
      <c r="F952" s="291"/>
      <c r="G952" s="292"/>
      <c r="H952" s="292"/>
      <c r="I952" s="292"/>
      <c r="J952" s="292"/>
      <c r="K952" s="288"/>
      <c r="L952" s="288"/>
      <c r="M952" s="288"/>
      <c r="N952" s="288"/>
      <c r="O952" s="288"/>
      <c r="P952" s="288"/>
      <c r="Q952" s="288"/>
      <c r="R952" s="257"/>
      <c r="S952" s="258"/>
      <c r="T952" s="255"/>
      <c r="U952" s="255"/>
      <c r="V952" s="259"/>
      <c r="W952" s="286"/>
      <c r="X952" s="286"/>
      <c r="Y952" s="286"/>
    </row>
    <row r="953">
      <c r="A953" s="28"/>
      <c r="B953" s="293"/>
      <c r="C953" s="28"/>
      <c r="D953" s="289"/>
      <c r="E953" s="294"/>
      <c r="F953" s="291"/>
      <c r="G953" s="292"/>
      <c r="H953" s="292"/>
      <c r="I953" s="292"/>
      <c r="J953" s="292"/>
      <c r="K953" s="288"/>
      <c r="L953" s="288"/>
      <c r="M953" s="288"/>
      <c r="N953" s="288"/>
      <c r="O953" s="288"/>
      <c r="P953" s="288"/>
      <c r="Q953" s="288"/>
      <c r="R953" s="257"/>
      <c r="S953" s="258"/>
      <c r="T953" s="255"/>
      <c r="U953" s="255"/>
      <c r="V953" s="259"/>
      <c r="W953" s="286"/>
      <c r="X953" s="286"/>
      <c r="Y953" s="286"/>
    </row>
    <row r="954">
      <c r="A954" s="28"/>
      <c r="B954" s="293"/>
      <c r="C954" s="28"/>
      <c r="D954" s="289"/>
      <c r="E954" s="294"/>
      <c r="F954" s="291"/>
      <c r="G954" s="292"/>
      <c r="H954" s="292"/>
      <c r="I954" s="292"/>
      <c r="J954" s="292"/>
      <c r="K954" s="288"/>
      <c r="L954" s="288"/>
      <c r="M954" s="288"/>
      <c r="N954" s="288"/>
      <c r="O954" s="288"/>
      <c r="P954" s="288"/>
      <c r="Q954" s="288"/>
      <c r="R954" s="257"/>
      <c r="S954" s="258"/>
      <c r="T954" s="255"/>
      <c r="U954" s="255"/>
      <c r="V954" s="259"/>
      <c r="W954" s="286"/>
      <c r="X954" s="286"/>
      <c r="Y954" s="286"/>
    </row>
    <row r="955">
      <c r="A955" s="28"/>
      <c r="B955" s="293"/>
      <c r="C955" s="28"/>
      <c r="D955" s="289"/>
      <c r="E955" s="294"/>
      <c r="F955" s="291"/>
      <c r="G955" s="292"/>
      <c r="H955" s="292"/>
      <c r="I955" s="292"/>
      <c r="J955" s="292"/>
      <c r="K955" s="288"/>
      <c r="L955" s="288"/>
      <c r="M955" s="288"/>
      <c r="N955" s="288"/>
      <c r="O955" s="288"/>
      <c r="P955" s="288"/>
      <c r="Q955" s="288"/>
      <c r="R955" s="257"/>
      <c r="S955" s="258"/>
      <c r="T955" s="255"/>
      <c r="U955" s="255"/>
      <c r="V955" s="259"/>
      <c r="W955" s="286"/>
      <c r="X955" s="286"/>
      <c r="Y955" s="286"/>
    </row>
    <row r="956">
      <c r="A956" s="28"/>
      <c r="B956" s="293"/>
      <c r="C956" s="28"/>
      <c r="D956" s="289"/>
      <c r="E956" s="294"/>
      <c r="F956" s="291"/>
      <c r="G956" s="292"/>
      <c r="H956" s="292"/>
      <c r="I956" s="292"/>
      <c r="J956" s="292"/>
      <c r="K956" s="288"/>
      <c r="L956" s="288"/>
      <c r="M956" s="288"/>
      <c r="N956" s="288"/>
      <c r="O956" s="288"/>
      <c r="P956" s="288"/>
      <c r="Q956" s="288"/>
      <c r="R956" s="257"/>
      <c r="S956" s="258"/>
      <c r="T956" s="255"/>
      <c r="U956" s="255"/>
      <c r="V956" s="259"/>
      <c r="W956" s="286"/>
      <c r="X956" s="286"/>
      <c r="Y956" s="286"/>
    </row>
    <row r="957">
      <c r="A957" s="28"/>
      <c r="B957" s="293"/>
      <c r="C957" s="28"/>
      <c r="D957" s="289"/>
      <c r="E957" s="294"/>
      <c r="F957" s="291"/>
      <c r="G957" s="292"/>
      <c r="H957" s="292"/>
      <c r="I957" s="292"/>
      <c r="J957" s="292"/>
      <c r="K957" s="288"/>
      <c r="L957" s="288"/>
      <c r="M957" s="288"/>
      <c r="N957" s="288"/>
      <c r="O957" s="288"/>
      <c r="P957" s="288"/>
      <c r="Q957" s="288"/>
      <c r="R957" s="257"/>
      <c r="S957" s="258"/>
      <c r="T957" s="255"/>
      <c r="U957" s="255"/>
      <c r="V957" s="259"/>
      <c r="W957" s="286"/>
      <c r="X957" s="286"/>
      <c r="Y957" s="286"/>
    </row>
    <row r="958">
      <c r="A958" s="28"/>
      <c r="B958" s="293"/>
      <c r="C958" s="28"/>
      <c r="D958" s="289"/>
      <c r="E958" s="294"/>
      <c r="F958" s="291"/>
      <c r="G958" s="292"/>
      <c r="H958" s="292"/>
      <c r="I958" s="292"/>
      <c r="J958" s="292"/>
      <c r="K958" s="288"/>
      <c r="L958" s="288"/>
      <c r="M958" s="288"/>
      <c r="N958" s="288"/>
      <c r="O958" s="288"/>
      <c r="P958" s="288"/>
      <c r="Q958" s="288"/>
      <c r="R958" s="257"/>
      <c r="S958" s="258"/>
      <c r="T958" s="255"/>
      <c r="U958" s="255"/>
      <c r="V958" s="259"/>
      <c r="W958" s="286"/>
      <c r="X958" s="286"/>
      <c r="Y958" s="286"/>
    </row>
    <row r="959">
      <c r="A959" s="28"/>
      <c r="B959" s="293"/>
      <c r="C959" s="28"/>
      <c r="D959" s="289"/>
      <c r="E959" s="294"/>
      <c r="F959" s="291"/>
      <c r="G959" s="292"/>
      <c r="H959" s="292"/>
      <c r="I959" s="292"/>
      <c r="J959" s="292"/>
      <c r="K959" s="288"/>
      <c r="L959" s="288"/>
      <c r="M959" s="288"/>
      <c r="N959" s="288"/>
      <c r="O959" s="288"/>
      <c r="P959" s="288"/>
      <c r="Q959" s="288"/>
      <c r="R959" s="257"/>
      <c r="S959" s="258"/>
      <c r="T959" s="255"/>
      <c r="U959" s="255"/>
      <c r="V959" s="259"/>
      <c r="W959" s="286"/>
      <c r="X959" s="286"/>
      <c r="Y959" s="286"/>
    </row>
    <row r="960">
      <c r="A960" s="28"/>
      <c r="B960" s="293"/>
      <c r="C960" s="28"/>
      <c r="D960" s="289"/>
      <c r="E960" s="294"/>
      <c r="F960" s="291"/>
      <c r="G960" s="292"/>
      <c r="H960" s="292"/>
      <c r="I960" s="292"/>
      <c r="J960" s="292"/>
      <c r="K960" s="288"/>
      <c r="L960" s="288"/>
      <c r="M960" s="288"/>
      <c r="N960" s="288"/>
      <c r="O960" s="288"/>
      <c r="P960" s="288"/>
      <c r="Q960" s="288"/>
      <c r="R960" s="257"/>
      <c r="S960" s="258"/>
      <c r="T960" s="255"/>
      <c r="U960" s="255"/>
      <c r="V960" s="259"/>
      <c r="W960" s="286"/>
      <c r="X960" s="286"/>
      <c r="Y960" s="286"/>
    </row>
    <row r="961">
      <c r="A961" s="28"/>
      <c r="B961" s="293"/>
      <c r="C961" s="28"/>
      <c r="D961" s="289"/>
      <c r="E961" s="294"/>
      <c r="F961" s="291"/>
      <c r="G961" s="292"/>
      <c r="H961" s="292"/>
      <c r="I961" s="292"/>
      <c r="J961" s="292"/>
      <c r="K961" s="288"/>
      <c r="L961" s="288"/>
      <c r="M961" s="288"/>
      <c r="N961" s="288"/>
      <c r="O961" s="288"/>
      <c r="P961" s="288"/>
      <c r="Q961" s="288"/>
      <c r="R961" s="257"/>
      <c r="S961" s="258"/>
      <c r="T961" s="255"/>
      <c r="U961" s="255"/>
      <c r="V961" s="259"/>
      <c r="W961" s="286"/>
      <c r="X961" s="286"/>
      <c r="Y961" s="286"/>
    </row>
    <row r="962">
      <c r="A962" s="28"/>
      <c r="B962" s="293"/>
      <c r="C962" s="28"/>
      <c r="D962" s="289"/>
      <c r="E962" s="294"/>
      <c r="F962" s="291"/>
      <c r="G962" s="292"/>
      <c r="H962" s="292"/>
      <c r="I962" s="292"/>
      <c r="J962" s="292"/>
      <c r="K962" s="288"/>
      <c r="L962" s="288"/>
      <c r="M962" s="288"/>
      <c r="N962" s="288"/>
      <c r="O962" s="288"/>
      <c r="P962" s="288"/>
      <c r="Q962" s="288"/>
      <c r="R962" s="257"/>
      <c r="S962" s="258"/>
      <c r="T962" s="255"/>
      <c r="U962" s="255"/>
      <c r="V962" s="259"/>
      <c r="W962" s="286"/>
      <c r="X962" s="286"/>
      <c r="Y962" s="286"/>
    </row>
    <row r="963">
      <c r="A963" s="28"/>
      <c r="B963" s="293"/>
      <c r="C963" s="28"/>
      <c r="D963" s="289"/>
      <c r="E963" s="294"/>
      <c r="F963" s="291"/>
      <c r="G963" s="292"/>
      <c r="H963" s="292"/>
      <c r="I963" s="292"/>
      <c r="J963" s="292"/>
      <c r="K963" s="288"/>
      <c r="L963" s="288"/>
      <c r="M963" s="288"/>
      <c r="N963" s="288"/>
      <c r="O963" s="288"/>
      <c r="P963" s="288"/>
      <c r="Q963" s="288"/>
      <c r="R963" s="257"/>
      <c r="S963" s="258"/>
      <c r="T963" s="255"/>
      <c r="U963" s="255"/>
      <c r="V963" s="259"/>
      <c r="W963" s="286"/>
      <c r="X963" s="286"/>
      <c r="Y963" s="286"/>
    </row>
    <row r="964">
      <c r="A964" s="28"/>
      <c r="B964" s="293"/>
      <c r="C964" s="28"/>
      <c r="D964" s="289"/>
      <c r="E964" s="294"/>
      <c r="F964" s="291"/>
      <c r="G964" s="292"/>
      <c r="H964" s="292"/>
      <c r="I964" s="292"/>
      <c r="J964" s="292"/>
      <c r="K964" s="288"/>
      <c r="L964" s="288"/>
      <c r="M964" s="288"/>
      <c r="N964" s="288"/>
      <c r="O964" s="288"/>
      <c r="P964" s="288"/>
      <c r="Q964" s="288"/>
      <c r="R964" s="257"/>
      <c r="S964" s="258"/>
      <c r="T964" s="255"/>
      <c r="U964" s="255"/>
      <c r="V964" s="259"/>
      <c r="W964" s="286"/>
      <c r="X964" s="286"/>
      <c r="Y964" s="286"/>
    </row>
    <row r="965">
      <c r="A965" s="28"/>
      <c r="B965" s="293"/>
      <c r="C965" s="28"/>
      <c r="D965" s="289"/>
      <c r="E965" s="294"/>
      <c r="F965" s="291"/>
      <c r="G965" s="292"/>
      <c r="H965" s="292"/>
      <c r="I965" s="292"/>
      <c r="J965" s="292"/>
      <c r="K965" s="288"/>
      <c r="L965" s="288"/>
      <c r="M965" s="288"/>
      <c r="N965" s="288"/>
      <c r="O965" s="288"/>
      <c r="P965" s="288"/>
      <c r="Q965" s="288"/>
      <c r="R965" s="257"/>
      <c r="S965" s="258"/>
      <c r="T965" s="255"/>
      <c r="U965" s="255"/>
      <c r="V965" s="259"/>
      <c r="W965" s="286"/>
      <c r="X965" s="286"/>
      <c r="Y965" s="286"/>
    </row>
    <row r="966">
      <c r="A966" s="28"/>
      <c r="B966" s="293"/>
      <c r="C966" s="28"/>
      <c r="D966" s="289"/>
      <c r="E966" s="294"/>
      <c r="F966" s="291"/>
      <c r="G966" s="292"/>
      <c r="H966" s="292"/>
      <c r="I966" s="292"/>
      <c r="J966" s="292"/>
      <c r="K966" s="288"/>
      <c r="L966" s="288"/>
      <c r="M966" s="288"/>
      <c r="N966" s="288"/>
      <c r="O966" s="288"/>
      <c r="P966" s="288"/>
      <c r="Q966" s="288"/>
      <c r="R966" s="257"/>
      <c r="S966" s="258"/>
      <c r="T966" s="255"/>
      <c r="U966" s="255"/>
      <c r="V966" s="259"/>
      <c r="W966" s="286"/>
      <c r="X966" s="286"/>
      <c r="Y966" s="286"/>
    </row>
    <row r="967">
      <c r="A967" s="28"/>
      <c r="B967" s="293"/>
      <c r="C967" s="28"/>
      <c r="D967" s="289"/>
      <c r="E967" s="294"/>
      <c r="F967" s="291"/>
      <c r="G967" s="292"/>
      <c r="H967" s="292"/>
      <c r="I967" s="292"/>
      <c r="J967" s="292"/>
      <c r="K967" s="288"/>
      <c r="L967" s="288"/>
      <c r="M967" s="288"/>
      <c r="N967" s="288"/>
      <c r="O967" s="288"/>
      <c r="P967" s="288"/>
      <c r="Q967" s="288"/>
      <c r="R967" s="257"/>
      <c r="S967" s="258"/>
      <c r="T967" s="255"/>
      <c r="U967" s="255"/>
      <c r="V967" s="259"/>
      <c r="W967" s="286"/>
      <c r="X967" s="286"/>
      <c r="Y967" s="286"/>
    </row>
    <row r="968">
      <c r="A968" s="28"/>
      <c r="B968" s="293"/>
      <c r="C968" s="28"/>
      <c r="D968" s="289"/>
      <c r="E968" s="294"/>
      <c r="F968" s="291"/>
      <c r="G968" s="292"/>
      <c r="H968" s="292"/>
      <c r="I968" s="292"/>
      <c r="J968" s="292"/>
      <c r="K968" s="288"/>
      <c r="L968" s="288"/>
      <c r="M968" s="288"/>
      <c r="N968" s="288"/>
      <c r="O968" s="288"/>
      <c r="P968" s="288"/>
      <c r="Q968" s="288"/>
      <c r="R968" s="257"/>
      <c r="S968" s="258"/>
      <c r="T968" s="255"/>
      <c r="U968" s="255"/>
      <c r="V968" s="259"/>
      <c r="W968" s="286"/>
      <c r="X968" s="286"/>
      <c r="Y968" s="286"/>
    </row>
    <row r="969">
      <c r="A969" s="28"/>
      <c r="B969" s="293"/>
      <c r="C969" s="28"/>
      <c r="D969" s="289"/>
      <c r="E969" s="294"/>
      <c r="F969" s="291"/>
      <c r="G969" s="292"/>
      <c r="H969" s="292"/>
      <c r="I969" s="292"/>
      <c r="J969" s="292"/>
      <c r="K969" s="288"/>
      <c r="L969" s="288"/>
      <c r="M969" s="288"/>
      <c r="N969" s="288"/>
      <c r="O969" s="288"/>
      <c r="P969" s="288"/>
      <c r="Q969" s="288"/>
      <c r="R969" s="257"/>
      <c r="S969" s="258"/>
      <c r="T969" s="255"/>
      <c r="U969" s="255"/>
      <c r="V969" s="259"/>
      <c r="W969" s="286"/>
      <c r="X969" s="286"/>
      <c r="Y969" s="286"/>
    </row>
    <row r="970">
      <c r="A970" s="28"/>
      <c r="B970" s="293"/>
      <c r="C970" s="28"/>
      <c r="D970" s="289"/>
      <c r="E970" s="294"/>
      <c r="F970" s="291"/>
      <c r="G970" s="292"/>
      <c r="H970" s="292"/>
      <c r="I970" s="292"/>
      <c r="J970" s="292"/>
      <c r="K970" s="288"/>
      <c r="L970" s="288"/>
      <c r="M970" s="288"/>
      <c r="N970" s="288"/>
      <c r="O970" s="288"/>
      <c r="P970" s="288"/>
      <c r="Q970" s="288"/>
      <c r="R970" s="257"/>
      <c r="S970" s="258"/>
      <c r="T970" s="255"/>
      <c r="U970" s="255"/>
      <c r="V970" s="259"/>
      <c r="W970" s="286"/>
      <c r="X970" s="286"/>
      <c r="Y970" s="286"/>
    </row>
    <row r="971">
      <c r="A971" s="28"/>
      <c r="B971" s="293"/>
      <c r="C971" s="28"/>
      <c r="D971" s="289"/>
      <c r="E971" s="294"/>
      <c r="F971" s="291"/>
      <c r="G971" s="292"/>
      <c r="H971" s="292"/>
      <c r="I971" s="292"/>
      <c r="J971" s="292"/>
      <c r="K971" s="288"/>
      <c r="L971" s="288"/>
      <c r="M971" s="288"/>
      <c r="N971" s="288"/>
      <c r="O971" s="288"/>
      <c r="P971" s="288"/>
      <c r="Q971" s="288"/>
      <c r="R971" s="257"/>
      <c r="S971" s="258"/>
      <c r="T971" s="255"/>
      <c r="U971" s="255"/>
      <c r="V971" s="259"/>
      <c r="W971" s="286"/>
      <c r="X971" s="286"/>
      <c r="Y971" s="286"/>
    </row>
    <row r="972">
      <c r="A972" s="28"/>
      <c r="B972" s="293"/>
      <c r="C972" s="28"/>
      <c r="D972" s="289"/>
      <c r="E972" s="294"/>
      <c r="F972" s="291"/>
      <c r="G972" s="292"/>
      <c r="H972" s="292"/>
      <c r="I972" s="292"/>
      <c r="J972" s="292"/>
      <c r="K972" s="288"/>
      <c r="L972" s="288"/>
      <c r="M972" s="288"/>
      <c r="N972" s="288"/>
      <c r="O972" s="288"/>
      <c r="P972" s="288"/>
      <c r="Q972" s="288"/>
      <c r="R972" s="257"/>
      <c r="S972" s="258"/>
      <c r="T972" s="255"/>
      <c r="U972" s="255"/>
      <c r="V972" s="259"/>
      <c r="W972" s="286"/>
      <c r="X972" s="286"/>
      <c r="Y972" s="286"/>
    </row>
    <row r="973">
      <c r="A973" s="28"/>
      <c r="B973" s="293"/>
      <c r="C973" s="28"/>
      <c r="D973" s="289"/>
      <c r="E973" s="294"/>
      <c r="F973" s="291"/>
      <c r="G973" s="292"/>
      <c r="H973" s="292"/>
      <c r="I973" s="292"/>
      <c r="J973" s="292"/>
      <c r="K973" s="288"/>
      <c r="L973" s="288"/>
      <c r="M973" s="288"/>
      <c r="N973" s="288"/>
      <c r="O973" s="288"/>
      <c r="P973" s="288"/>
      <c r="Q973" s="288"/>
      <c r="R973" s="257"/>
      <c r="S973" s="258"/>
      <c r="T973" s="255"/>
      <c r="U973" s="255"/>
      <c r="V973" s="259"/>
      <c r="W973" s="286"/>
      <c r="X973" s="286"/>
      <c r="Y973" s="286"/>
    </row>
    <row r="974">
      <c r="A974" s="28"/>
      <c r="B974" s="293"/>
      <c r="C974" s="28"/>
      <c r="D974" s="289"/>
      <c r="E974" s="294"/>
      <c r="F974" s="291"/>
      <c r="G974" s="292"/>
      <c r="H974" s="292"/>
      <c r="I974" s="292"/>
      <c r="J974" s="292"/>
      <c r="K974" s="288"/>
      <c r="L974" s="288"/>
      <c r="M974" s="288"/>
      <c r="N974" s="288"/>
      <c r="O974" s="288"/>
      <c r="P974" s="288"/>
      <c r="Q974" s="288"/>
      <c r="R974" s="257"/>
      <c r="S974" s="258"/>
      <c r="T974" s="255"/>
      <c r="U974" s="255"/>
      <c r="V974" s="259"/>
      <c r="W974" s="286"/>
      <c r="X974" s="286"/>
      <c r="Y974" s="286"/>
    </row>
    <row r="975">
      <c r="A975" s="28"/>
      <c r="B975" s="293"/>
      <c r="C975" s="28"/>
      <c r="D975" s="289"/>
      <c r="E975" s="294"/>
      <c r="F975" s="291"/>
      <c r="G975" s="292"/>
      <c r="H975" s="292"/>
      <c r="I975" s="292"/>
      <c r="J975" s="292"/>
      <c r="K975" s="288"/>
      <c r="L975" s="288"/>
      <c r="M975" s="288"/>
      <c r="N975" s="288"/>
      <c r="O975" s="288"/>
      <c r="P975" s="288"/>
      <c r="Q975" s="288"/>
      <c r="R975" s="257"/>
      <c r="S975" s="258"/>
      <c r="T975" s="255"/>
      <c r="U975" s="255"/>
      <c r="V975" s="259"/>
      <c r="W975" s="286"/>
      <c r="X975" s="286"/>
      <c r="Y975" s="286"/>
    </row>
    <row r="976">
      <c r="A976" s="28"/>
      <c r="B976" s="293"/>
      <c r="C976" s="28"/>
      <c r="D976" s="289"/>
      <c r="E976" s="294"/>
      <c r="F976" s="291"/>
      <c r="G976" s="292"/>
      <c r="H976" s="292"/>
      <c r="I976" s="292"/>
      <c r="J976" s="292"/>
      <c r="K976" s="288"/>
      <c r="L976" s="288"/>
      <c r="M976" s="288"/>
      <c r="N976" s="288"/>
      <c r="O976" s="288"/>
      <c r="P976" s="288"/>
      <c r="Q976" s="288"/>
      <c r="R976" s="257"/>
      <c r="S976" s="258"/>
      <c r="T976" s="255"/>
      <c r="U976" s="255"/>
      <c r="V976" s="259"/>
      <c r="W976" s="286"/>
      <c r="X976" s="286"/>
      <c r="Y976" s="286"/>
    </row>
    <row r="977">
      <c r="A977" s="28"/>
      <c r="B977" s="293"/>
      <c r="C977" s="28"/>
      <c r="D977" s="289"/>
      <c r="E977" s="294"/>
      <c r="F977" s="291"/>
      <c r="G977" s="292"/>
      <c r="H977" s="292"/>
      <c r="I977" s="292"/>
      <c r="J977" s="292"/>
      <c r="K977" s="288"/>
      <c r="L977" s="288"/>
      <c r="M977" s="288"/>
      <c r="N977" s="288"/>
      <c r="O977" s="288"/>
      <c r="P977" s="288"/>
      <c r="Q977" s="288"/>
      <c r="R977" s="257"/>
      <c r="S977" s="258"/>
      <c r="T977" s="255"/>
      <c r="U977" s="255"/>
      <c r="V977" s="259"/>
      <c r="W977" s="286"/>
      <c r="X977" s="286"/>
      <c r="Y977" s="286"/>
    </row>
    <row r="978">
      <c r="A978" s="28"/>
      <c r="B978" s="293"/>
      <c r="C978" s="28"/>
      <c r="D978" s="289"/>
      <c r="E978" s="294"/>
      <c r="F978" s="291"/>
      <c r="G978" s="292"/>
      <c r="H978" s="292"/>
      <c r="I978" s="292"/>
      <c r="J978" s="292"/>
      <c r="K978" s="288"/>
      <c r="L978" s="288"/>
      <c r="M978" s="288"/>
      <c r="N978" s="288"/>
      <c r="O978" s="288"/>
      <c r="P978" s="288"/>
      <c r="Q978" s="288"/>
      <c r="R978" s="257"/>
      <c r="S978" s="258"/>
      <c r="T978" s="255"/>
      <c r="U978" s="255"/>
      <c r="V978" s="259"/>
      <c r="W978" s="286"/>
      <c r="X978" s="286"/>
      <c r="Y978" s="286"/>
    </row>
    <row r="979">
      <c r="A979" s="28"/>
      <c r="B979" s="293"/>
      <c r="C979" s="28"/>
      <c r="D979" s="289"/>
      <c r="E979" s="294"/>
      <c r="F979" s="291"/>
      <c r="G979" s="292"/>
      <c r="H979" s="292"/>
      <c r="I979" s="292"/>
      <c r="J979" s="292"/>
      <c r="K979" s="288"/>
      <c r="L979" s="288"/>
      <c r="M979" s="288"/>
      <c r="N979" s="288"/>
      <c r="O979" s="288"/>
      <c r="P979" s="288"/>
      <c r="Q979" s="288"/>
      <c r="R979" s="257"/>
      <c r="S979" s="258"/>
      <c r="T979" s="255"/>
      <c r="U979" s="255"/>
      <c r="V979" s="259"/>
      <c r="W979" s="286"/>
      <c r="X979" s="286"/>
      <c r="Y979" s="286"/>
    </row>
    <row r="980">
      <c r="A980" s="28"/>
      <c r="B980" s="293"/>
      <c r="C980" s="28"/>
      <c r="D980" s="289"/>
      <c r="E980" s="294"/>
      <c r="F980" s="291"/>
      <c r="G980" s="292"/>
      <c r="H980" s="292"/>
      <c r="I980" s="292"/>
      <c r="J980" s="292"/>
      <c r="K980" s="288"/>
      <c r="L980" s="288"/>
      <c r="M980" s="288"/>
      <c r="N980" s="288"/>
      <c r="O980" s="288"/>
      <c r="P980" s="288"/>
      <c r="Q980" s="288"/>
      <c r="R980" s="257"/>
      <c r="S980" s="258"/>
      <c r="T980" s="255"/>
      <c r="U980" s="255"/>
      <c r="V980" s="259"/>
      <c r="W980" s="286"/>
      <c r="X980" s="286"/>
      <c r="Y980" s="286"/>
    </row>
    <row r="981">
      <c r="A981" s="28"/>
      <c r="B981" s="293"/>
      <c r="C981" s="28"/>
      <c r="D981" s="289"/>
      <c r="E981" s="294"/>
      <c r="F981" s="291"/>
      <c r="G981" s="292"/>
      <c r="H981" s="292"/>
      <c r="I981" s="292"/>
      <c r="J981" s="292"/>
      <c r="K981" s="288"/>
      <c r="L981" s="288"/>
      <c r="M981" s="288"/>
      <c r="N981" s="288"/>
      <c r="O981" s="288"/>
      <c r="P981" s="288"/>
      <c r="Q981" s="288"/>
      <c r="R981" s="257"/>
      <c r="S981" s="258"/>
      <c r="T981" s="255"/>
      <c r="U981" s="255"/>
      <c r="V981" s="259"/>
      <c r="W981" s="286"/>
      <c r="X981" s="286"/>
      <c r="Y981" s="286"/>
    </row>
    <row r="982">
      <c r="A982" s="28"/>
      <c r="B982" s="293"/>
      <c r="C982" s="28"/>
      <c r="D982" s="289"/>
      <c r="E982" s="294"/>
      <c r="F982" s="291"/>
      <c r="G982" s="292"/>
      <c r="H982" s="292"/>
      <c r="I982" s="292"/>
      <c r="J982" s="292"/>
      <c r="K982" s="288"/>
      <c r="L982" s="288"/>
      <c r="M982" s="288"/>
      <c r="N982" s="288"/>
      <c r="O982" s="288"/>
      <c r="P982" s="288"/>
      <c r="Q982" s="288"/>
      <c r="R982" s="257"/>
      <c r="S982" s="258"/>
      <c r="T982" s="255"/>
      <c r="U982" s="255"/>
      <c r="V982" s="259"/>
      <c r="W982" s="286"/>
      <c r="X982" s="286"/>
      <c r="Y982" s="286"/>
    </row>
    <row r="983">
      <c r="A983" s="28"/>
      <c r="B983" s="293"/>
      <c r="C983" s="28"/>
      <c r="D983" s="289"/>
      <c r="E983" s="294"/>
      <c r="F983" s="291"/>
      <c r="G983" s="292"/>
      <c r="H983" s="292"/>
      <c r="I983" s="292"/>
      <c r="J983" s="292"/>
      <c r="K983" s="288"/>
      <c r="L983" s="288"/>
      <c r="M983" s="288"/>
      <c r="N983" s="288"/>
      <c r="O983" s="288"/>
      <c r="P983" s="288"/>
      <c r="Q983" s="288"/>
      <c r="R983" s="257"/>
      <c r="S983" s="258"/>
      <c r="T983" s="255"/>
      <c r="U983" s="255"/>
      <c r="V983" s="259"/>
      <c r="W983" s="286"/>
      <c r="X983" s="286"/>
      <c r="Y983" s="286"/>
    </row>
    <row r="984">
      <c r="A984" s="28"/>
      <c r="B984" s="293"/>
      <c r="C984" s="28"/>
      <c r="D984" s="289"/>
      <c r="E984" s="294"/>
      <c r="F984" s="291"/>
      <c r="G984" s="292"/>
      <c r="H984" s="292"/>
      <c r="I984" s="292"/>
      <c r="J984" s="292"/>
      <c r="K984" s="288"/>
      <c r="L984" s="288"/>
      <c r="M984" s="288"/>
      <c r="N984" s="288"/>
      <c r="O984" s="288"/>
      <c r="P984" s="288"/>
      <c r="Q984" s="288"/>
      <c r="R984" s="257"/>
      <c r="S984" s="258"/>
      <c r="T984" s="255"/>
      <c r="U984" s="255"/>
      <c r="V984" s="259"/>
      <c r="W984" s="286"/>
      <c r="X984" s="286"/>
      <c r="Y984" s="286"/>
    </row>
    <row r="985">
      <c r="A985" s="28"/>
      <c r="B985" s="293"/>
      <c r="C985" s="28"/>
      <c r="D985" s="289"/>
      <c r="E985" s="294"/>
      <c r="F985" s="291"/>
      <c r="G985" s="292"/>
      <c r="H985" s="292"/>
      <c r="I985" s="292"/>
      <c r="J985" s="292"/>
      <c r="K985" s="288"/>
      <c r="L985" s="288"/>
      <c r="M985" s="288"/>
      <c r="N985" s="288"/>
      <c r="O985" s="288"/>
      <c r="P985" s="288"/>
      <c r="Q985" s="288"/>
      <c r="R985" s="257"/>
      <c r="S985" s="258"/>
      <c r="T985" s="255"/>
      <c r="U985" s="255"/>
      <c r="V985" s="259"/>
      <c r="W985" s="286"/>
      <c r="X985" s="286"/>
      <c r="Y985" s="286"/>
    </row>
    <row r="986">
      <c r="A986" s="28"/>
      <c r="B986" s="293"/>
      <c r="C986" s="28"/>
      <c r="D986" s="289"/>
      <c r="E986" s="294"/>
      <c r="F986" s="291"/>
      <c r="G986" s="292"/>
      <c r="H986" s="292"/>
      <c r="I986" s="292"/>
      <c r="J986" s="292"/>
      <c r="K986" s="288"/>
      <c r="L986" s="288"/>
      <c r="M986" s="288"/>
      <c r="N986" s="288"/>
      <c r="O986" s="288"/>
      <c r="P986" s="288"/>
      <c r="Q986" s="288"/>
      <c r="R986" s="257"/>
      <c r="S986" s="258"/>
      <c r="T986" s="255"/>
      <c r="U986" s="255"/>
      <c r="V986" s="259"/>
      <c r="W986" s="286"/>
      <c r="X986" s="286"/>
      <c r="Y986" s="286"/>
    </row>
    <row r="987">
      <c r="A987" s="28"/>
      <c r="B987" s="293"/>
      <c r="C987" s="28"/>
      <c r="D987" s="289"/>
      <c r="E987" s="294"/>
      <c r="F987" s="291"/>
      <c r="G987" s="292"/>
      <c r="H987" s="292"/>
      <c r="I987" s="292"/>
      <c r="J987" s="292"/>
      <c r="K987" s="288"/>
      <c r="L987" s="288"/>
      <c r="M987" s="288"/>
      <c r="N987" s="288"/>
      <c r="O987" s="288"/>
      <c r="P987" s="288"/>
      <c r="Q987" s="288"/>
      <c r="R987" s="257"/>
      <c r="S987" s="258"/>
      <c r="T987" s="255"/>
      <c r="U987" s="255"/>
      <c r="V987" s="259"/>
      <c r="W987" s="286"/>
      <c r="X987" s="286"/>
      <c r="Y987" s="286"/>
    </row>
    <row r="988">
      <c r="A988" s="28"/>
      <c r="B988" s="293"/>
      <c r="C988" s="28"/>
      <c r="D988" s="289"/>
      <c r="E988" s="294"/>
      <c r="F988" s="291"/>
      <c r="G988" s="292"/>
      <c r="H988" s="292"/>
      <c r="I988" s="292"/>
      <c r="J988" s="292"/>
      <c r="K988" s="288"/>
      <c r="L988" s="288"/>
      <c r="M988" s="288"/>
      <c r="N988" s="288"/>
      <c r="O988" s="288"/>
      <c r="P988" s="288"/>
      <c r="Q988" s="288"/>
      <c r="R988" s="257"/>
      <c r="S988" s="258"/>
      <c r="T988" s="255"/>
      <c r="U988" s="255"/>
      <c r="V988" s="259"/>
      <c r="W988" s="286"/>
      <c r="X988" s="286"/>
      <c r="Y988" s="286"/>
    </row>
    <row r="989">
      <c r="A989" s="28"/>
      <c r="B989" s="293"/>
      <c r="C989" s="28"/>
      <c r="D989" s="289"/>
      <c r="E989" s="294"/>
      <c r="F989" s="291"/>
      <c r="G989" s="292"/>
      <c r="H989" s="292"/>
      <c r="I989" s="292"/>
      <c r="J989" s="292"/>
      <c r="K989" s="288"/>
      <c r="L989" s="288"/>
      <c r="M989" s="288"/>
      <c r="N989" s="288"/>
      <c r="O989" s="288"/>
      <c r="P989" s="288"/>
      <c r="Q989" s="288"/>
      <c r="R989" s="257"/>
      <c r="S989" s="258"/>
      <c r="T989" s="255"/>
      <c r="U989" s="255"/>
      <c r="V989" s="259"/>
      <c r="W989" s="286"/>
      <c r="X989" s="286"/>
      <c r="Y989" s="286"/>
    </row>
    <row r="990">
      <c r="A990" s="28"/>
      <c r="B990" s="293"/>
      <c r="C990" s="28"/>
      <c r="D990" s="289"/>
      <c r="E990" s="294"/>
      <c r="F990" s="291"/>
      <c r="G990" s="292"/>
      <c r="H990" s="292"/>
      <c r="I990" s="292"/>
      <c r="J990" s="292"/>
      <c r="K990" s="288"/>
      <c r="L990" s="288"/>
      <c r="M990" s="288"/>
      <c r="N990" s="288"/>
      <c r="O990" s="288"/>
      <c r="P990" s="288"/>
      <c r="Q990" s="288"/>
      <c r="R990" s="257"/>
      <c r="S990" s="258"/>
      <c r="T990" s="255"/>
      <c r="U990" s="255"/>
      <c r="V990" s="259"/>
      <c r="W990" s="286"/>
      <c r="X990" s="286"/>
      <c r="Y990" s="286"/>
    </row>
    <row r="991">
      <c r="A991" s="28"/>
      <c r="B991" s="293"/>
      <c r="C991" s="28"/>
      <c r="D991" s="289"/>
      <c r="E991" s="294"/>
      <c r="F991" s="291"/>
      <c r="G991" s="292"/>
      <c r="H991" s="292"/>
      <c r="I991" s="292"/>
      <c r="J991" s="292"/>
      <c r="K991" s="288"/>
      <c r="L991" s="288"/>
      <c r="M991" s="288"/>
      <c r="N991" s="288"/>
      <c r="O991" s="288"/>
      <c r="P991" s="288"/>
      <c r="Q991" s="288"/>
      <c r="R991" s="257"/>
      <c r="S991" s="258"/>
      <c r="T991" s="255"/>
      <c r="U991" s="255"/>
      <c r="V991" s="259"/>
      <c r="W991" s="286"/>
      <c r="X991" s="286"/>
      <c r="Y991" s="286"/>
    </row>
    <row r="992">
      <c r="A992" s="28"/>
      <c r="B992" s="293"/>
      <c r="C992" s="28"/>
      <c r="D992" s="289"/>
      <c r="E992" s="294"/>
      <c r="F992" s="291"/>
      <c r="G992" s="292"/>
      <c r="H992" s="292"/>
      <c r="I992" s="292"/>
      <c r="J992" s="292"/>
      <c r="K992" s="288"/>
      <c r="L992" s="288"/>
      <c r="M992" s="288"/>
      <c r="N992" s="288"/>
      <c r="O992" s="288"/>
      <c r="P992" s="288"/>
      <c r="Q992" s="288"/>
      <c r="R992" s="257"/>
      <c r="S992" s="258"/>
      <c r="T992" s="255"/>
      <c r="U992" s="255"/>
      <c r="V992" s="259"/>
      <c r="W992" s="286"/>
      <c r="X992" s="286"/>
      <c r="Y992" s="286"/>
    </row>
    <row r="993">
      <c r="A993" s="28"/>
      <c r="B993" s="293"/>
      <c r="C993" s="28"/>
      <c r="D993" s="289"/>
      <c r="E993" s="294"/>
      <c r="F993" s="291"/>
      <c r="G993" s="292"/>
      <c r="H993" s="292"/>
      <c r="I993" s="292"/>
      <c r="J993" s="292"/>
      <c r="K993" s="288"/>
      <c r="L993" s="288"/>
      <c r="M993" s="288"/>
      <c r="N993" s="288"/>
      <c r="O993" s="288"/>
      <c r="P993" s="288"/>
      <c r="Q993" s="288"/>
      <c r="R993" s="257"/>
      <c r="S993" s="258"/>
      <c r="T993" s="255"/>
      <c r="U993" s="255"/>
      <c r="V993" s="259"/>
      <c r="W993" s="286"/>
      <c r="X993" s="286"/>
      <c r="Y993" s="286"/>
    </row>
    <row r="994">
      <c r="A994" s="28"/>
      <c r="B994" s="293"/>
      <c r="C994" s="28"/>
      <c r="D994" s="289"/>
      <c r="E994" s="294"/>
      <c r="F994" s="291"/>
      <c r="G994" s="292"/>
      <c r="H994" s="292"/>
      <c r="I994" s="292"/>
      <c r="J994" s="292"/>
      <c r="K994" s="288"/>
      <c r="L994" s="288"/>
      <c r="M994" s="288"/>
      <c r="N994" s="288"/>
      <c r="O994" s="288"/>
      <c r="P994" s="288"/>
      <c r="Q994" s="288"/>
      <c r="R994" s="257"/>
      <c r="S994" s="258"/>
      <c r="T994" s="255"/>
      <c r="U994" s="255"/>
      <c r="V994" s="259"/>
      <c r="W994" s="286"/>
      <c r="X994" s="286"/>
      <c r="Y994" s="286"/>
    </row>
    <row r="995">
      <c r="A995" s="28"/>
      <c r="B995" s="293"/>
      <c r="C995" s="28"/>
      <c r="D995" s="289"/>
      <c r="E995" s="294"/>
      <c r="F995" s="291"/>
      <c r="G995" s="292"/>
      <c r="H995" s="292"/>
      <c r="I995" s="292"/>
      <c r="J995" s="292"/>
      <c r="K995" s="288"/>
      <c r="L995" s="288"/>
      <c r="M995" s="288"/>
      <c r="N995" s="288"/>
      <c r="O995" s="288"/>
      <c r="P995" s="288"/>
      <c r="Q995" s="288"/>
      <c r="R995" s="257"/>
      <c r="S995" s="258"/>
      <c r="T995" s="255"/>
      <c r="U995" s="255"/>
      <c r="V995" s="259"/>
      <c r="W995" s="286"/>
      <c r="X995" s="286"/>
      <c r="Y995" s="286"/>
    </row>
    <row r="996">
      <c r="A996" s="28"/>
      <c r="B996" s="293"/>
      <c r="C996" s="28"/>
      <c r="D996" s="289"/>
      <c r="E996" s="294"/>
      <c r="F996" s="291"/>
      <c r="G996" s="292"/>
      <c r="H996" s="292"/>
      <c r="I996" s="292"/>
      <c r="J996" s="292"/>
      <c r="K996" s="288"/>
      <c r="L996" s="288"/>
      <c r="M996" s="288"/>
      <c r="N996" s="288"/>
      <c r="O996" s="288"/>
      <c r="P996" s="288"/>
      <c r="Q996" s="288"/>
      <c r="R996" s="257"/>
      <c r="S996" s="258"/>
      <c r="T996" s="255"/>
      <c r="U996" s="255"/>
      <c r="V996" s="259"/>
      <c r="W996" s="286"/>
      <c r="X996" s="286"/>
      <c r="Y996" s="286"/>
    </row>
    <row r="997">
      <c r="A997" s="28"/>
      <c r="B997" s="293"/>
      <c r="C997" s="28"/>
      <c r="D997" s="289"/>
      <c r="E997" s="294"/>
      <c r="F997" s="291"/>
      <c r="G997" s="292"/>
      <c r="H997" s="292"/>
      <c r="I997" s="292"/>
      <c r="J997" s="292"/>
      <c r="K997" s="288"/>
      <c r="L997" s="288"/>
      <c r="M997" s="288"/>
      <c r="N997" s="288"/>
      <c r="O997" s="288"/>
      <c r="P997" s="288"/>
      <c r="Q997" s="288"/>
      <c r="R997" s="257"/>
      <c r="S997" s="258"/>
      <c r="T997" s="255"/>
      <c r="U997" s="255"/>
      <c r="V997" s="259"/>
      <c r="W997" s="286"/>
      <c r="X997" s="286"/>
      <c r="Y997" s="286"/>
    </row>
    <row r="998">
      <c r="A998" s="28"/>
      <c r="B998" s="293"/>
      <c r="C998" s="28"/>
      <c r="D998" s="289"/>
      <c r="E998" s="294"/>
      <c r="F998" s="291"/>
      <c r="G998" s="292"/>
      <c r="H998" s="292"/>
      <c r="I998" s="292"/>
      <c r="J998" s="292"/>
      <c r="K998" s="288"/>
      <c r="L998" s="288"/>
      <c r="M998" s="288"/>
      <c r="N998" s="288"/>
      <c r="O998" s="288"/>
      <c r="P998" s="288"/>
      <c r="Q998" s="288"/>
      <c r="R998" s="257"/>
      <c r="S998" s="258"/>
      <c r="T998" s="255"/>
      <c r="U998" s="255"/>
      <c r="V998" s="259"/>
      <c r="W998" s="286"/>
      <c r="X998" s="286"/>
      <c r="Y998" s="286"/>
    </row>
    <row r="999">
      <c r="A999" s="28"/>
      <c r="B999" s="293"/>
      <c r="C999" s="28"/>
      <c r="D999" s="289"/>
      <c r="E999" s="294"/>
      <c r="F999" s="291"/>
      <c r="G999" s="292"/>
      <c r="H999" s="292"/>
      <c r="I999" s="292"/>
      <c r="J999" s="292"/>
      <c r="K999" s="288"/>
      <c r="L999" s="288"/>
      <c r="M999" s="288"/>
      <c r="N999" s="288"/>
      <c r="O999" s="288"/>
      <c r="P999" s="288"/>
      <c r="Q999" s="288"/>
      <c r="R999" s="257"/>
      <c r="S999" s="258"/>
      <c r="T999" s="255"/>
      <c r="U999" s="255"/>
      <c r="V999" s="259"/>
      <c r="W999" s="286"/>
      <c r="X999" s="286"/>
      <c r="Y999" s="286"/>
    </row>
    <row r="1000">
      <c r="A1000" s="28"/>
      <c r="B1000" s="293"/>
      <c r="C1000" s="28"/>
      <c r="D1000" s="289"/>
      <c r="E1000" s="294"/>
      <c r="F1000" s="291"/>
      <c r="G1000" s="292"/>
      <c r="H1000" s="292"/>
      <c r="I1000" s="292"/>
      <c r="J1000" s="292"/>
      <c r="K1000" s="288"/>
      <c r="L1000" s="288"/>
      <c r="M1000" s="288"/>
      <c r="N1000" s="288"/>
      <c r="O1000" s="288"/>
      <c r="P1000" s="288"/>
      <c r="Q1000" s="288"/>
      <c r="R1000" s="257"/>
      <c r="S1000" s="258"/>
      <c r="T1000" s="255"/>
      <c r="U1000" s="255"/>
      <c r="V1000" s="259"/>
      <c r="W1000" s="286"/>
      <c r="X1000" s="286"/>
      <c r="Y1000" s="286"/>
    </row>
    <row r="1001">
      <c r="A1001" s="28"/>
      <c r="B1001" s="293"/>
      <c r="C1001" s="28"/>
      <c r="D1001" s="289"/>
      <c r="E1001" s="294"/>
      <c r="F1001" s="291"/>
      <c r="G1001" s="292"/>
      <c r="H1001" s="292"/>
      <c r="I1001" s="292"/>
      <c r="J1001" s="292"/>
      <c r="K1001" s="288"/>
      <c r="L1001" s="288"/>
      <c r="M1001" s="288"/>
      <c r="N1001" s="288"/>
      <c r="O1001" s="288"/>
      <c r="P1001" s="288"/>
      <c r="Q1001" s="288"/>
      <c r="R1001" s="257"/>
      <c r="S1001" s="258"/>
      <c r="T1001" s="255"/>
      <c r="U1001" s="255"/>
      <c r="V1001" s="259"/>
      <c r="W1001" s="286"/>
      <c r="X1001" s="286"/>
      <c r="Y1001" s="286"/>
    </row>
    <row r="1002">
      <c r="A1002" s="28"/>
      <c r="B1002" s="293"/>
      <c r="C1002" s="28"/>
      <c r="D1002" s="289"/>
      <c r="E1002" s="294"/>
      <c r="F1002" s="291"/>
      <c r="G1002" s="292"/>
      <c r="H1002" s="292"/>
      <c r="I1002" s="292"/>
      <c r="J1002" s="292"/>
      <c r="K1002" s="288"/>
      <c r="L1002" s="288"/>
      <c r="M1002" s="288"/>
      <c r="N1002" s="288"/>
      <c r="O1002" s="288"/>
      <c r="P1002" s="288"/>
      <c r="Q1002" s="288"/>
      <c r="R1002" s="257"/>
      <c r="S1002" s="258"/>
      <c r="T1002" s="255"/>
      <c r="U1002" s="255"/>
      <c r="V1002" s="259"/>
      <c r="W1002" s="286"/>
      <c r="X1002" s="286"/>
      <c r="Y1002" s="286"/>
    </row>
    <row r="1003">
      <c r="A1003" s="28"/>
      <c r="B1003" s="293"/>
      <c r="C1003" s="28"/>
      <c r="D1003" s="289"/>
      <c r="E1003" s="294"/>
      <c r="F1003" s="291"/>
      <c r="G1003" s="292"/>
      <c r="H1003" s="292"/>
      <c r="I1003" s="292"/>
      <c r="J1003" s="292"/>
      <c r="K1003" s="288"/>
      <c r="L1003" s="288"/>
      <c r="M1003" s="288"/>
      <c r="N1003" s="288"/>
      <c r="O1003" s="288"/>
      <c r="P1003" s="288"/>
      <c r="Q1003" s="288"/>
      <c r="R1003" s="257"/>
      <c r="S1003" s="258"/>
      <c r="T1003" s="255"/>
      <c r="U1003" s="255"/>
      <c r="V1003" s="259"/>
      <c r="W1003" s="286"/>
      <c r="X1003" s="286"/>
      <c r="Y1003" s="286"/>
    </row>
    <row r="1004">
      <c r="A1004" s="28"/>
      <c r="B1004" s="293"/>
      <c r="C1004" s="28"/>
      <c r="D1004" s="289"/>
      <c r="E1004" s="294"/>
      <c r="F1004" s="291"/>
      <c r="G1004" s="292"/>
      <c r="H1004" s="292"/>
      <c r="I1004" s="292"/>
      <c r="J1004" s="292"/>
      <c r="K1004" s="288"/>
      <c r="L1004" s="288"/>
      <c r="M1004" s="288"/>
      <c r="N1004" s="288"/>
      <c r="O1004" s="288"/>
      <c r="P1004" s="288"/>
      <c r="Q1004" s="288"/>
      <c r="R1004" s="257"/>
      <c r="S1004" s="258"/>
      <c r="T1004" s="255"/>
      <c r="U1004" s="255"/>
      <c r="V1004" s="259"/>
      <c r="W1004" s="286"/>
      <c r="X1004" s="286"/>
      <c r="Y1004" s="286"/>
    </row>
    <row r="1005">
      <c r="A1005" s="28"/>
      <c r="B1005" s="293"/>
      <c r="C1005" s="28"/>
      <c r="D1005" s="289"/>
      <c r="E1005" s="294"/>
      <c r="F1005" s="291"/>
      <c r="G1005" s="292"/>
      <c r="H1005" s="292"/>
      <c r="I1005" s="292"/>
      <c r="J1005" s="292"/>
      <c r="K1005" s="288"/>
      <c r="L1005" s="288"/>
      <c r="M1005" s="288"/>
      <c r="N1005" s="288"/>
      <c r="O1005" s="288"/>
      <c r="P1005" s="288"/>
      <c r="Q1005" s="288"/>
      <c r="R1005" s="257"/>
      <c r="S1005" s="258"/>
      <c r="T1005" s="255"/>
      <c r="U1005" s="255"/>
      <c r="V1005" s="259"/>
      <c r="W1005" s="286"/>
      <c r="X1005" s="286"/>
      <c r="Y1005" s="286"/>
    </row>
    <row r="1006">
      <c r="A1006" s="28"/>
      <c r="B1006" s="293"/>
      <c r="C1006" s="28"/>
      <c r="D1006" s="289"/>
      <c r="E1006" s="294"/>
      <c r="F1006" s="291"/>
      <c r="G1006" s="292"/>
      <c r="H1006" s="292"/>
      <c r="I1006" s="292"/>
      <c r="J1006" s="292"/>
      <c r="K1006" s="288"/>
      <c r="L1006" s="288"/>
      <c r="M1006" s="288"/>
      <c r="N1006" s="288"/>
      <c r="O1006" s="288"/>
      <c r="P1006" s="288"/>
      <c r="Q1006" s="288"/>
      <c r="R1006" s="257"/>
      <c r="S1006" s="258"/>
      <c r="T1006" s="255"/>
      <c r="U1006" s="255"/>
      <c r="V1006" s="259"/>
      <c r="W1006" s="286"/>
      <c r="X1006" s="286"/>
      <c r="Y1006" s="286"/>
    </row>
    <row r="1007">
      <c r="A1007" s="28"/>
      <c r="B1007" s="293"/>
      <c r="C1007" s="28"/>
      <c r="D1007" s="289"/>
      <c r="E1007" s="294"/>
      <c r="F1007" s="291"/>
      <c r="G1007" s="292"/>
      <c r="H1007" s="292"/>
      <c r="I1007" s="292"/>
      <c r="J1007" s="292"/>
      <c r="K1007" s="288"/>
      <c r="L1007" s="288"/>
      <c r="M1007" s="288"/>
      <c r="N1007" s="288"/>
      <c r="O1007" s="288"/>
      <c r="P1007" s="288"/>
      <c r="Q1007" s="288"/>
      <c r="R1007" s="257"/>
      <c r="S1007" s="258"/>
      <c r="T1007" s="255"/>
      <c r="U1007" s="255"/>
      <c r="V1007" s="259"/>
      <c r="W1007" s="286"/>
      <c r="X1007" s="286"/>
      <c r="Y1007" s="286"/>
    </row>
    <row r="1008">
      <c r="A1008" s="28"/>
      <c r="B1008" s="293"/>
      <c r="C1008" s="28"/>
      <c r="D1008" s="289"/>
      <c r="E1008" s="294"/>
      <c r="F1008" s="291"/>
      <c r="G1008" s="292"/>
      <c r="H1008" s="292"/>
      <c r="I1008" s="292"/>
      <c r="J1008" s="292"/>
      <c r="K1008" s="288"/>
      <c r="L1008" s="288"/>
      <c r="M1008" s="288"/>
      <c r="N1008" s="288"/>
      <c r="O1008" s="288"/>
      <c r="P1008" s="288"/>
      <c r="Q1008" s="288"/>
      <c r="R1008" s="257"/>
      <c r="S1008" s="258"/>
      <c r="T1008" s="255"/>
      <c r="U1008" s="255"/>
      <c r="V1008" s="259"/>
      <c r="W1008" s="286"/>
      <c r="X1008" s="286"/>
      <c r="Y1008" s="286"/>
    </row>
    <row r="1009">
      <c r="A1009" s="28"/>
      <c r="B1009" s="293"/>
      <c r="C1009" s="28"/>
      <c r="D1009" s="289"/>
      <c r="E1009" s="294"/>
      <c r="F1009" s="291"/>
      <c r="G1009" s="292"/>
      <c r="H1009" s="292"/>
      <c r="I1009" s="292"/>
      <c r="J1009" s="292"/>
      <c r="K1009" s="288"/>
      <c r="L1009" s="288"/>
      <c r="M1009" s="288"/>
      <c r="N1009" s="288"/>
      <c r="O1009" s="288"/>
      <c r="P1009" s="288"/>
      <c r="Q1009" s="288"/>
      <c r="R1009" s="257"/>
      <c r="S1009" s="258"/>
      <c r="T1009" s="255"/>
      <c r="U1009" s="255"/>
      <c r="V1009" s="259"/>
      <c r="W1009" s="286"/>
      <c r="X1009" s="286"/>
      <c r="Y1009" s="286"/>
    </row>
    <row r="1010">
      <c r="A1010" s="28"/>
      <c r="B1010" s="293"/>
      <c r="C1010" s="28"/>
      <c r="D1010" s="289"/>
      <c r="E1010" s="294"/>
      <c r="F1010" s="291"/>
      <c r="G1010" s="292"/>
      <c r="H1010" s="292"/>
      <c r="I1010" s="292"/>
      <c r="J1010" s="292"/>
      <c r="K1010" s="288"/>
      <c r="L1010" s="288"/>
      <c r="M1010" s="288"/>
      <c r="N1010" s="288"/>
      <c r="O1010" s="288"/>
      <c r="P1010" s="288"/>
      <c r="Q1010" s="288"/>
      <c r="R1010" s="257"/>
      <c r="S1010" s="258"/>
      <c r="T1010" s="255"/>
      <c r="U1010" s="255"/>
      <c r="V1010" s="259"/>
      <c r="W1010" s="286"/>
      <c r="X1010" s="286"/>
      <c r="Y1010" s="286"/>
    </row>
    <row r="1011">
      <c r="A1011" s="28"/>
      <c r="B1011" s="293"/>
      <c r="C1011" s="28"/>
      <c r="D1011" s="289"/>
      <c r="E1011" s="294"/>
      <c r="F1011" s="291"/>
      <c r="G1011" s="292"/>
      <c r="H1011" s="292"/>
      <c r="I1011" s="292"/>
      <c r="J1011" s="292"/>
      <c r="K1011" s="288"/>
      <c r="L1011" s="288"/>
      <c r="M1011" s="288"/>
      <c r="N1011" s="288"/>
      <c r="O1011" s="288"/>
      <c r="P1011" s="288"/>
      <c r="Q1011" s="288"/>
      <c r="R1011" s="257"/>
      <c r="S1011" s="258"/>
      <c r="T1011" s="255"/>
      <c r="U1011" s="255"/>
      <c r="V1011" s="259"/>
      <c r="W1011" s="286"/>
      <c r="X1011" s="286"/>
      <c r="Y1011" s="286"/>
    </row>
    <row r="1012">
      <c r="A1012" s="28"/>
      <c r="B1012" s="293"/>
      <c r="C1012" s="28"/>
      <c r="D1012" s="289"/>
      <c r="E1012" s="294"/>
      <c r="F1012" s="291"/>
      <c r="G1012" s="292"/>
      <c r="H1012" s="292"/>
      <c r="I1012" s="292"/>
      <c r="J1012" s="292"/>
      <c r="K1012" s="288"/>
      <c r="L1012" s="288"/>
      <c r="M1012" s="288"/>
      <c r="N1012" s="288"/>
      <c r="O1012" s="288"/>
      <c r="P1012" s="288"/>
      <c r="Q1012" s="288"/>
      <c r="R1012" s="257"/>
      <c r="S1012" s="258"/>
      <c r="T1012" s="255"/>
      <c r="U1012" s="255"/>
      <c r="V1012" s="259"/>
      <c r="W1012" s="286"/>
      <c r="X1012" s="286"/>
      <c r="Y1012" s="286"/>
    </row>
    <row r="1013">
      <c r="A1013" s="28"/>
      <c r="B1013" s="293"/>
      <c r="C1013" s="28"/>
      <c r="D1013" s="289"/>
      <c r="E1013" s="294"/>
      <c r="F1013" s="291"/>
      <c r="G1013" s="292"/>
      <c r="H1013" s="292"/>
      <c r="I1013" s="292"/>
      <c r="J1013" s="292"/>
      <c r="K1013" s="288"/>
      <c r="L1013" s="288"/>
      <c r="M1013" s="288"/>
      <c r="N1013" s="288"/>
      <c r="O1013" s="288"/>
      <c r="P1013" s="288"/>
      <c r="Q1013" s="288"/>
      <c r="R1013" s="257"/>
      <c r="S1013" s="258"/>
      <c r="T1013" s="255"/>
      <c r="U1013" s="255"/>
      <c r="V1013" s="259"/>
      <c r="W1013" s="286"/>
      <c r="X1013" s="286"/>
      <c r="Y1013" s="286"/>
    </row>
    <row r="1014">
      <c r="A1014" s="28"/>
      <c r="B1014" s="293"/>
      <c r="C1014" s="28"/>
      <c r="D1014" s="289"/>
      <c r="E1014" s="294"/>
      <c r="F1014" s="291"/>
      <c r="G1014" s="292"/>
      <c r="H1014" s="292"/>
      <c r="I1014" s="292"/>
      <c r="J1014" s="292"/>
      <c r="K1014" s="288"/>
      <c r="L1014" s="288"/>
      <c r="M1014" s="288"/>
      <c r="N1014" s="288"/>
      <c r="O1014" s="288"/>
      <c r="P1014" s="288"/>
      <c r="Q1014" s="288"/>
      <c r="R1014" s="257"/>
      <c r="S1014" s="258"/>
      <c r="T1014" s="255"/>
      <c r="U1014" s="255"/>
      <c r="V1014" s="259"/>
      <c r="W1014" s="286"/>
      <c r="X1014" s="286"/>
      <c r="Y1014" s="286"/>
    </row>
    <row r="1015">
      <c r="A1015" s="28"/>
      <c r="B1015" s="293"/>
      <c r="C1015" s="28"/>
      <c r="D1015" s="289"/>
      <c r="E1015" s="294"/>
      <c r="F1015" s="291"/>
      <c r="G1015" s="292"/>
      <c r="H1015" s="292"/>
      <c r="I1015" s="292"/>
      <c r="J1015" s="292"/>
      <c r="K1015" s="288"/>
      <c r="L1015" s="288"/>
      <c r="M1015" s="288"/>
      <c r="N1015" s="288"/>
      <c r="O1015" s="288"/>
      <c r="P1015" s="288"/>
      <c r="Q1015" s="288"/>
      <c r="R1015" s="257"/>
      <c r="S1015" s="258"/>
      <c r="T1015" s="255"/>
      <c r="U1015" s="255"/>
      <c r="V1015" s="259"/>
      <c r="W1015" s="286"/>
      <c r="X1015" s="286"/>
      <c r="Y1015" s="286"/>
    </row>
    <row r="1016">
      <c r="A1016" s="28"/>
      <c r="B1016" s="293"/>
      <c r="C1016" s="28"/>
      <c r="D1016" s="289"/>
      <c r="E1016" s="294"/>
      <c r="F1016" s="291"/>
      <c r="G1016" s="292"/>
      <c r="H1016" s="292"/>
      <c r="I1016" s="292"/>
      <c r="J1016" s="292"/>
      <c r="K1016" s="288"/>
      <c r="L1016" s="288"/>
      <c r="M1016" s="288"/>
      <c r="N1016" s="288"/>
      <c r="O1016" s="288"/>
      <c r="P1016" s="288"/>
      <c r="Q1016" s="288"/>
      <c r="R1016" s="257"/>
      <c r="S1016" s="258"/>
      <c r="T1016" s="255"/>
      <c r="U1016" s="255"/>
      <c r="V1016" s="259"/>
      <c r="W1016" s="286"/>
      <c r="X1016" s="286"/>
      <c r="Y1016" s="286"/>
    </row>
    <row r="1017">
      <c r="A1017" s="28"/>
      <c r="B1017" s="293"/>
      <c r="C1017" s="28"/>
      <c r="D1017" s="289"/>
      <c r="E1017" s="294"/>
      <c r="F1017" s="291"/>
      <c r="G1017" s="292"/>
      <c r="H1017" s="292"/>
      <c r="I1017" s="292"/>
      <c r="J1017" s="292"/>
      <c r="K1017" s="288"/>
      <c r="L1017" s="288"/>
      <c r="M1017" s="288"/>
      <c r="N1017" s="288"/>
      <c r="O1017" s="288"/>
      <c r="P1017" s="288"/>
      <c r="Q1017" s="288"/>
      <c r="R1017" s="257"/>
      <c r="S1017" s="258"/>
      <c r="T1017" s="255"/>
      <c r="U1017" s="255"/>
      <c r="V1017" s="259"/>
      <c r="W1017" s="286"/>
      <c r="X1017" s="286"/>
      <c r="Y1017" s="286"/>
    </row>
    <row r="1018">
      <c r="A1018" s="28"/>
      <c r="B1018" s="293"/>
      <c r="C1018" s="28"/>
      <c r="D1018" s="289"/>
      <c r="E1018" s="294"/>
      <c r="F1018" s="291"/>
      <c r="G1018" s="292"/>
      <c r="H1018" s="292"/>
      <c r="I1018" s="292"/>
      <c r="J1018" s="292"/>
      <c r="K1018" s="288"/>
      <c r="L1018" s="288"/>
      <c r="M1018" s="288"/>
      <c r="N1018" s="288"/>
      <c r="O1018" s="288"/>
      <c r="P1018" s="288"/>
      <c r="Q1018" s="288"/>
      <c r="R1018" s="257"/>
      <c r="S1018" s="258"/>
      <c r="T1018" s="255"/>
      <c r="U1018" s="255"/>
      <c r="V1018" s="259"/>
      <c r="W1018" s="286"/>
      <c r="X1018" s="286"/>
      <c r="Y1018" s="286"/>
    </row>
    <row r="1019">
      <c r="A1019" s="28"/>
      <c r="B1019" s="293"/>
      <c r="C1019" s="28"/>
      <c r="D1019" s="289"/>
      <c r="E1019" s="294"/>
      <c r="F1019" s="291"/>
      <c r="G1019" s="292"/>
      <c r="H1019" s="292"/>
      <c r="I1019" s="292"/>
      <c r="J1019" s="292"/>
      <c r="K1019" s="288"/>
      <c r="L1019" s="288"/>
      <c r="M1019" s="288"/>
      <c r="N1019" s="288"/>
      <c r="O1019" s="288"/>
      <c r="P1019" s="288"/>
      <c r="Q1019" s="288"/>
      <c r="R1019" s="257"/>
      <c r="S1019" s="258"/>
      <c r="T1019" s="255"/>
      <c r="U1019" s="255"/>
      <c r="V1019" s="259"/>
      <c r="W1019" s="286"/>
      <c r="X1019" s="286"/>
      <c r="Y1019" s="286"/>
    </row>
    <row r="1020">
      <c r="A1020" s="28"/>
      <c r="B1020" s="293"/>
      <c r="C1020" s="28"/>
      <c r="D1020" s="289"/>
      <c r="E1020" s="294"/>
      <c r="F1020" s="291"/>
      <c r="G1020" s="292"/>
      <c r="H1020" s="292"/>
      <c r="I1020" s="292"/>
      <c r="J1020" s="292"/>
      <c r="K1020" s="288"/>
      <c r="L1020" s="288"/>
      <c r="M1020" s="288"/>
      <c r="N1020" s="288"/>
      <c r="O1020" s="288"/>
      <c r="P1020" s="288"/>
      <c r="Q1020" s="288"/>
      <c r="R1020" s="257"/>
      <c r="S1020" s="258"/>
      <c r="T1020" s="255"/>
      <c r="U1020" s="255"/>
      <c r="V1020" s="259"/>
      <c r="W1020" s="286"/>
      <c r="X1020" s="286"/>
      <c r="Y1020" s="286"/>
    </row>
    <row r="1021">
      <c r="A1021" s="28"/>
      <c r="B1021" s="293"/>
      <c r="C1021" s="28"/>
      <c r="D1021" s="289"/>
      <c r="E1021" s="294"/>
      <c r="F1021" s="291"/>
      <c r="G1021" s="292"/>
      <c r="H1021" s="292"/>
      <c r="I1021" s="292"/>
      <c r="J1021" s="292"/>
      <c r="K1021" s="288"/>
      <c r="L1021" s="288"/>
      <c r="M1021" s="288"/>
      <c r="N1021" s="288"/>
      <c r="O1021" s="288"/>
      <c r="P1021" s="288"/>
      <c r="Q1021" s="288"/>
      <c r="R1021" s="257"/>
      <c r="S1021" s="258"/>
      <c r="T1021" s="255"/>
      <c r="U1021" s="255"/>
      <c r="V1021" s="259"/>
      <c r="W1021" s="286"/>
      <c r="X1021" s="286"/>
      <c r="Y1021" s="286"/>
    </row>
    <row r="1022">
      <c r="A1022" s="28"/>
      <c r="B1022" s="293"/>
      <c r="C1022" s="28"/>
      <c r="D1022" s="289"/>
      <c r="E1022" s="294"/>
      <c r="F1022" s="291"/>
      <c r="G1022" s="292"/>
      <c r="H1022" s="292"/>
      <c r="I1022" s="292"/>
      <c r="J1022" s="292"/>
      <c r="K1022" s="288"/>
      <c r="L1022" s="288"/>
      <c r="M1022" s="288"/>
      <c r="N1022" s="288"/>
      <c r="O1022" s="288"/>
      <c r="P1022" s="288"/>
      <c r="Q1022" s="288"/>
      <c r="R1022" s="257"/>
      <c r="S1022" s="258"/>
      <c r="T1022" s="255"/>
      <c r="U1022" s="255"/>
      <c r="V1022" s="259"/>
      <c r="W1022" s="286"/>
      <c r="X1022" s="286"/>
      <c r="Y1022" s="286"/>
    </row>
    <row r="1023">
      <c r="A1023" s="28"/>
      <c r="B1023" s="293"/>
      <c r="C1023" s="28"/>
      <c r="D1023" s="289"/>
      <c r="E1023" s="294"/>
      <c r="F1023" s="291"/>
      <c r="G1023" s="292"/>
      <c r="H1023" s="292"/>
      <c r="I1023" s="292"/>
      <c r="J1023" s="292"/>
      <c r="K1023" s="288"/>
      <c r="L1023" s="288"/>
      <c r="M1023" s="288"/>
      <c r="N1023" s="288"/>
      <c r="O1023" s="288"/>
      <c r="P1023" s="288"/>
      <c r="Q1023" s="288"/>
      <c r="R1023" s="257"/>
      <c r="S1023" s="258"/>
      <c r="T1023" s="255"/>
      <c r="U1023" s="255"/>
      <c r="V1023" s="259"/>
      <c r="W1023" s="286"/>
      <c r="X1023" s="286"/>
      <c r="Y1023" s="286"/>
    </row>
    <row r="1024">
      <c r="A1024" s="28"/>
      <c r="B1024" s="293"/>
      <c r="C1024" s="28"/>
      <c r="D1024" s="289"/>
      <c r="E1024" s="294"/>
      <c r="F1024" s="291"/>
      <c r="G1024" s="292"/>
      <c r="H1024" s="292"/>
      <c r="I1024" s="292"/>
      <c r="J1024" s="292"/>
      <c r="K1024" s="288"/>
      <c r="L1024" s="288"/>
      <c r="M1024" s="288"/>
      <c r="N1024" s="288"/>
      <c r="O1024" s="288"/>
      <c r="P1024" s="288"/>
      <c r="Q1024" s="288"/>
      <c r="R1024" s="257"/>
      <c r="S1024" s="258"/>
      <c r="T1024" s="255"/>
      <c r="U1024" s="255"/>
      <c r="V1024" s="259"/>
      <c r="W1024" s="286"/>
      <c r="X1024" s="286"/>
      <c r="Y1024" s="286"/>
    </row>
    <row r="1025">
      <c r="A1025" s="28"/>
      <c r="B1025" s="293"/>
      <c r="C1025" s="28"/>
      <c r="D1025" s="289"/>
      <c r="E1025" s="294"/>
      <c r="F1025" s="291"/>
      <c r="G1025" s="292"/>
      <c r="H1025" s="292"/>
      <c r="I1025" s="292"/>
      <c r="J1025" s="292"/>
      <c r="K1025" s="288"/>
      <c r="L1025" s="288"/>
      <c r="M1025" s="288"/>
      <c r="N1025" s="288"/>
      <c r="O1025" s="288"/>
      <c r="P1025" s="288"/>
      <c r="Q1025" s="288"/>
      <c r="R1025" s="257"/>
      <c r="S1025" s="258"/>
      <c r="T1025" s="255"/>
      <c r="U1025" s="255"/>
      <c r="V1025" s="259"/>
      <c r="W1025" s="286"/>
      <c r="X1025" s="286"/>
      <c r="Y1025" s="286"/>
    </row>
    <row r="1026">
      <c r="A1026" s="28"/>
      <c r="B1026" s="293"/>
      <c r="C1026" s="28"/>
      <c r="D1026" s="289"/>
      <c r="E1026" s="294"/>
      <c r="F1026" s="291"/>
      <c r="G1026" s="292"/>
      <c r="H1026" s="292"/>
      <c r="I1026" s="292"/>
      <c r="J1026" s="292"/>
      <c r="K1026" s="288"/>
      <c r="L1026" s="288"/>
      <c r="M1026" s="288"/>
      <c r="N1026" s="288"/>
      <c r="O1026" s="288"/>
      <c r="P1026" s="288"/>
      <c r="Q1026" s="288"/>
      <c r="R1026" s="257"/>
      <c r="S1026" s="258"/>
      <c r="T1026" s="255"/>
      <c r="U1026" s="255"/>
      <c r="V1026" s="259"/>
      <c r="W1026" s="286"/>
      <c r="X1026" s="286"/>
      <c r="Y1026" s="286"/>
    </row>
    <row r="1027">
      <c r="A1027" s="28"/>
      <c r="B1027" s="293"/>
      <c r="C1027" s="28"/>
      <c r="D1027" s="289"/>
      <c r="E1027" s="294"/>
      <c r="F1027" s="291"/>
      <c r="G1027" s="292"/>
      <c r="H1027" s="292"/>
      <c r="I1027" s="292"/>
      <c r="J1027" s="292"/>
      <c r="K1027" s="288"/>
      <c r="L1027" s="288"/>
      <c r="M1027" s="288"/>
      <c r="N1027" s="288"/>
      <c r="O1027" s="288"/>
      <c r="P1027" s="288"/>
      <c r="Q1027" s="288"/>
      <c r="R1027" s="257"/>
      <c r="S1027" s="258"/>
      <c r="T1027" s="255"/>
      <c r="U1027" s="255"/>
      <c r="V1027" s="259"/>
      <c r="W1027" s="286"/>
      <c r="X1027" s="286"/>
      <c r="Y1027" s="286"/>
    </row>
    <row r="1028">
      <c r="A1028" s="28"/>
      <c r="B1028" s="293"/>
      <c r="C1028" s="28"/>
      <c r="D1028" s="289"/>
      <c r="E1028" s="294"/>
      <c r="F1028" s="291"/>
      <c r="G1028" s="292"/>
      <c r="H1028" s="292"/>
      <c r="I1028" s="292"/>
      <c r="J1028" s="292"/>
      <c r="K1028" s="288"/>
      <c r="L1028" s="288"/>
      <c r="M1028" s="288"/>
      <c r="N1028" s="288"/>
      <c r="O1028" s="288"/>
      <c r="P1028" s="288"/>
      <c r="Q1028" s="288"/>
      <c r="R1028" s="257"/>
      <c r="S1028" s="258"/>
      <c r="T1028" s="255"/>
      <c r="U1028" s="255"/>
      <c r="V1028" s="259"/>
      <c r="W1028" s="286"/>
      <c r="X1028" s="286"/>
      <c r="Y1028" s="286"/>
    </row>
    <row r="1029">
      <c r="A1029" s="28"/>
      <c r="B1029" s="293"/>
      <c r="C1029" s="28"/>
      <c r="D1029" s="289"/>
      <c r="E1029" s="294"/>
      <c r="F1029" s="291"/>
      <c r="G1029" s="292"/>
      <c r="H1029" s="292"/>
      <c r="I1029" s="292"/>
      <c r="J1029" s="292"/>
      <c r="K1029" s="288"/>
      <c r="L1029" s="288"/>
      <c r="M1029" s="288"/>
      <c r="N1029" s="288"/>
      <c r="O1029" s="288"/>
      <c r="P1029" s="288"/>
      <c r="Q1029" s="288"/>
      <c r="R1029" s="257"/>
      <c r="S1029" s="258"/>
      <c r="T1029" s="255"/>
      <c r="U1029" s="255"/>
      <c r="V1029" s="259"/>
      <c r="W1029" s="286"/>
      <c r="X1029" s="286"/>
      <c r="Y1029" s="286"/>
    </row>
    <row r="1030">
      <c r="A1030" s="28"/>
      <c r="B1030" s="293"/>
      <c r="C1030" s="28"/>
      <c r="D1030" s="289"/>
      <c r="E1030" s="294"/>
      <c r="F1030" s="291"/>
      <c r="G1030" s="292"/>
      <c r="H1030" s="292"/>
      <c r="I1030" s="292"/>
      <c r="J1030" s="292"/>
      <c r="K1030" s="288"/>
      <c r="L1030" s="288"/>
      <c r="M1030" s="288"/>
      <c r="N1030" s="288"/>
      <c r="O1030" s="288"/>
      <c r="P1030" s="288"/>
      <c r="Q1030" s="288"/>
      <c r="R1030" s="257"/>
      <c r="S1030" s="258"/>
      <c r="T1030" s="255"/>
      <c r="U1030" s="255"/>
      <c r="V1030" s="259"/>
      <c r="W1030" s="286"/>
      <c r="X1030" s="286"/>
      <c r="Y1030" s="286"/>
    </row>
    <row r="1031">
      <c r="A1031" s="28"/>
      <c r="B1031" s="293"/>
      <c r="C1031" s="28"/>
      <c r="D1031" s="289"/>
      <c r="E1031" s="294"/>
      <c r="F1031" s="291"/>
      <c r="G1031" s="292"/>
      <c r="H1031" s="292"/>
      <c r="I1031" s="292"/>
      <c r="J1031" s="292"/>
      <c r="K1031" s="288"/>
      <c r="L1031" s="288"/>
      <c r="M1031" s="288"/>
      <c r="N1031" s="288"/>
      <c r="O1031" s="288"/>
      <c r="P1031" s="288"/>
      <c r="Q1031" s="288"/>
      <c r="R1031" s="257"/>
      <c r="S1031" s="258"/>
      <c r="T1031" s="255"/>
      <c r="U1031" s="255"/>
      <c r="V1031" s="259"/>
      <c r="W1031" s="286"/>
      <c r="X1031" s="286"/>
      <c r="Y1031" s="286"/>
    </row>
    <row r="1032">
      <c r="A1032" s="28"/>
      <c r="B1032" s="293"/>
      <c r="C1032" s="28"/>
      <c r="D1032" s="289"/>
      <c r="E1032" s="294"/>
      <c r="F1032" s="291"/>
      <c r="G1032" s="292"/>
      <c r="H1032" s="292"/>
      <c r="I1032" s="292"/>
      <c r="J1032" s="292"/>
      <c r="K1032" s="288"/>
      <c r="L1032" s="288"/>
      <c r="M1032" s="288"/>
      <c r="N1032" s="288"/>
      <c r="O1032" s="288"/>
      <c r="P1032" s="288"/>
      <c r="Q1032" s="288"/>
      <c r="R1032" s="257"/>
      <c r="S1032" s="258"/>
      <c r="T1032" s="255"/>
      <c r="U1032" s="255"/>
      <c r="V1032" s="259"/>
      <c r="W1032" s="286"/>
      <c r="X1032" s="286"/>
      <c r="Y1032" s="286"/>
    </row>
    <row r="1033">
      <c r="A1033" s="28"/>
      <c r="B1033" s="293"/>
      <c r="C1033" s="28"/>
      <c r="D1033" s="289"/>
      <c r="E1033" s="294"/>
      <c r="F1033" s="291"/>
      <c r="G1033" s="292"/>
      <c r="H1033" s="292"/>
      <c r="I1033" s="292"/>
      <c r="J1033" s="292"/>
      <c r="K1033" s="288"/>
      <c r="L1033" s="288"/>
      <c r="M1033" s="288"/>
      <c r="N1033" s="288"/>
      <c r="O1033" s="288"/>
      <c r="P1033" s="288"/>
      <c r="Q1033" s="288"/>
      <c r="R1033" s="257"/>
      <c r="S1033" s="258"/>
      <c r="T1033" s="255"/>
      <c r="U1033" s="255"/>
      <c r="V1033" s="259"/>
      <c r="W1033" s="286"/>
      <c r="X1033" s="286"/>
      <c r="Y1033" s="286"/>
    </row>
    <row r="1034">
      <c r="A1034" s="28"/>
      <c r="B1034" s="293"/>
      <c r="C1034" s="28"/>
      <c r="D1034" s="289"/>
      <c r="E1034" s="294"/>
      <c r="F1034" s="291"/>
      <c r="G1034" s="292"/>
      <c r="H1034" s="292"/>
      <c r="I1034" s="292"/>
      <c r="J1034" s="292"/>
      <c r="K1034" s="288"/>
      <c r="L1034" s="288"/>
      <c r="M1034" s="288"/>
      <c r="N1034" s="288"/>
      <c r="O1034" s="288"/>
      <c r="P1034" s="288"/>
      <c r="Q1034" s="288"/>
      <c r="R1034" s="257"/>
      <c r="S1034" s="258"/>
      <c r="T1034" s="255"/>
      <c r="U1034" s="255"/>
      <c r="V1034" s="259"/>
      <c r="W1034" s="286"/>
      <c r="X1034" s="286"/>
      <c r="Y1034" s="286"/>
    </row>
    <row r="1035">
      <c r="A1035" s="28"/>
      <c r="B1035" s="293"/>
      <c r="C1035" s="28"/>
      <c r="D1035" s="289"/>
      <c r="E1035" s="294"/>
      <c r="F1035" s="291"/>
      <c r="G1035" s="292"/>
      <c r="H1035" s="292"/>
      <c r="I1035" s="292"/>
      <c r="J1035" s="292"/>
      <c r="K1035" s="288"/>
      <c r="L1035" s="288"/>
      <c r="M1035" s="288"/>
      <c r="N1035" s="288"/>
      <c r="O1035" s="288"/>
      <c r="P1035" s="288"/>
      <c r="Q1035" s="288"/>
      <c r="R1035" s="257"/>
      <c r="S1035" s="258"/>
      <c r="T1035" s="255"/>
      <c r="U1035" s="255"/>
      <c r="V1035" s="259"/>
      <c r="W1035" s="286"/>
      <c r="X1035" s="286"/>
      <c r="Y1035" s="286"/>
    </row>
    <row r="1036">
      <c r="A1036" s="28"/>
      <c r="B1036" s="293"/>
      <c r="C1036" s="28"/>
      <c r="D1036" s="289"/>
      <c r="E1036" s="294"/>
      <c r="F1036" s="291"/>
      <c r="G1036" s="292"/>
      <c r="H1036" s="292"/>
      <c r="I1036" s="292"/>
      <c r="J1036" s="292"/>
      <c r="K1036" s="288"/>
      <c r="L1036" s="288"/>
      <c r="M1036" s="288"/>
      <c r="N1036" s="288"/>
      <c r="O1036" s="288"/>
      <c r="P1036" s="288"/>
      <c r="Q1036" s="288"/>
      <c r="R1036" s="257"/>
      <c r="S1036" s="258"/>
      <c r="T1036" s="255"/>
      <c r="U1036" s="255"/>
      <c r="V1036" s="259"/>
      <c r="W1036" s="286"/>
      <c r="X1036" s="286"/>
      <c r="Y1036" s="286"/>
    </row>
    <row r="1037">
      <c r="A1037" s="28"/>
      <c r="B1037" s="293"/>
      <c r="C1037" s="28"/>
      <c r="D1037" s="289"/>
      <c r="E1037" s="294"/>
      <c r="F1037" s="291"/>
      <c r="G1037" s="292"/>
      <c r="H1037" s="292"/>
      <c r="I1037" s="292"/>
      <c r="J1037" s="292"/>
      <c r="K1037" s="288"/>
      <c r="L1037" s="288"/>
      <c r="M1037" s="288"/>
      <c r="N1037" s="288"/>
      <c r="O1037" s="288"/>
      <c r="P1037" s="288"/>
      <c r="Q1037" s="288"/>
      <c r="R1037" s="257"/>
      <c r="S1037" s="258"/>
      <c r="T1037" s="255"/>
      <c r="U1037" s="255"/>
      <c r="V1037" s="259"/>
      <c r="W1037" s="286"/>
      <c r="X1037" s="286"/>
      <c r="Y1037" s="286"/>
    </row>
    <row r="1038">
      <c r="A1038" s="28"/>
      <c r="B1038" s="293"/>
      <c r="C1038" s="28"/>
      <c r="D1038" s="289"/>
      <c r="E1038" s="294"/>
      <c r="F1038" s="291"/>
      <c r="G1038" s="292"/>
      <c r="H1038" s="292"/>
      <c r="I1038" s="292"/>
      <c r="J1038" s="292"/>
      <c r="K1038" s="288"/>
      <c r="L1038" s="288"/>
      <c r="M1038" s="288"/>
      <c r="N1038" s="288"/>
      <c r="O1038" s="288"/>
      <c r="P1038" s="288"/>
      <c r="Q1038" s="288"/>
      <c r="R1038" s="257"/>
      <c r="S1038" s="258"/>
      <c r="T1038" s="255"/>
      <c r="U1038" s="255"/>
      <c r="V1038" s="259"/>
      <c r="W1038" s="286"/>
      <c r="X1038" s="286"/>
      <c r="Y1038" s="286"/>
    </row>
    <row r="1039">
      <c r="A1039" s="28"/>
      <c r="B1039" s="293"/>
      <c r="C1039" s="28"/>
      <c r="D1039" s="289"/>
      <c r="E1039" s="294"/>
      <c r="F1039" s="291"/>
      <c r="G1039" s="292"/>
      <c r="H1039" s="292"/>
      <c r="I1039" s="292"/>
      <c r="J1039" s="292"/>
      <c r="K1039" s="288"/>
      <c r="L1039" s="288"/>
      <c r="M1039" s="288"/>
      <c r="N1039" s="288"/>
      <c r="O1039" s="288"/>
      <c r="P1039" s="288"/>
      <c r="Q1039" s="288"/>
      <c r="R1039" s="257"/>
      <c r="S1039" s="258"/>
      <c r="T1039" s="255"/>
      <c r="U1039" s="255"/>
      <c r="V1039" s="259"/>
      <c r="W1039" s="286"/>
      <c r="X1039" s="286"/>
      <c r="Y1039" s="286"/>
    </row>
    <row r="1040">
      <c r="A1040" s="28"/>
      <c r="B1040" s="293"/>
      <c r="C1040" s="28"/>
      <c r="D1040" s="289"/>
      <c r="E1040" s="294"/>
      <c r="F1040" s="291"/>
      <c r="G1040" s="292"/>
      <c r="H1040" s="292"/>
      <c r="I1040" s="292"/>
      <c r="J1040" s="292"/>
      <c r="K1040" s="288"/>
      <c r="L1040" s="288"/>
      <c r="M1040" s="288"/>
      <c r="N1040" s="288"/>
      <c r="O1040" s="288"/>
      <c r="P1040" s="288"/>
      <c r="Q1040" s="288"/>
      <c r="R1040" s="257"/>
      <c r="S1040" s="258"/>
      <c r="T1040" s="255"/>
      <c r="U1040" s="255"/>
      <c r="V1040" s="259"/>
      <c r="W1040" s="286"/>
      <c r="X1040" s="286"/>
      <c r="Y1040" s="286"/>
    </row>
    <row r="1041">
      <c r="A1041" s="28"/>
      <c r="B1041" s="293"/>
      <c r="C1041" s="28"/>
      <c r="D1041" s="289"/>
      <c r="E1041" s="294"/>
      <c r="F1041" s="291"/>
      <c r="G1041" s="292"/>
      <c r="H1041" s="292"/>
      <c r="I1041" s="292"/>
      <c r="J1041" s="292"/>
      <c r="K1041" s="288"/>
      <c r="L1041" s="288"/>
      <c r="M1041" s="288"/>
      <c r="N1041" s="288"/>
      <c r="O1041" s="288"/>
      <c r="P1041" s="288"/>
      <c r="Q1041" s="288"/>
      <c r="R1041" s="257"/>
      <c r="S1041" s="258"/>
      <c r="T1041" s="255"/>
      <c r="U1041" s="255"/>
      <c r="V1041" s="259"/>
      <c r="W1041" s="286"/>
      <c r="X1041" s="286"/>
      <c r="Y1041" s="286"/>
    </row>
    <row r="1042">
      <c r="A1042" s="28"/>
      <c r="B1042" s="293"/>
      <c r="C1042" s="28"/>
      <c r="D1042" s="289"/>
      <c r="E1042" s="294"/>
      <c r="F1042" s="291"/>
      <c r="G1042" s="292"/>
      <c r="H1042" s="292"/>
      <c r="I1042" s="292"/>
      <c r="J1042" s="292"/>
      <c r="K1042" s="288"/>
      <c r="L1042" s="288"/>
      <c r="M1042" s="288"/>
      <c r="N1042" s="288"/>
      <c r="O1042" s="288"/>
      <c r="P1042" s="288"/>
      <c r="Q1042" s="288"/>
      <c r="R1042" s="257"/>
      <c r="S1042" s="258"/>
      <c r="T1042" s="255"/>
      <c r="U1042" s="255"/>
      <c r="V1042" s="259"/>
      <c r="W1042" s="286"/>
      <c r="X1042" s="286"/>
      <c r="Y1042" s="286"/>
    </row>
    <row r="1043">
      <c r="A1043" s="28"/>
      <c r="B1043" s="293"/>
      <c r="C1043" s="28"/>
      <c r="D1043" s="289"/>
      <c r="E1043" s="294"/>
      <c r="F1043" s="291"/>
      <c r="G1043" s="292"/>
      <c r="H1043" s="292"/>
      <c r="I1043" s="292"/>
      <c r="J1043" s="292"/>
      <c r="K1043" s="288"/>
      <c r="L1043" s="288"/>
      <c r="M1043" s="288"/>
      <c r="N1043" s="288"/>
      <c r="O1043" s="288"/>
      <c r="P1043" s="288"/>
      <c r="Q1043" s="288"/>
      <c r="R1043" s="257"/>
      <c r="S1043" s="258"/>
      <c r="T1043" s="255"/>
      <c r="U1043" s="255"/>
      <c r="V1043" s="259"/>
      <c r="W1043" s="286"/>
      <c r="X1043" s="286"/>
      <c r="Y1043" s="286"/>
    </row>
    <row r="1044">
      <c r="A1044" s="28"/>
      <c r="B1044" s="293"/>
      <c r="C1044" s="28"/>
      <c r="D1044" s="289"/>
      <c r="E1044" s="294"/>
      <c r="F1044" s="291"/>
      <c r="G1044" s="292"/>
      <c r="H1044" s="292"/>
      <c r="I1044" s="292"/>
      <c r="J1044" s="292"/>
      <c r="K1044" s="288"/>
      <c r="L1044" s="288"/>
      <c r="M1044" s="288"/>
      <c r="N1044" s="288"/>
      <c r="O1044" s="288"/>
      <c r="P1044" s="288"/>
      <c r="Q1044" s="288"/>
      <c r="R1044" s="257"/>
      <c r="S1044" s="258"/>
      <c r="T1044" s="255"/>
      <c r="U1044" s="255"/>
      <c r="V1044" s="259"/>
      <c r="W1044" s="286"/>
      <c r="X1044" s="286"/>
      <c r="Y1044" s="286"/>
    </row>
    <row r="1045">
      <c r="A1045" s="28"/>
      <c r="B1045" s="293"/>
      <c r="C1045" s="28"/>
      <c r="D1045" s="289"/>
      <c r="E1045" s="294"/>
      <c r="F1045" s="291"/>
      <c r="G1045" s="292"/>
      <c r="H1045" s="292"/>
      <c r="I1045" s="292"/>
      <c r="J1045" s="292"/>
      <c r="K1045" s="288"/>
      <c r="L1045" s="288"/>
      <c r="M1045" s="288"/>
      <c r="N1045" s="288"/>
      <c r="O1045" s="288"/>
      <c r="P1045" s="288"/>
      <c r="Q1045" s="288"/>
      <c r="R1045" s="257"/>
      <c r="S1045" s="258"/>
      <c r="T1045" s="255"/>
      <c r="U1045" s="255"/>
      <c r="V1045" s="259"/>
      <c r="W1045" s="286"/>
      <c r="X1045" s="286"/>
      <c r="Y1045" s="286"/>
    </row>
    <row r="1046">
      <c r="A1046" s="28"/>
      <c r="B1046" s="293"/>
      <c r="C1046" s="28"/>
      <c r="D1046" s="289"/>
      <c r="E1046" s="294"/>
      <c r="F1046" s="291"/>
      <c r="G1046" s="292"/>
      <c r="H1046" s="292"/>
      <c r="I1046" s="292"/>
      <c r="J1046" s="292"/>
      <c r="K1046" s="288"/>
      <c r="L1046" s="288"/>
      <c r="M1046" s="288"/>
      <c r="N1046" s="288"/>
      <c r="O1046" s="288"/>
      <c r="P1046" s="288"/>
      <c r="Q1046" s="288"/>
      <c r="R1046" s="257"/>
      <c r="S1046" s="258"/>
      <c r="T1046" s="255"/>
      <c r="U1046" s="255"/>
      <c r="V1046" s="259"/>
      <c r="W1046" s="286"/>
      <c r="X1046" s="286"/>
      <c r="Y1046" s="286"/>
    </row>
    <row r="1047">
      <c r="A1047" s="28"/>
      <c r="B1047" s="293"/>
      <c r="C1047" s="28"/>
      <c r="D1047" s="289"/>
      <c r="E1047" s="294"/>
      <c r="F1047" s="291"/>
      <c r="G1047" s="292"/>
      <c r="H1047" s="292"/>
      <c r="I1047" s="292"/>
      <c r="J1047" s="292"/>
      <c r="K1047" s="288"/>
      <c r="L1047" s="288"/>
      <c r="M1047" s="288"/>
      <c r="N1047" s="288"/>
      <c r="O1047" s="288"/>
      <c r="P1047" s="288"/>
      <c r="Q1047" s="288"/>
      <c r="R1047" s="257"/>
      <c r="S1047" s="258"/>
      <c r="T1047" s="255"/>
      <c r="U1047" s="255"/>
      <c r="V1047" s="259"/>
      <c r="W1047" s="286"/>
      <c r="X1047" s="286"/>
      <c r="Y1047" s="286"/>
    </row>
    <row r="1048">
      <c r="A1048" s="28"/>
      <c r="B1048" s="293"/>
      <c r="C1048" s="28"/>
      <c r="D1048" s="289"/>
      <c r="E1048" s="294"/>
      <c r="F1048" s="291"/>
      <c r="G1048" s="292"/>
      <c r="H1048" s="292"/>
      <c r="I1048" s="292"/>
      <c r="J1048" s="292"/>
      <c r="K1048" s="288"/>
      <c r="L1048" s="288"/>
      <c r="M1048" s="288"/>
      <c r="N1048" s="288"/>
      <c r="O1048" s="288"/>
      <c r="P1048" s="288"/>
      <c r="Q1048" s="288"/>
      <c r="R1048" s="257"/>
      <c r="S1048" s="258"/>
      <c r="T1048" s="255"/>
      <c r="U1048" s="255"/>
      <c r="V1048" s="259"/>
      <c r="W1048" s="286"/>
      <c r="X1048" s="286"/>
      <c r="Y1048" s="286"/>
    </row>
    <row r="1049">
      <c r="A1049" s="28"/>
      <c r="B1049" s="293"/>
      <c r="C1049" s="28"/>
      <c r="D1049" s="289"/>
      <c r="E1049" s="294"/>
      <c r="F1049" s="291"/>
      <c r="G1049" s="292"/>
      <c r="H1049" s="292"/>
      <c r="I1049" s="292"/>
      <c r="J1049" s="292"/>
      <c r="K1049" s="288"/>
      <c r="L1049" s="288"/>
      <c r="M1049" s="288"/>
      <c r="N1049" s="288"/>
      <c r="O1049" s="288"/>
      <c r="P1049" s="288"/>
      <c r="Q1049" s="288"/>
      <c r="R1049" s="257"/>
      <c r="S1049" s="258"/>
      <c r="T1049" s="255"/>
      <c r="U1049" s="255"/>
      <c r="V1049" s="259"/>
      <c r="W1049" s="286"/>
      <c r="X1049" s="286"/>
      <c r="Y1049" s="286"/>
    </row>
    <row r="1050">
      <c r="A1050" s="28"/>
      <c r="B1050" s="293"/>
      <c r="C1050" s="28"/>
      <c r="D1050" s="289"/>
      <c r="E1050" s="294"/>
      <c r="F1050" s="291"/>
      <c r="G1050" s="292"/>
      <c r="H1050" s="292"/>
      <c r="I1050" s="292"/>
      <c r="J1050" s="292"/>
      <c r="K1050" s="288"/>
      <c r="L1050" s="288"/>
      <c r="M1050" s="288"/>
      <c r="N1050" s="288"/>
      <c r="O1050" s="288"/>
      <c r="P1050" s="288"/>
      <c r="Q1050" s="288"/>
      <c r="R1050" s="257"/>
      <c r="S1050" s="258"/>
      <c r="T1050" s="255"/>
      <c r="U1050" s="255"/>
      <c r="V1050" s="259"/>
      <c r="W1050" s="286"/>
      <c r="X1050" s="286"/>
      <c r="Y1050" s="286"/>
    </row>
    <row r="1051">
      <c r="A1051" s="28"/>
      <c r="B1051" s="293"/>
      <c r="C1051" s="28"/>
      <c r="D1051" s="289"/>
      <c r="E1051" s="294"/>
      <c r="F1051" s="291"/>
      <c r="G1051" s="292"/>
      <c r="H1051" s="292"/>
      <c r="I1051" s="292"/>
      <c r="J1051" s="292"/>
      <c r="K1051" s="288"/>
      <c r="L1051" s="288"/>
      <c r="M1051" s="288"/>
      <c r="N1051" s="288"/>
      <c r="O1051" s="288"/>
      <c r="P1051" s="288"/>
      <c r="Q1051" s="288"/>
      <c r="R1051" s="257"/>
      <c r="S1051" s="258"/>
      <c r="T1051" s="255"/>
      <c r="U1051" s="255"/>
      <c r="V1051" s="259"/>
      <c r="W1051" s="286"/>
      <c r="X1051" s="286"/>
      <c r="Y1051" s="286"/>
    </row>
    <row r="1052">
      <c r="A1052" s="28"/>
      <c r="B1052" s="293"/>
      <c r="C1052" s="28"/>
      <c r="D1052" s="289"/>
      <c r="E1052" s="294"/>
      <c r="F1052" s="291"/>
      <c r="G1052" s="292"/>
      <c r="H1052" s="292"/>
      <c r="I1052" s="292"/>
      <c r="J1052" s="292"/>
      <c r="K1052" s="288"/>
      <c r="L1052" s="288"/>
      <c r="M1052" s="288"/>
      <c r="N1052" s="288"/>
      <c r="O1052" s="288"/>
      <c r="P1052" s="288"/>
      <c r="Q1052" s="288"/>
      <c r="R1052" s="257"/>
      <c r="S1052" s="258"/>
      <c r="T1052" s="255"/>
      <c r="U1052" s="255"/>
      <c r="V1052" s="259"/>
      <c r="W1052" s="286"/>
      <c r="X1052" s="286"/>
      <c r="Y1052" s="286"/>
    </row>
    <row r="1053">
      <c r="A1053" s="28"/>
      <c r="B1053" s="293"/>
      <c r="C1053" s="28"/>
      <c r="D1053" s="289"/>
      <c r="E1053" s="294"/>
      <c r="F1053" s="291"/>
      <c r="G1053" s="292"/>
      <c r="H1053" s="292"/>
      <c r="I1053" s="292"/>
      <c r="J1053" s="292"/>
      <c r="K1053" s="288"/>
      <c r="L1053" s="288"/>
      <c r="M1053" s="288"/>
      <c r="N1053" s="288"/>
      <c r="O1053" s="288"/>
      <c r="P1053" s="288"/>
      <c r="Q1053" s="288"/>
      <c r="R1053" s="257"/>
      <c r="S1053" s="258"/>
      <c r="T1053" s="255"/>
      <c r="U1053" s="255"/>
      <c r="V1053" s="259"/>
      <c r="W1053" s="286"/>
      <c r="X1053" s="286"/>
      <c r="Y1053" s="286"/>
    </row>
    <row r="1054">
      <c r="A1054" s="28"/>
      <c r="B1054" s="293"/>
      <c r="C1054" s="28"/>
      <c r="D1054" s="289"/>
      <c r="E1054" s="294"/>
      <c r="F1054" s="291"/>
      <c r="G1054" s="292"/>
      <c r="H1054" s="292"/>
      <c r="I1054" s="292"/>
      <c r="J1054" s="292"/>
      <c r="K1054" s="288"/>
      <c r="L1054" s="288"/>
      <c r="M1054" s="288"/>
      <c r="N1054" s="288"/>
      <c r="O1054" s="288"/>
      <c r="P1054" s="288"/>
      <c r="Q1054" s="288"/>
      <c r="R1054" s="257"/>
      <c r="S1054" s="258"/>
      <c r="T1054" s="255"/>
      <c r="U1054" s="255"/>
      <c r="V1054" s="259"/>
      <c r="W1054" s="286"/>
      <c r="X1054" s="286"/>
      <c r="Y1054" s="286"/>
    </row>
    <row r="1055">
      <c r="A1055" s="28"/>
      <c r="B1055" s="293"/>
      <c r="C1055" s="28"/>
      <c r="D1055" s="289"/>
      <c r="E1055" s="294"/>
      <c r="F1055" s="291"/>
      <c r="G1055" s="292"/>
      <c r="H1055" s="292"/>
      <c r="I1055" s="292"/>
      <c r="J1055" s="292"/>
      <c r="K1055" s="288"/>
      <c r="L1055" s="288"/>
      <c r="M1055" s="288"/>
      <c r="N1055" s="288"/>
      <c r="O1055" s="288"/>
      <c r="P1055" s="288"/>
      <c r="Q1055" s="288"/>
      <c r="R1055" s="257"/>
      <c r="S1055" s="258"/>
      <c r="T1055" s="255"/>
      <c r="U1055" s="255"/>
      <c r="V1055" s="259"/>
      <c r="W1055" s="286"/>
      <c r="X1055" s="286"/>
      <c r="Y1055" s="286"/>
    </row>
    <row r="1056">
      <c r="A1056" s="28"/>
      <c r="B1056" s="293"/>
      <c r="C1056" s="28"/>
      <c r="D1056" s="289"/>
      <c r="E1056" s="294"/>
      <c r="F1056" s="291"/>
      <c r="G1056" s="292"/>
      <c r="H1056" s="292"/>
      <c r="I1056" s="292"/>
      <c r="J1056" s="292"/>
      <c r="K1056" s="288"/>
      <c r="L1056" s="288"/>
      <c r="M1056" s="288"/>
      <c r="N1056" s="288"/>
      <c r="O1056" s="288"/>
      <c r="P1056" s="288"/>
      <c r="Q1056" s="288"/>
      <c r="R1056" s="257"/>
      <c r="S1056" s="258"/>
      <c r="T1056" s="255"/>
      <c r="U1056" s="255"/>
      <c r="V1056" s="259"/>
      <c r="W1056" s="286"/>
      <c r="X1056" s="286"/>
      <c r="Y1056" s="286"/>
    </row>
    <row r="1057">
      <c r="A1057" s="28"/>
      <c r="B1057" s="293"/>
      <c r="C1057" s="28"/>
      <c r="D1057" s="289"/>
      <c r="E1057" s="294"/>
      <c r="F1057" s="291"/>
      <c r="G1057" s="292"/>
      <c r="H1057" s="292"/>
      <c r="I1057" s="292"/>
      <c r="J1057" s="292"/>
      <c r="K1057" s="288"/>
      <c r="L1057" s="288"/>
      <c r="M1057" s="288"/>
      <c r="N1057" s="288"/>
      <c r="O1057" s="288"/>
      <c r="P1057" s="288"/>
      <c r="Q1057" s="288"/>
      <c r="R1057" s="257"/>
      <c r="S1057" s="258"/>
      <c r="T1057" s="255"/>
      <c r="U1057" s="255"/>
      <c r="V1057" s="259"/>
      <c r="W1057" s="286"/>
      <c r="X1057" s="286"/>
      <c r="Y1057" s="286"/>
    </row>
  </sheetData>
  <customSheetViews>
    <customSheetView guid="{CA8E02A4-DCF3-4B76-92B6-B7CC83783927}" filter="1" showAutoFilter="1">
      <autoFilter ref="$D$2:$L$556"/>
    </customSheetView>
    <customSheetView guid="{65CC8D0F-A12D-4FB2-8C14-C0DB53EBE7F6}" filter="1" showAutoFilter="1">
      <autoFilter ref="$D$2:$L$556"/>
    </customSheetView>
  </customSheetViews>
  <mergeCells count="1">
    <mergeCell ref="E2:F2"/>
  </mergeCells>
  <conditionalFormatting sqref="B2:B1057">
    <cfRule type="expression" dxfId="3" priority="1">
      <formula>#REF!="Epic"</formula>
    </cfRule>
  </conditionalFormatting>
  <conditionalFormatting sqref="B2:B1057">
    <cfRule type="expression" dxfId="4" priority="2">
      <formula>#REF!="Rare"</formula>
    </cfRule>
  </conditionalFormatting>
  <conditionalFormatting sqref="B2:B1057">
    <cfRule type="expression" dxfId="5" priority="3">
      <formula>#REF!="Uncommon"</formula>
    </cfRule>
  </conditionalFormatting>
  <conditionalFormatting sqref="B2:B1057">
    <cfRule type="expression" dxfId="6" priority="4">
      <formula>#REF!="Common"</formula>
    </cfRule>
  </conditionalFormatting>
  <conditionalFormatting sqref="B2:B1057">
    <cfRule type="expression" dxfId="7" priority="5">
      <formula>$H2="CM"</formula>
    </cfRule>
  </conditionalFormatting>
  <conditionalFormatting sqref="B2:B1057">
    <cfRule type="expression" dxfId="8" priority="6">
      <formula>$H2="OA"</formula>
    </cfRule>
  </conditionalFormatting>
  <conditionalFormatting sqref="B2:B1057">
    <cfRule type="expression" dxfId="9" priority="7">
      <formula>$H2="BDA"</formula>
    </cfRule>
  </conditionalFormatting>
  <conditionalFormatting sqref="D3:E1057">
    <cfRule type="expression" dxfId="12" priority="8">
      <formula>$D3="e"</formula>
    </cfRule>
  </conditionalFormatting>
  <conditionalFormatting sqref="D3:E1057">
    <cfRule type="expression" dxfId="13" priority="9">
      <formula>$D3="r"</formula>
    </cfRule>
  </conditionalFormatting>
  <conditionalFormatting sqref="D3:E1057">
    <cfRule type="expression" dxfId="14" priority="10">
      <formula>$D3="u"</formula>
    </cfRule>
  </conditionalFormatting>
  <conditionalFormatting sqref="F3:F1057">
    <cfRule type="expression" dxfId="15" priority="11">
      <formula>$F3="CM"</formula>
    </cfRule>
  </conditionalFormatting>
  <conditionalFormatting sqref="D3:F1057">
    <cfRule type="expression" dxfId="18" priority="12">
      <formula>#REF!="c"</formula>
    </cfRule>
  </conditionalFormatting>
  <conditionalFormatting sqref="F3:F1057">
    <cfRule type="expression" dxfId="16" priority="13">
      <formula>$F3="OA"</formula>
    </cfRule>
  </conditionalFormatting>
  <conditionalFormatting sqref="F3:F1057">
    <cfRule type="expression" dxfId="17" priority="14">
      <formula>$F3="BDA"</formula>
    </cfRule>
  </conditionalFormatting>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 r:id="rId181" ref="E183"/>
    <hyperlink r:id="rId182" ref="E184"/>
    <hyperlink r:id="rId183" ref="E185"/>
    <hyperlink r:id="rId184" ref="E186"/>
    <hyperlink r:id="rId185" ref="E187"/>
    <hyperlink r:id="rId186" ref="E188"/>
    <hyperlink r:id="rId187" ref="E189"/>
    <hyperlink r:id="rId188" ref="E190"/>
    <hyperlink r:id="rId189" ref="E191"/>
    <hyperlink r:id="rId190" ref="E192"/>
    <hyperlink r:id="rId191" ref="E193"/>
    <hyperlink r:id="rId192" ref="E194"/>
    <hyperlink r:id="rId193" ref="E195"/>
    <hyperlink r:id="rId194" ref="E196"/>
    <hyperlink r:id="rId195" ref="E197"/>
    <hyperlink r:id="rId196" ref="E198"/>
    <hyperlink r:id="rId197" ref="E199"/>
    <hyperlink r:id="rId198" ref="E200"/>
    <hyperlink r:id="rId199" ref="E201"/>
    <hyperlink r:id="rId200" ref="E202"/>
    <hyperlink r:id="rId201" ref="E203"/>
    <hyperlink r:id="rId202" ref="E204"/>
    <hyperlink r:id="rId203" ref="E205"/>
    <hyperlink r:id="rId204" ref="E206"/>
    <hyperlink r:id="rId205" ref="E207"/>
    <hyperlink r:id="rId206" ref="E208"/>
    <hyperlink r:id="rId207" ref="E209"/>
    <hyperlink r:id="rId208" ref="E210"/>
    <hyperlink r:id="rId209" ref="E211"/>
    <hyperlink r:id="rId210" ref="E212"/>
    <hyperlink r:id="rId211" ref="E213"/>
    <hyperlink r:id="rId212" ref="E214"/>
    <hyperlink r:id="rId213" ref="E215"/>
    <hyperlink r:id="rId214" ref="E216"/>
    <hyperlink r:id="rId215" ref="E217"/>
    <hyperlink r:id="rId216" ref="E218"/>
    <hyperlink r:id="rId217" ref="E219"/>
    <hyperlink r:id="rId218" ref="E220"/>
    <hyperlink r:id="rId219" ref="E221"/>
    <hyperlink r:id="rId220" ref="E222"/>
    <hyperlink r:id="rId221" ref="E223"/>
    <hyperlink r:id="rId222" ref="E224"/>
    <hyperlink r:id="rId223" ref="E225"/>
    <hyperlink r:id="rId224" ref="E226"/>
    <hyperlink r:id="rId225" ref="E227"/>
    <hyperlink r:id="rId226" ref="E228"/>
    <hyperlink r:id="rId227" ref="E229"/>
    <hyperlink r:id="rId228" ref="E230"/>
    <hyperlink r:id="rId229" ref="E231"/>
    <hyperlink r:id="rId230" ref="E232"/>
    <hyperlink r:id="rId231" ref="E233"/>
    <hyperlink r:id="rId232" ref="E234"/>
    <hyperlink r:id="rId233" ref="E235"/>
    <hyperlink r:id="rId234" ref="E236"/>
    <hyperlink r:id="rId235" ref="E237"/>
    <hyperlink r:id="rId236" ref="E238"/>
    <hyperlink r:id="rId237" ref="E239"/>
    <hyperlink r:id="rId238" ref="E240"/>
    <hyperlink r:id="rId239" ref="E241"/>
    <hyperlink r:id="rId240" ref="E242"/>
    <hyperlink r:id="rId241" ref="E243"/>
    <hyperlink r:id="rId242" ref="E244"/>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 r:id="rId323" ref="E325"/>
    <hyperlink r:id="rId324" ref="E326"/>
    <hyperlink r:id="rId325" ref="E327"/>
    <hyperlink r:id="rId326" ref="E328"/>
    <hyperlink r:id="rId327" ref="E329"/>
    <hyperlink r:id="rId328" ref="E330"/>
    <hyperlink r:id="rId329" ref="E331"/>
    <hyperlink r:id="rId330" ref="E332"/>
    <hyperlink r:id="rId331" ref="E333"/>
    <hyperlink r:id="rId332" ref="E334"/>
    <hyperlink r:id="rId333" ref="E335"/>
    <hyperlink r:id="rId334" ref="E336"/>
    <hyperlink r:id="rId335" ref="E337"/>
    <hyperlink r:id="rId336" ref="E338"/>
    <hyperlink r:id="rId337" ref="E339"/>
    <hyperlink r:id="rId338" ref="E340"/>
    <hyperlink r:id="rId339" ref="E341"/>
    <hyperlink r:id="rId340" ref="E342"/>
    <hyperlink r:id="rId341" ref="E343"/>
    <hyperlink r:id="rId342" ref="E344"/>
    <hyperlink r:id="rId343" ref="E345"/>
    <hyperlink r:id="rId344" ref="E346"/>
    <hyperlink r:id="rId345" ref="E347"/>
    <hyperlink r:id="rId346" ref="E348"/>
    <hyperlink r:id="rId347" ref="E349"/>
    <hyperlink r:id="rId348" ref="E350"/>
    <hyperlink r:id="rId349" ref="E351"/>
    <hyperlink r:id="rId350" ref="E352"/>
    <hyperlink r:id="rId351" ref="E353"/>
    <hyperlink r:id="rId352" ref="E354"/>
    <hyperlink r:id="rId353" ref="E355"/>
    <hyperlink r:id="rId354" ref="E356"/>
    <hyperlink r:id="rId355" ref="E357"/>
    <hyperlink r:id="rId356" ref="E358"/>
    <hyperlink r:id="rId357" ref="E359"/>
    <hyperlink r:id="rId358" ref="E360"/>
    <hyperlink r:id="rId359" ref="E361"/>
    <hyperlink r:id="rId360" ref="E362"/>
    <hyperlink r:id="rId361" ref="E363"/>
    <hyperlink r:id="rId362" ref="E364"/>
    <hyperlink r:id="rId363" ref="E365"/>
    <hyperlink r:id="rId364" ref="E366"/>
    <hyperlink r:id="rId365" ref="E367"/>
    <hyperlink r:id="rId366" ref="E368"/>
    <hyperlink r:id="rId367" ref="E369"/>
    <hyperlink r:id="rId368" ref="E370"/>
    <hyperlink r:id="rId369" ref="E371"/>
    <hyperlink r:id="rId370" ref="E372"/>
    <hyperlink r:id="rId371" ref="E373"/>
    <hyperlink r:id="rId372" ref="E374"/>
    <hyperlink r:id="rId373" ref="E375"/>
    <hyperlink r:id="rId374" ref="E376"/>
    <hyperlink r:id="rId375" ref="E377"/>
    <hyperlink r:id="rId376" ref="E378"/>
    <hyperlink r:id="rId377" ref="E379"/>
    <hyperlink r:id="rId378" ref="E380"/>
    <hyperlink r:id="rId379" ref="E381"/>
    <hyperlink r:id="rId380" ref="E382"/>
    <hyperlink r:id="rId381" ref="E383"/>
    <hyperlink r:id="rId382" ref="E384"/>
    <hyperlink r:id="rId383" ref="E385"/>
    <hyperlink r:id="rId384" ref="E386"/>
    <hyperlink r:id="rId385" ref="E387"/>
    <hyperlink r:id="rId386" ref="E388"/>
    <hyperlink r:id="rId387" ref="E389"/>
    <hyperlink r:id="rId388" ref="E390"/>
    <hyperlink r:id="rId389" ref="E391"/>
    <hyperlink r:id="rId390" ref="E392"/>
    <hyperlink r:id="rId391" ref="E393"/>
    <hyperlink r:id="rId392" ref="E394"/>
    <hyperlink r:id="rId393" ref="E395"/>
    <hyperlink r:id="rId394" ref="E396"/>
    <hyperlink r:id="rId395" ref="E397"/>
    <hyperlink r:id="rId396" ref="E398"/>
    <hyperlink r:id="rId397" ref="E399"/>
    <hyperlink r:id="rId398" ref="E400"/>
    <hyperlink r:id="rId399" ref="E401"/>
    <hyperlink r:id="rId400" ref="E402"/>
    <hyperlink r:id="rId401" ref="E403"/>
    <hyperlink r:id="rId402" ref="E404"/>
    <hyperlink r:id="rId403" ref="E405"/>
    <hyperlink r:id="rId404" ref="E406"/>
    <hyperlink r:id="rId405" ref="E407"/>
    <hyperlink r:id="rId406" ref="E408"/>
    <hyperlink r:id="rId407" ref="E409"/>
    <hyperlink r:id="rId408" ref="E410"/>
    <hyperlink r:id="rId409" ref="E411"/>
    <hyperlink r:id="rId410" ref="E412"/>
    <hyperlink r:id="rId411" ref="E413"/>
    <hyperlink r:id="rId412" ref="E414"/>
    <hyperlink r:id="rId413" ref="E415"/>
    <hyperlink r:id="rId414" ref="E416"/>
    <hyperlink r:id="rId415" ref="E417"/>
    <hyperlink r:id="rId416" ref="E418"/>
    <hyperlink r:id="rId417" ref="E419"/>
    <hyperlink r:id="rId418" ref="E420"/>
    <hyperlink r:id="rId419" ref="E421"/>
    <hyperlink r:id="rId420" ref="E422"/>
    <hyperlink r:id="rId421" ref="E423"/>
    <hyperlink r:id="rId422" ref="E424"/>
    <hyperlink r:id="rId423" ref="E425"/>
    <hyperlink r:id="rId424" ref="E426"/>
    <hyperlink r:id="rId425" ref="E427"/>
    <hyperlink r:id="rId426" ref="E428"/>
    <hyperlink r:id="rId427" ref="E429"/>
    <hyperlink r:id="rId428" ref="E430"/>
    <hyperlink r:id="rId429" ref="E431"/>
    <hyperlink r:id="rId430" ref="E432"/>
    <hyperlink r:id="rId431" ref="E433"/>
    <hyperlink r:id="rId432" ref="E434"/>
    <hyperlink r:id="rId433" ref="E435"/>
    <hyperlink r:id="rId434" ref="E436"/>
    <hyperlink r:id="rId435" ref="E437"/>
    <hyperlink r:id="rId436" ref="E438"/>
    <hyperlink r:id="rId437" ref="E439"/>
    <hyperlink r:id="rId438" ref="E440"/>
    <hyperlink r:id="rId439" ref="E441"/>
    <hyperlink r:id="rId440" ref="E442"/>
    <hyperlink r:id="rId441" ref="E443"/>
    <hyperlink r:id="rId442" ref="E444"/>
    <hyperlink r:id="rId443" ref="E445"/>
    <hyperlink r:id="rId444" ref="E446"/>
    <hyperlink r:id="rId445" ref="E447"/>
    <hyperlink r:id="rId446" ref="E448"/>
    <hyperlink r:id="rId447" ref="E449"/>
    <hyperlink r:id="rId448" ref="E450"/>
    <hyperlink r:id="rId449" ref="E451"/>
    <hyperlink r:id="rId450" ref="E452"/>
    <hyperlink r:id="rId451" ref="E453"/>
    <hyperlink r:id="rId452" ref="E454"/>
    <hyperlink r:id="rId453" ref="E455"/>
    <hyperlink r:id="rId454" ref="E456"/>
    <hyperlink r:id="rId455" ref="E457"/>
    <hyperlink r:id="rId456" ref="E458"/>
    <hyperlink r:id="rId457" ref="E459"/>
    <hyperlink r:id="rId458" ref="E460"/>
    <hyperlink r:id="rId459" ref="E461"/>
    <hyperlink r:id="rId460" ref="E462"/>
    <hyperlink r:id="rId461" ref="E463"/>
    <hyperlink r:id="rId462" ref="E464"/>
    <hyperlink r:id="rId463" ref="E465"/>
    <hyperlink r:id="rId464" ref="E466"/>
    <hyperlink r:id="rId465" ref="E467"/>
    <hyperlink r:id="rId466" ref="E468"/>
    <hyperlink r:id="rId467" ref="E469"/>
    <hyperlink r:id="rId468" ref="E470"/>
    <hyperlink r:id="rId469" ref="E471"/>
    <hyperlink r:id="rId470" ref="E472"/>
    <hyperlink r:id="rId471" ref="E473"/>
    <hyperlink r:id="rId472" ref="E474"/>
    <hyperlink r:id="rId473" ref="E475"/>
    <hyperlink r:id="rId474" ref="E476"/>
    <hyperlink r:id="rId475" ref="E477"/>
    <hyperlink r:id="rId476" ref="E478"/>
    <hyperlink r:id="rId477" ref="E479"/>
    <hyperlink r:id="rId478" ref="E480"/>
    <hyperlink r:id="rId479" ref="E481"/>
    <hyperlink r:id="rId480" ref="E482"/>
    <hyperlink r:id="rId481" ref="E483"/>
    <hyperlink r:id="rId482" ref="E484"/>
    <hyperlink r:id="rId483" ref="E485"/>
    <hyperlink r:id="rId484" ref="E486"/>
    <hyperlink r:id="rId485" ref="E487"/>
    <hyperlink r:id="rId486" ref="E488"/>
    <hyperlink r:id="rId487" ref="E489"/>
    <hyperlink r:id="rId488" ref="E490"/>
    <hyperlink r:id="rId489" ref="E491"/>
    <hyperlink r:id="rId490" ref="E492"/>
    <hyperlink r:id="rId491" ref="E493"/>
    <hyperlink r:id="rId492" ref="E494"/>
    <hyperlink r:id="rId493" ref="E495"/>
    <hyperlink r:id="rId494" ref="E496"/>
    <hyperlink r:id="rId495" ref="E497"/>
    <hyperlink r:id="rId496" ref="E498"/>
    <hyperlink r:id="rId497" ref="E499"/>
    <hyperlink r:id="rId498" ref="E500"/>
    <hyperlink r:id="rId499" ref="E501"/>
    <hyperlink r:id="rId500" ref="E502"/>
    <hyperlink r:id="rId501" ref="E503"/>
    <hyperlink r:id="rId502" ref="E504"/>
    <hyperlink r:id="rId503" ref="E505"/>
    <hyperlink r:id="rId504" ref="E506"/>
    <hyperlink r:id="rId505" ref="E507"/>
    <hyperlink r:id="rId506" ref="E508"/>
    <hyperlink r:id="rId507" ref="E509"/>
    <hyperlink r:id="rId508" ref="E510"/>
    <hyperlink r:id="rId509" ref="E511"/>
    <hyperlink r:id="rId510" ref="E512"/>
    <hyperlink r:id="rId511" ref="E513"/>
    <hyperlink r:id="rId512" ref="E514"/>
    <hyperlink r:id="rId513" ref="E515"/>
    <hyperlink r:id="rId514" ref="E516"/>
    <hyperlink r:id="rId515" ref="E517"/>
    <hyperlink r:id="rId516" ref="E518"/>
    <hyperlink r:id="rId517" ref="E519"/>
    <hyperlink r:id="rId518" ref="E520"/>
    <hyperlink r:id="rId519" ref="E521"/>
    <hyperlink r:id="rId520" ref="E522"/>
    <hyperlink r:id="rId521" ref="E523"/>
    <hyperlink r:id="rId522" ref="E524"/>
    <hyperlink r:id="rId523" ref="E525"/>
    <hyperlink r:id="rId524" ref="E526"/>
    <hyperlink r:id="rId525" ref="E527"/>
    <hyperlink r:id="rId526" ref="E528"/>
    <hyperlink r:id="rId527" ref="E529"/>
    <hyperlink r:id="rId528" ref="E530"/>
    <hyperlink r:id="rId529" ref="E531"/>
    <hyperlink r:id="rId530" ref="E532"/>
    <hyperlink r:id="rId531" ref="E533"/>
    <hyperlink r:id="rId532" ref="E534"/>
    <hyperlink r:id="rId533" ref="E535"/>
    <hyperlink r:id="rId534" ref="E536"/>
    <hyperlink r:id="rId535" ref="E537"/>
    <hyperlink r:id="rId536" ref="E538"/>
    <hyperlink r:id="rId537" ref="E539"/>
    <hyperlink r:id="rId538" ref="E540"/>
    <hyperlink r:id="rId539" ref="E541"/>
    <hyperlink r:id="rId540" ref="E542"/>
    <hyperlink r:id="rId541" ref="E543"/>
    <hyperlink r:id="rId542" ref="E544"/>
    <hyperlink r:id="rId543" ref="E545"/>
    <hyperlink r:id="rId544" ref="E546"/>
    <hyperlink r:id="rId545" ref="E547"/>
    <hyperlink r:id="rId546" ref="E548"/>
    <hyperlink r:id="rId547" ref="E549"/>
    <hyperlink r:id="rId548" ref="E550"/>
    <hyperlink r:id="rId549" ref="E551"/>
    <hyperlink r:id="rId550" ref="E552"/>
    <hyperlink r:id="rId551" ref="E553"/>
    <hyperlink r:id="rId552" ref="E554"/>
    <hyperlink r:id="rId553" ref="E555"/>
    <hyperlink r:id="rId554" ref="E556"/>
    <hyperlink r:id="rId555" ref="E557"/>
  </hyperlinks>
  <drawing r:id="rId55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2.75"/>
    <col customWidth="1" min="2" max="2" width="2.38"/>
    <col customWidth="1" min="3" max="3" width="2.75"/>
    <col customWidth="1" min="4" max="4" width="6.0"/>
    <col customWidth="1" min="5" max="5" width="17.75"/>
    <col customWidth="1" min="6" max="6" width="5.13"/>
    <col customWidth="1" min="7" max="7" width="3.38"/>
    <col customWidth="1" min="8" max="19" width="9.0"/>
    <col customWidth="1" min="20" max="20" width="22.75"/>
    <col customWidth="1" min="21" max="22" width="5.13"/>
    <col customWidth="1" min="23" max="25" width="5.63"/>
  </cols>
  <sheetData>
    <row r="1" ht="54.0" customHeight="1">
      <c r="A1" s="227"/>
      <c r="B1" s="227"/>
      <c r="C1" s="227"/>
      <c r="D1" s="227"/>
      <c r="E1" s="295"/>
      <c r="F1" s="295"/>
      <c r="G1" s="274"/>
      <c r="H1" s="274"/>
      <c r="I1" s="274"/>
      <c r="J1" s="275"/>
      <c r="K1" s="275"/>
      <c r="L1" s="275"/>
      <c r="M1" s="275"/>
      <c r="N1" s="275"/>
      <c r="O1" s="275"/>
      <c r="P1" s="275"/>
      <c r="Q1" s="275"/>
      <c r="R1" s="227"/>
      <c r="S1" s="227"/>
      <c r="T1" s="227"/>
      <c r="U1" s="227"/>
      <c r="V1" s="227"/>
      <c r="W1" s="227"/>
      <c r="X1" s="227"/>
      <c r="Y1" s="227"/>
    </row>
    <row r="2">
      <c r="A2" s="296"/>
      <c r="B2" s="297"/>
      <c r="C2" s="296"/>
      <c r="D2" s="296" t="str">
        <f>IFERROR(__xludf.DUMMYFUNCTION("FILTER(LCARS_Tech[#ALL] , CONDITION_ONE_OF_RANGE( LCARS_Tech[#HEADERS] , settings[Short]))"),"   Rarity")</f>
        <v>Rarity</v>
      </c>
      <c r="E2" s="298" t="str">
        <f>IFERROR(__xludf.DUMMYFUNCTION("""COMPUTED_VALUE"""),"TechName")</f>
        <v>TechName</v>
      </c>
      <c r="H2" s="299" t="str">
        <f>IFERROR(__xludf.DUMMYFUNCTION("""COMPUTED_VALUE"""),"PvP Space")</f>
        <v>PvP Space</v>
      </c>
      <c r="I2" s="299" t="str">
        <f>IFERROR(__xludf.DUMMYFUNCTION("""COMPUTED_VALUE"""),"PvP Station")</f>
        <v>PvP Station</v>
      </c>
      <c r="J2" s="299" t="str">
        <f>IFERROR(__xludf.DUMMYFUNCTION("""COMPUTED_VALUE"""),"Red Moving Space")</f>
        <v>Red Moving Space</v>
      </c>
      <c r="K2" s="299" t="str">
        <f>IFERROR(__xludf.DUMMYFUNCTION("""COMPUTED_VALUE"""),"Waves")</f>
        <v>Waves</v>
      </c>
      <c r="L2" s="299" t="str">
        <f>IFERROR(__xludf.DUMMYFUNCTION("""COMPUTED_VALUE"""),"QTrial")</f>
        <v>QTrial</v>
      </c>
      <c r="M2" s="299" t="str">
        <f>IFERROR(__xludf.DUMMYFUNCTION("""COMPUTED_VALUE"""),"Mission Bosses")</f>
        <v>Mission Bosses</v>
      </c>
      <c r="N2" s="299" t="str">
        <f>IFERROR(__xludf.DUMMYFUNCTION("""COMPUTED_VALUE"""),"Group Armadas")</f>
        <v>Group Armadas</v>
      </c>
      <c r="O2" s="299" t="str">
        <f>IFERROR(__xludf.DUMMYFUNCTION("""COMPUTED_VALUE"""),"Solo Armadas")</f>
        <v>Solo Armadas</v>
      </c>
      <c r="P2" s="299" t="str">
        <f>IFERROR(__xludf.DUMMYFUNCTION("""COMPUTED_VALUE"""),"Invading Entities")</f>
        <v>Invading Entities</v>
      </c>
      <c r="Q2" s="299" t="str">
        <f>IFERROR(__xludf.DUMMYFUNCTION("""COMPUTED_VALUE"""),"Assaults")</f>
        <v>Assaults</v>
      </c>
      <c r="R2" s="300" t="str">
        <f>IFERROR(__xludf.DUMMYFUNCTION("""COMPUTED_VALUE"""),"   Outpost Armadas")</f>
        <v>Outpost Armadas</v>
      </c>
      <c r="S2" s="299" t="str">
        <f>IFERROR(__xludf.DUMMYFUNCTION("""COMPUTED_VALUE"""),"Outpost Retaliation Attackers")</f>
        <v>Outpost Retaliation Attackers</v>
      </c>
      <c r="T2" s="299" t="str">
        <f>IFERROR(__xludf.DUMMYFUNCTION("""COMPUTED_VALUE"""),"Reason")</f>
        <v>Reason</v>
      </c>
      <c r="U2" s="299" t="str">
        <f>IFERROR(__xludf.DUMMYFUNCTION("""COMPUTED_VALUE"""),"Loot")</f>
        <v>Loot</v>
      </c>
      <c r="V2" s="299" t="str">
        <f>IFERROR(__xludf.DUMMYFUNCTION("""COMPUTED_VALUE"""),"Utility")</f>
        <v>Utility</v>
      </c>
      <c r="W2" s="299"/>
      <c r="X2" s="299"/>
      <c r="Y2" s="299"/>
    </row>
    <row r="3">
      <c r="A3" s="227"/>
      <c r="B3" s="128"/>
      <c r="C3" s="227"/>
      <c r="D3" s="301" t="str">
        <f>IFERROR(__xludf.DUMMYFUNCTION("""COMPUTED_VALUE"""),"   C")</f>
        <v>C</v>
      </c>
      <c r="E3" s="302" t="str">
        <f>IFERROR(__xludf.DUMMYFUNCTION("""COMPUTED_VALUE"""),"Tetracyanate 622")</f>
        <v>Tetracyanate 622</v>
      </c>
      <c r="F3" s="303">
        <f>IFERROR(__xludf.DUMMYFUNCTION("""COMPUTED_VALUE"""),1.0)</f>
        <v>1</v>
      </c>
      <c r="G3" s="281" t="str">
        <f>IFERROR(__xludf.DUMMYFUNCTION("""COMPUTED_VALUE"""),"FT")</f>
        <v>FT</v>
      </c>
      <c r="H3" s="281" t="str">
        <f>IFERROR(__xludf.DUMMYFUNCTION("""COMPUTED_VALUE"""),"➖")</f>
        <v>➖</v>
      </c>
      <c r="I3" s="281" t="str">
        <f>IFERROR(__xludf.DUMMYFUNCTION("""COMPUTED_VALUE"""),"➖")</f>
        <v>➖</v>
      </c>
      <c r="J3" s="281" t="str">
        <f>IFERROR(__xludf.DUMMYFUNCTION("""COMPUTED_VALUE"""),"➖")</f>
        <v>➖</v>
      </c>
      <c r="K3" s="282" t="str">
        <f>IFERROR(__xludf.DUMMYFUNCTION("""COMPUTED_VALUE"""),"➖")</f>
        <v>➖</v>
      </c>
      <c r="L3" s="282" t="str">
        <f>IFERROR(__xludf.DUMMYFUNCTION("""COMPUTED_VALUE"""),"➖")</f>
        <v>➖</v>
      </c>
      <c r="M3" s="282" t="str">
        <f>IFERROR(__xludf.DUMMYFUNCTION("""COMPUTED_VALUE"""),"➖")</f>
        <v>➖</v>
      </c>
      <c r="N3" s="282" t="str">
        <f>IFERROR(__xludf.DUMMYFUNCTION("""COMPUTED_VALUE"""),"➖")</f>
        <v>➖</v>
      </c>
      <c r="O3" s="282" t="str">
        <f>IFERROR(__xludf.DUMMYFUNCTION("""COMPUTED_VALUE"""),"➖")</f>
        <v>➖</v>
      </c>
      <c r="P3" s="282" t="str">
        <f>IFERROR(__xludf.DUMMYFUNCTION("""COMPUTED_VALUE"""),"➖")</f>
        <v>➖</v>
      </c>
      <c r="Q3" s="282" t="str">
        <f>IFERROR(__xludf.DUMMYFUNCTION("""COMPUTED_VALUE"""),"➖")</f>
        <v>➖</v>
      </c>
      <c r="R3" s="304" t="str">
        <f>IFERROR(__xludf.DUMMYFUNCTION("""COMPUTED_VALUE"""),"   ➖")</f>
        <v>➖</v>
      </c>
      <c r="S3" s="305" t="str">
        <f>IFERROR(__xludf.DUMMYFUNCTION("""COMPUTED_VALUE"""),"➖")</f>
        <v>➖</v>
      </c>
      <c r="T3" s="282"/>
      <c r="U3" s="282" t="str">
        <f>IFERROR(__xludf.DUMMYFUNCTION("""COMPUTED_VALUE"""),"➖")</f>
        <v>➖</v>
      </c>
      <c r="V3" s="282" t="str">
        <f>IFERROR(__xludf.DUMMYFUNCTION("""COMPUTED_VALUE"""),"✅")</f>
        <v>✅</v>
      </c>
      <c r="W3" s="306"/>
      <c r="X3" s="306"/>
      <c r="Y3" s="306"/>
    </row>
    <row r="4">
      <c r="A4" s="227"/>
      <c r="B4" s="307"/>
      <c r="C4" s="227"/>
      <c r="D4" s="308" t="str">
        <f>IFERROR(__xludf.DUMMYFUNCTION("""COMPUTED_VALUE"""),"   C")</f>
        <v>C</v>
      </c>
      <c r="E4" s="309" t="str">
        <f>IFERROR(__xludf.DUMMYFUNCTION("""COMPUTED_VALUE"""),"Tetracyanate 622")</f>
        <v>Tetracyanate 622</v>
      </c>
      <c r="F4" s="310">
        <f>IFERROR(__xludf.DUMMYFUNCTION("""COMPUTED_VALUE"""),2.0)</f>
        <v>2</v>
      </c>
      <c r="G4" s="231" t="str">
        <f>IFERROR(__xludf.DUMMYFUNCTION("""COMPUTED_VALUE"""),"FT")</f>
        <v>FT</v>
      </c>
      <c r="H4" s="231" t="str">
        <f>IFERROR(__xludf.DUMMYFUNCTION("""COMPUTED_VALUE"""),"➖")</f>
        <v>➖</v>
      </c>
      <c r="I4" s="231" t="str">
        <f>IFERROR(__xludf.DUMMYFUNCTION("""COMPUTED_VALUE"""),"➖")</f>
        <v>➖</v>
      </c>
      <c r="J4" s="231" t="str">
        <f>IFERROR(__xludf.DUMMYFUNCTION("""COMPUTED_VALUE"""),"➖")</f>
        <v>➖</v>
      </c>
      <c r="K4" s="288" t="str">
        <f>IFERROR(__xludf.DUMMYFUNCTION("""COMPUTED_VALUE"""),"➖")</f>
        <v>➖</v>
      </c>
      <c r="L4" s="288" t="str">
        <f>IFERROR(__xludf.DUMMYFUNCTION("""COMPUTED_VALUE"""),"➖")</f>
        <v>➖</v>
      </c>
      <c r="M4" s="288" t="str">
        <f>IFERROR(__xludf.DUMMYFUNCTION("""COMPUTED_VALUE"""),"➖")</f>
        <v>➖</v>
      </c>
      <c r="N4" s="288" t="str">
        <f>IFERROR(__xludf.DUMMYFUNCTION("""COMPUTED_VALUE"""),"➖")</f>
        <v>➖</v>
      </c>
      <c r="O4" s="288" t="str">
        <f>IFERROR(__xludf.DUMMYFUNCTION("""COMPUTED_VALUE"""),"➖")</f>
        <v>➖</v>
      </c>
      <c r="P4" s="288" t="str">
        <f>IFERROR(__xludf.DUMMYFUNCTION("""COMPUTED_VALUE"""),"➖")</f>
        <v>➖</v>
      </c>
      <c r="Q4" s="288" t="str">
        <f>IFERROR(__xludf.DUMMYFUNCTION("""COMPUTED_VALUE"""),"➖")</f>
        <v>➖</v>
      </c>
      <c r="R4" s="311" t="str">
        <f>IFERROR(__xludf.DUMMYFUNCTION("""COMPUTED_VALUE"""),"   ➖")</f>
        <v>➖</v>
      </c>
      <c r="S4" s="312" t="str">
        <f>IFERROR(__xludf.DUMMYFUNCTION("""COMPUTED_VALUE"""),"➖")</f>
        <v>➖</v>
      </c>
      <c r="T4" s="288"/>
      <c r="U4" s="288" t="str">
        <f>IFERROR(__xludf.DUMMYFUNCTION("""COMPUTED_VALUE"""),"➖")</f>
        <v>➖</v>
      </c>
      <c r="V4" s="288" t="str">
        <f>IFERROR(__xludf.DUMMYFUNCTION("""COMPUTED_VALUE"""),"✅")</f>
        <v>✅</v>
      </c>
      <c r="W4" s="306"/>
      <c r="X4" s="306"/>
      <c r="Y4" s="306"/>
    </row>
    <row r="5">
      <c r="A5" s="227"/>
      <c r="B5" s="128"/>
      <c r="C5" s="227"/>
      <c r="D5" s="301" t="str">
        <f>IFERROR(__xludf.DUMMYFUNCTION("""COMPUTED_VALUE"""),"   C")</f>
        <v>C</v>
      </c>
      <c r="E5" s="313" t="str">
        <f>IFERROR(__xludf.DUMMYFUNCTION("""COMPUTED_VALUE"""),"Ablative Armor")</f>
        <v>Ablative Armor</v>
      </c>
      <c r="F5" s="303">
        <f>IFERROR(__xludf.DUMMYFUNCTION("""COMPUTED_VALUE"""),1.0)</f>
        <v>1</v>
      </c>
      <c r="G5" s="281" t="str">
        <f>IFERROR(__xludf.DUMMYFUNCTION("""COMPUTED_VALUE"""),"FT")</f>
        <v>FT</v>
      </c>
      <c r="H5" s="281" t="str">
        <f>IFERROR(__xludf.DUMMYFUNCTION("""COMPUTED_VALUE"""),"✅")</f>
        <v>✅</v>
      </c>
      <c r="I5" s="281" t="str">
        <f>IFERROR(__xludf.DUMMYFUNCTION("""COMPUTED_VALUE"""),"✅")</f>
        <v>✅</v>
      </c>
      <c r="J5" s="281" t="str">
        <f>IFERROR(__xludf.DUMMYFUNCTION("""COMPUTED_VALUE"""),"✅")</f>
        <v>✅</v>
      </c>
      <c r="K5" s="282" t="str">
        <f>IFERROR(__xludf.DUMMYFUNCTION("""COMPUTED_VALUE"""),"✅")</f>
        <v>✅</v>
      </c>
      <c r="L5" s="282" t="str">
        <f>IFERROR(__xludf.DUMMYFUNCTION("""COMPUTED_VALUE"""),"✅")</f>
        <v>✅</v>
      </c>
      <c r="M5" s="282" t="str">
        <f>IFERROR(__xludf.DUMMYFUNCTION("""COMPUTED_VALUE"""),"✅")</f>
        <v>✅</v>
      </c>
      <c r="N5" s="282" t="str">
        <f>IFERROR(__xludf.DUMMYFUNCTION("""COMPUTED_VALUE"""),"✅")</f>
        <v>✅</v>
      </c>
      <c r="O5" s="282" t="str">
        <f>IFERROR(__xludf.DUMMYFUNCTION("""COMPUTED_VALUE"""),"✅")</f>
        <v>✅</v>
      </c>
      <c r="P5" s="282" t="str">
        <f>IFERROR(__xludf.DUMMYFUNCTION("""COMPUTED_VALUE"""),"✅")</f>
        <v>✅</v>
      </c>
      <c r="Q5" s="282" t="str">
        <f>IFERROR(__xludf.DUMMYFUNCTION("""COMPUTED_VALUE"""),"✅")</f>
        <v>✅</v>
      </c>
      <c r="R5" s="304" t="str">
        <f>IFERROR(__xludf.DUMMYFUNCTION("""COMPUTED_VALUE"""),"   ✅")</f>
        <v>✅</v>
      </c>
      <c r="S5" s="305" t="str">
        <f>IFERROR(__xludf.DUMMYFUNCTION("""COMPUTED_VALUE"""),"✅")</f>
        <v>✅</v>
      </c>
      <c r="T5" s="282"/>
      <c r="U5" s="282" t="str">
        <f>IFERROR(__xludf.DUMMYFUNCTION("""COMPUTED_VALUE"""),"➖")</f>
        <v>➖</v>
      </c>
      <c r="V5" s="282" t="str">
        <f>IFERROR(__xludf.DUMMYFUNCTION("""COMPUTED_VALUE"""),"➖")</f>
        <v>➖</v>
      </c>
      <c r="W5" s="306"/>
      <c r="X5" s="306"/>
      <c r="Y5" s="306"/>
    </row>
    <row r="6">
      <c r="A6" s="227"/>
      <c r="B6" s="307"/>
      <c r="C6" s="227"/>
      <c r="D6" s="308" t="str">
        <f>IFERROR(__xludf.DUMMYFUNCTION("""COMPUTED_VALUE"""),"   C")</f>
        <v>C</v>
      </c>
      <c r="E6" s="309" t="str">
        <f>IFERROR(__xludf.DUMMYFUNCTION("""COMPUTED_VALUE"""),"Ablative Armor")</f>
        <v>Ablative Armor</v>
      </c>
      <c r="F6" s="310">
        <f>IFERROR(__xludf.DUMMYFUNCTION("""COMPUTED_VALUE"""),2.0)</f>
        <v>2</v>
      </c>
      <c r="G6" s="231" t="str">
        <f>IFERROR(__xludf.DUMMYFUNCTION("""COMPUTED_VALUE"""),"FT")</f>
        <v>FT</v>
      </c>
      <c r="H6" s="231" t="str">
        <f>IFERROR(__xludf.DUMMYFUNCTION("""COMPUTED_VALUE"""),"✅")</f>
        <v>✅</v>
      </c>
      <c r="I6" s="231" t="str">
        <f>IFERROR(__xludf.DUMMYFUNCTION("""COMPUTED_VALUE"""),"✅")</f>
        <v>✅</v>
      </c>
      <c r="J6" s="231" t="str">
        <f>IFERROR(__xludf.DUMMYFUNCTION("""COMPUTED_VALUE"""),"✅")</f>
        <v>✅</v>
      </c>
      <c r="K6" s="288" t="str">
        <f>IFERROR(__xludf.DUMMYFUNCTION("""COMPUTED_VALUE"""),"✅")</f>
        <v>✅</v>
      </c>
      <c r="L6" s="288" t="str">
        <f>IFERROR(__xludf.DUMMYFUNCTION("""COMPUTED_VALUE"""),"✅")</f>
        <v>✅</v>
      </c>
      <c r="M6" s="288" t="str">
        <f>IFERROR(__xludf.DUMMYFUNCTION("""COMPUTED_VALUE"""),"✅")</f>
        <v>✅</v>
      </c>
      <c r="N6" s="288" t="str">
        <f>IFERROR(__xludf.DUMMYFUNCTION("""COMPUTED_VALUE"""),"✅")</f>
        <v>✅</v>
      </c>
      <c r="O6" s="288" t="str">
        <f>IFERROR(__xludf.DUMMYFUNCTION("""COMPUTED_VALUE"""),"✅")</f>
        <v>✅</v>
      </c>
      <c r="P6" s="288" t="str">
        <f>IFERROR(__xludf.DUMMYFUNCTION("""COMPUTED_VALUE"""),"✅")</f>
        <v>✅</v>
      </c>
      <c r="Q6" s="288" t="str">
        <f>IFERROR(__xludf.DUMMYFUNCTION("""COMPUTED_VALUE"""),"✅")</f>
        <v>✅</v>
      </c>
      <c r="R6" s="311" t="str">
        <f>IFERROR(__xludf.DUMMYFUNCTION("""COMPUTED_VALUE"""),"   ✅")</f>
        <v>✅</v>
      </c>
      <c r="S6" s="312" t="str">
        <f>IFERROR(__xludf.DUMMYFUNCTION("""COMPUTED_VALUE"""),"✅")</f>
        <v>✅</v>
      </c>
      <c r="T6" s="288"/>
      <c r="U6" s="288" t="str">
        <f>IFERROR(__xludf.DUMMYFUNCTION("""COMPUTED_VALUE"""),"➖")</f>
        <v>➖</v>
      </c>
      <c r="V6" s="288" t="str">
        <f>IFERROR(__xludf.DUMMYFUNCTION("""COMPUTED_VALUE"""),"➖")</f>
        <v>➖</v>
      </c>
      <c r="W6" s="306"/>
      <c r="X6" s="306"/>
      <c r="Y6" s="306"/>
    </row>
    <row r="7">
      <c r="A7" s="227"/>
      <c r="B7" s="128"/>
      <c r="C7" s="227"/>
      <c r="D7" s="301" t="str">
        <f>IFERROR(__xludf.DUMMYFUNCTION("""COMPUTED_VALUE"""),"   C")</f>
        <v>C</v>
      </c>
      <c r="E7" s="313" t="str">
        <f>IFERROR(__xludf.DUMMYFUNCTION("""COMPUTED_VALUE"""),"Orion Seismic Charges")</f>
        <v>Orion Seismic Charges</v>
      </c>
      <c r="F7" s="303">
        <f>IFERROR(__xludf.DUMMYFUNCTION("""COMPUTED_VALUE"""),1.0)</f>
        <v>1</v>
      </c>
      <c r="G7" s="281" t="str">
        <f>IFERROR(__xludf.DUMMYFUNCTION("""COMPUTED_VALUE"""),"FT")</f>
        <v>FT</v>
      </c>
      <c r="H7" s="281" t="str">
        <f>IFERROR(__xludf.DUMMYFUNCTION("""COMPUTED_VALUE"""),"➖")</f>
        <v>➖</v>
      </c>
      <c r="I7" s="281" t="str">
        <f>IFERROR(__xludf.DUMMYFUNCTION("""COMPUTED_VALUE"""),"➖")</f>
        <v>➖</v>
      </c>
      <c r="J7" s="281" t="str">
        <f>IFERROR(__xludf.DUMMYFUNCTION("""COMPUTED_VALUE"""),"✅")</f>
        <v>✅</v>
      </c>
      <c r="K7" s="282" t="str">
        <f>IFERROR(__xludf.DUMMYFUNCTION("""COMPUTED_VALUE"""),"✅")</f>
        <v>✅</v>
      </c>
      <c r="L7" s="282" t="str">
        <f>IFERROR(__xludf.DUMMYFUNCTION("""COMPUTED_VALUE"""),"✅")</f>
        <v>✅</v>
      </c>
      <c r="M7" s="282" t="str">
        <f>IFERROR(__xludf.DUMMYFUNCTION("""COMPUTED_VALUE"""),"➖")</f>
        <v>➖</v>
      </c>
      <c r="N7" s="282" t="str">
        <f>IFERROR(__xludf.DUMMYFUNCTION("""COMPUTED_VALUE"""),"➖")</f>
        <v>➖</v>
      </c>
      <c r="O7" s="282" t="str">
        <f>IFERROR(__xludf.DUMMYFUNCTION("""COMPUTED_VALUE"""),"➖")</f>
        <v>➖</v>
      </c>
      <c r="P7" s="282" t="str">
        <f>IFERROR(__xludf.DUMMYFUNCTION("""COMPUTED_VALUE"""),"➖")</f>
        <v>➖</v>
      </c>
      <c r="Q7" s="282" t="str">
        <f>IFERROR(__xludf.DUMMYFUNCTION("""COMPUTED_VALUE"""),"➖")</f>
        <v>➖</v>
      </c>
      <c r="R7" s="304" t="str">
        <f>IFERROR(__xludf.DUMMYFUNCTION("""COMPUTED_VALUE"""),"   ➖")</f>
        <v>➖</v>
      </c>
      <c r="S7" s="305" t="str">
        <f>IFERROR(__xludf.DUMMYFUNCTION("""COMPUTED_VALUE"""),"➖")</f>
        <v>➖</v>
      </c>
      <c r="T7" s="282"/>
      <c r="U7" s="282" t="str">
        <f>IFERROR(__xludf.DUMMYFUNCTION("""COMPUTED_VALUE"""),"➖")</f>
        <v>➖</v>
      </c>
      <c r="V7" s="282" t="str">
        <f>IFERROR(__xludf.DUMMYFUNCTION("""COMPUTED_VALUE"""),"➖")</f>
        <v>➖</v>
      </c>
      <c r="W7" s="306"/>
      <c r="X7" s="306"/>
      <c r="Y7" s="306"/>
    </row>
    <row r="8">
      <c r="A8" s="227"/>
      <c r="B8" s="307"/>
      <c r="C8" s="227"/>
      <c r="D8" s="308" t="str">
        <f>IFERROR(__xludf.DUMMYFUNCTION("""COMPUTED_VALUE"""),"   C")</f>
        <v>C</v>
      </c>
      <c r="E8" s="309" t="str">
        <f>IFERROR(__xludf.DUMMYFUNCTION("""COMPUTED_VALUE"""),"Orion Seismic Charges")</f>
        <v>Orion Seismic Charges</v>
      </c>
      <c r="F8" s="310">
        <f>IFERROR(__xludf.DUMMYFUNCTION("""COMPUTED_VALUE"""),2.0)</f>
        <v>2</v>
      </c>
      <c r="G8" s="231" t="str">
        <f>IFERROR(__xludf.DUMMYFUNCTION("""COMPUTED_VALUE"""),"FT")</f>
        <v>FT</v>
      </c>
      <c r="H8" s="231" t="str">
        <f>IFERROR(__xludf.DUMMYFUNCTION("""COMPUTED_VALUE"""),"➖")</f>
        <v>➖</v>
      </c>
      <c r="I8" s="231" t="str">
        <f>IFERROR(__xludf.DUMMYFUNCTION("""COMPUTED_VALUE"""),"➖")</f>
        <v>➖</v>
      </c>
      <c r="J8" s="231" t="str">
        <f>IFERROR(__xludf.DUMMYFUNCTION("""COMPUTED_VALUE"""),"➖")</f>
        <v>➖</v>
      </c>
      <c r="K8" s="288" t="str">
        <f>IFERROR(__xludf.DUMMYFUNCTION("""COMPUTED_VALUE"""),"➖")</f>
        <v>➖</v>
      </c>
      <c r="L8" s="288" t="str">
        <f>IFERROR(__xludf.DUMMYFUNCTION("""COMPUTED_VALUE"""),"➖")</f>
        <v>➖</v>
      </c>
      <c r="M8" s="288" t="str">
        <f>IFERROR(__xludf.DUMMYFUNCTION("""COMPUTED_VALUE"""),"➖")</f>
        <v>➖</v>
      </c>
      <c r="N8" s="288" t="str">
        <f>IFERROR(__xludf.DUMMYFUNCTION("""COMPUTED_VALUE"""),"➖")</f>
        <v>➖</v>
      </c>
      <c r="O8" s="288" t="str">
        <f>IFERROR(__xludf.DUMMYFUNCTION("""COMPUTED_VALUE"""),"➖")</f>
        <v>➖</v>
      </c>
      <c r="P8" s="288" t="str">
        <f>IFERROR(__xludf.DUMMYFUNCTION("""COMPUTED_VALUE"""),"➖")</f>
        <v>➖</v>
      </c>
      <c r="Q8" s="288" t="str">
        <f>IFERROR(__xludf.DUMMYFUNCTION("""COMPUTED_VALUE"""),"➖")</f>
        <v>➖</v>
      </c>
      <c r="R8" s="311" t="str">
        <f>IFERROR(__xludf.DUMMYFUNCTION("""COMPUTED_VALUE"""),"   ➖")</f>
        <v>➖</v>
      </c>
      <c r="S8" s="312" t="str">
        <f>IFERROR(__xludf.DUMMYFUNCTION("""COMPUTED_VALUE"""),"➖")</f>
        <v>➖</v>
      </c>
      <c r="T8" s="288"/>
      <c r="U8" s="288" t="str">
        <f>IFERROR(__xludf.DUMMYFUNCTION("""COMPUTED_VALUE"""),"➖")</f>
        <v>➖</v>
      </c>
      <c r="V8" s="288" t="str">
        <f>IFERROR(__xludf.DUMMYFUNCTION("""COMPUTED_VALUE"""),"✅")</f>
        <v>✅</v>
      </c>
      <c r="W8" s="306"/>
      <c r="X8" s="306"/>
      <c r="Y8" s="306"/>
    </row>
    <row r="9">
      <c r="A9" s="227"/>
      <c r="B9" s="128"/>
      <c r="C9" s="227"/>
      <c r="D9" s="301" t="str">
        <f>IFERROR(__xludf.DUMMYFUNCTION("""COMPUTED_VALUE"""),"   U")</f>
        <v>U</v>
      </c>
      <c r="E9" s="313" t="str">
        <f>IFERROR(__xludf.DUMMYFUNCTION("""COMPUTED_VALUE"""),"Transphasic Torpedoes")</f>
        <v>Transphasic Torpedoes</v>
      </c>
      <c r="F9" s="303">
        <f>IFERROR(__xludf.DUMMYFUNCTION("""COMPUTED_VALUE"""),1.0)</f>
        <v>1</v>
      </c>
      <c r="G9" s="281" t="str">
        <f>IFERROR(__xludf.DUMMYFUNCTION("""COMPUTED_VALUE"""),"FT")</f>
        <v>FT</v>
      </c>
      <c r="H9" s="281" t="str">
        <f>IFERROR(__xludf.DUMMYFUNCTION("""COMPUTED_VALUE"""),"➖")</f>
        <v>➖</v>
      </c>
      <c r="I9" s="281" t="str">
        <f>IFERROR(__xludf.DUMMYFUNCTION("""COMPUTED_VALUE"""),"➖")</f>
        <v>➖</v>
      </c>
      <c r="J9" s="281" t="str">
        <f>IFERROR(__xludf.DUMMYFUNCTION("""COMPUTED_VALUE"""),"➖")</f>
        <v>➖</v>
      </c>
      <c r="K9" s="282" t="str">
        <f>IFERROR(__xludf.DUMMYFUNCTION("""COMPUTED_VALUE"""),"➖")</f>
        <v>➖</v>
      </c>
      <c r="L9" s="282" t="str">
        <f>IFERROR(__xludf.DUMMYFUNCTION("""COMPUTED_VALUE"""),"➖")</f>
        <v>➖</v>
      </c>
      <c r="M9" s="282" t="str">
        <f>IFERROR(__xludf.DUMMYFUNCTION("""COMPUTED_VALUE"""),"➖")</f>
        <v>➖</v>
      </c>
      <c r="N9" s="282" t="str">
        <f>IFERROR(__xludf.DUMMYFUNCTION("""COMPUTED_VALUE"""),"➖")</f>
        <v>➖</v>
      </c>
      <c r="O9" s="282" t="str">
        <f>IFERROR(__xludf.DUMMYFUNCTION("""COMPUTED_VALUE"""),"➖")</f>
        <v>➖</v>
      </c>
      <c r="P9" s="282" t="str">
        <f>IFERROR(__xludf.DUMMYFUNCTION("""COMPUTED_VALUE"""),"➖")</f>
        <v>➖</v>
      </c>
      <c r="Q9" s="282" t="str">
        <f>IFERROR(__xludf.DUMMYFUNCTION("""COMPUTED_VALUE"""),"➖")</f>
        <v>➖</v>
      </c>
      <c r="R9" s="304" t="str">
        <f>IFERROR(__xludf.DUMMYFUNCTION("""COMPUTED_VALUE"""),"   ➖")</f>
        <v>➖</v>
      </c>
      <c r="S9" s="305" t="str">
        <f>IFERROR(__xludf.DUMMYFUNCTION("""COMPUTED_VALUE"""),"➖")</f>
        <v>➖</v>
      </c>
      <c r="T9" s="282"/>
      <c r="U9" s="282" t="str">
        <f>IFERROR(__xludf.DUMMYFUNCTION("""COMPUTED_VALUE"""),"➖")</f>
        <v>➖</v>
      </c>
      <c r="V9" s="282" t="str">
        <f>IFERROR(__xludf.DUMMYFUNCTION("""COMPUTED_VALUE"""),"➖")</f>
        <v>➖</v>
      </c>
      <c r="W9" s="306"/>
      <c r="X9" s="306"/>
      <c r="Y9" s="306"/>
    </row>
    <row r="10">
      <c r="A10" s="227"/>
      <c r="B10" s="307"/>
      <c r="C10" s="227"/>
      <c r="D10" s="308" t="str">
        <f>IFERROR(__xludf.DUMMYFUNCTION("""COMPUTED_VALUE"""),"   U")</f>
        <v>U</v>
      </c>
      <c r="E10" s="309" t="str">
        <f>IFERROR(__xludf.DUMMYFUNCTION("""COMPUTED_VALUE"""),"Transphasic Torpedoes")</f>
        <v>Transphasic Torpedoes</v>
      </c>
      <c r="F10" s="310">
        <f>IFERROR(__xludf.DUMMYFUNCTION("""COMPUTED_VALUE"""),2.0)</f>
        <v>2</v>
      </c>
      <c r="G10" s="231" t="str">
        <f>IFERROR(__xludf.DUMMYFUNCTION("""COMPUTED_VALUE"""),"FT")</f>
        <v>FT</v>
      </c>
      <c r="H10" s="231" t="str">
        <f>IFERROR(__xludf.DUMMYFUNCTION("""COMPUTED_VALUE"""),"➖")</f>
        <v>➖</v>
      </c>
      <c r="I10" s="231" t="str">
        <f>IFERROR(__xludf.DUMMYFUNCTION("""COMPUTED_VALUE"""),"➖")</f>
        <v>➖</v>
      </c>
      <c r="J10" s="231" t="str">
        <f>IFERROR(__xludf.DUMMYFUNCTION("""COMPUTED_VALUE"""),"➖")</f>
        <v>➖</v>
      </c>
      <c r="K10" s="288" t="str">
        <f>IFERROR(__xludf.DUMMYFUNCTION("""COMPUTED_VALUE"""),"➖")</f>
        <v>➖</v>
      </c>
      <c r="L10" s="288" t="str">
        <f>IFERROR(__xludf.DUMMYFUNCTION("""COMPUTED_VALUE"""),"➖")</f>
        <v>➖</v>
      </c>
      <c r="M10" s="288" t="str">
        <f>IFERROR(__xludf.DUMMYFUNCTION("""COMPUTED_VALUE"""),"➖")</f>
        <v>➖</v>
      </c>
      <c r="N10" s="288" t="str">
        <f>IFERROR(__xludf.DUMMYFUNCTION("""COMPUTED_VALUE"""),"➖")</f>
        <v>➖</v>
      </c>
      <c r="O10" s="288" t="str">
        <f>IFERROR(__xludf.DUMMYFUNCTION("""COMPUTED_VALUE"""),"➖")</f>
        <v>➖</v>
      </c>
      <c r="P10" s="288" t="str">
        <f>IFERROR(__xludf.DUMMYFUNCTION("""COMPUTED_VALUE"""),"➖")</f>
        <v>➖</v>
      </c>
      <c r="Q10" s="288" t="str">
        <f>IFERROR(__xludf.DUMMYFUNCTION("""COMPUTED_VALUE"""),"➖")</f>
        <v>➖</v>
      </c>
      <c r="R10" s="311" t="str">
        <f>IFERROR(__xludf.DUMMYFUNCTION("""COMPUTED_VALUE"""),"   ➖")</f>
        <v>➖</v>
      </c>
      <c r="S10" s="312" t="str">
        <f>IFERROR(__xludf.DUMMYFUNCTION("""COMPUTED_VALUE"""),"➖")</f>
        <v>➖</v>
      </c>
      <c r="T10" s="288"/>
      <c r="U10" s="288" t="str">
        <f>IFERROR(__xludf.DUMMYFUNCTION("""COMPUTED_VALUE"""),"➖")</f>
        <v>➖</v>
      </c>
      <c r="V10" s="288" t="str">
        <f>IFERROR(__xludf.DUMMYFUNCTION("""COMPUTED_VALUE"""),"➖")</f>
        <v>➖</v>
      </c>
      <c r="W10" s="306"/>
      <c r="X10" s="306"/>
      <c r="Y10" s="306"/>
    </row>
    <row r="11">
      <c r="A11" s="227"/>
      <c r="B11" s="128"/>
      <c r="C11" s="227"/>
      <c r="D11" s="301" t="str">
        <f>IFERROR(__xludf.DUMMYFUNCTION("""COMPUTED_VALUE"""),"   U")</f>
        <v>U</v>
      </c>
      <c r="E11" s="313" t="str">
        <f>IFERROR(__xludf.DUMMYFUNCTION("""COMPUTED_VALUE"""),"Transphasic Torpedoes")</f>
        <v>Transphasic Torpedoes</v>
      </c>
      <c r="F11" s="303">
        <f>IFERROR(__xludf.DUMMYFUNCTION("""COMPUTED_VALUE"""),3.0)</f>
        <v>3</v>
      </c>
      <c r="G11" s="281" t="str">
        <f>IFERROR(__xludf.DUMMYFUNCTION("""COMPUTED_VALUE"""),"FT")</f>
        <v>FT</v>
      </c>
      <c r="H11" s="281" t="str">
        <f>IFERROR(__xludf.DUMMYFUNCTION("""COMPUTED_VALUE"""),"➖")</f>
        <v>➖</v>
      </c>
      <c r="I11" s="281" t="str">
        <f>IFERROR(__xludf.DUMMYFUNCTION("""COMPUTED_VALUE"""),"➖")</f>
        <v>➖</v>
      </c>
      <c r="J11" s="281" t="str">
        <f>IFERROR(__xludf.DUMMYFUNCTION("""COMPUTED_VALUE"""),"➖")</f>
        <v>➖</v>
      </c>
      <c r="K11" s="282" t="str">
        <f>IFERROR(__xludf.DUMMYFUNCTION("""COMPUTED_VALUE"""),"➖")</f>
        <v>➖</v>
      </c>
      <c r="L11" s="282" t="str">
        <f>IFERROR(__xludf.DUMMYFUNCTION("""COMPUTED_VALUE"""),"➖")</f>
        <v>➖</v>
      </c>
      <c r="M11" s="282" t="str">
        <f>IFERROR(__xludf.DUMMYFUNCTION("""COMPUTED_VALUE"""),"➖")</f>
        <v>➖</v>
      </c>
      <c r="N11" s="282" t="str">
        <f>IFERROR(__xludf.DUMMYFUNCTION("""COMPUTED_VALUE"""),"➖")</f>
        <v>➖</v>
      </c>
      <c r="O11" s="282" t="str">
        <f>IFERROR(__xludf.DUMMYFUNCTION("""COMPUTED_VALUE"""),"➖")</f>
        <v>➖</v>
      </c>
      <c r="P11" s="282" t="str">
        <f>IFERROR(__xludf.DUMMYFUNCTION("""COMPUTED_VALUE"""),"➖")</f>
        <v>➖</v>
      </c>
      <c r="Q11" s="282" t="str">
        <f>IFERROR(__xludf.DUMMYFUNCTION("""COMPUTED_VALUE"""),"➖")</f>
        <v>➖</v>
      </c>
      <c r="R11" s="304" t="str">
        <f>IFERROR(__xludf.DUMMYFUNCTION("""COMPUTED_VALUE"""),"   ➖")</f>
        <v>➖</v>
      </c>
      <c r="S11" s="305" t="str">
        <f>IFERROR(__xludf.DUMMYFUNCTION("""COMPUTED_VALUE"""),"➖")</f>
        <v>➖</v>
      </c>
      <c r="T11" s="282"/>
      <c r="U11" s="282" t="str">
        <f>IFERROR(__xludf.DUMMYFUNCTION("""COMPUTED_VALUE"""),"➖")</f>
        <v>➖</v>
      </c>
      <c r="V11" s="282" t="str">
        <f>IFERROR(__xludf.DUMMYFUNCTION("""COMPUTED_VALUE"""),"➖")</f>
        <v>➖</v>
      </c>
      <c r="W11" s="306"/>
      <c r="X11" s="306"/>
      <c r="Y11" s="306"/>
    </row>
    <row r="12">
      <c r="A12" s="227"/>
      <c r="B12" s="307"/>
      <c r="C12" s="227"/>
      <c r="D12" s="308" t="str">
        <f>IFERROR(__xludf.DUMMYFUNCTION("""COMPUTED_VALUE"""),"   U")</f>
        <v>U</v>
      </c>
      <c r="E12" s="309" t="str">
        <f>IFERROR(__xludf.DUMMYFUNCTION("""COMPUTED_VALUE"""),"Subnucleonic Beam")</f>
        <v>Subnucleonic Beam</v>
      </c>
      <c r="F12" s="310">
        <f>IFERROR(__xludf.DUMMYFUNCTION("""COMPUTED_VALUE"""),1.0)</f>
        <v>1</v>
      </c>
      <c r="G12" s="231" t="str">
        <f>IFERROR(__xludf.DUMMYFUNCTION("""COMPUTED_VALUE"""),"FT")</f>
        <v>FT</v>
      </c>
      <c r="H12" s="231" t="str">
        <f>IFERROR(__xludf.DUMMYFUNCTION("""COMPUTED_VALUE"""),"✅")</f>
        <v>✅</v>
      </c>
      <c r="I12" s="231" t="str">
        <f>IFERROR(__xludf.DUMMYFUNCTION("""COMPUTED_VALUE"""),"✅")</f>
        <v>✅</v>
      </c>
      <c r="J12" s="231" t="str">
        <f>IFERROR(__xludf.DUMMYFUNCTION("""COMPUTED_VALUE"""),"✅")</f>
        <v>✅</v>
      </c>
      <c r="K12" s="288" t="str">
        <f>IFERROR(__xludf.DUMMYFUNCTION("""COMPUTED_VALUE"""),"✅")</f>
        <v>✅</v>
      </c>
      <c r="L12" s="288" t="str">
        <f>IFERROR(__xludf.DUMMYFUNCTION("""COMPUTED_VALUE"""),"✅")</f>
        <v>✅</v>
      </c>
      <c r="M12" s="288" t="str">
        <f>IFERROR(__xludf.DUMMYFUNCTION("""COMPUTED_VALUE"""),"✅")</f>
        <v>✅</v>
      </c>
      <c r="N12" s="288" t="str">
        <f>IFERROR(__xludf.DUMMYFUNCTION("""COMPUTED_VALUE"""),"✅")</f>
        <v>✅</v>
      </c>
      <c r="O12" s="288" t="str">
        <f>IFERROR(__xludf.DUMMYFUNCTION("""COMPUTED_VALUE"""),"✅")</f>
        <v>✅</v>
      </c>
      <c r="P12" s="288" t="str">
        <f>IFERROR(__xludf.DUMMYFUNCTION("""COMPUTED_VALUE"""),"✅")</f>
        <v>✅</v>
      </c>
      <c r="Q12" s="288" t="str">
        <f>IFERROR(__xludf.DUMMYFUNCTION("""COMPUTED_VALUE"""),"✅")</f>
        <v>✅</v>
      </c>
      <c r="R12" s="311" t="str">
        <f>IFERROR(__xludf.DUMMYFUNCTION("""COMPUTED_VALUE"""),"   ✅")</f>
        <v>✅</v>
      </c>
      <c r="S12" s="312" t="str">
        <f>IFERROR(__xludf.DUMMYFUNCTION("""COMPUTED_VALUE"""),"✅")</f>
        <v>✅</v>
      </c>
      <c r="T12" s="288"/>
      <c r="U12" s="288" t="str">
        <f>IFERROR(__xludf.DUMMYFUNCTION("""COMPUTED_VALUE"""),"➖")</f>
        <v>➖</v>
      </c>
      <c r="V12" s="288" t="str">
        <f>IFERROR(__xludf.DUMMYFUNCTION("""COMPUTED_VALUE"""),"➖")</f>
        <v>➖</v>
      </c>
      <c r="W12" s="306"/>
      <c r="X12" s="306"/>
      <c r="Y12" s="306"/>
    </row>
    <row r="13">
      <c r="A13" s="227"/>
      <c r="B13" s="128"/>
      <c r="C13" s="227"/>
      <c r="D13" s="301" t="str">
        <f>IFERROR(__xludf.DUMMYFUNCTION("""COMPUTED_VALUE"""),"   U")</f>
        <v>U</v>
      </c>
      <c r="E13" s="313" t="str">
        <f>IFERROR(__xludf.DUMMYFUNCTION("""COMPUTED_VALUE"""),"Subnucleonic Beam")</f>
        <v>Subnucleonic Beam</v>
      </c>
      <c r="F13" s="303">
        <f>IFERROR(__xludf.DUMMYFUNCTION("""COMPUTED_VALUE"""),2.0)</f>
        <v>2</v>
      </c>
      <c r="G13" s="281" t="str">
        <f>IFERROR(__xludf.DUMMYFUNCTION("""COMPUTED_VALUE"""),"FT")</f>
        <v>FT</v>
      </c>
      <c r="H13" s="281" t="str">
        <f>IFERROR(__xludf.DUMMYFUNCTION("""COMPUTED_VALUE"""),"➖")</f>
        <v>➖</v>
      </c>
      <c r="I13" s="281" t="str">
        <f>IFERROR(__xludf.DUMMYFUNCTION("""COMPUTED_VALUE"""),"➖")</f>
        <v>➖</v>
      </c>
      <c r="J13" s="281" t="str">
        <f>IFERROR(__xludf.DUMMYFUNCTION("""COMPUTED_VALUE"""),"✴️")</f>
        <v>✴️</v>
      </c>
      <c r="K13" s="282" t="str">
        <f>IFERROR(__xludf.DUMMYFUNCTION("""COMPUTED_VALUE"""),"✴️")</f>
        <v>✴️</v>
      </c>
      <c r="L13" s="282" t="str">
        <f>IFERROR(__xludf.DUMMYFUNCTION("""COMPUTED_VALUE"""),"✴️")</f>
        <v>✴️</v>
      </c>
      <c r="M13" s="282" t="str">
        <f>IFERROR(__xludf.DUMMYFUNCTION("""COMPUTED_VALUE"""),"✴️")</f>
        <v>✴️</v>
      </c>
      <c r="N13" s="282" t="str">
        <f>IFERROR(__xludf.DUMMYFUNCTION("""COMPUTED_VALUE"""),"✴️")</f>
        <v>✴️</v>
      </c>
      <c r="O13" s="282" t="str">
        <f>IFERROR(__xludf.DUMMYFUNCTION("""COMPUTED_VALUE"""),"✴️")</f>
        <v>✴️</v>
      </c>
      <c r="P13" s="282" t="str">
        <f>IFERROR(__xludf.DUMMYFUNCTION("""COMPUTED_VALUE"""),"➖")</f>
        <v>➖</v>
      </c>
      <c r="Q13" s="282" t="str">
        <f>IFERROR(__xludf.DUMMYFUNCTION("""COMPUTED_VALUE"""),"✴️")</f>
        <v>✴️</v>
      </c>
      <c r="R13" s="304" t="str">
        <f>IFERROR(__xludf.DUMMYFUNCTION("""COMPUTED_VALUE"""),"   ➖")</f>
        <v>➖</v>
      </c>
      <c r="S13" s="305" t="str">
        <f>IFERROR(__xludf.DUMMYFUNCTION("""COMPUTED_VALUE"""),"➖")</f>
        <v>➖</v>
      </c>
      <c r="T13" s="282" t="str">
        <f>IFERROR(__xludf.DUMMYFUNCTION("""COMPUTED_VALUE"""),"Swarm")</f>
        <v>Swarm</v>
      </c>
      <c r="U13" s="282" t="str">
        <f>IFERROR(__xludf.DUMMYFUNCTION("""COMPUTED_VALUE"""),"➖")</f>
        <v>➖</v>
      </c>
      <c r="V13" s="282" t="str">
        <f>IFERROR(__xludf.DUMMYFUNCTION("""COMPUTED_VALUE"""),"➖")</f>
        <v>➖</v>
      </c>
      <c r="W13" s="306"/>
      <c r="X13" s="306"/>
      <c r="Y13" s="306"/>
    </row>
    <row r="14">
      <c r="A14" s="227"/>
      <c r="B14" s="307"/>
      <c r="C14" s="227"/>
      <c r="D14" s="308" t="str">
        <f>IFERROR(__xludf.DUMMYFUNCTION("""COMPUTED_VALUE"""),"   U")</f>
        <v>U</v>
      </c>
      <c r="E14" s="309" t="str">
        <f>IFERROR(__xludf.DUMMYFUNCTION("""COMPUTED_VALUE"""),"Subnucleonic Beam")</f>
        <v>Subnucleonic Beam</v>
      </c>
      <c r="F14" s="310">
        <f>IFERROR(__xludf.DUMMYFUNCTION("""COMPUTED_VALUE"""),3.0)</f>
        <v>3</v>
      </c>
      <c r="G14" s="231" t="str">
        <f>IFERROR(__xludf.DUMMYFUNCTION("""COMPUTED_VALUE"""),"FT")</f>
        <v>FT</v>
      </c>
      <c r="H14" s="231" t="str">
        <f>IFERROR(__xludf.DUMMYFUNCTION("""COMPUTED_VALUE"""),"➖")</f>
        <v>➖</v>
      </c>
      <c r="I14" s="231" t="str">
        <f>IFERROR(__xludf.DUMMYFUNCTION("""COMPUTED_VALUE"""),"➖")</f>
        <v>➖</v>
      </c>
      <c r="J14" s="231" t="str">
        <f>IFERROR(__xludf.DUMMYFUNCTION("""COMPUTED_VALUE"""),"✴️")</f>
        <v>✴️</v>
      </c>
      <c r="K14" s="288" t="str">
        <f>IFERROR(__xludf.DUMMYFUNCTION("""COMPUTED_VALUE"""),"✴️")</f>
        <v>✴️</v>
      </c>
      <c r="L14" s="288" t="str">
        <f>IFERROR(__xludf.DUMMYFUNCTION("""COMPUTED_VALUE"""),"✴️")</f>
        <v>✴️</v>
      </c>
      <c r="M14" s="288" t="str">
        <f>IFERROR(__xludf.DUMMYFUNCTION("""COMPUTED_VALUE"""),"✴️")</f>
        <v>✴️</v>
      </c>
      <c r="N14" s="288" t="str">
        <f>IFERROR(__xludf.DUMMYFUNCTION("""COMPUTED_VALUE"""),"✴️")</f>
        <v>✴️</v>
      </c>
      <c r="O14" s="288" t="str">
        <f>IFERROR(__xludf.DUMMYFUNCTION("""COMPUTED_VALUE"""),"✴️")</f>
        <v>✴️</v>
      </c>
      <c r="P14" s="288" t="str">
        <f>IFERROR(__xludf.DUMMYFUNCTION("""COMPUTED_VALUE"""),"➖")</f>
        <v>➖</v>
      </c>
      <c r="Q14" s="288" t="str">
        <f>IFERROR(__xludf.DUMMYFUNCTION("""COMPUTED_VALUE"""),"✴️")</f>
        <v>✴️</v>
      </c>
      <c r="R14" s="311" t="str">
        <f>IFERROR(__xludf.DUMMYFUNCTION("""COMPUTED_VALUE"""),"   ➖")</f>
        <v>➖</v>
      </c>
      <c r="S14" s="312" t="str">
        <f>IFERROR(__xludf.DUMMYFUNCTION("""COMPUTED_VALUE"""),"➖")</f>
        <v>➖</v>
      </c>
      <c r="T14" s="288" t="str">
        <f>IFERROR(__xludf.DUMMYFUNCTION("""COMPUTED_VALUE"""),"Dominion")</f>
        <v>Dominion</v>
      </c>
      <c r="U14" s="288" t="str">
        <f>IFERROR(__xludf.DUMMYFUNCTION("""COMPUTED_VALUE"""),"➖")</f>
        <v>➖</v>
      </c>
      <c r="V14" s="288" t="str">
        <f>IFERROR(__xludf.DUMMYFUNCTION("""COMPUTED_VALUE"""),"➖")</f>
        <v>➖</v>
      </c>
      <c r="W14" s="306"/>
      <c r="X14" s="306"/>
      <c r="Y14" s="306"/>
    </row>
    <row r="15">
      <c r="A15" s="227"/>
      <c r="B15" s="128"/>
      <c r="C15" s="227"/>
      <c r="D15" s="301" t="str">
        <f>IFERROR(__xludf.DUMMYFUNCTION("""COMPUTED_VALUE"""),"   R")</f>
        <v>R</v>
      </c>
      <c r="E15" s="313" t="str">
        <f>IFERROR(__xludf.DUMMYFUNCTION("""COMPUTED_VALUE"""),"Borg Nanoplating")</f>
        <v>Borg Nanoplating</v>
      </c>
      <c r="F15" s="303">
        <f>IFERROR(__xludf.DUMMYFUNCTION("""COMPUTED_VALUE"""),1.0)</f>
        <v>1</v>
      </c>
      <c r="G15" s="281" t="str">
        <f>IFERROR(__xludf.DUMMYFUNCTION("""COMPUTED_VALUE"""),"FT")</f>
        <v>FT</v>
      </c>
      <c r="H15" s="281" t="str">
        <f>IFERROR(__xludf.DUMMYFUNCTION("""COMPUTED_VALUE"""),"➖")</f>
        <v>➖</v>
      </c>
      <c r="I15" s="281" t="str">
        <f>IFERROR(__xludf.DUMMYFUNCTION("""COMPUTED_VALUE"""),"➖")</f>
        <v>➖</v>
      </c>
      <c r="J15" s="281" t="str">
        <f>IFERROR(__xludf.DUMMYFUNCTION("""COMPUTED_VALUE"""),"➖")</f>
        <v>➖</v>
      </c>
      <c r="K15" s="282" t="str">
        <f>IFERROR(__xludf.DUMMYFUNCTION("""COMPUTED_VALUE"""),"➖")</f>
        <v>➖</v>
      </c>
      <c r="L15" s="282" t="str">
        <f>IFERROR(__xludf.DUMMYFUNCTION("""COMPUTED_VALUE"""),"➖")</f>
        <v>➖</v>
      </c>
      <c r="M15" s="282" t="str">
        <f>IFERROR(__xludf.DUMMYFUNCTION("""COMPUTED_VALUE"""),"➖")</f>
        <v>➖</v>
      </c>
      <c r="N15" s="282" t="str">
        <f>IFERROR(__xludf.DUMMYFUNCTION("""COMPUTED_VALUE"""),"➖")</f>
        <v>➖</v>
      </c>
      <c r="O15" s="282" t="str">
        <f>IFERROR(__xludf.DUMMYFUNCTION("""COMPUTED_VALUE"""),"✅")</f>
        <v>✅</v>
      </c>
      <c r="P15" s="282" t="str">
        <f>IFERROR(__xludf.DUMMYFUNCTION("""COMPUTED_VALUE"""),"➖")</f>
        <v>➖</v>
      </c>
      <c r="Q15" s="282" t="str">
        <f>IFERROR(__xludf.DUMMYFUNCTION("""COMPUTED_VALUE"""),"➖")</f>
        <v>➖</v>
      </c>
      <c r="R15" s="304" t="str">
        <f>IFERROR(__xludf.DUMMYFUNCTION("""COMPUTED_VALUE"""),"   ➖")</f>
        <v>➖</v>
      </c>
      <c r="S15" s="305" t="str">
        <f>IFERROR(__xludf.DUMMYFUNCTION("""COMPUTED_VALUE"""),"➖")</f>
        <v>➖</v>
      </c>
      <c r="T15" s="282"/>
      <c r="U15" s="282" t="str">
        <f>IFERROR(__xludf.DUMMYFUNCTION("""COMPUTED_VALUE"""),"➖")</f>
        <v>➖</v>
      </c>
      <c r="V15" s="282" t="str">
        <f>IFERROR(__xludf.DUMMYFUNCTION("""COMPUTED_VALUE"""),"➖")</f>
        <v>➖</v>
      </c>
      <c r="W15" s="306"/>
      <c r="X15" s="306"/>
      <c r="Y15" s="306"/>
    </row>
    <row r="16">
      <c r="A16" s="227"/>
      <c r="B16" s="307"/>
      <c r="C16" s="227"/>
      <c r="D16" s="308" t="str">
        <f>IFERROR(__xludf.DUMMYFUNCTION("""COMPUTED_VALUE"""),"   R")</f>
        <v>R</v>
      </c>
      <c r="E16" s="309" t="str">
        <f>IFERROR(__xludf.DUMMYFUNCTION("""COMPUTED_VALUE"""),"Borg Nanoplating")</f>
        <v>Borg Nanoplating</v>
      </c>
      <c r="F16" s="310">
        <f>IFERROR(__xludf.DUMMYFUNCTION("""COMPUTED_VALUE"""),2.0)</f>
        <v>2</v>
      </c>
      <c r="G16" s="231" t="str">
        <f>IFERROR(__xludf.DUMMYFUNCTION("""COMPUTED_VALUE"""),"FT")</f>
        <v>FT</v>
      </c>
      <c r="H16" s="231" t="str">
        <f>IFERROR(__xludf.DUMMYFUNCTION("""COMPUTED_VALUE"""),"➖")</f>
        <v>➖</v>
      </c>
      <c r="I16" s="231" t="str">
        <f>IFERROR(__xludf.DUMMYFUNCTION("""COMPUTED_VALUE"""),"➖")</f>
        <v>➖</v>
      </c>
      <c r="J16" s="231" t="str">
        <f>IFERROR(__xludf.DUMMYFUNCTION("""COMPUTED_VALUE"""),"➖")</f>
        <v>➖</v>
      </c>
      <c r="K16" s="288" t="str">
        <f>IFERROR(__xludf.DUMMYFUNCTION("""COMPUTED_VALUE"""),"➖")</f>
        <v>➖</v>
      </c>
      <c r="L16" s="288" t="str">
        <f>IFERROR(__xludf.DUMMYFUNCTION("""COMPUTED_VALUE"""),"➖")</f>
        <v>➖</v>
      </c>
      <c r="M16" s="288" t="str">
        <f>IFERROR(__xludf.DUMMYFUNCTION("""COMPUTED_VALUE"""),"➖")</f>
        <v>➖</v>
      </c>
      <c r="N16" s="288" t="str">
        <f>IFERROR(__xludf.DUMMYFUNCTION("""COMPUTED_VALUE"""),"➖")</f>
        <v>➖</v>
      </c>
      <c r="O16" s="288" t="str">
        <f>IFERROR(__xludf.DUMMYFUNCTION("""COMPUTED_VALUE"""),"✅")</f>
        <v>✅</v>
      </c>
      <c r="P16" s="288" t="str">
        <f>IFERROR(__xludf.DUMMYFUNCTION("""COMPUTED_VALUE"""),"➖")</f>
        <v>➖</v>
      </c>
      <c r="Q16" s="288" t="str">
        <f>IFERROR(__xludf.DUMMYFUNCTION("""COMPUTED_VALUE"""),"➖")</f>
        <v>➖</v>
      </c>
      <c r="R16" s="311" t="str">
        <f>IFERROR(__xludf.DUMMYFUNCTION("""COMPUTED_VALUE"""),"   ➖")</f>
        <v>➖</v>
      </c>
      <c r="S16" s="312" t="str">
        <f>IFERROR(__xludf.DUMMYFUNCTION("""COMPUTED_VALUE"""),"➖")</f>
        <v>➖</v>
      </c>
      <c r="T16" s="288"/>
      <c r="U16" s="288" t="str">
        <f>IFERROR(__xludf.DUMMYFUNCTION("""COMPUTED_VALUE"""),"➖")</f>
        <v>➖</v>
      </c>
      <c r="V16" s="288" t="str">
        <f>IFERROR(__xludf.DUMMYFUNCTION("""COMPUTED_VALUE"""),"➖")</f>
        <v>➖</v>
      </c>
      <c r="W16" s="306"/>
      <c r="X16" s="306"/>
      <c r="Y16" s="306"/>
    </row>
    <row r="17">
      <c r="A17" s="227"/>
      <c r="B17" s="128"/>
      <c r="C17" s="227"/>
      <c r="D17" s="301" t="str">
        <f>IFERROR(__xludf.DUMMYFUNCTION("""COMPUTED_VALUE"""),"   R")</f>
        <v>R</v>
      </c>
      <c r="E17" s="313" t="str">
        <f>IFERROR(__xludf.DUMMYFUNCTION("""COMPUTED_VALUE"""),"Borg Nanoplating")</f>
        <v>Borg Nanoplating</v>
      </c>
      <c r="F17" s="303">
        <f>IFERROR(__xludf.DUMMYFUNCTION("""COMPUTED_VALUE"""),3.0)</f>
        <v>3</v>
      </c>
      <c r="G17" s="281" t="str">
        <f>IFERROR(__xludf.DUMMYFUNCTION("""COMPUTED_VALUE"""),"FT")</f>
        <v>FT</v>
      </c>
      <c r="H17" s="281" t="str">
        <f>IFERROR(__xludf.DUMMYFUNCTION("""COMPUTED_VALUE"""),"➖")</f>
        <v>➖</v>
      </c>
      <c r="I17" s="281" t="str">
        <f>IFERROR(__xludf.DUMMYFUNCTION("""COMPUTED_VALUE"""),"➖")</f>
        <v>➖</v>
      </c>
      <c r="J17" s="281" t="str">
        <f>IFERROR(__xludf.DUMMYFUNCTION("""COMPUTED_VALUE"""),"➖")</f>
        <v>➖</v>
      </c>
      <c r="K17" s="282" t="str">
        <f>IFERROR(__xludf.DUMMYFUNCTION("""COMPUTED_VALUE"""),"➖")</f>
        <v>➖</v>
      </c>
      <c r="L17" s="282" t="str">
        <f>IFERROR(__xludf.DUMMYFUNCTION("""COMPUTED_VALUE"""),"➖")</f>
        <v>➖</v>
      </c>
      <c r="M17" s="282" t="str">
        <f>IFERROR(__xludf.DUMMYFUNCTION("""COMPUTED_VALUE"""),"➖")</f>
        <v>➖</v>
      </c>
      <c r="N17" s="282" t="str">
        <f>IFERROR(__xludf.DUMMYFUNCTION("""COMPUTED_VALUE"""),"➖")</f>
        <v>➖</v>
      </c>
      <c r="O17" s="282" t="str">
        <f>IFERROR(__xludf.DUMMYFUNCTION("""COMPUTED_VALUE"""),"✅")</f>
        <v>✅</v>
      </c>
      <c r="P17" s="282" t="str">
        <f>IFERROR(__xludf.DUMMYFUNCTION("""COMPUTED_VALUE"""),"➖")</f>
        <v>➖</v>
      </c>
      <c r="Q17" s="282" t="str">
        <f>IFERROR(__xludf.DUMMYFUNCTION("""COMPUTED_VALUE"""),"➖")</f>
        <v>➖</v>
      </c>
      <c r="R17" s="304" t="str">
        <f>IFERROR(__xludf.DUMMYFUNCTION("""COMPUTED_VALUE"""),"   ➖")</f>
        <v>➖</v>
      </c>
      <c r="S17" s="305" t="str">
        <f>IFERROR(__xludf.DUMMYFUNCTION("""COMPUTED_VALUE"""),"➖")</f>
        <v>➖</v>
      </c>
      <c r="T17" s="282"/>
      <c r="U17" s="282" t="str">
        <f>IFERROR(__xludf.DUMMYFUNCTION("""COMPUTED_VALUE"""),"➖")</f>
        <v>➖</v>
      </c>
      <c r="V17" s="282" t="str">
        <f>IFERROR(__xludf.DUMMYFUNCTION("""COMPUTED_VALUE"""),"➖")</f>
        <v>➖</v>
      </c>
      <c r="W17" s="306"/>
      <c r="X17" s="306"/>
      <c r="Y17" s="306"/>
    </row>
    <row r="18">
      <c r="A18" s="227"/>
      <c r="B18" s="307"/>
      <c r="C18" s="227"/>
      <c r="D18" s="308" t="str">
        <f>IFERROR(__xludf.DUMMYFUNCTION("""COMPUTED_VALUE"""),"   R")</f>
        <v>R</v>
      </c>
      <c r="E18" s="309" t="str">
        <f>IFERROR(__xludf.DUMMYFUNCTION("""COMPUTED_VALUE"""),"Borg Nanoplating")</f>
        <v>Borg Nanoplating</v>
      </c>
      <c r="F18" s="310">
        <f>IFERROR(__xludf.DUMMYFUNCTION("""COMPUTED_VALUE"""),4.0)</f>
        <v>4</v>
      </c>
      <c r="G18" s="231" t="str">
        <f>IFERROR(__xludf.DUMMYFUNCTION("""COMPUTED_VALUE"""),"FT")</f>
        <v>FT</v>
      </c>
      <c r="H18" s="231" t="str">
        <f>IFERROR(__xludf.DUMMYFUNCTION("""COMPUTED_VALUE"""),"➖")</f>
        <v>➖</v>
      </c>
      <c r="I18" s="231" t="str">
        <f>IFERROR(__xludf.DUMMYFUNCTION("""COMPUTED_VALUE"""),"➖")</f>
        <v>➖</v>
      </c>
      <c r="J18" s="231" t="str">
        <f>IFERROR(__xludf.DUMMYFUNCTION("""COMPUTED_VALUE"""),"➖")</f>
        <v>➖</v>
      </c>
      <c r="K18" s="288" t="str">
        <f>IFERROR(__xludf.DUMMYFUNCTION("""COMPUTED_VALUE"""),"➖")</f>
        <v>➖</v>
      </c>
      <c r="L18" s="288" t="str">
        <f>IFERROR(__xludf.DUMMYFUNCTION("""COMPUTED_VALUE"""),"➖")</f>
        <v>➖</v>
      </c>
      <c r="M18" s="288" t="str">
        <f>IFERROR(__xludf.DUMMYFUNCTION("""COMPUTED_VALUE"""),"➖")</f>
        <v>➖</v>
      </c>
      <c r="N18" s="288" t="str">
        <f>IFERROR(__xludf.DUMMYFUNCTION("""COMPUTED_VALUE"""),"➖")</f>
        <v>➖</v>
      </c>
      <c r="O18" s="288" t="str">
        <f>IFERROR(__xludf.DUMMYFUNCTION("""COMPUTED_VALUE"""),"✅")</f>
        <v>✅</v>
      </c>
      <c r="P18" s="288" t="str">
        <f>IFERROR(__xludf.DUMMYFUNCTION("""COMPUTED_VALUE"""),"➖")</f>
        <v>➖</v>
      </c>
      <c r="Q18" s="288" t="str">
        <f>IFERROR(__xludf.DUMMYFUNCTION("""COMPUTED_VALUE"""),"➖")</f>
        <v>➖</v>
      </c>
      <c r="R18" s="311" t="str">
        <f>IFERROR(__xludf.DUMMYFUNCTION("""COMPUTED_VALUE"""),"   ➖")</f>
        <v>➖</v>
      </c>
      <c r="S18" s="312" t="str">
        <f>IFERROR(__xludf.DUMMYFUNCTION("""COMPUTED_VALUE"""),"➖")</f>
        <v>➖</v>
      </c>
      <c r="T18" s="288"/>
      <c r="U18" s="288" t="str">
        <f>IFERROR(__xludf.DUMMYFUNCTION("""COMPUTED_VALUE"""),"➖")</f>
        <v>➖</v>
      </c>
      <c r="V18" s="288" t="str">
        <f>IFERROR(__xludf.DUMMYFUNCTION("""COMPUTED_VALUE"""),"➖")</f>
        <v>➖</v>
      </c>
      <c r="W18" s="306"/>
      <c r="X18" s="306"/>
      <c r="Y18" s="306"/>
    </row>
    <row r="19">
      <c r="A19" s="227"/>
      <c r="B19" s="128"/>
      <c r="C19" s="227"/>
      <c r="D19" s="301" t="str">
        <f>IFERROR(__xludf.DUMMYFUNCTION("""COMPUTED_VALUE"""),"   R")</f>
        <v>R</v>
      </c>
      <c r="E19" s="313" t="str">
        <f>IFERROR(__xludf.DUMMYFUNCTION("""COMPUTED_VALUE"""),"Romulan Mining Laser")</f>
        <v>Romulan Mining Laser</v>
      </c>
      <c r="F19" s="303">
        <f>IFERROR(__xludf.DUMMYFUNCTION("""COMPUTED_VALUE"""),1.0)</f>
        <v>1</v>
      </c>
      <c r="G19" s="281" t="str">
        <f>IFERROR(__xludf.DUMMYFUNCTION("""COMPUTED_VALUE"""),"FT")</f>
        <v>FT</v>
      </c>
      <c r="H19" s="281" t="str">
        <f>IFERROR(__xludf.DUMMYFUNCTION("""COMPUTED_VALUE"""),"➖")</f>
        <v>➖</v>
      </c>
      <c r="I19" s="281" t="str">
        <f>IFERROR(__xludf.DUMMYFUNCTION("""COMPUTED_VALUE"""),"➖")</f>
        <v>➖</v>
      </c>
      <c r="J19" s="281" t="str">
        <f>IFERROR(__xludf.DUMMYFUNCTION("""COMPUTED_VALUE"""),"➖")</f>
        <v>➖</v>
      </c>
      <c r="K19" s="282" t="str">
        <f>IFERROR(__xludf.DUMMYFUNCTION("""COMPUTED_VALUE"""),"➖")</f>
        <v>➖</v>
      </c>
      <c r="L19" s="282" t="str">
        <f>IFERROR(__xludf.DUMMYFUNCTION("""COMPUTED_VALUE"""),"➖")</f>
        <v>➖</v>
      </c>
      <c r="M19" s="282" t="str">
        <f>IFERROR(__xludf.DUMMYFUNCTION("""COMPUTED_VALUE"""),"➖")</f>
        <v>➖</v>
      </c>
      <c r="N19" s="282" t="str">
        <f>IFERROR(__xludf.DUMMYFUNCTION("""COMPUTED_VALUE"""),"➖")</f>
        <v>➖</v>
      </c>
      <c r="O19" s="282" t="str">
        <f>IFERROR(__xludf.DUMMYFUNCTION("""COMPUTED_VALUE"""),"➖")</f>
        <v>➖</v>
      </c>
      <c r="P19" s="282" t="str">
        <f>IFERROR(__xludf.DUMMYFUNCTION("""COMPUTED_VALUE"""),"➖")</f>
        <v>➖</v>
      </c>
      <c r="Q19" s="282" t="str">
        <f>IFERROR(__xludf.DUMMYFUNCTION("""COMPUTED_VALUE"""),"➖")</f>
        <v>➖</v>
      </c>
      <c r="R19" s="304" t="str">
        <f>IFERROR(__xludf.DUMMYFUNCTION("""COMPUTED_VALUE"""),"   ➖")</f>
        <v>➖</v>
      </c>
      <c r="S19" s="305" t="str">
        <f>IFERROR(__xludf.DUMMYFUNCTION("""COMPUTED_VALUE"""),"➖")</f>
        <v>➖</v>
      </c>
      <c r="T19" s="282"/>
      <c r="U19" s="282" t="str">
        <f>IFERROR(__xludf.DUMMYFUNCTION("""COMPUTED_VALUE"""),"➖")</f>
        <v>➖</v>
      </c>
      <c r="V19" s="282" t="str">
        <f>IFERROR(__xludf.DUMMYFUNCTION("""COMPUTED_VALUE"""),"✅")</f>
        <v>✅</v>
      </c>
      <c r="W19" s="306"/>
      <c r="X19" s="306"/>
      <c r="Y19" s="306"/>
    </row>
    <row r="20">
      <c r="A20" s="227"/>
      <c r="B20" s="307"/>
      <c r="C20" s="227"/>
      <c r="D20" s="308" t="str">
        <f>IFERROR(__xludf.DUMMYFUNCTION("""COMPUTED_VALUE"""),"   R")</f>
        <v>R</v>
      </c>
      <c r="E20" s="309" t="str">
        <f>IFERROR(__xludf.DUMMYFUNCTION("""COMPUTED_VALUE"""),"Romulan Mining Laser")</f>
        <v>Romulan Mining Laser</v>
      </c>
      <c r="F20" s="310">
        <f>IFERROR(__xludf.DUMMYFUNCTION("""COMPUTED_VALUE"""),2.0)</f>
        <v>2</v>
      </c>
      <c r="G20" s="231" t="str">
        <f>IFERROR(__xludf.DUMMYFUNCTION("""COMPUTED_VALUE"""),"FT")</f>
        <v>FT</v>
      </c>
      <c r="H20" s="231" t="str">
        <f>IFERROR(__xludf.DUMMYFUNCTION("""COMPUTED_VALUE"""),"➖")</f>
        <v>➖</v>
      </c>
      <c r="I20" s="231" t="str">
        <f>IFERROR(__xludf.DUMMYFUNCTION("""COMPUTED_VALUE"""),"➖")</f>
        <v>➖</v>
      </c>
      <c r="J20" s="231" t="str">
        <f>IFERROR(__xludf.DUMMYFUNCTION("""COMPUTED_VALUE"""),"➖")</f>
        <v>➖</v>
      </c>
      <c r="K20" s="288" t="str">
        <f>IFERROR(__xludf.DUMMYFUNCTION("""COMPUTED_VALUE"""),"➖")</f>
        <v>➖</v>
      </c>
      <c r="L20" s="288" t="str">
        <f>IFERROR(__xludf.DUMMYFUNCTION("""COMPUTED_VALUE"""),"➖")</f>
        <v>➖</v>
      </c>
      <c r="M20" s="288" t="str">
        <f>IFERROR(__xludf.DUMMYFUNCTION("""COMPUTED_VALUE"""),"➖")</f>
        <v>➖</v>
      </c>
      <c r="N20" s="288" t="str">
        <f>IFERROR(__xludf.DUMMYFUNCTION("""COMPUTED_VALUE"""),"➖")</f>
        <v>➖</v>
      </c>
      <c r="O20" s="288" t="str">
        <f>IFERROR(__xludf.DUMMYFUNCTION("""COMPUTED_VALUE"""),"➖")</f>
        <v>➖</v>
      </c>
      <c r="P20" s="288" t="str">
        <f>IFERROR(__xludf.DUMMYFUNCTION("""COMPUTED_VALUE"""),"➖")</f>
        <v>➖</v>
      </c>
      <c r="Q20" s="288" t="str">
        <f>IFERROR(__xludf.DUMMYFUNCTION("""COMPUTED_VALUE"""),"➖")</f>
        <v>➖</v>
      </c>
      <c r="R20" s="311" t="str">
        <f>IFERROR(__xludf.DUMMYFUNCTION("""COMPUTED_VALUE"""),"   ➖")</f>
        <v>➖</v>
      </c>
      <c r="S20" s="312" t="str">
        <f>IFERROR(__xludf.DUMMYFUNCTION("""COMPUTED_VALUE"""),"➖")</f>
        <v>➖</v>
      </c>
      <c r="T20" s="288"/>
      <c r="U20" s="288" t="str">
        <f>IFERROR(__xludf.DUMMYFUNCTION("""COMPUTED_VALUE"""),"➖")</f>
        <v>➖</v>
      </c>
      <c r="V20" s="288" t="str">
        <f>IFERROR(__xludf.DUMMYFUNCTION("""COMPUTED_VALUE"""),"✅")</f>
        <v>✅</v>
      </c>
      <c r="W20" s="306"/>
      <c r="X20" s="306"/>
      <c r="Y20" s="306"/>
    </row>
    <row r="21">
      <c r="A21" s="227"/>
      <c r="B21" s="128"/>
      <c r="C21" s="227"/>
      <c r="D21" s="301" t="str">
        <f>IFERROR(__xludf.DUMMYFUNCTION("""COMPUTED_VALUE"""),"   R")</f>
        <v>R</v>
      </c>
      <c r="E21" s="313" t="str">
        <f>IFERROR(__xludf.DUMMYFUNCTION("""COMPUTED_VALUE"""),"Romulan Mining Laser")</f>
        <v>Romulan Mining Laser</v>
      </c>
      <c r="F21" s="303">
        <f>IFERROR(__xludf.DUMMYFUNCTION("""COMPUTED_VALUE"""),3.0)</f>
        <v>3</v>
      </c>
      <c r="G21" s="281" t="str">
        <f>IFERROR(__xludf.DUMMYFUNCTION("""COMPUTED_VALUE"""),"FT")</f>
        <v>FT</v>
      </c>
      <c r="H21" s="281" t="str">
        <f>IFERROR(__xludf.DUMMYFUNCTION("""COMPUTED_VALUE"""),"➖")</f>
        <v>➖</v>
      </c>
      <c r="I21" s="281" t="str">
        <f>IFERROR(__xludf.DUMMYFUNCTION("""COMPUTED_VALUE"""),"➖")</f>
        <v>➖</v>
      </c>
      <c r="J21" s="281" t="str">
        <f>IFERROR(__xludf.DUMMYFUNCTION("""COMPUTED_VALUE"""),"➖")</f>
        <v>➖</v>
      </c>
      <c r="K21" s="282" t="str">
        <f>IFERROR(__xludf.DUMMYFUNCTION("""COMPUTED_VALUE"""),"➖")</f>
        <v>➖</v>
      </c>
      <c r="L21" s="282" t="str">
        <f>IFERROR(__xludf.DUMMYFUNCTION("""COMPUTED_VALUE"""),"➖")</f>
        <v>➖</v>
      </c>
      <c r="M21" s="282" t="str">
        <f>IFERROR(__xludf.DUMMYFUNCTION("""COMPUTED_VALUE"""),"➖")</f>
        <v>➖</v>
      </c>
      <c r="N21" s="282" t="str">
        <f>IFERROR(__xludf.DUMMYFUNCTION("""COMPUTED_VALUE"""),"➖")</f>
        <v>➖</v>
      </c>
      <c r="O21" s="282" t="str">
        <f>IFERROR(__xludf.DUMMYFUNCTION("""COMPUTED_VALUE"""),"➖")</f>
        <v>➖</v>
      </c>
      <c r="P21" s="282" t="str">
        <f>IFERROR(__xludf.DUMMYFUNCTION("""COMPUTED_VALUE"""),"➖")</f>
        <v>➖</v>
      </c>
      <c r="Q21" s="282" t="str">
        <f>IFERROR(__xludf.DUMMYFUNCTION("""COMPUTED_VALUE"""),"➖")</f>
        <v>➖</v>
      </c>
      <c r="R21" s="304" t="str">
        <f>IFERROR(__xludf.DUMMYFUNCTION("""COMPUTED_VALUE"""),"   ➖")</f>
        <v>➖</v>
      </c>
      <c r="S21" s="305" t="str">
        <f>IFERROR(__xludf.DUMMYFUNCTION("""COMPUTED_VALUE"""),"➖")</f>
        <v>➖</v>
      </c>
      <c r="T21" s="282"/>
      <c r="U21" s="282" t="str">
        <f>IFERROR(__xludf.DUMMYFUNCTION("""COMPUTED_VALUE"""),"➖")</f>
        <v>➖</v>
      </c>
      <c r="V21" s="282" t="str">
        <f>IFERROR(__xludf.DUMMYFUNCTION("""COMPUTED_VALUE"""),"✅")</f>
        <v>✅</v>
      </c>
      <c r="W21" s="306"/>
      <c r="X21" s="306"/>
      <c r="Y21" s="306"/>
    </row>
    <row r="22">
      <c r="A22" s="227"/>
      <c r="B22" s="307"/>
      <c r="C22" s="227"/>
      <c r="D22" s="308" t="str">
        <f>IFERROR(__xludf.DUMMYFUNCTION("""COMPUTED_VALUE"""),"   R")</f>
        <v>R</v>
      </c>
      <c r="E22" s="309" t="str">
        <f>IFERROR(__xludf.DUMMYFUNCTION("""COMPUTED_VALUE"""),"Romulan Mining Laser")</f>
        <v>Romulan Mining Laser</v>
      </c>
      <c r="F22" s="310">
        <f>IFERROR(__xludf.DUMMYFUNCTION("""COMPUTED_VALUE"""),4.0)</f>
        <v>4</v>
      </c>
      <c r="G22" s="231" t="str">
        <f>IFERROR(__xludf.DUMMYFUNCTION("""COMPUTED_VALUE"""),"FT")</f>
        <v>FT</v>
      </c>
      <c r="H22" s="231" t="str">
        <f>IFERROR(__xludf.DUMMYFUNCTION("""COMPUTED_VALUE"""),"➖")</f>
        <v>➖</v>
      </c>
      <c r="I22" s="231" t="str">
        <f>IFERROR(__xludf.DUMMYFUNCTION("""COMPUTED_VALUE"""),"➖")</f>
        <v>➖</v>
      </c>
      <c r="J22" s="231" t="str">
        <f>IFERROR(__xludf.DUMMYFUNCTION("""COMPUTED_VALUE"""),"➖")</f>
        <v>➖</v>
      </c>
      <c r="K22" s="288" t="str">
        <f>IFERROR(__xludf.DUMMYFUNCTION("""COMPUTED_VALUE"""),"➖")</f>
        <v>➖</v>
      </c>
      <c r="L22" s="288" t="str">
        <f>IFERROR(__xludf.DUMMYFUNCTION("""COMPUTED_VALUE"""),"➖")</f>
        <v>➖</v>
      </c>
      <c r="M22" s="288" t="str">
        <f>IFERROR(__xludf.DUMMYFUNCTION("""COMPUTED_VALUE"""),"➖")</f>
        <v>➖</v>
      </c>
      <c r="N22" s="288" t="str">
        <f>IFERROR(__xludf.DUMMYFUNCTION("""COMPUTED_VALUE"""),"➖")</f>
        <v>➖</v>
      </c>
      <c r="O22" s="288" t="str">
        <f>IFERROR(__xludf.DUMMYFUNCTION("""COMPUTED_VALUE"""),"➖")</f>
        <v>➖</v>
      </c>
      <c r="P22" s="288" t="str">
        <f>IFERROR(__xludf.DUMMYFUNCTION("""COMPUTED_VALUE"""),"➖")</f>
        <v>➖</v>
      </c>
      <c r="Q22" s="288" t="str">
        <f>IFERROR(__xludf.DUMMYFUNCTION("""COMPUTED_VALUE"""),"➖")</f>
        <v>➖</v>
      </c>
      <c r="R22" s="311" t="str">
        <f>IFERROR(__xludf.DUMMYFUNCTION("""COMPUTED_VALUE"""),"   ➖")</f>
        <v>➖</v>
      </c>
      <c r="S22" s="312" t="str">
        <f>IFERROR(__xludf.DUMMYFUNCTION("""COMPUTED_VALUE"""),"➖")</f>
        <v>➖</v>
      </c>
      <c r="T22" s="288"/>
      <c r="U22" s="288" t="str">
        <f>IFERROR(__xludf.DUMMYFUNCTION("""COMPUTED_VALUE"""),"➖")</f>
        <v>➖</v>
      </c>
      <c r="V22" s="288" t="str">
        <f>IFERROR(__xludf.DUMMYFUNCTION("""COMPUTED_VALUE"""),"✅")</f>
        <v>✅</v>
      </c>
      <c r="W22" s="306"/>
      <c r="X22" s="306"/>
      <c r="Y22" s="306"/>
    </row>
    <row r="23">
      <c r="A23" s="227"/>
      <c r="B23" s="128"/>
      <c r="C23" s="227"/>
      <c r="D23" s="301" t="str">
        <f>IFERROR(__xludf.DUMMYFUNCTION("""COMPUTED_VALUE"""),"   R")</f>
        <v>R</v>
      </c>
      <c r="E23" s="313" t="str">
        <f>IFERROR(__xludf.DUMMYFUNCTION("""COMPUTED_VALUE"""),"Malon Extractor")</f>
        <v>Malon Extractor</v>
      </c>
      <c r="F23" s="303">
        <f>IFERROR(__xludf.DUMMYFUNCTION("""COMPUTED_VALUE"""),1.0)</f>
        <v>1</v>
      </c>
      <c r="G23" s="281" t="str">
        <f>IFERROR(__xludf.DUMMYFUNCTION("""COMPUTED_VALUE"""),"FT")</f>
        <v>FT</v>
      </c>
      <c r="H23" s="281" t="str">
        <f>IFERROR(__xludf.DUMMYFUNCTION("""COMPUTED_VALUE"""),"➖")</f>
        <v>➖</v>
      </c>
      <c r="I23" s="281" t="str">
        <f>IFERROR(__xludf.DUMMYFUNCTION("""COMPUTED_VALUE"""),"➖")</f>
        <v>➖</v>
      </c>
      <c r="J23" s="281" t="str">
        <f>IFERROR(__xludf.DUMMYFUNCTION("""COMPUTED_VALUE"""),"➖")</f>
        <v>➖</v>
      </c>
      <c r="K23" s="282" t="str">
        <f>IFERROR(__xludf.DUMMYFUNCTION("""COMPUTED_VALUE"""),"➖")</f>
        <v>➖</v>
      </c>
      <c r="L23" s="282" t="str">
        <f>IFERROR(__xludf.DUMMYFUNCTION("""COMPUTED_VALUE"""),"➖")</f>
        <v>➖</v>
      </c>
      <c r="M23" s="282" t="str">
        <f>IFERROR(__xludf.DUMMYFUNCTION("""COMPUTED_VALUE"""),"➖")</f>
        <v>➖</v>
      </c>
      <c r="N23" s="282" t="str">
        <f>IFERROR(__xludf.DUMMYFUNCTION("""COMPUTED_VALUE"""),"➖")</f>
        <v>➖</v>
      </c>
      <c r="O23" s="282" t="str">
        <f>IFERROR(__xludf.DUMMYFUNCTION("""COMPUTED_VALUE"""),"➖")</f>
        <v>➖</v>
      </c>
      <c r="P23" s="282" t="str">
        <f>IFERROR(__xludf.DUMMYFUNCTION("""COMPUTED_VALUE"""),"➖")</f>
        <v>➖</v>
      </c>
      <c r="Q23" s="282" t="str">
        <f>IFERROR(__xludf.DUMMYFUNCTION("""COMPUTED_VALUE"""),"➖")</f>
        <v>➖</v>
      </c>
      <c r="R23" s="304" t="str">
        <f>IFERROR(__xludf.DUMMYFUNCTION("""COMPUTED_VALUE"""),"   ➖")</f>
        <v>➖</v>
      </c>
      <c r="S23" s="305" t="str">
        <f>IFERROR(__xludf.DUMMYFUNCTION("""COMPUTED_VALUE"""),"➖")</f>
        <v>➖</v>
      </c>
      <c r="T23" s="282"/>
      <c r="U23" s="282" t="str">
        <f>IFERROR(__xludf.DUMMYFUNCTION("""COMPUTED_VALUE"""),"➖")</f>
        <v>➖</v>
      </c>
      <c r="V23" s="282" t="str">
        <f>IFERROR(__xludf.DUMMYFUNCTION("""COMPUTED_VALUE"""),"✅")</f>
        <v>✅</v>
      </c>
      <c r="W23" s="306"/>
      <c r="X23" s="306"/>
      <c r="Y23" s="306"/>
    </row>
    <row r="24">
      <c r="A24" s="227"/>
      <c r="B24" s="307"/>
      <c r="C24" s="227"/>
      <c r="D24" s="308" t="str">
        <f>IFERROR(__xludf.DUMMYFUNCTION("""COMPUTED_VALUE"""),"   R")</f>
        <v>R</v>
      </c>
      <c r="E24" s="309" t="str">
        <f>IFERROR(__xludf.DUMMYFUNCTION("""COMPUTED_VALUE"""),"Malon Extractor")</f>
        <v>Malon Extractor</v>
      </c>
      <c r="F24" s="310">
        <f>IFERROR(__xludf.DUMMYFUNCTION("""COMPUTED_VALUE"""),2.0)</f>
        <v>2</v>
      </c>
      <c r="G24" s="231" t="str">
        <f>IFERROR(__xludf.DUMMYFUNCTION("""COMPUTED_VALUE"""),"FT")</f>
        <v>FT</v>
      </c>
      <c r="H24" s="231" t="str">
        <f>IFERROR(__xludf.DUMMYFUNCTION("""COMPUTED_VALUE"""),"➖")</f>
        <v>➖</v>
      </c>
      <c r="I24" s="231" t="str">
        <f>IFERROR(__xludf.DUMMYFUNCTION("""COMPUTED_VALUE"""),"➖")</f>
        <v>➖</v>
      </c>
      <c r="J24" s="231" t="str">
        <f>IFERROR(__xludf.DUMMYFUNCTION("""COMPUTED_VALUE"""),"➖")</f>
        <v>➖</v>
      </c>
      <c r="K24" s="288" t="str">
        <f>IFERROR(__xludf.DUMMYFUNCTION("""COMPUTED_VALUE"""),"➖")</f>
        <v>➖</v>
      </c>
      <c r="L24" s="288" t="str">
        <f>IFERROR(__xludf.DUMMYFUNCTION("""COMPUTED_VALUE"""),"➖")</f>
        <v>➖</v>
      </c>
      <c r="M24" s="288" t="str">
        <f>IFERROR(__xludf.DUMMYFUNCTION("""COMPUTED_VALUE"""),"➖")</f>
        <v>➖</v>
      </c>
      <c r="N24" s="288" t="str">
        <f>IFERROR(__xludf.DUMMYFUNCTION("""COMPUTED_VALUE"""),"➖")</f>
        <v>➖</v>
      </c>
      <c r="O24" s="288" t="str">
        <f>IFERROR(__xludf.DUMMYFUNCTION("""COMPUTED_VALUE"""),"➖")</f>
        <v>➖</v>
      </c>
      <c r="P24" s="288" t="str">
        <f>IFERROR(__xludf.DUMMYFUNCTION("""COMPUTED_VALUE"""),"➖")</f>
        <v>➖</v>
      </c>
      <c r="Q24" s="288" t="str">
        <f>IFERROR(__xludf.DUMMYFUNCTION("""COMPUTED_VALUE"""),"➖")</f>
        <v>➖</v>
      </c>
      <c r="R24" s="311" t="str">
        <f>IFERROR(__xludf.DUMMYFUNCTION("""COMPUTED_VALUE"""),"   ➖")</f>
        <v>➖</v>
      </c>
      <c r="S24" s="312" t="str">
        <f>IFERROR(__xludf.DUMMYFUNCTION("""COMPUTED_VALUE"""),"➖")</f>
        <v>➖</v>
      </c>
      <c r="T24" s="288"/>
      <c r="U24" s="288" t="str">
        <f>IFERROR(__xludf.DUMMYFUNCTION("""COMPUTED_VALUE"""),"➖")</f>
        <v>➖</v>
      </c>
      <c r="V24" s="288" t="str">
        <f>IFERROR(__xludf.DUMMYFUNCTION("""COMPUTED_VALUE"""),"✅")</f>
        <v>✅</v>
      </c>
      <c r="W24" s="306"/>
      <c r="X24" s="306"/>
      <c r="Y24" s="306"/>
    </row>
    <row r="25">
      <c r="A25" s="227"/>
      <c r="B25" s="128"/>
      <c r="C25" s="227"/>
      <c r="D25" s="301" t="str">
        <f>IFERROR(__xludf.DUMMYFUNCTION("""COMPUTED_VALUE"""),"   R")</f>
        <v>R</v>
      </c>
      <c r="E25" s="313" t="str">
        <f>IFERROR(__xludf.DUMMYFUNCTION("""COMPUTED_VALUE"""),"Malon Extractor")</f>
        <v>Malon Extractor</v>
      </c>
      <c r="F25" s="303">
        <f>IFERROR(__xludf.DUMMYFUNCTION("""COMPUTED_VALUE"""),3.0)</f>
        <v>3</v>
      </c>
      <c r="G25" s="281" t="str">
        <f>IFERROR(__xludf.DUMMYFUNCTION("""COMPUTED_VALUE"""),"FT")</f>
        <v>FT</v>
      </c>
      <c r="H25" s="281" t="str">
        <f>IFERROR(__xludf.DUMMYFUNCTION("""COMPUTED_VALUE"""),"➖")</f>
        <v>➖</v>
      </c>
      <c r="I25" s="281" t="str">
        <f>IFERROR(__xludf.DUMMYFUNCTION("""COMPUTED_VALUE"""),"➖")</f>
        <v>➖</v>
      </c>
      <c r="J25" s="281" t="str">
        <f>IFERROR(__xludf.DUMMYFUNCTION("""COMPUTED_VALUE"""),"➖")</f>
        <v>➖</v>
      </c>
      <c r="K25" s="282" t="str">
        <f>IFERROR(__xludf.DUMMYFUNCTION("""COMPUTED_VALUE"""),"➖")</f>
        <v>➖</v>
      </c>
      <c r="L25" s="282" t="str">
        <f>IFERROR(__xludf.DUMMYFUNCTION("""COMPUTED_VALUE"""),"➖")</f>
        <v>➖</v>
      </c>
      <c r="M25" s="282" t="str">
        <f>IFERROR(__xludf.DUMMYFUNCTION("""COMPUTED_VALUE"""),"➖")</f>
        <v>➖</v>
      </c>
      <c r="N25" s="282" t="str">
        <f>IFERROR(__xludf.DUMMYFUNCTION("""COMPUTED_VALUE"""),"➖")</f>
        <v>➖</v>
      </c>
      <c r="O25" s="282" t="str">
        <f>IFERROR(__xludf.DUMMYFUNCTION("""COMPUTED_VALUE"""),"➖")</f>
        <v>➖</v>
      </c>
      <c r="P25" s="282" t="str">
        <f>IFERROR(__xludf.DUMMYFUNCTION("""COMPUTED_VALUE"""),"➖")</f>
        <v>➖</v>
      </c>
      <c r="Q25" s="282" t="str">
        <f>IFERROR(__xludf.DUMMYFUNCTION("""COMPUTED_VALUE"""),"➖")</f>
        <v>➖</v>
      </c>
      <c r="R25" s="304" t="str">
        <f>IFERROR(__xludf.DUMMYFUNCTION("""COMPUTED_VALUE"""),"   ➖")</f>
        <v>➖</v>
      </c>
      <c r="S25" s="305" t="str">
        <f>IFERROR(__xludf.DUMMYFUNCTION("""COMPUTED_VALUE"""),"➖")</f>
        <v>➖</v>
      </c>
      <c r="T25" s="282"/>
      <c r="U25" s="282" t="str">
        <f>IFERROR(__xludf.DUMMYFUNCTION("""COMPUTED_VALUE"""),"➖")</f>
        <v>➖</v>
      </c>
      <c r="V25" s="282" t="str">
        <f>IFERROR(__xludf.DUMMYFUNCTION("""COMPUTED_VALUE"""),"✅")</f>
        <v>✅</v>
      </c>
      <c r="W25" s="306"/>
      <c r="X25" s="306"/>
      <c r="Y25" s="306"/>
    </row>
    <row r="26">
      <c r="A26" s="227"/>
      <c r="B26" s="307"/>
      <c r="C26" s="227"/>
      <c r="D26" s="308" t="str">
        <f>IFERROR(__xludf.DUMMYFUNCTION("""COMPUTED_VALUE"""),"   R")</f>
        <v>R</v>
      </c>
      <c r="E26" s="309" t="str">
        <f>IFERROR(__xludf.DUMMYFUNCTION("""COMPUTED_VALUE"""),"Malon Extractor")</f>
        <v>Malon Extractor</v>
      </c>
      <c r="F26" s="310">
        <f>IFERROR(__xludf.DUMMYFUNCTION("""COMPUTED_VALUE"""),4.0)</f>
        <v>4</v>
      </c>
      <c r="G26" s="231" t="str">
        <f>IFERROR(__xludf.DUMMYFUNCTION("""COMPUTED_VALUE"""),"FT")</f>
        <v>FT</v>
      </c>
      <c r="H26" s="231" t="str">
        <f>IFERROR(__xludf.DUMMYFUNCTION("""COMPUTED_VALUE"""),"➖")</f>
        <v>➖</v>
      </c>
      <c r="I26" s="231" t="str">
        <f>IFERROR(__xludf.DUMMYFUNCTION("""COMPUTED_VALUE"""),"➖")</f>
        <v>➖</v>
      </c>
      <c r="J26" s="231" t="str">
        <f>IFERROR(__xludf.DUMMYFUNCTION("""COMPUTED_VALUE"""),"➖")</f>
        <v>➖</v>
      </c>
      <c r="K26" s="288" t="str">
        <f>IFERROR(__xludf.DUMMYFUNCTION("""COMPUTED_VALUE"""),"➖")</f>
        <v>➖</v>
      </c>
      <c r="L26" s="288" t="str">
        <f>IFERROR(__xludf.DUMMYFUNCTION("""COMPUTED_VALUE"""),"➖")</f>
        <v>➖</v>
      </c>
      <c r="M26" s="288" t="str">
        <f>IFERROR(__xludf.DUMMYFUNCTION("""COMPUTED_VALUE"""),"➖")</f>
        <v>➖</v>
      </c>
      <c r="N26" s="288" t="str">
        <f>IFERROR(__xludf.DUMMYFUNCTION("""COMPUTED_VALUE"""),"➖")</f>
        <v>➖</v>
      </c>
      <c r="O26" s="288" t="str">
        <f>IFERROR(__xludf.DUMMYFUNCTION("""COMPUTED_VALUE"""),"➖")</f>
        <v>➖</v>
      </c>
      <c r="P26" s="288" t="str">
        <f>IFERROR(__xludf.DUMMYFUNCTION("""COMPUTED_VALUE"""),"➖")</f>
        <v>➖</v>
      </c>
      <c r="Q26" s="288" t="str">
        <f>IFERROR(__xludf.DUMMYFUNCTION("""COMPUTED_VALUE"""),"➖")</f>
        <v>➖</v>
      </c>
      <c r="R26" s="311" t="str">
        <f>IFERROR(__xludf.DUMMYFUNCTION("""COMPUTED_VALUE"""),"   ➖")</f>
        <v>➖</v>
      </c>
      <c r="S26" s="312" t="str">
        <f>IFERROR(__xludf.DUMMYFUNCTION("""COMPUTED_VALUE"""),"➖")</f>
        <v>➖</v>
      </c>
      <c r="T26" s="288"/>
      <c r="U26" s="288" t="str">
        <f>IFERROR(__xludf.DUMMYFUNCTION("""COMPUTED_VALUE"""),"➖")</f>
        <v>➖</v>
      </c>
      <c r="V26" s="288" t="str">
        <f>IFERROR(__xludf.DUMMYFUNCTION("""COMPUTED_VALUE"""),"✅")</f>
        <v>✅</v>
      </c>
      <c r="W26" s="306"/>
      <c r="X26" s="306"/>
      <c r="Y26" s="306"/>
    </row>
    <row r="27">
      <c r="A27" s="227"/>
      <c r="B27" s="128"/>
      <c r="C27" s="227"/>
      <c r="D27" s="301" t="str">
        <f>IFERROR(__xludf.DUMMYFUNCTION("""COMPUTED_VALUE"""),"   R")</f>
        <v>R</v>
      </c>
      <c r="E27" s="313" t="str">
        <f>IFERROR(__xludf.DUMMYFUNCTION("""COMPUTED_VALUE"""),"Klingon Mining Drill")</f>
        <v>Klingon Mining Drill</v>
      </c>
      <c r="F27" s="303">
        <f>IFERROR(__xludf.DUMMYFUNCTION("""COMPUTED_VALUE"""),1.0)</f>
        <v>1</v>
      </c>
      <c r="G27" s="281" t="str">
        <f>IFERROR(__xludf.DUMMYFUNCTION("""COMPUTED_VALUE"""),"FT")</f>
        <v>FT</v>
      </c>
      <c r="H27" s="281" t="str">
        <f>IFERROR(__xludf.DUMMYFUNCTION("""COMPUTED_VALUE"""),"➖")</f>
        <v>➖</v>
      </c>
      <c r="I27" s="281" t="str">
        <f>IFERROR(__xludf.DUMMYFUNCTION("""COMPUTED_VALUE"""),"➖")</f>
        <v>➖</v>
      </c>
      <c r="J27" s="281" t="str">
        <f>IFERROR(__xludf.DUMMYFUNCTION("""COMPUTED_VALUE"""),"➖")</f>
        <v>➖</v>
      </c>
      <c r="K27" s="282" t="str">
        <f>IFERROR(__xludf.DUMMYFUNCTION("""COMPUTED_VALUE"""),"➖")</f>
        <v>➖</v>
      </c>
      <c r="L27" s="282" t="str">
        <f>IFERROR(__xludf.DUMMYFUNCTION("""COMPUTED_VALUE"""),"➖")</f>
        <v>➖</v>
      </c>
      <c r="M27" s="282" t="str">
        <f>IFERROR(__xludf.DUMMYFUNCTION("""COMPUTED_VALUE"""),"➖")</f>
        <v>➖</v>
      </c>
      <c r="N27" s="282" t="str">
        <f>IFERROR(__xludf.DUMMYFUNCTION("""COMPUTED_VALUE"""),"➖")</f>
        <v>➖</v>
      </c>
      <c r="O27" s="282" t="str">
        <f>IFERROR(__xludf.DUMMYFUNCTION("""COMPUTED_VALUE"""),"➖")</f>
        <v>➖</v>
      </c>
      <c r="P27" s="282" t="str">
        <f>IFERROR(__xludf.DUMMYFUNCTION("""COMPUTED_VALUE"""),"➖")</f>
        <v>➖</v>
      </c>
      <c r="Q27" s="282" t="str">
        <f>IFERROR(__xludf.DUMMYFUNCTION("""COMPUTED_VALUE"""),"➖")</f>
        <v>➖</v>
      </c>
      <c r="R27" s="304" t="str">
        <f>IFERROR(__xludf.DUMMYFUNCTION("""COMPUTED_VALUE"""),"   ➖")</f>
        <v>➖</v>
      </c>
      <c r="S27" s="305" t="str">
        <f>IFERROR(__xludf.DUMMYFUNCTION("""COMPUTED_VALUE"""),"➖")</f>
        <v>➖</v>
      </c>
      <c r="T27" s="282"/>
      <c r="U27" s="282" t="str">
        <f>IFERROR(__xludf.DUMMYFUNCTION("""COMPUTED_VALUE"""),"➖")</f>
        <v>➖</v>
      </c>
      <c r="V27" s="282" t="str">
        <f>IFERROR(__xludf.DUMMYFUNCTION("""COMPUTED_VALUE"""),"✅")</f>
        <v>✅</v>
      </c>
      <c r="W27" s="306"/>
      <c r="X27" s="306"/>
      <c r="Y27" s="306"/>
    </row>
    <row r="28">
      <c r="A28" s="227"/>
      <c r="B28" s="307"/>
      <c r="C28" s="227"/>
      <c r="D28" s="308" t="str">
        <f>IFERROR(__xludf.DUMMYFUNCTION("""COMPUTED_VALUE"""),"   R")</f>
        <v>R</v>
      </c>
      <c r="E28" s="309" t="str">
        <f>IFERROR(__xludf.DUMMYFUNCTION("""COMPUTED_VALUE"""),"Klingon Mining Drill")</f>
        <v>Klingon Mining Drill</v>
      </c>
      <c r="F28" s="310">
        <f>IFERROR(__xludf.DUMMYFUNCTION("""COMPUTED_VALUE"""),2.0)</f>
        <v>2</v>
      </c>
      <c r="G28" s="231" t="str">
        <f>IFERROR(__xludf.DUMMYFUNCTION("""COMPUTED_VALUE"""),"FT")</f>
        <v>FT</v>
      </c>
      <c r="H28" s="231" t="str">
        <f>IFERROR(__xludf.DUMMYFUNCTION("""COMPUTED_VALUE"""),"➖")</f>
        <v>➖</v>
      </c>
      <c r="I28" s="231" t="str">
        <f>IFERROR(__xludf.DUMMYFUNCTION("""COMPUTED_VALUE"""),"➖")</f>
        <v>➖</v>
      </c>
      <c r="J28" s="231" t="str">
        <f>IFERROR(__xludf.DUMMYFUNCTION("""COMPUTED_VALUE"""),"➖")</f>
        <v>➖</v>
      </c>
      <c r="K28" s="288" t="str">
        <f>IFERROR(__xludf.DUMMYFUNCTION("""COMPUTED_VALUE"""),"➖")</f>
        <v>➖</v>
      </c>
      <c r="L28" s="288" t="str">
        <f>IFERROR(__xludf.DUMMYFUNCTION("""COMPUTED_VALUE"""),"➖")</f>
        <v>➖</v>
      </c>
      <c r="M28" s="288" t="str">
        <f>IFERROR(__xludf.DUMMYFUNCTION("""COMPUTED_VALUE"""),"➖")</f>
        <v>➖</v>
      </c>
      <c r="N28" s="288" t="str">
        <f>IFERROR(__xludf.DUMMYFUNCTION("""COMPUTED_VALUE"""),"➖")</f>
        <v>➖</v>
      </c>
      <c r="O28" s="288" t="str">
        <f>IFERROR(__xludf.DUMMYFUNCTION("""COMPUTED_VALUE"""),"➖")</f>
        <v>➖</v>
      </c>
      <c r="P28" s="288" t="str">
        <f>IFERROR(__xludf.DUMMYFUNCTION("""COMPUTED_VALUE"""),"➖")</f>
        <v>➖</v>
      </c>
      <c r="Q28" s="288" t="str">
        <f>IFERROR(__xludf.DUMMYFUNCTION("""COMPUTED_VALUE"""),"➖")</f>
        <v>➖</v>
      </c>
      <c r="R28" s="311" t="str">
        <f>IFERROR(__xludf.DUMMYFUNCTION("""COMPUTED_VALUE"""),"   ➖")</f>
        <v>➖</v>
      </c>
      <c r="S28" s="312" t="str">
        <f>IFERROR(__xludf.DUMMYFUNCTION("""COMPUTED_VALUE"""),"➖")</f>
        <v>➖</v>
      </c>
      <c r="T28" s="288"/>
      <c r="U28" s="288" t="str">
        <f>IFERROR(__xludf.DUMMYFUNCTION("""COMPUTED_VALUE"""),"➖")</f>
        <v>➖</v>
      </c>
      <c r="V28" s="288" t="str">
        <f>IFERROR(__xludf.DUMMYFUNCTION("""COMPUTED_VALUE"""),"✅")</f>
        <v>✅</v>
      </c>
      <c r="W28" s="306"/>
      <c r="X28" s="306"/>
      <c r="Y28" s="306"/>
    </row>
    <row r="29">
      <c r="A29" s="227"/>
      <c r="B29" s="128"/>
      <c r="C29" s="227"/>
      <c r="D29" s="301" t="str">
        <f>IFERROR(__xludf.DUMMYFUNCTION("""COMPUTED_VALUE"""),"   R")</f>
        <v>R</v>
      </c>
      <c r="E29" s="313" t="str">
        <f>IFERROR(__xludf.DUMMYFUNCTION("""COMPUTED_VALUE"""),"Klingon Mining Drill")</f>
        <v>Klingon Mining Drill</v>
      </c>
      <c r="F29" s="303">
        <f>IFERROR(__xludf.DUMMYFUNCTION("""COMPUTED_VALUE"""),3.0)</f>
        <v>3</v>
      </c>
      <c r="G29" s="281" t="str">
        <f>IFERROR(__xludf.DUMMYFUNCTION("""COMPUTED_VALUE"""),"FT")</f>
        <v>FT</v>
      </c>
      <c r="H29" s="281" t="str">
        <f>IFERROR(__xludf.DUMMYFUNCTION("""COMPUTED_VALUE"""),"➖")</f>
        <v>➖</v>
      </c>
      <c r="I29" s="281" t="str">
        <f>IFERROR(__xludf.DUMMYFUNCTION("""COMPUTED_VALUE"""),"➖")</f>
        <v>➖</v>
      </c>
      <c r="J29" s="281" t="str">
        <f>IFERROR(__xludf.DUMMYFUNCTION("""COMPUTED_VALUE"""),"➖")</f>
        <v>➖</v>
      </c>
      <c r="K29" s="282" t="str">
        <f>IFERROR(__xludf.DUMMYFUNCTION("""COMPUTED_VALUE"""),"➖")</f>
        <v>➖</v>
      </c>
      <c r="L29" s="282" t="str">
        <f>IFERROR(__xludf.DUMMYFUNCTION("""COMPUTED_VALUE"""),"➖")</f>
        <v>➖</v>
      </c>
      <c r="M29" s="282" t="str">
        <f>IFERROR(__xludf.DUMMYFUNCTION("""COMPUTED_VALUE"""),"➖")</f>
        <v>➖</v>
      </c>
      <c r="N29" s="282" t="str">
        <f>IFERROR(__xludf.DUMMYFUNCTION("""COMPUTED_VALUE"""),"➖")</f>
        <v>➖</v>
      </c>
      <c r="O29" s="282" t="str">
        <f>IFERROR(__xludf.DUMMYFUNCTION("""COMPUTED_VALUE"""),"➖")</f>
        <v>➖</v>
      </c>
      <c r="P29" s="282" t="str">
        <f>IFERROR(__xludf.DUMMYFUNCTION("""COMPUTED_VALUE"""),"➖")</f>
        <v>➖</v>
      </c>
      <c r="Q29" s="282" t="str">
        <f>IFERROR(__xludf.DUMMYFUNCTION("""COMPUTED_VALUE"""),"➖")</f>
        <v>➖</v>
      </c>
      <c r="R29" s="304" t="str">
        <f>IFERROR(__xludf.DUMMYFUNCTION("""COMPUTED_VALUE"""),"   ➖")</f>
        <v>➖</v>
      </c>
      <c r="S29" s="305" t="str">
        <f>IFERROR(__xludf.DUMMYFUNCTION("""COMPUTED_VALUE"""),"➖")</f>
        <v>➖</v>
      </c>
      <c r="T29" s="282"/>
      <c r="U29" s="282" t="str">
        <f>IFERROR(__xludf.DUMMYFUNCTION("""COMPUTED_VALUE"""),"➖")</f>
        <v>➖</v>
      </c>
      <c r="V29" s="282" t="str">
        <f>IFERROR(__xludf.DUMMYFUNCTION("""COMPUTED_VALUE"""),"✅")</f>
        <v>✅</v>
      </c>
      <c r="W29" s="306"/>
      <c r="X29" s="306"/>
      <c r="Y29" s="306"/>
    </row>
    <row r="30">
      <c r="A30" s="227"/>
      <c r="B30" s="307"/>
      <c r="C30" s="227"/>
      <c r="D30" s="308" t="str">
        <f>IFERROR(__xludf.DUMMYFUNCTION("""COMPUTED_VALUE"""),"   R")</f>
        <v>R</v>
      </c>
      <c r="E30" s="309" t="str">
        <f>IFERROR(__xludf.DUMMYFUNCTION("""COMPUTED_VALUE"""),"Klingon Mining Drill")</f>
        <v>Klingon Mining Drill</v>
      </c>
      <c r="F30" s="310">
        <f>IFERROR(__xludf.DUMMYFUNCTION("""COMPUTED_VALUE"""),4.0)</f>
        <v>4</v>
      </c>
      <c r="G30" s="231" t="str">
        <f>IFERROR(__xludf.DUMMYFUNCTION("""COMPUTED_VALUE"""),"FT")</f>
        <v>FT</v>
      </c>
      <c r="H30" s="231" t="str">
        <f>IFERROR(__xludf.DUMMYFUNCTION("""COMPUTED_VALUE"""),"➖")</f>
        <v>➖</v>
      </c>
      <c r="I30" s="231" t="str">
        <f>IFERROR(__xludf.DUMMYFUNCTION("""COMPUTED_VALUE"""),"➖")</f>
        <v>➖</v>
      </c>
      <c r="J30" s="231" t="str">
        <f>IFERROR(__xludf.DUMMYFUNCTION("""COMPUTED_VALUE"""),"➖")</f>
        <v>➖</v>
      </c>
      <c r="K30" s="288" t="str">
        <f>IFERROR(__xludf.DUMMYFUNCTION("""COMPUTED_VALUE"""),"➖")</f>
        <v>➖</v>
      </c>
      <c r="L30" s="288" t="str">
        <f>IFERROR(__xludf.DUMMYFUNCTION("""COMPUTED_VALUE"""),"➖")</f>
        <v>➖</v>
      </c>
      <c r="M30" s="288" t="str">
        <f>IFERROR(__xludf.DUMMYFUNCTION("""COMPUTED_VALUE"""),"➖")</f>
        <v>➖</v>
      </c>
      <c r="N30" s="288" t="str">
        <f>IFERROR(__xludf.DUMMYFUNCTION("""COMPUTED_VALUE"""),"➖")</f>
        <v>➖</v>
      </c>
      <c r="O30" s="288" t="str">
        <f>IFERROR(__xludf.DUMMYFUNCTION("""COMPUTED_VALUE"""),"➖")</f>
        <v>➖</v>
      </c>
      <c r="P30" s="288" t="str">
        <f>IFERROR(__xludf.DUMMYFUNCTION("""COMPUTED_VALUE"""),"➖")</f>
        <v>➖</v>
      </c>
      <c r="Q30" s="288" t="str">
        <f>IFERROR(__xludf.DUMMYFUNCTION("""COMPUTED_VALUE"""),"➖")</f>
        <v>➖</v>
      </c>
      <c r="R30" s="311" t="str">
        <f>IFERROR(__xludf.DUMMYFUNCTION("""COMPUTED_VALUE"""),"   ➖")</f>
        <v>➖</v>
      </c>
      <c r="S30" s="312" t="str">
        <f>IFERROR(__xludf.DUMMYFUNCTION("""COMPUTED_VALUE"""),"➖")</f>
        <v>➖</v>
      </c>
      <c r="T30" s="288"/>
      <c r="U30" s="288" t="str">
        <f>IFERROR(__xludf.DUMMYFUNCTION("""COMPUTED_VALUE"""),"➖")</f>
        <v>➖</v>
      </c>
      <c r="V30" s="288" t="str">
        <f>IFERROR(__xludf.DUMMYFUNCTION("""COMPUTED_VALUE"""),"✅")</f>
        <v>✅</v>
      </c>
      <c r="W30" s="306"/>
      <c r="X30" s="306"/>
      <c r="Y30" s="306"/>
    </row>
    <row r="31">
      <c r="A31" s="227"/>
      <c r="B31" s="128"/>
      <c r="C31" s="227"/>
      <c r="D31" s="301" t="str">
        <f>IFERROR(__xludf.DUMMYFUNCTION("""COMPUTED_VALUE"""),"   R")</f>
        <v>R</v>
      </c>
      <c r="E31" s="313" t="str">
        <f>IFERROR(__xludf.DUMMYFUNCTION("""COMPUTED_VALUE"""),"Borg Alcove")</f>
        <v>Borg Alcove</v>
      </c>
      <c r="F31" s="303">
        <f>IFERROR(__xludf.DUMMYFUNCTION("""COMPUTED_VALUE"""),1.0)</f>
        <v>1</v>
      </c>
      <c r="G31" s="281" t="str">
        <f>IFERROR(__xludf.DUMMYFUNCTION("""COMPUTED_VALUE"""),"FT")</f>
        <v>FT</v>
      </c>
      <c r="H31" s="281" t="str">
        <f>IFERROR(__xludf.DUMMYFUNCTION("""COMPUTED_VALUE"""),"➖")</f>
        <v>➖</v>
      </c>
      <c r="I31" s="281" t="str">
        <f>IFERROR(__xludf.DUMMYFUNCTION("""COMPUTED_VALUE"""),"➖")</f>
        <v>➖</v>
      </c>
      <c r="J31" s="281" t="str">
        <f>IFERROR(__xludf.DUMMYFUNCTION("""COMPUTED_VALUE"""),"✴️")</f>
        <v>✴️</v>
      </c>
      <c r="K31" s="282" t="str">
        <f>IFERROR(__xludf.DUMMYFUNCTION("""COMPUTED_VALUE"""),"✴️")</f>
        <v>✴️</v>
      </c>
      <c r="L31" s="282" t="str">
        <f>IFERROR(__xludf.DUMMYFUNCTION("""COMPUTED_VALUE"""),"✴️")</f>
        <v>✴️</v>
      </c>
      <c r="M31" s="282" t="str">
        <f>IFERROR(__xludf.DUMMYFUNCTION("""COMPUTED_VALUE"""),"✴️")</f>
        <v>✴️</v>
      </c>
      <c r="N31" s="282" t="str">
        <f>IFERROR(__xludf.DUMMYFUNCTION("""COMPUTED_VALUE"""),"✴️")</f>
        <v>✴️</v>
      </c>
      <c r="O31" s="282" t="str">
        <f>IFERROR(__xludf.DUMMYFUNCTION("""COMPUTED_VALUE"""),"✴️")</f>
        <v>✴️</v>
      </c>
      <c r="P31" s="282" t="str">
        <f>IFERROR(__xludf.DUMMYFUNCTION("""COMPUTED_VALUE"""),"➖")</f>
        <v>➖</v>
      </c>
      <c r="Q31" s="282" t="str">
        <f>IFERROR(__xludf.DUMMYFUNCTION("""COMPUTED_VALUE"""),"✴️")</f>
        <v>✴️</v>
      </c>
      <c r="R31" s="304" t="str">
        <f>IFERROR(__xludf.DUMMYFUNCTION("""COMPUTED_VALUE"""),"   ➖")</f>
        <v>➖</v>
      </c>
      <c r="S31" s="305" t="str">
        <f>IFERROR(__xludf.DUMMYFUNCTION("""COMPUTED_VALUE"""),"➖")</f>
        <v>➖</v>
      </c>
      <c r="T31" s="282" t="str">
        <f>IFERROR(__xludf.DUMMYFUNCTION("""COMPUTED_VALUE"""),"DeltaQuadrant")</f>
        <v>DeltaQuadrant</v>
      </c>
      <c r="U31" s="282" t="str">
        <f>IFERROR(__xludf.DUMMYFUNCTION("""COMPUTED_VALUE"""),"➖")</f>
        <v>➖</v>
      </c>
      <c r="V31" s="282" t="str">
        <f>IFERROR(__xludf.DUMMYFUNCTION("""COMPUTED_VALUE"""),"➖")</f>
        <v>➖</v>
      </c>
      <c r="W31" s="306"/>
      <c r="X31" s="306"/>
      <c r="Y31" s="306"/>
    </row>
    <row r="32">
      <c r="A32" s="227"/>
      <c r="B32" s="307"/>
      <c r="C32" s="227"/>
      <c r="D32" s="308" t="str">
        <f>IFERROR(__xludf.DUMMYFUNCTION("""COMPUTED_VALUE"""),"   R")</f>
        <v>R</v>
      </c>
      <c r="E32" s="309" t="str">
        <f>IFERROR(__xludf.DUMMYFUNCTION("""COMPUTED_VALUE"""),"Borg Alcove")</f>
        <v>Borg Alcove</v>
      </c>
      <c r="F32" s="310">
        <f>IFERROR(__xludf.DUMMYFUNCTION("""COMPUTED_VALUE"""),2.0)</f>
        <v>2</v>
      </c>
      <c r="G32" s="231" t="str">
        <f>IFERROR(__xludf.DUMMYFUNCTION("""COMPUTED_VALUE"""),"FT")</f>
        <v>FT</v>
      </c>
      <c r="H32" s="231" t="str">
        <f>IFERROR(__xludf.DUMMYFUNCTION("""COMPUTED_VALUE"""),"➖")</f>
        <v>➖</v>
      </c>
      <c r="I32" s="231" t="str">
        <f>IFERROR(__xludf.DUMMYFUNCTION("""COMPUTED_VALUE"""),"➖")</f>
        <v>➖</v>
      </c>
      <c r="J32" s="231" t="str">
        <f>IFERROR(__xludf.DUMMYFUNCTION("""COMPUTED_VALUE"""),"➖")</f>
        <v>➖</v>
      </c>
      <c r="K32" s="288" t="str">
        <f>IFERROR(__xludf.DUMMYFUNCTION("""COMPUTED_VALUE"""),"➖")</f>
        <v>➖</v>
      </c>
      <c r="L32" s="288" t="str">
        <f>IFERROR(__xludf.DUMMYFUNCTION("""COMPUTED_VALUE"""),"➖")</f>
        <v>➖</v>
      </c>
      <c r="M32" s="288" t="str">
        <f>IFERROR(__xludf.DUMMYFUNCTION("""COMPUTED_VALUE"""),"➖")</f>
        <v>➖</v>
      </c>
      <c r="N32" s="288" t="str">
        <f>IFERROR(__xludf.DUMMYFUNCTION("""COMPUTED_VALUE"""),"➖")</f>
        <v>➖</v>
      </c>
      <c r="O32" s="288" t="str">
        <f>IFERROR(__xludf.DUMMYFUNCTION("""COMPUTED_VALUE"""),"➖")</f>
        <v>➖</v>
      </c>
      <c r="P32" s="288" t="str">
        <f>IFERROR(__xludf.DUMMYFUNCTION("""COMPUTED_VALUE"""),"➖")</f>
        <v>➖</v>
      </c>
      <c r="Q32" s="288" t="str">
        <f>IFERROR(__xludf.DUMMYFUNCTION("""COMPUTED_VALUE"""),"➖")</f>
        <v>➖</v>
      </c>
      <c r="R32" s="311" t="str">
        <f>IFERROR(__xludf.DUMMYFUNCTION("""COMPUTED_VALUE"""),"   ➖")</f>
        <v>➖</v>
      </c>
      <c r="S32" s="312" t="str">
        <f>IFERROR(__xludf.DUMMYFUNCTION("""COMPUTED_VALUE"""),"➖")</f>
        <v>➖</v>
      </c>
      <c r="T32" s="288"/>
      <c r="U32" s="288" t="str">
        <f>IFERROR(__xludf.DUMMYFUNCTION("""COMPUTED_VALUE"""),"➖")</f>
        <v>➖</v>
      </c>
      <c r="V32" s="288" t="str">
        <f>IFERROR(__xludf.DUMMYFUNCTION("""COMPUTED_VALUE"""),"➖")</f>
        <v>➖</v>
      </c>
      <c r="W32" s="306"/>
      <c r="X32" s="306"/>
      <c r="Y32" s="306"/>
    </row>
    <row r="33">
      <c r="A33" s="227"/>
      <c r="B33" s="128"/>
      <c r="C33" s="227"/>
      <c r="D33" s="301" t="str">
        <f>IFERROR(__xludf.DUMMYFUNCTION("""COMPUTED_VALUE"""),"   R")</f>
        <v>R</v>
      </c>
      <c r="E33" s="313" t="str">
        <f>IFERROR(__xludf.DUMMYFUNCTION("""COMPUTED_VALUE"""),"Borg Alcove")</f>
        <v>Borg Alcove</v>
      </c>
      <c r="F33" s="303">
        <f>IFERROR(__xludf.DUMMYFUNCTION("""COMPUTED_VALUE"""),3.0)</f>
        <v>3</v>
      </c>
      <c r="G33" s="281" t="str">
        <f>IFERROR(__xludf.DUMMYFUNCTION("""COMPUTED_VALUE"""),"FT")</f>
        <v>FT</v>
      </c>
      <c r="H33" s="281" t="str">
        <f>IFERROR(__xludf.DUMMYFUNCTION("""COMPUTED_VALUE"""),"➖")</f>
        <v>➖</v>
      </c>
      <c r="I33" s="281" t="str">
        <f>IFERROR(__xludf.DUMMYFUNCTION("""COMPUTED_VALUE"""),"➖")</f>
        <v>➖</v>
      </c>
      <c r="J33" s="281" t="str">
        <f>IFERROR(__xludf.DUMMYFUNCTION("""COMPUTED_VALUE"""),"✅")</f>
        <v>✅</v>
      </c>
      <c r="K33" s="282" t="str">
        <f>IFERROR(__xludf.DUMMYFUNCTION("""COMPUTED_VALUE"""),"➖")</f>
        <v>➖</v>
      </c>
      <c r="L33" s="282" t="str">
        <f>IFERROR(__xludf.DUMMYFUNCTION("""COMPUTED_VALUE"""),"➖")</f>
        <v>➖</v>
      </c>
      <c r="M33" s="282" t="str">
        <f>IFERROR(__xludf.DUMMYFUNCTION("""COMPUTED_VALUE"""),"➖")</f>
        <v>➖</v>
      </c>
      <c r="N33" s="282" t="str">
        <f>IFERROR(__xludf.DUMMYFUNCTION("""COMPUTED_VALUE"""),"✅")</f>
        <v>✅</v>
      </c>
      <c r="O33" s="282" t="str">
        <f>IFERROR(__xludf.DUMMYFUNCTION("""COMPUTED_VALUE"""),"✅")</f>
        <v>✅</v>
      </c>
      <c r="P33" s="282" t="str">
        <f>IFERROR(__xludf.DUMMYFUNCTION("""COMPUTED_VALUE"""),"✅")</f>
        <v>✅</v>
      </c>
      <c r="Q33" s="282" t="str">
        <f>IFERROR(__xludf.DUMMYFUNCTION("""COMPUTED_VALUE"""),"➖")</f>
        <v>➖</v>
      </c>
      <c r="R33" s="304" t="str">
        <f>IFERROR(__xludf.DUMMYFUNCTION("""COMPUTED_VALUE"""),"   ✅")</f>
        <v>✅</v>
      </c>
      <c r="S33" s="305" t="str">
        <f>IFERROR(__xludf.DUMMYFUNCTION("""COMPUTED_VALUE"""),"✅")</f>
        <v>✅</v>
      </c>
      <c r="T33" s="282"/>
      <c r="U33" s="282" t="str">
        <f>IFERROR(__xludf.DUMMYFUNCTION("""COMPUTED_VALUE"""),"✅")</f>
        <v>✅</v>
      </c>
      <c r="V33" s="282" t="str">
        <f>IFERROR(__xludf.DUMMYFUNCTION("""COMPUTED_VALUE"""),"➖")</f>
        <v>➖</v>
      </c>
      <c r="W33" s="306"/>
      <c r="X33" s="306"/>
      <c r="Y33" s="306"/>
    </row>
    <row r="34">
      <c r="A34" s="227"/>
      <c r="B34" s="307"/>
      <c r="C34" s="227"/>
      <c r="D34" s="308" t="str">
        <f>IFERROR(__xludf.DUMMYFUNCTION("""COMPUTED_VALUE"""),"   R")</f>
        <v>R</v>
      </c>
      <c r="E34" s="309" t="str">
        <f>IFERROR(__xludf.DUMMYFUNCTION("""COMPUTED_VALUE"""),"Borg Alcove")</f>
        <v>Borg Alcove</v>
      </c>
      <c r="F34" s="310">
        <f>IFERROR(__xludf.DUMMYFUNCTION("""COMPUTED_VALUE"""),4.0)</f>
        <v>4</v>
      </c>
      <c r="G34" s="231" t="str">
        <f>IFERROR(__xludf.DUMMYFUNCTION("""COMPUTED_VALUE"""),"FT")</f>
        <v>FT</v>
      </c>
      <c r="H34" s="231" t="str">
        <f>IFERROR(__xludf.DUMMYFUNCTION("""COMPUTED_VALUE"""),"➖")</f>
        <v>➖</v>
      </c>
      <c r="I34" s="231" t="str">
        <f>IFERROR(__xludf.DUMMYFUNCTION("""COMPUTED_VALUE"""),"➖")</f>
        <v>➖</v>
      </c>
      <c r="J34" s="231" t="str">
        <f>IFERROR(__xludf.DUMMYFUNCTION("""COMPUTED_VALUE"""),"✅")</f>
        <v>✅</v>
      </c>
      <c r="K34" s="288" t="str">
        <f>IFERROR(__xludf.DUMMYFUNCTION("""COMPUTED_VALUE"""),"✅")</f>
        <v>✅</v>
      </c>
      <c r="L34" s="288" t="str">
        <f>IFERROR(__xludf.DUMMYFUNCTION("""COMPUTED_VALUE"""),"✅")</f>
        <v>✅</v>
      </c>
      <c r="M34" s="288" t="str">
        <f>IFERROR(__xludf.DUMMYFUNCTION("""COMPUTED_VALUE"""),"➖")</f>
        <v>➖</v>
      </c>
      <c r="N34" s="288" t="str">
        <f>IFERROR(__xludf.DUMMYFUNCTION("""COMPUTED_VALUE"""),"➖")</f>
        <v>➖</v>
      </c>
      <c r="O34" s="288" t="str">
        <f>IFERROR(__xludf.DUMMYFUNCTION("""COMPUTED_VALUE"""),"➖")</f>
        <v>➖</v>
      </c>
      <c r="P34" s="288" t="str">
        <f>IFERROR(__xludf.DUMMYFUNCTION("""COMPUTED_VALUE"""),"➖")</f>
        <v>➖</v>
      </c>
      <c r="Q34" s="288" t="str">
        <f>IFERROR(__xludf.DUMMYFUNCTION("""COMPUTED_VALUE"""),"➖")</f>
        <v>➖</v>
      </c>
      <c r="R34" s="311" t="str">
        <f>IFERROR(__xludf.DUMMYFUNCTION("""COMPUTED_VALUE"""),"   ➖")</f>
        <v>➖</v>
      </c>
      <c r="S34" s="312" t="str">
        <f>IFERROR(__xludf.DUMMYFUNCTION("""COMPUTED_VALUE"""),"➖")</f>
        <v>➖</v>
      </c>
      <c r="T34" s="288"/>
      <c r="U34" s="288" t="str">
        <f>IFERROR(__xludf.DUMMYFUNCTION("""COMPUTED_VALUE"""),"➖")</f>
        <v>➖</v>
      </c>
      <c r="V34" s="288" t="str">
        <f>IFERROR(__xludf.DUMMYFUNCTION("""COMPUTED_VALUE"""),"➖")</f>
        <v>➖</v>
      </c>
      <c r="W34" s="306"/>
      <c r="X34" s="306"/>
      <c r="Y34" s="306"/>
    </row>
    <row r="35">
      <c r="A35" s="227"/>
      <c r="B35" s="128"/>
      <c r="C35" s="227"/>
      <c r="D35" s="301" t="str">
        <f>IFERROR(__xludf.DUMMYFUNCTION("""COMPUTED_VALUE"""),"   R")</f>
        <v>R</v>
      </c>
      <c r="E35" s="313" t="str">
        <f>IFERROR(__xludf.DUMMYFUNCTION("""COMPUTED_VALUE"""),"Interphase Cloaking Device")</f>
        <v>Interphase Cloaking Device</v>
      </c>
      <c r="F35" s="303">
        <f>IFERROR(__xludf.DUMMYFUNCTION("""COMPUTED_VALUE"""),1.0)</f>
        <v>1</v>
      </c>
      <c r="G35" s="281" t="str">
        <f>IFERROR(__xludf.DUMMYFUNCTION("""COMPUTED_VALUE"""),"FT")</f>
        <v>FT</v>
      </c>
      <c r="H35" s="281" t="str">
        <f>IFERROR(__xludf.DUMMYFUNCTION("""COMPUTED_VALUE"""),"✅")</f>
        <v>✅</v>
      </c>
      <c r="I35" s="281" t="str">
        <f>IFERROR(__xludf.DUMMYFUNCTION("""COMPUTED_VALUE"""),"➖")</f>
        <v>➖</v>
      </c>
      <c r="J35" s="281" t="str">
        <f>IFERROR(__xludf.DUMMYFUNCTION("""COMPUTED_VALUE"""),"➖")</f>
        <v>➖</v>
      </c>
      <c r="K35" s="282" t="str">
        <f>IFERROR(__xludf.DUMMYFUNCTION("""COMPUTED_VALUE"""),"➖")</f>
        <v>➖</v>
      </c>
      <c r="L35" s="282" t="str">
        <f>IFERROR(__xludf.DUMMYFUNCTION("""COMPUTED_VALUE"""),"➖")</f>
        <v>➖</v>
      </c>
      <c r="M35" s="282" t="str">
        <f>IFERROR(__xludf.DUMMYFUNCTION("""COMPUTED_VALUE"""),"➖")</f>
        <v>➖</v>
      </c>
      <c r="N35" s="282" t="str">
        <f>IFERROR(__xludf.DUMMYFUNCTION("""COMPUTED_VALUE"""),"➖")</f>
        <v>➖</v>
      </c>
      <c r="O35" s="282" t="str">
        <f>IFERROR(__xludf.DUMMYFUNCTION("""COMPUTED_VALUE"""),"➖")</f>
        <v>➖</v>
      </c>
      <c r="P35" s="282" t="str">
        <f>IFERROR(__xludf.DUMMYFUNCTION("""COMPUTED_VALUE"""),"➖")</f>
        <v>➖</v>
      </c>
      <c r="Q35" s="282" t="str">
        <f>IFERROR(__xludf.DUMMYFUNCTION("""COMPUTED_VALUE"""),"➖")</f>
        <v>➖</v>
      </c>
      <c r="R35" s="304" t="str">
        <f>IFERROR(__xludf.DUMMYFUNCTION("""COMPUTED_VALUE"""),"   ➖")</f>
        <v>➖</v>
      </c>
      <c r="S35" s="305" t="str">
        <f>IFERROR(__xludf.DUMMYFUNCTION("""COMPUTED_VALUE"""),"➖")</f>
        <v>➖</v>
      </c>
      <c r="T35" s="282"/>
      <c r="U35" s="282" t="str">
        <f>IFERROR(__xludf.DUMMYFUNCTION("""COMPUTED_VALUE"""),"➖")</f>
        <v>➖</v>
      </c>
      <c r="V35" s="282" t="str">
        <f>IFERROR(__xludf.DUMMYFUNCTION("""COMPUTED_VALUE"""),"➖")</f>
        <v>➖</v>
      </c>
      <c r="W35" s="306"/>
      <c r="X35" s="306"/>
      <c r="Y35" s="306"/>
    </row>
    <row r="36">
      <c r="A36" s="227"/>
      <c r="B36" s="307"/>
      <c r="C36" s="227"/>
      <c r="D36" s="308" t="str">
        <f>IFERROR(__xludf.DUMMYFUNCTION("""COMPUTED_VALUE"""),"   R")</f>
        <v>R</v>
      </c>
      <c r="E36" s="309" t="str">
        <f>IFERROR(__xludf.DUMMYFUNCTION("""COMPUTED_VALUE"""),"Interphase Cloaking Device")</f>
        <v>Interphase Cloaking Device</v>
      </c>
      <c r="F36" s="310">
        <f>IFERROR(__xludf.DUMMYFUNCTION("""COMPUTED_VALUE"""),2.0)</f>
        <v>2</v>
      </c>
      <c r="G36" s="231" t="str">
        <f>IFERROR(__xludf.DUMMYFUNCTION("""COMPUTED_VALUE"""),"FT")</f>
        <v>FT</v>
      </c>
      <c r="H36" s="231" t="str">
        <f>IFERROR(__xludf.DUMMYFUNCTION("""COMPUTED_VALUE"""),"✅")</f>
        <v>✅</v>
      </c>
      <c r="I36" s="231" t="str">
        <f>IFERROR(__xludf.DUMMYFUNCTION("""COMPUTED_VALUE"""),"➖")</f>
        <v>➖</v>
      </c>
      <c r="J36" s="231" t="str">
        <f>IFERROR(__xludf.DUMMYFUNCTION("""COMPUTED_VALUE"""),"➖")</f>
        <v>➖</v>
      </c>
      <c r="K36" s="288" t="str">
        <f>IFERROR(__xludf.DUMMYFUNCTION("""COMPUTED_VALUE"""),"➖")</f>
        <v>➖</v>
      </c>
      <c r="L36" s="288" t="str">
        <f>IFERROR(__xludf.DUMMYFUNCTION("""COMPUTED_VALUE"""),"➖")</f>
        <v>➖</v>
      </c>
      <c r="M36" s="288" t="str">
        <f>IFERROR(__xludf.DUMMYFUNCTION("""COMPUTED_VALUE"""),"➖")</f>
        <v>➖</v>
      </c>
      <c r="N36" s="288" t="str">
        <f>IFERROR(__xludf.DUMMYFUNCTION("""COMPUTED_VALUE"""),"➖")</f>
        <v>➖</v>
      </c>
      <c r="O36" s="288" t="str">
        <f>IFERROR(__xludf.DUMMYFUNCTION("""COMPUTED_VALUE"""),"➖")</f>
        <v>➖</v>
      </c>
      <c r="P36" s="288" t="str">
        <f>IFERROR(__xludf.DUMMYFUNCTION("""COMPUTED_VALUE"""),"➖")</f>
        <v>➖</v>
      </c>
      <c r="Q36" s="288" t="str">
        <f>IFERROR(__xludf.DUMMYFUNCTION("""COMPUTED_VALUE"""),"➖")</f>
        <v>➖</v>
      </c>
      <c r="R36" s="311" t="str">
        <f>IFERROR(__xludf.DUMMYFUNCTION("""COMPUTED_VALUE"""),"   ➖")</f>
        <v>➖</v>
      </c>
      <c r="S36" s="312" t="str">
        <f>IFERROR(__xludf.DUMMYFUNCTION("""COMPUTED_VALUE"""),"➖")</f>
        <v>➖</v>
      </c>
      <c r="T36" s="288"/>
      <c r="U36" s="288" t="str">
        <f>IFERROR(__xludf.DUMMYFUNCTION("""COMPUTED_VALUE"""),"➖")</f>
        <v>➖</v>
      </c>
      <c r="V36" s="288" t="str">
        <f>IFERROR(__xludf.DUMMYFUNCTION("""COMPUTED_VALUE"""),"➖")</f>
        <v>➖</v>
      </c>
      <c r="W36" s="306"/>
      <c r="X36" s="306"/>
      <c r="Y36" s="306"/>
    </row>
    <row r="37">
      <c r="A37" s="227"/>
      <c r="B37" s="128"/>
      <c r="C37" s="227"/>
      <c r="D37" s="301" t="str">
        <f>IFERROR(__xludf.DUMMYFUNCTION("""COMPUTED_VALUE"""),"   R")</f>
        <v>R</v>
      </c>
      <c r="E37" s="313" t="str">
        <f>IFERROR(__xludf.DUMMYFUNCTION("""COMPUTED_VALUE"""),"Interphase Cloaking Device")</f>
        <v>Interphase Cloaking Device</v>
      </c>
      <c r="F37" s="303">
        <f>IFERROR(__xludf.DUMMYFUNCTION("""COMPUTED_VALUE"""),3.0)</f>
        <v>3</v>
      </c>
      <c r="G37" s="281" t="str">
        <f>IFERROR(__xludf.DUMMYFUNCTION("""COMPUTED_VALUE"""),"FT")</f>
        <v>FT</v>
      </c>
      <c r="H37" s="281" t="str">
        <f>IFERROR(__xludf.DUMMYFUNCTION("""COMPUTED_VALUE"""),"✅")</f>
        <v>✅</v>
      </c>
      <c r="I37" s="281" t="str">
        <f>IFERROR(__xludf.DUMMYFUNCTION("""COMPUTED_VALUE"""),"➖")</f>
        <v>➖</v>
      </c>
      <c r="J37" s="281" t="str">
        <f>IFERROR(__xludf.DUMMYFUNCTION("""COMPUTED_VALUE"""),"➖")</f>
        <v>➖</v>
      </c>
      <c r="K37" s="282" t="str">
        <f>IFERROR(__xludf.DUMMYFUNCTION("""COMPUTED_VALUE"""),"➖")</f>
        <v>➖</v>
      </c>
      <c r="L37" s="282" t="str">
        <f>IFERROR(__xludf.DUMMYFUNCTION("""COMPUTED_VALUE"""),"➖")</f>
        <v>➖</v>
      </c>
      <c r="M37" s="282" t="str">
        <f>IFERROR(__xludf.DUMMYFUNCTION("""COMPUTED_VALUE"""),"➖")</f>
        <v>➖</v>
      </c>
      <c r="N37" s="282" t="str">
        <f>IFERROR(__xludf.DUMMYFUNCTION("""COMPUTED_VALUE"""),"➖")</f>
        <v>➖</v>
      </c>
      <c r="O37" s="282" t="str">
        <f>IFERROR(__xludf.DUMMYFUNCTION("""COMPUTED_VALUE"""),"➖")</f>
        <v>➖</v>
      </c>
      <c r="P37" s="282" t="str">
        <f>IFERROR(__xludf.DUMMYFUNCTION("""COMPUTED_VALUE"""),"➖")</f>
        <v>➖</v>
      </c>
      <c r="Q37" s="282" t="str">
        <f>IFERROR(__xludf.DUMMYFUNCTION("""COMPUTED_VALUE"""),"➖")</f>
        <v>➖</v>
      </c>
      <c r="R37" s="304" t="str">
        <f>IFERROR(__xludf.DUMMYFUNCTION("""COMPUTED_VALUE"""),"   ➖")</f>
        <v>➖</v>
      </c>
      <c r="S37" s="305" t="str">
        <f>IFERROR(__xludf.DUMMYFUNCTION("""COMPUTED_VALUE"""),"➖")</f>
        <v>➖</v>
      </c>
      <c r="T37" s="282"/>
      <c r="U37" s="282" t="str">
        <f>IFERROR(__xludf.DUMMYFUNCTION("""COMPUTED_VALUE"""),"➖")</f>
        <v>➖</v>
      </c>
      <c r="V37" s="282" t="str">
        <f>IFERROR(__xludf.DUMMYFUNCTION("""COMPUTED_VALUE"""),"➖")</f>
        <v>➖</v>
      </c>
      <c r="W37" s="306"/>
      <c r="X37" s="306"/>
      <c r="Y37" s="306"/>
    </row>
    <row r="38">
      <c r="A38" s="227"/>
      <c r="B38" s="307"/>
      <c r="C38" s="227"/>
      <c r="D38" s="308" t="str">
        <f>IFERROR(__xludf.DUMMYFUNCTION("""COMPUTED_VALUE"""),"   R")</f>
        <v>R</v>
      </c>
      <c r="E38" s="309" t="str">
        <f>IFERROR(__xludf.DUMMYFUNCTION("""COMPUTED_VALUE"""),"Interphase Cloaking Device")</f>
        <v>Interphase Cloaking Device</v>
      </c>
      <c r="F38" s="310">
        <f>IFERROR(__xludf.DUMMYFUNCTION("""COMPUTED_VALUE"""),4.0)</f>
        <v>4</v>
      </c>
      <c r="G38" s="231" t="str">
        <f>IFERROR(__xludf.DUMMYFUNCTION("""COMPUTED_VALUE"""),"FT")</f>
        <v>FT</v>
      </c>
      <c r="H38" s="231" t="str">
        <f>IFERROR(__xludf.DUMMYFUNCTION("""COMPUTED_VALUE"""),"✅")</f>
        <v>✅</v>
      </c>
      <c r="I38" s="231" t="str">
        <f>IFERROR(__xludf.DUMMYFUNCTION("""COMPUTED_VALUE"""),"➖")</f>
        <v>➖</v>
      </c>
      <c r="J38" s="231" t="str">
        <f>IFERROR(__xludf.DUMMYFUNCTION("""COMPUTED_VALUE"""),"➖")</f>
        <v>➖</v>
      </c>
      <c r="K38" s="288" t="str">
        <f>IFERROR(__xludf.DUMMYFUNCTION("""COMPUTED_VALUE"""),"➖")</f>
        <v>➖</v>
      </c>
      <c r="L38" s="288" t="str">
        <f>IFERROR(__xludf.DUMMYFUNCTION("""COMPUTED_VALUE"""),"➖")</f>
        <v>➖</v>
      </c>
      <c r="M38" s="288" t="str">
        <f>IFERROR(__xludf.DUMMYFUNCTION("""COMPUTED_VALUE"""),"➖")</f>
        <v>➖</v>
      </c>
      <c r="N38" s="288" t="str">
        <f>IFERROR(__xludf.DUMMYFUNCTION("""COMPUTED_VALUE"""),"➖")</f>
        <v>➖</v>
      </c>
      <c r="O38" s="288" t="str">
        <f>IFERROR(__xludf.DUMMYFUNCTION("""COMPUTED_VALUE"""),"➖")</f>
        <v>➖</v>
      </c>
      <c r="P38" s="288" t="str">
        <f>IFERROR(__xludf.DUMMYFUNCTION("""COMPUTED_VALUE"""),"➖")</f>
        <v>➖</v>
      </c>
      <c r="Q38" s="288" t="str">
        <f>IFERROR(__xludf.DUMMYFUNCTION("""COMPUTED_VALUE"""),"➖")</f>
        <v>➖</v>
      </c>
      <c r="R38" s="311" t="str">
        <f>IFERROR(__xludf.DUMMYFUNCTION("""COMPUTED_VALUE"""),"   ➖")</f>
        <v>➖</v>
      </c>
      <c r="S38" s="312" t="str">
        <f>IFERROR(__xludf.DUMMYFUNCTION("""COMPUTED_VALUE"""),"➖")</f>
        <v>➖</v>
      </c>
      <c r="T38" s="288"/>
      <c r="U38" s="288" t="str">
        <f>IFERROR(__xludf.DUMMYFUNCTION("""COMPUTED_VALUE"""),"➖")</f>
        <v>➖</v>
      </c>
      <c r="V38" s="288" t="str">
        <f>IFERROR(__xludf.DUMMYFUNCTION("""COMPUTED_VALUE"""),"➖")</f>
        <v>➖</v>
      </c>
      <c r="W38" s="306"/>
      <c r="X38" s="306"/>
      <c r="Y38" s="306"/>
    </row>
    <row r="39">
      <c r="A39" s="227"/>
      <c r="B39" s="128"/>
      <c r="C39" s="227"/>
      <c r="D39" s="301" t="str">
        <f>IFERROR(__xludf.DUMMYFUNCTION("""COMPUTED_VALUE"""),"   E")</f>
        <v>E</v>
      </c>
      <c r="E39" s="313" t="str">
        <f>IFERROR(__xludf.DUMMYFUNCTION("""COMPUTED_VALUE"""),"Thalaron Radiation")</f>
        <v>Thalaron Radiation</v>
      </c>
      <c r="F39" s="303">
        <f>IFERROR(__xludf.DUMMYFUNCTION("""COMPUTED_VALUE"""),1.0)</f>
        <v>1</v>
      </c>
      <c r="G39" s="281" t="str">
        <f>IFERROR(__xludf.DUMMYFUNCTION("""COMPUTED_VALUE"""),"FT")</f>
        <v>FT</v>
      </c>
      <c r="H39" s="281" t="str">
        <f>IFERROR(__xludf.DUMMYFUNCTION("""COMPUTED_VALUE"""),"✅")</f>
        <v>✅</v>
      </c>
      <c r="I39" s="281" t="str">
        <f>IFERROR(__xludf.DUMMYFUNCTION("""COMPUTED_VALUE"""),"✅")</f>
        <v>✅</v>
      </c>
      <c r="J39" s="281" t="str">
        <f>IFERROR(__xludf.DUMMYFUNCTION("""COMPUTED_VALUE"""),"➖")</f>
        <v>➖</v>
      </c>
      <c r="K39" s="282" t="str">
        <f>IFERROR(__xludf.DUMMYFUNCTION("""COMPUTED_VALUE"""),"➖")</f>
        <v>➖</v>
      </c>
      <c r="L39" s="282" t="str">
        <f>IFERROR(__xludf.DUMMYFUNCTION("""COMPUTED_VALUE"""),"➖")</f>
        <v>➖</v>
      </c>
      <c r="M39" s="282" t="str">
        <f>IFERROR(__xludf.DUMMYFUNCTION("""COMPUTED_VALUE"""),"➖")</f>
        <v>➖</v>
      </c>
      <c r="N39" s="282" t="str">
        <f>IFERROR(__xludf.DUMMYFUNCTION("""COMPUTED_VALUE"""),"➖")</f>
        <v>➖</v>
      </c>
      <c r="O39" s="282" t="str">
        <f>IFERROR(__xludf.DUMMYFUNCTION("""COMPUTED_VALUE"""),"➖")</f>
        <v>➖</v>
      </c>
      <c r="P39" s="282" t="str">
        <f>IFERROR(__xludf.DUMMYFUNCTION("""COMPUTED_VALUE"""),"➖")</f>
        <v>➖</v>
      </c>
      <c r="Q39" s="282" t="str">
        <f>IFERROR(__xludf.DUMMYFUNCTION("""COMPUTED_VALUE"""),"➖")</f>
        <v>➖</v>
      </c>
      <c r="R39" s="304" t="str">
        <f>IFERROR(__xludf.DUMMYFUNCTION("""COMPUTED_VALUE"""),"   ➖")</f>
        <v>➖</v>
      </c>
      <c r="S39" s="305" t="str">
        <f>IFERROR(__xludf.DUMMYFUNCTION("""COMPUTED_VALUE"""),"➖")</f>
        <v>➖</v>
      </c>
      <c r="T39" s="282"/>
      <c r="U39" s="282" t="str">
        <f>IFERROR(__xludf.DUMMYFUNCTION("""COMPUTED_VALUE"""),"➖")</f>
        <v>➖</v>
      </c>
      <c r="V39" s="282" t="str">
        <f>IFERROR(__xludf.DUMMYFUNCTION("""COMPUTED_VALUE"""),"➖")</f>
        <v>➖</v>
      </c>
      <c r="W39" s="306"/>
      <c r="X39" s="306"/>
      <c r="Y39" s="306"/>
    </row>
    <row r="40">
      <c r="A40" s="227"/>
      <c r="B40" s="307"/>
      <c r="C40" s="227"/>
      <c r="D40" s="308" t="str">
        <f>IFERROR(__xludf.DUMMYFUNCTION("""COMPUTED_VALUE"""),"   E")</f>
        <v>E</v>
      </c>
      <c r="E40" s="309" t="str">
        <f>IFERROR(__xludf.DUMMYFUNCTION("""COMPUTED_VALUE"""),"Thalaron Radiation")</f>
        <v>Thalaron Radiation</v>
      </c>
      <c r="F40" s="310">
        <f>IFERROR(__xludf.DUMMYFUNCTION("""COMPUTED_VALUE"""),2.0)</f>
        <v>2</v>
      </c>
      <c r="G40" s="231" t="str">
        <f>IFERROR(__xludf.DUMMYFUNCTION("""COMPUTED_VALUE"""),"FT")</f>
        <v>FT</v>
      </c>
      <c r="H40" s="231" t="str">
        <f>IFERROR(__xludf.DUMMYFUNCTION("""COMPUTED_VALUE"""),"✅")</f>
        <v>✅</v>
      </c>
      <c r="I40" s="231" t="str">
        <f>IFERROR(__xludf.DUMMYFUNCTION("""COMPUTED_VALUE"""),"✅")</f>
        <v>✅</v>
      </c>
      <c r="J40" s="231" t="str">
        <f>IFERROR(__xludf.DUMMYFUNCTION("""COMPUTED_VALUE"""),"✅")</f>
        <v>✅</v>
      </c>
      <c r="K40" s="288" t="str">
        <f>IFERROR(__xludf.DUMMYFUNCTION("""COMPUTED_VALUE"""),"✅")</f>
        <v>✅</v>
      </c>
      <c r="L40" s="288" t="str">
        <f>IFERROR(__xludf.DUMMYFUNCTION("""COMPUTED_VALUE"""),"✅")</f>
        <v>✅</v>
      </c>
      <c r="M40" s="288" t="str">
        <f>IFERROR(__xludf.DUMMYFUNCTION("""COMPUTED_VALUE"""),"✅")</f>
        <v>✅</v>
      </c>
      <c r="N40" s="288" t="str">
        <f>IFERROR(__xludf.DUMMYFUNCTION("""COMPUTED_VALUE"""),"✅")</f>
        <v>✅</v>
      </c>
      <c r="O40" s="288" t="str">
        <f>IFERROR(__xludf.DUMMYFUNCTION("""COMPUTED_VALUE"""),"✅")</f>
        <v>✅</v>
      </c>
      <c r="P40" s="288" t="str">
        <f>IFERROR(__xludf.DUMMYFUNCTION("""COMPUTED_VALUE"""),"✅")</f>
        <v>✅</v>
      </c>
      <c r="Q40" s="288" t="str">
        <f>IFERROR(__xludf.DUMMYFUNCTION("""COMPUTED_VALUE"""),"✅")</f>
        <v>✅</v>
      </c>
      <c r="R40" s="311" t="str">
        <f>IFERROR(__xludf.DUMMYFUNCTION("""COMPUTED_VALUE"""),"   ✅")</f>
        <v>✅</v>
      </c>
      <c r="S40" s="312" t="str">
        <f>IFERROR(__xludf.DUMMYFUNCTION("""COMPUTED_VALUE"""),"✅")</f>
        <v>✅</v>
      </c>
      <c r="T40" s="288"/>
      <c r="U40" s="288" t="str">
        <f>IFERROR(__xludf.DUMMYFUNCTION("""COMPUTED_VALUE"""),"➖")</f>
        <v>➖</v>
      </c>
      <c r="V40" s="288" t="str">
        <f>IFERROR(__xludf.DUMMYFUNCTION("""COMPUTED_VALUE"""),"➖")</f>
        <v>➖</v>
      </c>
      <c r="W40" s="306"/>
      <c r="X40" s="306"/>
      <c r="Y40" s="306"/>
    </row>
    <row r="41">
      <c r="A41" s="227"/>
      <c r="B41" s="128"/>
      <c r="C41" s="227"/>
      <c r="D41" s="301" t="str">
        <f>IFERROR(__xludf.DUMMYFUNCTION("""COMPUTED_VALUE"""),"   E")</f>
        <v>E</v>
      </c>
      <c r="E41" s="313" t="str">
        <f>IFERROR(__xludf.DUMMYFUNCTION("""COMPUTED_VALUE"""),"Thalaron Radiation")</f>
        <v>Thalaron Radiation</v>
      </c>
      <c r="F41" s="303">
        <f>IFERROR(__xludf.DUMMYFUNCTION("""COMPUTED_VALUE"""),3.0)</f>
        <v>3</v>
      </c>
      <c r="G41" s="281" t="str">
        <f>IFERROR(__xludf.DUMMYFUNCTION("""COMPUTED_VALUE"""),"FT")</f>
        <v>FT</v>
      </c>
      <c r="H41" s="281" t="str">
        <f>IFERROR(__xludf.DUMMYFUNCTION("""COMPUTED_VALUE"""),"✅")</f>
        <v>✅</v>
      </c>
      <c r="I41" s="281" t="str">
        <f>IFERROR(__xludf.DUMMYFUNCTION("""COMPUTED_VALUE"""),"➖")</f>
        <v>➖</v>
      </c>
      <c r="J41" s="281" t="str">
        <f>IFERROR(__xludf.DUMMYFUNCTION("""COMPUTED_VALUE"""),"➖")</f>
        <v>➖</v>
      </c>
      <c r="K41" s="282" t="str">
        <f>IFERROR(__xludf.DUMMYFUNCTION("""COMPUTED_VALUE"""),"➖")</f>
        <v>➖</v>
      </c>
      <c r="L41" s="282" t="str">
        <f>IFERROR(__xludf.DUMMYFUNCTION("""COMPUTED_VALUE"""),"➖")</f>
        <v>➖</v>
      </c>
      <c r="M41" s="282" t="str">
        <f>IFERROR(__xludf.DUMMYFUNCTION("""COMPUTED_VALUE"""),"➖")</f>
        <v>➖</v>
      </c>
      <c r="N41" s="282" t="str">
        <f>IFERROR(__xludf.DUMMYFUNCTION("""COMPUTED_VALUE"""),"➖")</f>
        <v>➖</v>
      </c>
      <c r="O41" s="282" t="str">
        <f>IFERROR(__xludf.DUMMYFUNCTION("""COMPUTED_VALUE"""),"➖")</f>
        <v>➖</v>
      </c>
      <c r="P41" s="282" t="str">
        <f>IFERROR(__xludf.DUMMYFUNCTION("""COMPUTED_VALUE"""),"➖")</f>
        <v>➖</v>
      </c>
      <c r="Q41" s="282" t="str">
        <f>IFERROR(__xludf.DUMMYFUNCTION("""COMPUTED_VALUE"""),"➖")</f>
        <v>➖</v>
      </c>
      <c r="R41" s="304" t="str">
        <f>IFERROR(__xludf.DUMMYFUNCTION("""COMPUTED_VALUE"""),"   ➖")</f>
        <v>➖</v>
      </c>
      <c r="S41" s="305" t="str">
        <f>IFERROR(__xludf.DUMMYFUNCTION("""COMPUTED_VALUE"""),"➖")</f>
        <v>➖</v>
      </c>
      <c r="T41" s="282"/>
      <c r="U41" s="282" t="str">
        <f>IFERROR(__xludf.DUMMYFUNCTION("""COMPUTED_VALUE"""),"➖")</f>
        <v>➖</v>
      </c>
      <c r="V41" s="282" t="str">
        <f>IFERROR(__xludf.DUMMYFUNCTION("""COMPUTED_VALUE"""),"➖")</f>
        <v>➖</v>
      </c>
      <c r="W41" s="306"/>
      <c r="X41" s="306"/>
      <c r="Y41" s="306"/>
    </row>
    <row r="42">
      <c r="A42" s="227"/>
      <c r="B42" s="307"/>
      <c r="C42" s="227"/>
      <c r="D42" s="308" t="str">
        <f>IFERROR(__xludf.DUMMYFUNCTION("""COMPUTED_VALUE"""),"   E")</f>
        <v>E</v>
      </c>
      <c r="E42" s="309" t="str">
        <f>IFERROR(__xludf.DUMMYFUNCTION("""COMPUTED_VALUE"""),"Thalaron Radiation")</f>
        <v>Thalaron Radiation</v>
      </c>
      <c r="F42" s="310">
        <f>IFERROR(__xludf.DUMMYFUNCTION("""COMPUTED_VALUE"""),4.0)</f>
        <v>4</v>
      </c>
      <c r="G42" s="231" t="str">
        <f>IFERROR(__xludf.DUMMYFUNCTION("""COMPUTED_VALUE"""),"FT")</f>
        <v>FT</v>
      </c>
      <c r="H42" s="231" t="str">
        <f>IFERROR(__xludf.DUMMYFUNCTION("""COMPUTED_VALUE"""),"➖")</f>
        <v>➖</v>
      </c>
      <c r="I42" s="231" t="str">
        <f>IFERROR(__xludf.DUMMYFUNCTION("""COMPUTED_VALUE"""),"➖")</f>
        <v>➖</v>
      </c>
      <c r="J42" s="231" t="str">
        <f>IFERROR(__xludf.DUMMYFUNCTION("""COMPUTED_VALUE"""),"➖")</f>
        <v>➖</v>
      </c>
      <c r="K42" s="288" t="str">
        <f>IFERROR(__xludf.DUMMYFUNCTION("""COMPUTED_VALUE"""),"➖")</f>
        <v>➖</v>
      </c>
      <c r="L42" s="288" t="str">
        <f>IFERROR(__xludf.DUMMYFUNCTION("""COMPUTED_VALUE"""),"➖")</f>
        <v>➖</v>
      </c>
      <c r="M42" s="288" t="str">
        <f>IFERROR(__xludf.DUMMYFUNCTION("""COMPUTED_VALUE"""),"➖")</f>
        <v>➖</v>
      </c>
      <c r="N42" s="288" t="str">
        <f>IFERROR(__xludf.DUMMYFUNCTION("""COMPUTED_VALUE"""),"➖")</f>
        <v>➖</v>
      </c>
      <c r="O42" s="288" t="str">
        <f>IFERROR(__xludf.DUMMYFUNCTION("""COMPUTED_VALUE"""),"➖")</f>
        <v>➖</v>
      </c>
      <c r="P42" s="288" t="str">
        <f>IFERROR(__xludf.DUMMYFUNCTION("""COMPUTED_VALUE"""),"➖")</f>
        <v>➖</v>
      </c>
      <c r="Q42" s="288" t="str">
        <f>IFERROR(__xludf.DUMMYFUNCTION("""COMPUTED_VALUE"""),"➖")</f>
        <v>➖</v>
      </c>
      <c r="R42" s="311" t="str">
        <f>IFERROR(__xludf.DUMMYFUNCTION("""COMPUTED_VALUE"""),"   ➖")</f>
        <v>➖</v>
      </c>
      <c r="S42" s="312" t="str">
        <f>IFERROR(__xludf.DUMMYFUNCTION("""COMPUTED_VALUE"""),"➖")</f>
        <v>➖</v>
      </c>
      <c r="T42" s="288"/>
      <c r="U42" s="288" t="str">
        <f>IFERROR(__xludf.DUMMYFUNCTION("""COMPUTED_VALUE"""),"➖")</f>
        <v>➖</v>
      </c>
      <c r="V42" s="288" t="str">
        <f>IFERROR(__xludf.DUMMYFUNCTION("""COMPUTED_VALUE"""),"➖")</f>
        <v>➖</v>
      </c>
      <c r="W42" s="306"/>
      <c r="X42" s="306"/>
      <c r="Y42" s="306"/>
    </row>
    <row r="43">
      <c r="A43" s="227"/>
      <c r="B43" s="128"/>
      <c r="C43" s="227"/>
      <c r="D43" s="301" t="str">
        <f>IFERROR(__xludf.DUMMYFUNCTION("""COMPUTED_VALUE"""),"   E")</f>
        <v>E</v>
      </c>
      <c r="E43" s="313" t="str">
        <f>IFERROR(__xludf.DUMMYFUNCTION("""COMPUTED_VALUE"""),"Red Matter")</f>
        <v>Red Matter</v>
      </c>
      <c r="F43" s="303">
        <f>IFERROR(__xludf.DUMMYFUNCTION("""COMPUTED_VALUE"""),1.0)</f>
        <v>1</v>
      </c>
      <c r="G43" s="281" t="str">
        <f>IFERROR(__xludf.DUMMYFUNCTION("""COMPUTED_VALUE"""),"FT")</f>
        <v>FT</v>
      </c>
      <c r="H43" s="281" t="str">
        <f>IFERROR(__xludf.DUMMYFUNCTION("""COMPUTED_VALUE"""),"✅")</f>
        <v>✅</v>
      </c>
      <c r="I43" s="281" t="str">
        <f>IFERROR(__xludf.DUMMYFUNCTION("""COMPUTED_VALUE"""),"✅")</f>
        <v>✅</v>
      </c>
      <c r="J43" s="281" t="str">
        <f>IFERROR(__xludf.DUMMYFUNCTION("""COMPUTED_VALUE"""),"➖")</f>
        <v>➖</v>
      </c>
      <c r="K43" s="282" t="str">
        <f>IFERROR(__xludf.DUMMYFUNCTION("""COMPUTED_VALUE"""),"➖")</f>
        <v>➖</v>
      </c>
      <c r="L43" s="282" t="str">
        <f>IFERROR(__xludf.DUMMYFUNCTION("""COMPUTED_VALUE"""),"➖")</f>
        <v>➖</v>
      </c>
      <c r="M43" s="282" t="str">
        <f>IFERROR(__xludf.DUMMYFUNCTION("""COMPUTED_VALUE"""),"➖")</f>
        <v>➖</v>
      </c>
      <c r="N43" s="282" t="str">
        <f>IFERROR(__xludf.DUMMYFUNCTION("""COMPUTED_VALUE"""),"➖")</f>
        <v>➖</v>
      </c>
      <c r="O43" s="282" t="str">
        <f>IFERROR(__xludf.DUMMYFUNCTION("""COMPUTED_VALUE"""),"➖")</f>
        <v>➖</v>
      </c>
      <c r="P43" s="282" t="str">
        <f>IFERROR(__xludf.DUMMYFUNCTION("""COMPUTED_VALUE"""),"➖")</f>
        <v>➖</v>
      </c>
      <c r="Q43" s="282" t="str">
        <f>IFERROR(__xludf.DUMMYFUNCTION("""COMPUTED_VALUE"""),"➖")</f>
        <v>➖</v>
      </c>
      <c r="R43" s="304" t="str">
        <f>IFERROR(__xludf.DUMMYFUNCTION("""COMPUTED_VALUE"""),"   ➖")</f>
        <v>➖</v>
      </c>
      <c r="S43" s="305" t="str">
        <f>IFERROR(__xludf.DUMMYFUNCTION("""COMPUTED_VALUE"""),"➖")</f>
        <v>➖</v>
      </c>
      <c r="T43" s="282"/>
      <c r="U43" s="282" t="str">
        <f>IFERROR(__xludf.DUMMYFUNCTION("""COMPUTED_VALUE"""),"➖")</f>
        <v>➖</v>
      </c>
      <c r="V43" s="282" t="str">
        <f>IFERROR(__xludf.DUMMYFUNCTION("""COMPUTED_VALUE"""),"➖")</f>
        <v>➖</v>
      </c>
      <c r="W43" s="306"/>
      <c r="X43" s="306"/>
      <c r="Y43" s="306"/>
    </row>
    <row r="44">
      <c r="A44" s="227"/>
      <c r="B44" s="307"/>
      <c r="C44" s="227"/>
      <c r="D44" s="308" t="str">
        <f>IFERROR(__xludf.DUMMYFUNCTION("""COMPUTED_VALUE"""),"   E")</f>
        <v>E</v>
      </c>
      <c r="E44" s="309" t="str">
        <f>IFERROR(__xludf.DUMMYFUNCTION("""COMPUTED_VALUE"""),"Red Matter")</f>
        <v>Red Matter</v>
      </c>
      <c r="F44" s="310">
        <f>IFERROR(__xludf.DUMMYFUNCTION("""COMPUTED_VALUE"""),2.0)</f>
        <v>2</v>
      </c>
      <c r="G44" s="231" t="str">
        <f>IFERROR(__xludf.DUMMYFUNCTION("""COMPUTED_VALUE"""),"FT")</f>
        <v>FT</v>
      </c>
      <c r="H44" s="231" t="str">
        <f>IFERROR(__xludf.DUMMYFUNCTION("""COMPUTED_VALUE"""),"✅")</f>
        <v>✅</v>
      </c>
      <c r="I44" s="231" t="str">
        <f>IFERROR(__xludf.DUMMYFUNCTION("""COMPUTED_VALUE"""),"✅")</f>
        <v>✅</v>
      </c>
      <c r="J44" s="231" t="str">
        <f>IFERROR(__xludf.DUMMYFUNCTION("""COMPUTED_VALUE"""),"✅")</f>
        <v>✅</v>
      </c>
      <c r="K44" s="288" t="str">
        <f>IFERROR(__xludf.DUMMYFUNCTION("""COMPUTED_VALUE"""),"✅")</f>
        <v>✅</v>
      </c>
      <c r="L44" s="288" t="str">
        <f>IFERROR(__xludf.DUMMYFUNCTION("""COMPUTED_VALUE"""),"✅")</f>
        <v>✅</v>
      </c>
      <c r="M44" s="288" t="str">
        <f>IFERROR(__xludf.DUMMYFUNCTION("""COMPUTED_VALUE"""),"✅")</f>
        <v>✅</v>
      </c>
      <c r="N44" s="288" t="str">
        <f>IFERROR(__xludf.DUMMYFUNCTION("""COMPUTED_VALUE"""),"✅")</f>
        <v>✅</v>
      </c>
      <c r="O44" s="288" t="str">
        <f>IFERROR(__xludf.DUMMYFUNCTION("""COMPUTED_VALUE"""),"✅")</f>
        <v>✅</v>
      </c>
      <c r="P44" s="288" t="str">
        <f>IFERROR(__xludf.DUMMYFUNCTION("""COMPUTED_VALUE"""),"✅")</f>
        <v>✅</v>
      </c>
      <c r="Q44" s="288" t="str">
        <f>IFERROR(__xludf.DUMMYFUNCTION("""COMPUTED_VALUE"""),"✅")</f>
        <v>✅</v>
      </c>
      <c r="R44" s="311" t="str">
        <f>IFERROR(__xludf.DUMMYFUNCTION("""COMPUTED_VALUE"""),"   ✅")</f>
        <v>✅</v>
      </c>
      <c r="S44" s="312" t="str">
        <f>IFERROR(__xludf.DUMMYFUNCTION("""COMPUTED_VALUE"""),"✅")</f>
        <v>✅</v>
      </c>
      <c r="T44" s="288"/>
      <c r="U44" s="288" t="str">
        <f>IFERROR(__xludf.DUMMYFUNCTION("""COMPUTED_VALUE"""),"➖")</f>
        <v>➖</v>
      </c>
      <c r="V44" s="288" t="str">
        <f>IFERROR(__xludf.DUMMYFUNCTION("""COMPUTED_VALUE"""),"➖")</f>
        <v>➖</v>
      </c>
      <c r="W44" s="306"/>
      <c r="X44" s="306"/>
      <c r="Y44" s="306"/>
    </row>
    <row r="45">
      <c r="A45" s="227"/>
      <c r="B45" s="128"/>
      <c r="C45" s="227"/>
      <c r="D45" s="301" t="str">
        <f>IFERROR(__xludf.DUMMYFUNCTION("""COMPUTED_VALUE"""),"   E")</f>
        <v>E</v>
      </c>
      <c r="E45" s="313" t="str">
        <f>IFERROR(__xludf.DUMMYFUNCTION("""COMPUTED_VALUE"""),"Red Matter")</f>
        <v>Red Matter</v>
      </c>
      <c r="F45" s="303">
        <f>IFERROR(__xludf.DUMMYFUNCTION("""COMPUTED_VALUE"""),3.0)</f>
        <v>3</v>
      </c>
      <c r="G45" s="281" t="str">
        <f>IFERROR(__xludf.DUMMYFUNCTION("""COMPUTED_VALUE"""),"FT")</f>
        <v>FT</v>
      </c>
      <c r="H45" s="281" t="str">
        <f>IFERROR(__xludf.DUMMYFUNCTION("""COMPUTED_VALUE"""),"✅")</f>
        <v>✅</v>
      </c>
      <c r="I45" s="281" t="str">
        <f>IFERROR(__xludf.DUMMYFUNCTION("""COMPUTED_VALUE"""),"✅")</f>
        <v>✅</v>
      </c>
      <c r="J45" s="281" t="str">
        <f>IFERROR(__xludf.DUMMYFUNCTION("""COMPUTED_VALUE"""),"➖")</f>
        <v>➖</v>
      </c>
      <c r="K45" s="282" t="str">
        <f>IFERROR(__xludf.DUMMYFUNCTION("""COMPUTED_VALUE"""),"➖")</f>
        <v>➖</v>
      </c>
      <c r="L45" s="282" t="str">
        <f>IFERROR(__xludf.DUMMYFUNCTION("""COMPUTED_VALUE"""),"➖")</f>
        <v>➖</v>
      </c>
      <c r="M45" s="282" t="str">
        <f>IFERROR(__xludf.DUMMYFUNCTION("""COMPUTED_VALUE"""),"➖")</f>
        <v>➖</v>
      </c>
      <c r="N45" s="282" t="str">
        <f>IFERROR(__xludf.DUMMYFUNCTION("""COMPUTED_VALUE"""),"➖")</f>
        <v>➖</v>
      </c>
      <c r="O45" s="282" t="str">
        <f>IFERROR(__xludf.DUMMYFUNCTION("""COMPUTED_VALUE"""),"➖")</f>
        <v>➖</v>
      </c>
      <c r="P45" s="282" t="str">
        <f>IFERROR(__xludf.DUMMYFUNCTION("""COMPUTED_VALUE"""),"➖")</f>
        <v>➖</v>
      </c>
      <c r="Q45" s="282" t="str">
        <f>IFERROR(__xludf.DUMMYFUNCTION("""COMPUTED_VALUE"""),"➖")</f>
        <v>➖</v>
      </c>
      <c r="R45" s="304" t="str">
        <f>IFERROR(__xludf.DUMMYFUNCTION("""COMPUTED_VALUE"""),"   ➖")</f>
        <v>➖</v>
      </c>
      <c r="S45" s="305" t="str">
        <f>IFERROR(__xludf.DUMMYFUNCTION("""COMPUTED_VALUE"""),"➖")</f>
        <v>➖</v>
      </c>
      <c r="T45" s="282"/>
      <c r="U45" s="282" t="str">
        <f>IFERROR(__xludf.DUMMYFUNCTION("""COMPUTED_VALUE"""),"➖")</f>
        <v>➖</v>
      </c>
      <c r="V45" s="282" t="str">
        <f>IFERROR(__xludf.DUMMYFUNCTION("""COMPUTED_VALUE"""),"➖")</f>
        <v>➖</v>
      </c>
      <c r="W45" s="306"/>
      <c r="X45" s="306"/>
      <c r="Y45" s="306"/>
    </row>
    <row r="46">
      <c r="A46" s="227"/>
      <c r="B46" s="307"/>
      <c r="C46" s="227"/>
      <c r="D46" s="308" t="str">
        <f>IFERROR(__xludf.DUMMYFUNCTION("""COMPUTED_VALUE"""),"   E")</f>
        <v>E</v>
      </c>
      <c r="E46" s="309" t="str">
        <f>IFERROR(__xludf.DUMMYFUNCTION("""COMPUTED_VALUE"""),"Red Matter")</f>
        <v>Red Matter</v>
      </c>
      <c r="F46" s="310">
        <f>IFERROR(__xludf.DUMMYFUNCTION("""COMPUTED_VALUE"""),4.0)</f>
        <v>4</v>
      </c>
      <c r="G46" s="231" t="str">
        <f>IFERROR(__xludf.DUMMYFUNCTION("""COMPUTED_VALUE"""),"FT")</f>
        <v>FT</v>
      </c>
      <c r="H46" s="231" t="str">
        <f>IFERROR(__xludf.DUMMYFUNCTION("""COMPUTED_VALUE"""),"➖")</f>
        <v>➖</v>
      </c>
      <c r="I46" s="231" t="str">
        <f>IFERROR(__xludf.DUMMYFUNCTION("""COMPUTED_VALUE"""),"➖")</f>
        <v>➖</v>
      </c>
      <c r="J46" s="231" t="str">
        <f>IFERROR(__xludf.DUMMYFUNCTION("""COMPUTED_VALUE"""),"➖")</f>
        <v>➖</v>
      </c>
      <c r="K46" s="288" t="str">
        <f>IFERROR(__xludf.DUMMYFUNCTION("""COMPUTED_VALUE"""),"➖")</f>
        <v>➖</v>
      </c>
      <c r="L46" s="288" t="str">
        <f>IFERROR(__xludf.DUMMYFUNCTION("""COMPUTED_VALUE"""),"➖")</f>
        <v>➖</v>
      </c>
      <c r="M46" s="288" t="str">
        <f>IFERROR(__xludf.DUMMYFUNCTION("""COMPUTED_VALUE"""),"➖")</f>
        <v>➖</v>
      </c>
      <c r="N46" s="288" t="str">
        <f>IFERROR(__xludf.DUMMYFUNCTION("""COMPUTED_VALUE"""),"➖")</f>
        <v>➖</v>
      </c>
      <c r="O46" s="288" t="str">
        <f>IFERROR(__xludf.DUMMYFUNCTION("""COMPUTED_VALUE"""),"➖")</f>
        <v>➖</v>
      </c>
      <c r="P46" s="288" t="str">
        <f>IFERROR(__xludf.DUMMYFUNCTION("""COMPUTED_VALUE"""),"➖")</f>
        <v>➖</v>
      </c>
      <c r="Q46" s="288" t="str">
        <f>IFERROR(__xludf.DUMMYFUNCTION("""COMPUTED_VALUE"""),"➖")</f>
        <v>➖</v>
      </c>
      <c r="R46" s="311" t="str">
        <f>IFERROR(__xludf.DUMMYFUNCTION("""COMPUTED_VALUE"""),"   ➖")</f>
        <v>➖</v>
      </c>
      <c r="S46" s="312" t="str">
        <f>IFERROR(__xludf.DUMMYFUNCTION("""COMPUTED_VALUE"""),"➖")</f>
        <v>➖</v>
      </c>
      <c r="T46" s="288"/>
      <c r="U46" s="288" t="str">
        <f>IFERROR(__xludf.DUMMYFUNCTION("""COMPUTED_VALUE"""),"➖")</f>
        <v>➖</v>
      </c>
      <c r="V46" s="288" t="str">
        <f>IFERROR(__xludf.DUMMYFUNCTION("""COMPUTED_VALUE"""),"➖")</f>
        <v>➖</v>
      </c>
      <c r="W46" s="306"/>
      <c r="X46" s="306"/>
      <c r="Y46" s="306"/>
    </row>
    <row r="47">
      <c r="A47" s="227"/>
      <c r="B47" s="128"/>
      <c r="C47" s="227"/>
      <c r="D47" s="301" t="str">
        <f>IFERROR(__xludf.DUMMYFUNCTION("""COMPUTED_VALUE"""),"   E")</f>
        <v>E</v>
      </c>
      <c r="E47" s="313" t="str">
        <f>IFERROR(__xludf.DUMMYFUNCTION("""COMPUTED_VALUE"""),"Time Crystal")</f>
        <v>Time Crystal</v>
      </c>
      <c r="F47" s="303">
        <f>IFERROR(__xludf.DUMMYFUNCTION("""COMPUTED_VALUE"""),1.0)</f>
        <v>1</v>
      </c>
      <c r="G47" s="281" t="str">
        <f>IFERROR(__xludf.DUMMYFUNCTION("""COMPUTED_VALUE"""),"FT")</f>
        <v>FT</v>
      </c>
      <c r="H47" s="281" t="str">
        <f>IFERROR(__xludf.DUMMYFUNCTION("""COMPUTED_VALUE"""),"✅")</f>
        <v>✅</v>
      </c>
      <c r="I47" s="281" t="str">
        <f>IFERROR(__xludf.DUMMYFUNCTION("""COMPUTED_VALUE"""),"✅")</f>
        <v>✅</v>
      </c>
      <c r="J47" s="281" t="str">
        <f>IFERROR(__xludf.DUMMYFUNCTION("""COMPUTED_VALUE"""),"➖")</f>
        <v>➖</v>
      </c>
      <c r="K47" s="282" t="str">
        <f>IFERROR(__xludf.DUMMYFUNCTION("""COMPUTED_VALUE"""),"➖")</f>
        <v>➖</v>
      </c>
      <c r="L47" s="282" t="str">
        <f>IFERROR(__xludf.DUMMYFUNCTION("""COMPUTED_VALUE"""),"➖")</f>
        <v>➖</v>
      </c>
      <c r="M47" s="282" t="str">
        <f>IFERROR(__xludf.DUMMYFUNCTION("""COMPUTED_VALUE"""),"➖")</f>
        <v>➖</v>
      </c>
      <c r="N47" s="282" t="str">
        <f>IFERROR(__xludf.DUMMYFUNCTION("""COMPUTED_VALUE"""),"➖")</f>
        <v>➖</v>
      </c>
      <c r="O47" s="282" t="str">
        <f>IFERROR(__xludf.DUMMYFUNCTION("""COMPUTED_VALUE"""),"➖")</f>
        <v>➖</v>
      </c>
      <c r="P47" s="282" t="str">
        <f>IFERROR(__xludf.DUMMYFUNCTION("""COMPUTED_VALUE"""),"➖")</f>
        <v>➖</v>
      </c>
      <c r="Q47" s="282" t="str">
        <f>IFERROR(__xludf.DUMMYFUNCTION("""COMPUTED_VALUE"""),"➖")</f>
        <v>➖</v>
      </c>
      <c r="R47" s="304" t="str">
        <f>IFERROR(__xludf.DUMMYFUNCTION("""COMPUTED_VALUE"""),"   ➖")</f>
        <v>➖</v>
      </c>
      <c r="S47" s="305" t="str">
        <f>IFERROR(__xludf.DUMMYFUNCTION("""COMPUTED_VALUE"""),"➖")</f>
        <v>➖</v>
      </c>
      <c r="T47" s="282"/>
      <c r="U47" s="282" t="str">
        <f>IFERROR(__xludf.DUMMYFUNCTION("""COMPUTED_VALUE"""),"➖")</f>
        <v>➖</v>
      </c>
      <c r="V47" s="282" t="str">
        <f>IFERROR(__xludf.DUMMYFUNCTION("""COMPUTED_VALUE"""),"➖")</f>
        <v>➖</v>
      </c>
      <c r="W47" s="306"/>
      <c r="X47" s="306"/>
      <c r="Y47" s="306"/>
    </row>
    <row r="48">
      <c r="A48" s="227"/>
      <c r="B48" s="307"/>
      <c r="C48" s="227"/>
      <c r="D48" s="308" t="str">
        <f>IFERROR(__xludf.DUMMYFUNCTION("""COMPUTED_VALUE"""),"   E")</f>
        <v>E</v>
      </c>
      <c r="E48" s="309" t="str">
        <f>IFERROR(__xludf.DUMMYFUNCTION("""COMPUTED_VALUE"""),"Time Crystal")</f>
        <v>Time Crystal</v>
      </c>
      <c r="F48" s="310">
        <f>IFERROR(__xludf.DUMMYFUNCTION("""COMPUTED_VALUE"""),2.0)</f>
        <v>2</v>
      </c>
      <c r="G48" s="231" t="str">
        <f>IFERROR(__xludf.DUMMYFUNCTION("""COMPUTED_VALUE"""),"FT")</f>
        <v>FT</v>
      </c>
      <c r="H48" s="231" t="str">
        <f>IFERROR(__xludf.DUMMYFUNCTION("""COMPUTED_VALUE"""),"✅")</f>
        <v>✅</v>
      </c>
      <c r="I48" s="231" t="str">
        <f>IFERROR(__xludf.DUMMYFUNCTION("""COMPUTED_VALUE"""),"✅")</f>
        <v>✅</v>
      </c>
      <c r="J48" s="231" t="str">
        <f>IFERROR(__xludf.DUMMYFUNCTION("""COMPUTED_VALUE"""),"✅")</f>
        <v>✅</v>
      </c>
      <c r="K48" s="288" t="str">
        <f>IFERROR(__xludf.DUMMYFUNCTION("""COMPUTED_VALUE"""),"✅")</f>
        <v>✅</v>
      </c>
      <c r="L48" s="288" t="str">
        <f>IFERROR(__xludf.DUMMYFUNCTION("""COMPUTED_VALUE"""),"✅")</f>
        <v>✅</v>
      </c>
      <c r="M48" s="288" t="str">
        <f>IFERROR(__xludf.DUMMYFUNCTION("""COMPUTED_VALUE"""),"✅")</f>
        <v>✅</v>
      </c>
      <c r="N48" s="288" t="str">
        <f>IFERROR(__xludf.DUMMYFUNCTION("""COMPUTED_VALUE"""),"✅")</f>
        <v>✅</v>
      </c>
      <c r="O48" s="288" t="str">
        <f>IFERROR(__xludf.DUMMYFUNCTION("""COMPUTED_VALUE"""),"✅")</f>
        <v>✅</v>
      </c>
      <c r="P48" s="288" t="str">
        <f>IFERROR(__xludf.DUMMYFUNCTION("""COMPUTED_VALUE"""),"✅")</f>
        <v>✅</v>
      </c>
      <c r="Q48" s="288" t="str">
        <f>IFERROR(__xludf.DUMMYFUNCTION("""COMPUTED_VALUE"""),"✅")</f>
        <v>✅</v>
      </c>
      <c r="R48" s="311" t="str">
        <f>IFERROR(__xludf.DUMMYFUNCTION("""COMPUTED_VALUE"""),"   ✅")</f>
        <v>✅</v>
      </c>
      <c r="S48" s="312" t="str">
        <f>IFERROR(__xludf.DUMMYFUNCTION("""COMPUTED_VALUE"""),"✅")</f>
        <v>✅</v>
      </c>
      <c r="T48" s="288"/>
      <c r="U48" s="288" t="str">
        <f>IFERROR(__xludf.DUMMYFUNCTION("""COMPUTED_VALUE"""),"➖")</f>
        <v>➖</v>
      </c>
      <c r="V48" s="288" t="str">
        <f>IFERROR(__xludf.DUMMYFUNCTION("""COMPUTED_VALUE"""),"➖")</f>
        <v>➖</v>
      </c>
      <c r="W48" s="306"/>
      <c r="X48" s="306"/>
      <c r="Y48" s="306"/>
    </row>
    <row r="49">
      <c r="A49" s="227"/>
      <c r="B49" s="128"/>
      <c r="C49" s="227"/>
      <c r="D49" s="301" t="str">
        <f>IFERROR(__xludf.DUMMYFUNCTION("""COMPUTED_VALUE"""),"   E")</f>
        <v>E</v>
      </c>
      <c r="E49" s="313" t="str">
        <f>IFERROR(__xludf.DUMMYFUNCTION("""COMPUTED_VALUE"""),"Time Crystal")</f>
        <v>Time Crystal</v>
      </c>
      <c r="F49" s="303">
        <f>IFERROR(__xludf.DUMMYFUNCTION("""COMPUTED_VALUE"""),3.0)</f>
        <v>3</v>
      </c>
      <c r="G49" s="281" t="str">
        <f>IFERROR(__xludf.DUMMYFUNCTION("""COMPUTED_VALUE"""),"FT")</f>
        <v>FT</v>
      </c>
      <c r="H49" s="281" t="str">
        <f>IFERROR(__xludf.DUMMYFUNCTION("""COMPUTED_VALUE"""),"✅")</f>
        <v>✅</v>
      </c>
      <c r="I49" s="281" t="str">
        <f>IFERROR(__xludf.DUMMYFUNCTION("""COMPUTED_VALUE"""),"➖")</f>
        <v>➖</v>
      </c>
      <c r="J49" s="281" t="str">
        <f>IFERROR(__xludf.DUMMYFUNCTION("""COMPUTED_VALUE"""),"➖")</f>
        <v>➖</v>
      </c>
      <c r="K49" s="282" t="str">
        <f>IFERROR(__xludf.DUMMYFUNCTION("""COMPUTED_VALUE"""),"➖")</f>
        <v>➖</v>
      </c>
      <c r="L49" s="282" t="str">
        <f>IFERROR(__xludf.DUMMYFUNCTION("""COMPUTED_VALUE"""),"➖")</f>
        <v>➖</v>
      </c>
      <c r="M49" s="282" t="str">
        <f>IFERROR(__xludf.DUMMYFUNCTION("""COMPUTED_VALUE"""),"➖")</f>
        <v>➖</v>
      </c>
      <c r="N49" s="282" t="str">
        <f>IFERROR(__xludf.DUMMYFUNCTION("""COMPUTED_VALUE"""),"➖")</f>
        <v>➖</v>
      </c>
      <c r="O49" s="282" t="str">
        <f>IFERROR(__xludf.DUMMYFUNCTION("""COMPUTED_VALUE"""),"➖")</f>
        <v>➖</v>
      </c>
      <c r="P49" s="282" t="str">
        <f>IFERROR(__xludf.DUMMYFUNCTION("""COMPUTED_VALUE"""),"➖")</f>
        <v>➖</v>
      </c>
      <c r="Q49" s="282" t="str">
        <f>IFERROR(__xludf.DUMMYFUNCTION("""COMPUTED_VALUE"""),"➖")</f>
        <v>➖</v>
      </c>
      <c r="R49" s="304" t="str">
        <f>IFERROR(__xludf.DUMMYFUNCTION("""COMPUTED_VALUE"""),"   ➖")</f>
        <v>➖</v>
      </c>
      <c r="S49" s="305" t="str">
        <f>IFERROR(__xludf.DUMMYFUNCTION("""COMPUTED_VALUE"""),"➖")</f>
        <v>➖</v>
      </c>
      <c r="T49" s="282"/>
      <c r="U49" s="282" t="str">
        <f>IFERROR(__xludf.DUMMYFUNCTION("""COMPUTED_VALUE"""),"➖")</f>
        <v>➖</v>
      </c>
      <c r="V49" s="282" t="str">
        <f>IFERROR(__xludf.DUMMYFUNCTION("""COMPUTED_VALUE"""),"➖")</f>
        <v>➖</v>
      </c>
      <c r="W49" s="306"/>
      <c r="X49" s="306"/>
      <c r="Y49" s="306"/>
    </row>
    <row r="50">
      <c r="A50" s="227"/>
      <c r="B50" s="307"/>
      <c r="C50" s="227"/>
      <c r="D50" s="308" t="str">
        <f>IFERROR(__xludf.DUMMYFUNCTION("""COMPUTED_VALUE"""),"   E")</f>
        <v>E</v>
      </c>
      <c r="E50" s="309" t="str">
        <f>IFERROR(__xludf.DUMMYFUNCTION("""COMPUTED_VALUE"""),"Time Crystal")</f>
        <v>Time Crystal</v>
      </c>
      <c r="F50" s="310">
        <f>IFERROR(__xludf.DUMMYFUNCTION("""COMPUTED_VALUE"""),4.0)</f>
        <v>4</v>
      </c>
      <c r="G50" s="231" t="str">
        <f>IFERROR(__xludf.DUMMYFUNCTION("""COMPUTED_VALUE"""),"FT")</f>
        <v>FT</v>
      </c>
      <c r="H50" s="231" t="str">
        <f>IFERROR(__xludf.DUMMYFUNCTION("""COMPUTED_VALUE"""),"➖")</f>
        <v>➖</v>
      </c>
      <c r="I50" s="231" t="str">
        <f>IFERROR(__xludf.DUMMYFUNCTION("""COMPUTED_VALUE"""),"➖")</f>
        <v>➖</v>
      </c>
      <c r="J50" s="231" t="str">
        <f>IFERROR(__xludf.DUMMYFUNCTION("""COMPUTED_VALUE"""),"➖")</f>
        <v>➖</v>
      </c>
      <c r="K50" s="288" t="str">
        <f>IFERROR(__xludf.DUMMYFUNCTION("""COMPUTED_VALUE"""),"➖")</f>
        <v>➖</v>
      </c>
      <c r="L50" s="288" t="str">
        <f>IFERROR(__xludf.DUMMYFUNCTION("""COMPUTED_VALUE"""),"➖")</f>
        <v>➖</v>
      </c>
      <c r="M50" s="288" t="str">
        <f>IFERROR(__xludf.DUMMYFUNCTION("""COMPUTED_VALUE"""),"➖")</f>
        <v>➖</v>
      </c>
      <c r="N50" s="288" t="str">
        <f>IFERROR(__xludf.DUMMYFUNCTION("""COMPUTED_VALUE"""),"➖")</f>
        <v>➖</v>
      </c>
      <c r="O50" s="288" t="str">
        <f>IFERROR(__xludf.DUMMYFUNCTION("""COMPUTED_VALUE"""),"➖")</f>
        <v>➖</v>
      </c>
      <c r="P50" s="288" t="str">
        <f>IFERROR(__xludf.DUMMYFUNCTION("""COMPUTED_VALUE"""),"➖")</f>
        <v>➖</v>
      </c>
      <c r="Q50" s="288" t="str">
        <f>IFERROR(__xludf.DUMMYFUNCTION("""COMPUTED_VALUE"""),"➖")</f>
        <v>➖</v>
      </c>
      <c r="R50" s="311" t="str">
        <f>IFERROR(__xludf.DUMMYFUNCTION("""COMPUTED_VALUE"""),"   ➖")</f>
        <v>➖</v>
      </c>
      <c r="S50" s="312" t="str">
        <f>IFERROR(__xludf.DUMMYFUNCTION("""COMPUTED_VALUE"""),"➖")</f>
        <v>➖</v>
      </c>
      <c r="T50" s="288"/>
      <c r="U50" s="288" t="str">
        <f>IFERROR(__xludf.DUMMYFUNCTION("""COMPUTED_VALUE"""),"➖")</f>
        <v>➖</v>
      </c>
      <c r="V50" s="288" t="str">
        <f>IFERROR(__xludf.DUMMYFUNCTION("""COMPUTED_VALUE"""),"➖")</f>
        <v>➖</v>
      </c>
      <c r="W50" s="306"/>
      <c r="X50" s="306"/>
      <c r="Y50" s="306"/>
    </row>
    <row r="51">
      <c r="A51" s="227"/>
      <c r="B51" s="128"/>
      <c r="C51" s="227"/>
      <c r="D51" s="301" t="str">
        <f>IFERROR(__xludf.DUMMYFUNCTION("""COMPUTED_VALUE"""),"   E")</f>
        <v>E</v>
      </c>
      <c r="E51" s="313" t="str">
        <f>IFERROR(__xludf.DUMMYFUNCTION("""COMPUTED_VALUE"""),"Metreon Cascade Warhead")</f>
        <v>Metreon Cascade Warhead</v>
      </c>
      <c r="F51" s="303">
        <f>IFERROR(__xludf.DUMMYFUNCTION("""COMPUTED_VALUE"""),1.0)</f>
        <v>1</v>
      </c>
      <c r="G51" s="281" t="str">
        <f>IFERROR(__xludf.DUMMYFUNCTION("""COMPUTED_VALUE"""),"FT")</f>
        <v>FT</v>
      </c>
      <c r="H51" s="281" t="str">
        <f>IFERROR(__xludf.DUMMYFUNCTION("""COMPUTED_VALUE"""),"➖")</f>
        <v>➖</v>
      </c>
      <c r="I51" s="281" t="str">
        <f>IFERROR(__xludf.DUMMYFUNCTION("""COMPUTED_VALUE"""),"➖")</f>
        <v>➖</v>
      </c>
      <c r="J51" s="281" t="str">
        <f>IFERROR(__xludf.DUMMYFUNCTION("""COMPUTED_VALUE"""),"✅")</f>
        <v>✅</v>
      </c>
      <c r="K51" s="282" t="str">
        <f>IFERROR(__xludf.DUMMYFUNCTION("""COMPUTED_VALUE"""),"✅")</f>
        <v>✅</v>
      </c>
      <c r="L51" s="282" t="str">
        <f>IFERROR(__xludf.DUMMYFUNCTION("""COMPUTED_VALUE"""),"✅")</f>
        <v>✅</v>
      </c>
      <c r="M51" s="282" t="str">
        <f>IFERROR(__xludf.DUMMYFUNCTION("""COMPUTED_VALUE"""),"➖")</f>
        <v>➖</v>
      </c>
      <c r="N51" s="282" t="str">
        <f>IFERROR(__xludf.DUMMYFUNCTION("""COMPUTED_VALUE"""),"➖")</f>
        <v>➖</v>
      </c>
      <c r="O51" s="282" t="str">
        <f>IFERROR(__xludf.DUMMYFUNCTION("""COMPUTED_VALUE"""),"➖")</f>
        <v>➖</v>
      </c>
      <c r="P51" s="282" t="str">
        <f>IFERROR(__xludf.DUMMYFUNCTION("""COMPUTED_VALUE"""),"➖")</f>
        <v>➖</v>
      </c>
      <c r="Q51" s="282" t="str">
        <f>IFERROR(__xludf.DUMMYFUNCTION("""COMPUTED_VALUE"""),"➖")</f>
        <v>➖</v>
      </c>
      <c r="R51" s="304" t="str">
        <f>IFERROR(__xludf.DUMMYFUNCTION("""COMPUTED_VALUE"""),"   ➖")</f>
        <v>➖</v>
      </c>
      <c r="S51" s="305" t="str">
        <f>IFERROR(__xludf.DUMMYFUNCTION("""COMPUTED_VALUE"""),"➖")</f>
        <v>➖</v>
      </c>
      <c r="T51" s="282"/>
      <c r="U51" s="282" t="str">
        <f>IFERROR(__xludf.DUMMYFUNCTION("""COMPUTED_VALUE"""),"➖")</f>
        <v>➖</v>
      </c>
      <c r="V51" s="282" t="str">
        <f>IFERROR(__xludf.DUMMYFUNCTION("""COMPUTED_VALUE"""),"➖")</f>
        <v>➖</v>
      </c>
      <c r="W51" s="306"/>
      <c r="X51" s="306"/>
      <c r="Y51" s="306"/>
    </row>
    <row r="52">
      <c r="A52" s="227"/>
      <c r="B52" s="307"/>
      <c r="C52" s="227"/>
      <c r="D52" s="308" t="str">
        <f>IFERROR(__xludf.DUMMYFUNCTION("""COMPUTED_VALUE"""),"   E")</f>
        <v>E</v>
      </c>
      <c r="E52" s="309" t="str">
        <f>IFERROR(__xludf.DUMMYFUNCTION("""COMPUTED_VALUE"""),"Metreon Cascade Warhead")</f>
        <v>Metreon Cascade Warhead</v>
      </c>
      <c r="F52" s="310">
        <f>IFERROR(__xludf.DUMMYFUNCTION("""COMPUTED_VALUE"""),2.0)</f>
        <v>2</v>
      </c>
      <c r="G52" s="231" t="str">
        <f>IFERROR(__xludf.DUMMYFUNCTION("""COMPUTED_VALUE"""),"FT")</f>
        <v>FT</v>
      </c>
      <c r="H52" s="231" t="str">
        <f>IFERROR(__xludf.DUMMYFUNCTION("""COMPUTED_VALUE"""),"✅")</f>
        <v>✅</v>
      </c>
      <c r="I52" s="231" t="str">
        <f>IFERROR(__xludf.DUMMYFUNCTION("""COMPUTED_VALUE"""),"✅")</f>
        <v>✅</v>
      </c>
      <c r="J52" s="231" t="str">
        <f>IFERROR(__xludf.DUMMYFUNCTION("""COMPUTED_VALUE"""),"✅")</f>
        <v>✅</v>
      </c>
      <c r="K52" s="288" t="str">
        <f>IFERROR(__xludf.DUMMYFUNCTION("""COMPUTED_VALUE"""),"✅")</f>
        <v>✅</v>
      </c>
      <c r="L52" s="288" t="str">
        <f>IFERROR(__xludf.DUMMYFUNCTION("""COMPUTED_VALUE"""),"✅")</f>
        <v>✅</v>
      </c>
      <c r="M52" s="288" t="str">
        <f>IFERROR(__xludf.DUMMYFUNCTION("""COMPUTED_VALUE"""),"✅")</f>
        <v>✅</v>
      </c>
      <c r="N52" s="288" t="str">
        <f>IFERROR(__xludf.DUMMYFUNCTION("""COMPUTED_VALUE"""),"✅")</f>
        <v>✅</v>
      </c>
      <c r="O52" s="288" t="str">
        <f>IFERROR(__xludf.DUMMYFUNCTION("""COMPUTED_VALUE"""),"✅")</f>
        <v>✅</v>
      </c>
      <c r="P52" s="288" t="str">
        <f>IFERROR(__xludf.DUMMYFUNCTION("""COMPUTED_VALUE"""),"✅")</f>
        <v>✅</v>
      </c>
      <c r="Q52" s="288" t="str">
        <f>IFERROR(__xludf.DUMMYFUNCTION("""COMPUTED_VALUE"""),"✅")</f>
        <v>✅</v>
      </c>
      <c r="R52" s="311" t="str">
        <f>IFERROR(__xludf.DUMMYFUNCTION("""COMPUTED_VALUE"""),"   ✅")</f>
        <v>✅</v>
      </c>
      <c r="S52" s="312" t="str">
        <f>IFERROR(__xludf.DUMMYFUNCTION("""COMPUTED_VALUE"""),"✅")</f>
        <v>✅</v>
      </c>
      <c r="T52" s="288"/>
      <c r="U52" s="288" t="str">
        <f>IFERROR(__xludf.DUMMYFUNCTION("""COMPUTED_VALUE"""),"➖")</f>
        <v>➖</v>
      </c>
      <c r="V52" s="288" t="str">
        <f>IFERROR(__xludf.DUMMYFUNCTION("""COMPUTED_VALUE"""),"➖")</f>
        <v>➖</v>
      </c>
      <c r="W52" s="306"/>
      <c r="X52" s="306"/>
      <c r="Y52" s="306"/>
    </row>
    <row r="53">
      <c r="A53" s="227"/>
      <c r="B53" s="128"/>
      <c r="C53" s="227"/>
      <c r="D53" s="301" t="str">
        <f>IFERROR(__xludf.DUMMYFUNCTION("""COMPUTED_VALUE"""),"   E")</f>
        <v>E</v>
      </c>
      <c r="E53" s="313" t="str">
        <f>IFERROR(__xludf.DUMMYFUNCTION("""COMPUTED_VALUE"""),"Metreon Cascade Warhead")</f>
        <v>Metreon Cascade Warhead</v>
      </c>
      <c r="F53" s="303">
        <f>IFERROR(__xludf.DUMMYFUNCTION("""COMPUTED_VALUE"""),3.0)</f>
        <v>3</v>
      </c>
      <c r="G53" s="281" t="str">
        <f>IFERROR(__xludf.DUMMYFUNCTION("""COMPUTED_VALUE"""),"FT")</f>
        <v>FT</v>
      </c>
      <c r="H53" s="281" t="str">
        <f>IFERROR(__xludf.DUMMYFUNCTION("""COMPUTED_VALUE"""),"➖")</f>
        <v>➖</v>
      </c>
      <c r="I53" s="281" t="str">
        <f>IFERROR(__xludf.DUMMYFUNCTION("""COMPUTED_VALUE"""),"➖")</f>
        <v>➖</v>
      </c>
      <c r="J53" s="281" t="str">
        <f>IFERROR(__xludf.DUMMYFUNCTION("""COMPUTED_VALUE"""),"✅")</f>
        <v>✅</v>
      </c>
      <c r="K53" s="282" t="str">
        <f>IFERROR(__xludf.DUMMYFUNCTION("""COMPUTED_VALUE"""),"✅")</f>
        <v>✅</v>
      </c>
      <c r="L53" s="282" t="str">
        <f>IFERROR(__xludf.DUMMYFUNCTION("""COMPUTED_VALUE"""),"✅")</f>
        <v>✅</v>
      </c>
      <c r="M53" s="282" t="str">
        <f>IFERROR(__xludf.DUMMYFUNCTION("""COMPUTED_VALUE"""),"➖")</f>
        <v>➖</v>
      </c>
      <c r="N53" s="282" t="str">
        <f>IFERROR(__xludf.DUMMYFUNCTION("""COMPUTED_VALUE"""),"➖")</f>
        <v>➖</v>
      </c>
      <c r="O53" s="282" t="str">
        <f>IFERROR(__xludf.DUMMYFUNCTION("""COMPUTED_VALUE"""),"➖")</f>
        <v>➖</v>
      </c>
      <c r="P53" s="282" t="str">
        <f>IFERROR(__xludf.DUMMYFUNCTION("""COMPUTED_VALUE"""),"➖")</f>
        <v>➖</v>
      </c>
      <c r="Q53" s="282" t="str">
        <f>IFERROR(__xludf.DUMMYFUNCTION("""COMPUTED_VALUE"""),"➖")</f>
        <v>➖</v>
      </c>
      <c r="R53" s="304" t="str">
        <f>IFERROR(__xludf.DUMMYFUNCTION("""COMPUTED_VALUE"""),"   ➖")</f>
        <v>➖</v>
      </c>
      <c r="S53" s="305" t="str">
        <f>IFERROR(__xludf.DUMMYFUNCTION("""COMPUTED_VALUE"""),"➖")</f>
        <v>➖</v>
      </c>
      <c r="T53" s="282"/>
      <c r="U53" s="282" t="str">
        <f>IFERROR(__xludf.DUMMYFUNCTION("""COMPUTED_VALUE"""),"➖")</f>
        <v>➖</v>
      </c>
      <c r="V53" s="282" t="str">
        <f>IFERROR(__xludf.DUMMYFUNCTION("""COMPUTED_VALUE"""),"➖")</f>
        <v>➖</v>
      </c>
      <c r="W53" s="306"/>
      <c r="X53" s="306"/>
      <c r="Y53" s="306"/>
    </row>
    <row r="54">
      <c r="A54" s="227"/>
      <c r="B54" s="307"/>
      <c r="C54" s="227"/>
      <c r="D54" s="308" t="str">
        <f>IFERROR(__xludf.DUMMYFUNCTION("""COMPUTED_VALUE"""),"   E")</f>
        <v>E</v>
      </c>
      <c r="E54" s="309" t="str">
        <f>IFERROR(__xludf.DUMMYFUNCTION("""COMPUTED_VALUE"""),"Metreon Cascade Warhead")</f>
        <v>Metreon Cascade Warhead</v>
      </c>
      <c r="F54" s="310">
        <f>IFERROR(__xludf.DUMMYFUNCTION("""COMPUTED_VALUE"""),4.0)</f>
        <v>4</v>
      </c>
      <c r="G54" s="231" t="str">
        <f>IFERROR(__xludf.DUMMYFUNCTION("""COMPUTED_VALUE"""),"FT")</f>
        <v>FT</v>
      </c>
      <c r="H54" s="231" t="str">
        <f>IFERROR(__xludf.DUMMYFUNCTION("""COMPUTED_VALUE"""),"➖")</f>
        <v>➖</v>
      </c>
      <c r="I54" s="231" t="str">
        <f>IFERROR(__xludf.DUMMYFUNCTION("""COMPUTED_VALUE"""),"➖")</f>
        <v>➖</v>
      </c>
      <c r="J54" s="231" t="str">
        <f>IFERROR(__xludf.DUMMYFUNCTION("""COMPUTED_VALUE"""),"✅")</f>
        <v>✅</v>
      </c>
      <c r="K54" s="288" t="str">
        <f>IFERROR(__xludf.DUMMYFUNCTION("""COMPUTED_VALUE"""),"✅")</f>
        <v>✅</v>
      </c>
      <c r="L54" s="288" t="str">
        <f>IFERROR(__xludf.DUMMYFUNCTION("""COMPUTED_VALUE"""),"✅")</f>
        <v>✅</v>
      </c>
      <c r="M54" s="288" t="str">
        <f>IFERROR(__xludf.DUMMYFUNCTION("""COMPUTED_VALUE"""),"➖")</f>
        <v>➖</v>
      </c>
      <c r="N54" s="288" t="str">
        <f>IFERROR(__xludf.DUMMYFUNCTION("""COMPUTED_VALUE"""),"➖")</f>
        <v>➖</v>
      </c>
      <c r="O54" s="288" t="str">
        <f>IFERROR(__xludf.DUMMYFUNCTION("""COMPUTED_VALUE"""),"➖")</f>
        <v>➖</v>
      </c>
      <c r="P54" s="288" t="str">
        <f>IFERROR(__xludf.DUMMYFUNCTION("""COMPUTED_VALUE"""),"➖")</f>
        <v>➖</v>
      </c>
      <c r="Q54" s="288" t="str">
        <f>IFERROR(__xludf.DUMMYFUNCTION("""COMPUTED_VALUE"""),"➖")</f>
        <v>➖</v>
      </c>
      <c r="R54" s="311" t="str">
        <f>IFERROR(__xludf.DUMMYFUNCTION("""COMPUTED_VALUE"""),"   ➖")</f>
        <v>➖</v>
      </c>
      <c r="S54" s="312" t="str">
        <f>IFERROR(__xludf.DUMMYFUNCTION("""COMPUTED_VALUE"""),"➖")</f>
        <v>➖</v>
      </c>
      <c r="T54" s="288"/>
      <c r="U54" s="288" t="str">
        <f>IFERROR(__xludf.DUMMYFUNCTION("""COMPUTED_VALUE"""),"➖")</f>
        <v>➖</v>
      </c>
      <c r="V54" s="288" t="str">
        <f>IFERROR(__xludf.DUMMYFUNCTION("""COMPUTED_VALUE"""),"➖")</f>
        <v>➖</v>
      </c>
      <c r="W54" s="306"/>
      <c r="X54" s="306"/>
      <c r="Y54" s="306"/>
    </row>
    <row r="55">
      <c r="A55" s="227"/>
      <c r="B55" s="128"/>
      <c r="C55" s="227"/>
      <c r="D55" s="301" t="str">
        <f>IFERROR(__xludf.DUMMYFUNCTION("""COMPUTED_VALUE"""),"   R")</f>
        <v>R</v>
      </c>
      <c r="E55" s="313" t="str">
        <f>IFERROR(__xludf.DUMMYFUNCTION("""COMPUTED_VALUE"""),"Control Seeker Probes")</f>
        <v>Control Seeker Probes</v>
      </c>
      <c r="F55" s="303">
        <f>IFERROR(__xludf.DUMMYFUNCTION("""COMPUTED_VALUE"""),1.0)</f>
        <v>1</v>
      </c>
      <c r="G55" s="281" t="str">
        <f>IFERROR(__xludf.DUMMYFUNCTION("""COMPUTED_VALUE"""),"FT")</f>
        <v>FT</v>
      </c>
      <c r="H55" s="281" t="str">
        <f>IFERROR(__xludf.DUMMYFUNCTION("""COMPUTED_VALUE"""),"➖")</f>
        <v>➖</v>
      </c>
      <c r="I55" s="281" t="str">
        <f>IFERROR(__xludf.DUMMYFUNCTION("""COMPUTED_VALUE"""),"➖")</f>
        <v>➖</v>
      </c>
      <c r="J55" s="281" t="str">
        <f>IFERROR(__xludf.DUMMYFUNCTION("""COMPUTED_VALUE"""),"✴️")</f>
        <v>✴️</v>
      </c>
      <c r="K55" s="282" t="str">
        <f>IFERROR(__xludf.DUMMYFUNCTION("""COMPUTED_VALUE"""),"✴️")</f>
        <v>✴️</v>
      </c>
      <c r="L55" s="282" t="str">
        <f>IFERROR(__xludf.DUMMYFUNCTION("""COMPUTED_VALUE"""),"✴️")</f>
        <v>✴️</v>
      </c>
      <c r="M55" s="282" t="str">
        <f>IFERROR(__xludf.DUMMYFUNCTION("""COMPUTED_VALUE"""),"➖")</f>
        <v>➖</v>
      </c>
      <c r="N55" s="282" t="str">
        <f>IFERROR(__xludf.DUMMYFUNCTION("""COMPUTED_VALUE"""),"✴️")</f>
        <v>✴️</v>
      </c>
      <c r="O55" s="282" t="str">
        <f>IFERROR(__xludf.DUMMYFUNCTION("""COMPUTED_VALUE"""),"✴️")</f>
        <v>✴️</v>
      </c>
      <c r="P55" s="282" t="str">
        <f>IFERROR(__xludf.DUMMYFUNCTION("""COMPUTED_VALUE"""),"✴️")</f>
        <v>✴️</v>
      </c>
      <c r="Q55" s="282" t="str">
        <f>IFERROR(__xludf.DUMMYFUNCTION("""COMPUTED_VALUE"""),"➖")</f>
        <v>➖</v>
      </c>
      <c r="R55" s="304" t="str">
        <f>IFERROR(__xludf.DUMMYFUNCTION("""COMPUTED_VALUE"""),"   ➖")</f>
        <v>➖</v>
      </c>
      <c r="S55" s="305" t="str">
        <f>IFERROR(__xludf.DUMMYFUNCTION("""COMPUTED_VALUE"""),"➖")</f>
        <v>➖</v>
      </c>
      <c r="T55" s="282" t="str">
        <f>IFERROR(__xludf.DUMMYFUNCTION("""COMPUTED_VALUE"""),"SelfExplorer")</f>
        <v>SelfExplorer</v>
      </c>
      <c r="U55" s="282" t="str">
        <f>IFERROR(__xludf.DUMMYFUNCTION("""COMPUTED_VALUE"""),"➖")</f>
        <v>➖</v>
      </c>
      <c r="V55" s="282" t="str">
        <f>IFERROR(__xludf.DUMMYFUNCTION("""COMPUTED_VALUE"""),"➖")</f>
        <v>➖</v>
      </c>
      <c r="W55" s="306"/>
      <c r="X55" s="306"/>
      <c r="Y55" s="306"/>
    </row>
    <row r="56">
      <c r="A56" s="227"/>
      <c r="B56" s="307"/>
      <c r="C56" s="227"/>
      <c r="D56" s="308" t="str">
        <f>IFERROR(__xludf.DUMMYFUNCTION("""COMPUTED_VALUE"""),"   R")</f>
        <v>R</v>
      </c>
      <c r="E56" s="309" t="str">
        <f>IFERROR(__xludf.DUMMYFUNCTION("""COMPUTED_VALUE"""),"Control Seeker Probes")</f>
        <v>Control Seeker Probes</v>
      </c>
      <c r="F56" s="310">
        <f>IFERROR(__xludf.DUMMYFUNCTION("""COMPUTED_VALUE"""),2.0)</f>
        <v>2</v>
      </c>
      <c r="G56" s="231" t="str">
        <f>IFERROR(__xludf.DUMMYFUNCTION("""COMPUTED_VALUE"""),"FT")</f>
        <v>FT</v>
      </c>
      <c r="H56" s="231" t="str">
        <f>IFERROR(__xludf.DUMMYFUNCTION("""COMPUTED_VALUE"""),"✴️")</f>
        <v>✴️</v>
      </c>
      <c r="I56" s="231" t="str">
        <f>IFERROR(__xludf.DUMMYFUNCTION("""COMPUTED_VALUE"""),"✴️")</f>
        <v>✴️</v>
      </c>
      <c r="J56" s="231" t="str">
        <f>IFERROR(__xludf.DUMMYFUNCTION("""COMPUTED_VALUE"""),"✴️")</f>
        <v>✴️</v>
      </c>
      <c r="K56" s="288" t="str">
        <f>IFERROR(__xludf.DUMMYFUNCTION("""COMPUTED_VALUE"""),"✴️")</f>
        <v>✴️</v>
      </c>
      <c r="L56" s="288" t="str">
        <f>IFERROR(__xludf.DUMMYFUNCTION("""COMPUTED_VALUE"""),"✴️")</f>
        <v>✴️</v>
      </c>
      <c r="M56" s="288" t="str">
        <f>IFERROR(__xludf.DUMMYFUNCTION("""COMPUTED_VALUE"""),"✴️")</f>
        <v>✴️</v>
      </c>
      <c r="N56" s="288" t="str">
        <f>IFERROR(__xludf.DUMMYFUNCTION("""COMPUTED_VALUE"""),"✴️")</f>
        <v>✴️</v>
      </c>
      <c r="O56" s="288" t="str">
        <f>IFERROR(__xludf.DUMMYFUNCTION("""COMPUTED_VALUE"""),"✴️")</f>
        <v>✴️</v>
      </c>
      <c r="P56" s="288" t="str">
        <f>IFERROR(__xludf.DUMMYFUNCTION("""COMPUTED_VALUE"""),"✴️")</f>
        <v>✴️</v>
      </c>
      <c r="Q56" s="288" t="str">
        <f>IFERROR(__xludf.DUMMYFUNCTION("""COMPUTED_VALUE"""),"✴️")</f>
        <v>✴️</v>
      </c>
      <c r="R56" s="311" t="str">
        <f>IFERROR(__xludf.DUMMYFUNCTION("""COMPUTED_VALUE"""),"   ✴️")</f>
        <v>✴️</v>
      </c>
      <c r="S56" s="312" t="str">
        <f>IFERROR(__xludf.DUMMYFUNCTION("""COMPUTED_VALUE"""),"✴️")</f>
        <v>✴️</v>
      </c>
      <c r="T56" s="288" t="str">
        <f>IFERROR(__xludf.DUMMYFUNCTION("""COMPUTED_VALUE"""),"SelfExplorer")</f>
        <v>SelfExplorer</v>
      </c>
      <c r="U56" s="288" t="str">
        <f>IFERROR(__xludf.DUMMYFUNCTION("""COMPUTED_VALUE"""),"➖")</f>
        <v>➖</v>
      </c>
      <c r="V56" s="288" t="str">
        <f>IFERROR(__xludf.DUMMYFUNCTION("""COMPUTED_VALUE"""),"➖")</f>
        <v>➖</v>
      </c>
      <c r="W56" s="306"/>
      <c r="X56" s="306"/>
      <c r="Y56" s="306"/>
    </row>
    <row r="57">
      <c r="A57" s="227"/>
      <c r="B57" s="128"/>
      <c r="C57" s="227"/>
      <c r="D57" s="301" t="str">
        <f>IFERROR(__xludf.DUMMYFUNCTION("""COMPUTED_VALUE"""),"   R")</f>
        <v>R</v>
      </c>
      <c r="E57" s="313" t="str">
        <f>IFERROR(__xludf.DUMMYFUNCTION("""COMPUTED_VALUE"""),"Control Seeker Probes")</f>
        <v>Control Seeker Probes</v>
      </c>
      <c r="F57" s="303">
        <f>IFERROR(__xludf.DUMMYFUNCTION("""COMPUTED_VALUE"""),3.0)</f>
        <v>3</v>
      </c>
      <c r="G57" s="281" t="str">
        <f>IFERROR(__xludf.DUMMYFUNCTION("""COMPUTED_VALUE"""),"FT")</f>
        <v>FT</v>
      </c>
      <c r="H57" s="281" t="str">
        <f>IFERROR(__xludf.DUMMYFUNCTION("""COMPUTED_VALUE"""),"➖")</f>
        <v>➖</v>
      </c>
      <c r="I57" s="281" t="str">
        <f>IFERROR(__xludf.DUMMYFUNCTION("""COMPUTED_VALUE"""),"➖")</f>
        <v>➖</v>
      </c>
      <c r="J57" s="281" t="str">
        <f>IFERROR(__xludf.DUMMYFUNCTION("""COMPUTED_VALUE"""),"✴️")</f>
        <v>✴️</v>
      </c>
      <c r="K57" s="282" t="str">
        <f>IFERROR(__xludf.DUMMYFUNCTION("""COMPUTED_VALUE"""),"✴️")</f>
        <v>✴️</v>
      </c>
      <c r="L57" s="282" t="str">
        <f>IFERROR(__xludf.DUMMYFUNCTION("""COMPUTED_VALUE"""),"✴️")</f>
        <v>✴️</v>
      </c>
      <c r="M57" s="282" t="str">
        <f>IFERROR(__xludf.DUMMYFUNCTION("""COMPUTED_VALUE"""),"➖")</f>
        <v>➖</v>
      </c>
      <c r="N57" s="282" t="str">
        <f>IFERROR(__xludf.DUMMYFUNCTION("""COMPUTED_VALUE"""),"✴️")</f>
        <v>✴️</v>
      </c>
      <c r="O57" s="282" t="str">
        <f>IFERROR(__xludf.DUMMYFUNCTION("""COMPUTED_VALUE"""),"✴️")</f>
        <v>✴️</v>
      </c>
      <c r="P57" s="282" t="str">
        <f>IFERROR(__xludf.DUMMYFUNCTION("""COMPUTED_VALUE"""),"✴️")</f>
        <v>✴️</v>
      </c>
      <c r="Q57" s="282" t="str">
        <f>IFERROR(__xludf.DUMMYFUNCTION("""COMPUTED_VALUE"""),"➖")</f>
        <v>➖</v>
      </c>
      <c r="R57" s="304" t="str">
        <f>IFERROR(__xludf.DUMMYFUNCTION("""COMPUTED_VALUE"""),"   ➖")</f>
        <v>➖</v>
      </c>
      <c r="S57" s="305" t="str">
        <f>IFERROR(__xludf.DUMMYFUNCTION("""COMPUTED_VALUE"""),"➖")</f>
        <v>➖</v>
      </c>
      <c r="T57" s="282" t="str">
        <f>IFERROR(__xludf.DUMMYFUNCTION("""COMPUTED_VALUE"""),"SelfExplorer")</f>
        <v>SelfExplorer</v>
      </c>
      <c r="U57" s="282" t="str">
        <f>IFERROR(__xludf.DUMMYFUNCTION("""COMPUTED_VALUE"""),"➖")</f>
        <v>➖</v>
      </c>
      <c r="V57" s="282" t="str">
        <f>IFERROR(__xludf.DUMMYFUNCTION("""COMPUTED_VALUE"""),"➖")</f>
        <v>➖</v>
      </c>
      <c r="W57" s="306"/>
      <c r="X57" s="306"/>
      <c r="Y57" s="306"/>
    </row>
    <row r="58">
      <c r="A58" s="227"/>
      <c r="B58" s="307"/>
      <c r="C58" s="227"/>
      <c r="D58" s="308" t="str">
        <f>IFERROR(__xludf.DUMMYFUNCTION("""COMPUTED_VALUE"""),"   R")</f>
        <v>R</v>
      </c>
      <c r="E58" s="309" t="str">
        <f>IFERROR(__xludf.DUMMYFUNCTION("""COMPUTED_VALUE"""),"Control Seeker Probes")</f>
        <v>Control Seeker Probes</v>
      </c>
      <c r="F58" s="310">
        <f>IFERROR(__xludf.DUMMYFUNCTION("""COMPUTED_VALUE"""),4.0)</f>
        <v>4</v>
      </c>
      <c r="G58" s="231" t="str">
        <f>IFERROR(__xludf.DUMMYFUNCTION("""COMPUTED_VALUE"""),"FT")</f>
        <v>FT</v>
      </c>
      <c r="H58" s="231" t="str">
        <f>IFERROR(__xludf.DUMMYFUNCTION("""COMPUTED_VALUE"""),"➖")</f>
        <v>➖</v>
      </c>
      <c r="I58" s="231" t="str">
        <f>IFERROR(__xludf.DUMMYFUNCTION("""COMPUTED_VALUE"""),"➖")</f>
        <v>➖</v>
      </c>
      <c r="J58" s="231" t="str">
        <f>IFERROR(__xludf.DUMMYFUNCTION("""COMPUTED_VALUE"""),"✴️")</f>
        <v>✴️</v>
      </c>
      <c r="K58" s="288" t="str">
        <f>IFERROR(__xludf.DUMMYFUNCTION("""COMPUTED_VALUE"""),"✴️")</f>
        <v>✴️</v>
      </c>
      <c r="L58" s="288" t="str">
        <f>IFERROR(__xludf.DUMMYFUNCTION("""COMPUTED_VALUE"""),"✴️")</f>
        <v>✴️</v>
      </c>
      <c r="M58" s="288" t="str">
        <f>IFERROR(__xludf.DUMMYFUNCTION("""COMPUTED_VALUE"""),"➖")</f>
        <v>➖</v>
      </c>
      <c r="N58" s="288" t="str">
        <f>IFERROR(__xludf.DUMMYFUNCTION("""COMPUTED_VALUE"""),"✴️")</f>
        <v>✴️</v>
      </c>
      <c r="O58" s="288" t="str">
        <f>IFERROR(__xludf.DUMMYFUNCTION("""COMPUTED_VALUE"""),"✴️")</f>
        <v>✴️</v>
      </c>
      <c r="P58" s="288" t="str">
        <f>IFERROR(__xludf.DUMMYFUNCTION("""COMPUTED_VALUE"""),"✴️")</f>
        <v>✴️</v>
      </c>
      <c r="Q58" s="288" t="str">
        <f>IFERROR(__xludf.DUMMYFUNCTION("""COMPUTED_VALUE"""),"➖")</f>
        <v>➖</v>
      </c>
      <c r="R58" s="311" t="str">
        <f>IFERROR(__xludf.DUMMYFUNCTION("""COMPUTED_VALUE"""),"   ➖")</f>
        <v>➖</v>
      </c>
      <c r="S58" s="312" t="str">
        <f>IFERROR(__xludf.DUMMYFUNCTION("""COMPUTED_VALUE"""),"➖")</f>
        <v>➖</v>
      </c>
      <c r="T58" s="288" t="str">
        <f>IFERROR(__xludf.DUMMYFUNCTION("""COMPUTED_VALUE"""),"SelfExplorer")</f>
        <v>SelfExplorer</v>
      </c>
      <c r="U58" s="288" t="str">
        <f>IFERROR(__xludf.DUMMYFUNCTION("""COMPUTED_VALUE"""),"➖")</f>
        <v>➖</v>
      </c>
      <c r="V58" s="288" t="str">
        <f>IFERROR(__xludf.DUMMYFUNCTION("""COMPUTED_VALUE"""),"➖")</f>
        <v>➖</v>
      </c>
      <c r="W58" s="306"/>
      <c r="X58" s="306"/>
      <c r="Y58" s="306"/>
    </row>
    <row r="59">
      <c r="A59" s="227"/>
      <c r="B59" s="128"/>
      <c r="C59" s="227"/>
      <c r="D59" s="301" t="str">
        <f>IFERROR(__xludf.DUMMYFUNCTION("""COMPUTED_VALUE"""),"   R")</f>
        <v>R</v>
      </c>
      <c r="E59" s="313" t="str">
        <f>IFERROR(__xludf.DUMMYFUNCTION("""COMPUTED_VALUE"""),"Dual Photon Warheads")</f>
        <v>Dual Photon Warheads</v>
      </c>
      <c r="F59" s="303">
        <f>IFERROR(__xludf.DUMMYFUNCTION("""COMPUTED_VALUE"""),1.0)</f>
        <v>1</v>
      </c>
      <c r="G59" s="281" t="str">
        <f>IFERROR(__xludf.DUMMYFUNCTION("""COMPUTED_VALUE"""),"FT")</f>
        <v>FT</v>
      </c>
      <c r="H59" s="281" t="str">
        <f>IFERROR(__xludf.DUMMYFUNCTION("""COMPUTED_VALUE"""),"➖")</f>
        <v>➖</v>
      </c>
      <c r="I59" s="281" t="str">
        <f>IFERROR(__xludf.DUMMYFUNCTION("""COMPUTED_VALUE"""),"➖")</f>
        <v>➖</v>
      </c>
      <c r="J59" s="281" t="str">
        <f>IFERROR(__xludf.DUMMYFUNCTION("""COMPUTED_VALUE"""),"✴️")</f>
        <v>✴️</v>
      </c>
      <c r="K59" s="282" t="str">
        <f>IFERROR(__xludf.DUMMYFUNCTION("""COMPUTED_VALUE"""),"✴️")</f>
        <v>✴️</v>
      </c>
      <c r="L59" s="282" t="str">
        <f>IFERROR(__xludf.DUMMYFUNCTION("""COMPUTED_VALUE"""),"✴️")</f>
        <v>✴️</v>
      </c>
      <c r="M59" s="282" t="str">
        <f>IFERROR(__xludf.DUMMYFUNCTION("""COMPUTED_VALUE"""),"➖")</f>
        <v>➖</v>
      </c>
      <c r="N59" s="282" t="str">
        <f>IFERROR(__xludf.DUMMYFUNCTION("""COMPUTED_VALUE"""),"✴️")</f>
        <v>✴️</v>
      </c>
      <c r="O59" s="282" t="str">
        <f>IFERROR(__xludf.DUMMYFUNCTION("""COMPUTED_VALUE"""),"✴️")</f>
        <v>✴️</v>
      </c>
      <c r="P59" s="282" t="str">
        <f>IFERROR(__xludf.DUMMYFUNCTION("""COMPUTED_VALUE"""),"✴️")</f>
        <v>✴️</v>
      </c>
      <c r="Q59" s="282" t="str">
        <f>IFERROR(__xludf.DUMMYFUNCTION("""COMPUTED_VALUE"""),"➖")</f>
        <v>➖</v>
      </c>
      <c r="R59" s="304" t="str">
        <f>IFERROR(__xludf.DUMMYFUNCTION("""COMPUTED_VALUE"""),"   ➖")</f>
        <v>➖</v>
      </c>
      <c r="S59" s="305" t="str">
        <f>IFERROR(__xludf.DUMMYFUNCTION("""COMPUTED_VALUE"""),"➖")</f>
        <v>➖</v>
      </c>
      <c r="T59" s="282" t="str">
        <f>IFERROR(__xludf.DUMMYFUNCTION("""COMPUTED_VALUE"""),"SelfInterceptor")</f>
        <v>SelfInterceptor</v>
      </c>
      <c r="U59" s="282" t="str">
        <f>IFERROR(__xludf.DUMMYFUNCTION("""COMPUTED_VALUE"""),"➖")</f>
        <v>➖</v>
      </c>
      <c r="V59" s="282" t="str">
        <f>IFERROR(__xludf.DUMMYFUNCTION("""COMPUTED_VALUE"""),"➖")</f>
        <v>➖</v>
      </c>
      <c r="W59" s="306"/>
      <c r="X59" s="306"/>
      <c r="Y59" s="306"/>
    </row>
    <row r="60">
      <c r="A60" s="227"/>
      <c r="B60" s="307"/>
      <c r="C60" s="227"/>
      <c r="D60" s="308" t="str">
        <f>IFERROR(__xludf.DUMMYFUNCTION("""COMPUTED_VALUE"""),"   R")</f>
        <v>R</v>
      </c>
      <c r="E60" s="309" t="str">
        <f>IFERROR(__xludf.DUMMYFUNCTION("""COMPUTED_VALUE"""),"Dual Photon Warheads")</f>
        <v>Dual Photon Warheads</v>
      </c>
      <c r="F60" s="310">
        <f>IFERROR(__xludf.DUMMYFUNCTION("""COMPUTED_VALUE"""),2.0)</f>
        <v>2</v>
      </c>
      <c r="G60" s="231" t="str">
        <f>IFERROR(__xludf.DUMMYFUNCTION("""COMPUTED_VALUE"""),"FT")</f>
        <v>FT</v>
      </c>
      <c r="H60" s="231" t="str">
        <f>IFERROR(__xludf.DUMMYFUNCTION("""COMPUTED_VALUE"""),"✴️")</f>
        <v>✴️</v>
      </c>
      <c r="I60" s="231" t="str">
        <f>IFERROR(__xludf.DUMMYFUNCTION("""COMPUTED_VALUE"""),"✴️")</f>
        <v>✴️</v>
      </c>
      <c r="J60" s="231" t="str">
        <f>IFERROR(__xludf.DUMMYFUNCTION("""COMPUTED_VALUE"""),"✴️")</f>
        <v>✴️</v>
      </c>
      <c r="K60" s="288" t="str">
        <f>IFERROR(__xludf.DUMMYFUNCTION("""COMPUTED_VALUE"""),"✴️")</f>
        <v>✴️</v>
      </c>
      <c r="L60" s="288" t="str">
        <f>IFERROR(__xludf.DUMMYFUNCTION("""COMPUTED_VALUE"""),"✴️")</f>
        <v>✴️</v>
      </c>
      <c r="M60" s="288" t="str">
        <f>IFERROR(__xludf.DUMMYFUNCTION("""COMPUTED_VALUE"""),"✴️")</f>
        <v>✴️</v>
      </c>
      <c r="N60" s="288" t="str">
        <f>IFERROR(__xludf.DUMMYFUNCTION("""COMPUTED_VALUE"""),"✴️")</f>
        <v>✴️</v>
      </c>
      <c r="O60" s="288" t="str">
        <f>IFERROR(__xludf.DUMMYFUNCTION("""COMPUTED_VALUE"""),"✴️")</f>
        <v>✴️</v>
      </c>
      <c r="P60" s="288" t="str">
        <f>IFERROR(__xludf.DUMMYFUNCTION("""COMPUTED_VALUE"""),"✴️")</f>
        <v>✴️</v>
      </c>
      <c r="Q60" s="288" t="str">
        <f>IFERROR(__xludf.DUMMYFUNCTION("""COMPUTED_VALUE"""),"✴️")</f>
        <v>✴️</v>
      </c>
      <c r="R60" s="311" t="str">
        <f>IFERROR(__xludf.DUMMYFUNCTION("""COMPUTED_VALUE"""),"   ✴️")</f>
        <v>✴️</v>
      </c>
      <c r="S60" s="312" t="str">
        <f>IFERROR(__xludf.DUMMYFUNCTION("""COMPUTED_VALUE"""),"✴️")</f>
        <v>✴️</v>
      </c>
      <c r="T60" s="288" t="str">
        <f>IFERROR(__xludf.DUMMYFUNCTION("""COMPUTED_VALUE"""),"SelfInterceptor")</f>
        <v>SelfInterceptor</v>
      </c>
      <c r="U60" s="288" t="str">
        <f>IFERROR(__xludf.DUMMYFUNCTION("""COMPUTED_VALUE"""),"➖")</f>
        <v>➖</v>
      </c>
      <c r="V60" s="288" t="str">
        <f>IFERROR(__xludf.DUMMYFUNCTION("""COMPUTED_VALUE"""),"➖")</f>
        <v>➖</v>
      </c>
      <c r="W60" s="306"/>
      <c r="X60" s="306"/>
      <c r="Y60" s="306"/>
    </row>
    <row r="61">
      <c r="A61" s="227"/>
      <c r="B61" s="128"/>
      <c r="C61" s="227"/>
      <c r="D61" s="301" t="str">
        <f>IFERROR(__xludf.DUMMYFUNCTION("""COMPUTED_VALUE"""),"   R")</f>
        <v>R</v>
      </c>
      <c r="E61" s="313" t="str">
        <f>IFERROR(__xludf.DUMMYFUNCTION("""COMPUTED_VALUE"""),"Dual Photon Warheads")</f>
        <v>Dual Photon Warheads</v>
      </c>
      <c r="F61" s="303">
        <f>IFERROR(__xludf.DUMMYFUNCTION("""COMPUTED_VALUE"""),3.0)</f>
        <v>3</v>
      </c>
      <c r="G61" s="281" t="str">
        <f>IFERROR(__xludf.DUMMYFUNCTION("""COMPUTED_VALUE"""),"FT")</f>
        <v>FT</v>
      </c>
      <c r="H61" s="281" t="str">
        <f>IFERROR(__xludf.DUMMYFUNCTION("""COMPUTED_VALUE"""),"➖")</f>
        <v>➖</v>
      </c>
      <c r="I61" s="281" t="str">
        <f>IFERROR(__xludf.DUMMYFUNCTION("""COMPUTED_VALUE"""),"➖")</f>
        <v>➖</v>
      </c>
      <c r="J61" s="281" t="str">
        <f>IFERROR(__xludf.DUMMYFUNCTION("""COMPUTED_VALUE"""),"✴️")</f>
        <v>✴️</v>
      </c>
      <c r="K61" s="282" t="str">
        <f>IFERROR(__xludf.DUMMYFUNCTION("""COMPUTED_VALUE"""),"✴️")</f>
        <v>✴️</v>
      </c>
      <c r="L61" s="282" t="str">
        <f>IFERROR(__xludf.DUMMYFUNCTION("""COMPUTED_VALUE"""),"✴️")</f>
        <v>✴️</v>
      </c>
      <c r="M61" s="282" t="str">
        <f>IFERROR(__xludf.DUMMYFUNCTION("""COMPUTED_VALUE"""),"➖")</f>
        <v>➖</v>
      </c>
      <c r="N61" s="282" t="str">
        <f>IFERROR(__xludf.DUMMYFUNCTION("""COMPUTED_VALUE"""),"✴️")</f>
        <v>✴️</v>
      </c>
      <c r="O61" s="282" t="str">
        <f>IFERROR(__xludf.DUMMYFUNCTION("""COMPUTED_VALUE"""),"✴️")</f>
        <v>✴️</v>
      </c>
      <c r="P61" s="282" t="str">
        <f>IFERROR(__xludf.DUMMYFUNCTION("""COMPUTED_VALUE"""),"✴️")</f>
        <v>✴️</v>
      </c>
      <c r="Q61" s="282" t="str">
        <f>IFERROR(__xludf.DUMMYFUNCTION("""COMPUTED_VALUE"""),"➖")</f>
        <v>➖</v>
      </c>
      <c r="R61" s="304" t="str">
        <f>IFERROR(__xludf.DUMMYFUNCTION("""COMPUTED_VALUE"""),"   ➖")</f>
        <v>➖</v>
      </c>
      <c r="S61" s="305" t="str">
        <f>IFERROR(__xludf.DUMMYFUNCTION("""COMPUTED_VALUE"""),"➖")</f>
        <v>➖</v>
      </c>
      <c r="T61" s="282" t="str">
        <f>IFERROR(__xludf.DUMMYFUNCTION("""COMPUTED_VALUE"""),"SelfInterceptor")</f>
        <v>SelfInterceptor</v>
      </c>
      <c r="U61" s="282" t="str">
        <f>IFERROR(__xludf.DUMMYFUNCTION("""COMPUTED_VALUE"""),"➖")</f>
        <v>➖</v>
      </c>
      <c r="V61" s="282" t="str">
        <f>IFERROR(__xludf.DUMMYFUNCTION("""COMPUTED_VALUE"""),"➖")</f>
        <v>➖</v>
      </c>
      <c r="W61" s="306"/>
      <c r="X61" s="306"/>
      <c r="Y61" s="306"/>
    </row>
    <row r="62">
      <c r="A62" s="227"/>
      <c r="B62" s="307"/>
      <c r="C62" s="227"/>
      <c r="D62" s="308" t="str">
        <f>IFERROR(__xludf.DUMMYFUNCTION("""COMPUTED_VALUE"""),"   R")</f>
        <v>R</v>
      </c>
      <c r="E62" s="309" t="str">
        <f>IFERROR(__xludf.DUMMYFUNCTION("""COMPUTED_VALUE"""),"Dual Photon Warheads")</f>
        <v>Dual Photon Warheads</v>
      </c>
      <c r="F62" s="310">
        <f>IFERROR(__xludf.DUMMYFUNCTION("""COMPUTED_VALUE"""),4.0)</f>
        <v>4</v>
      </c>
      <c r="G62" s="231" t="str">
        <f>IFERROR(__xludf.DUMMYFUNCTION("""COMPUTED_VALUE"""),"FT")</f>
        <v>FT</v>
      </c>
      <c r="H62" s="231" t="str">
        <f>IFERROR(__xludf.DUMMYFUNCTION("""COMPUTED_VALUE"""),"➖")</f>
        <v>➖</v>
      </c>
      <c r="I62" s="231" t="str">
        <f>IFERROR(__xludf.DUMMYFUNCTION("""COMPUTED_VALUE"""),"➖")</f>
        <v>➖</v>
      </c>
      <c r="J62" s="231" t="str">
        <f>IFERROR(__xludf.DUMMYFUNCTION("""COMPUTED_VALUE"""),"✴️")</f>
        <v>✴️</v>
      </c>
      <c r="K62" s="288" t="str">
        <f>IFERROR(__xludf.DUMMYFUNCTION("""COMPUTED_VALUE"""),"✴️")</f>
        <v>✴️</v>
      </c>
      <c r="L62" s="288" t="str">
        <f>IFERROR(__xludf.DUMMYFUNCTION("""COMPUTED_VALUE"""),"✴️")</f>
        <v>✴️</v>
      </c>
      <c r="M62" s="288" t="str">
        <f>IFERROR(__xludf.DUMMYFUNCTION("""COMPUTED_VALUE"""),"➖")</f>
        <v>➖</v>
      </c>
      <c r="N62" s="288" t="str">
        <f>IFERROR(__xludf.DUMMYFUNCTION("""COMPUTED_VALUE"""),"✴️")</f>
        <v>✴️</v>
      </c>
      <c r="O62" s="288" t="str">
        <f>IFERROR(__xludf.DUMMYFUNCTION("""COMPUTED_VALUE"""),"✴️")</f>
        <v>✴️</v>
      </c>
      <c r="P62" s="288" t="str">
        <f>IFERROR(__xludf.DUMMYFUNCTION("""COMPUTED_VALUE"""),"✴️")</f>
        <v>✴️</v>
      </c>
      <c r="Q62" s="288" t="str">
        <f>IFERROR(__xludf.DUMMYFUNCTION("""COMPUTED_VALUE"""),"➖")</f>
        <v>➖</v>
      </c>
      <c r="R62" s="311" t="str">
        <f>IFERROR(__xludf.DUMMYFUNCTION("""COMPUTED_VALUE"""),"   ➖")</f>
        <v>➖</v>
      </c>
      <c r="S62" s="312" t="str">
        <f>IFERROR(__xludf.DUMMYFUNCTION("""COMPUTED_VALUE"""),"➖")</f>
        <v>➖</v>
      </c>
      <c r="T62" s="288" t="str">
        <f>IFERROR(__xludf.DUMMYFUNCTION("""COMPUTED_VALUE"""),"SelfInterceptor")</f>
        <v>SelfInterceptor</v>
      </c>
      <c r="U62" s="288" t="str">
        <f>IFERROR(__xludf.DUMMYFUNCTION("""COMPUTED_VALUE"""),"➖")</f>
        <v>➖</v>
      </c>
      <c r="V62" s="288" t="str">
        <f>IFERROR(__xludf.DUMMYFUNCTION("""COMPUTED_VALUE"""),"➖")</f>
        <v>➖</v>
      </c>
      <c r="W62" s="306"/>
      <c r="X62" s="306"/>
      <c r="Y62" s="306"/>
    </row>
    <row r="63">
      <c r="A63" s="227"/>
      <c r="B63" s="128"/>
      <c r="C63" s="227"/>
      <c r="D63" s="301" t="str">
        <f>IFERROR(__xludf.DUMMYFUNCTION("""COMPUTED_VALUE"""),"   R")</f>
        <v>R</v>
      </c>
      <c r="E63" s="313" t="str">
        <f>IFERROR(__xludf.DUMMYFUNCTION("""COMPUTED_VALUE"""),"S31 Torpedo Pods")</f>
        <v>S31 Torpedo Pods</v>
      </c>
      <c r="F63" s="303">
        <f>IFERROR(__xludf.DUMMYFUNCTION("""COMPUTED_VALUE"""),1.0)</f>
        <v>1</v>
      </c>
      <c r="G63" s="281" t="str">
        <f>IFERROR(__xludf.DUMMYFUNCTION("""COMPUTED_VALUE"""),"FT")</f>
        <v>FT</v>
      </c>
      <c r="H63" s="281" t="str">
        <f>IFERROR(__xludf.DUMMYFUNCTION("""COMPUTED_VALUE"""),"➖")</f>
        <v>➖</v>
      </c>
      <c r="I63" s="281" t="str">
        <f>IFERROR(__xludf.DUMMYFUNCTION("""COMPUTED_VALUE"""),"➖")</f>
        <v>➖</v>
      </c>
      <c r="J63" s="281" t="str">
        <f>IFERROR(__xludf.DUMMYFUNCTION("""COMPUTED_VALUE"""),"✴️")</f>
        <v>✴️</v>
      </c>
      <c r="K63" s="282" t="str">
        <f>IFERROR(__xludf.DUMMYFUNCTION("""COMPUTED_VALUE"""),"✴️")</f>
        <v>✴️</v>
      </c>
      <c r="L63" s="282" t="str">
        <f>IFERROR(__xludf.DUMMYFUNCTION("""COMPUTED_VALUE"""),"✴️")</f>
        <v>✴️</v>
      </c>
      <c r="M63" s="282" t="str">
        <f>IFERROR(__xludf.DUMMYFUNCTION("""COMPUTED_VALUE"""),"➖")</f>
        <v>➖</v>
      </c>
      <c r="N63" s="282" t="str">
        <f>IFERROR(__xludf.DUMMYFUNCTION("""COMPUTED_VALUE"""),"✴️")</f>
        <v>✴️</v>
      </c>
      <c r="O63" s="282" t="str">
        <f>IFERROR(__xludf.DUMMYFUNCTION("""COMPUTED_VALUE"""),"✴️")</f>
        <v>✴️</v>
      </c>
      <c r="P63" s="282" t="str">
        <f>IFERROR(__xludf.DUMMYFUNCTION("""COMPUTED_VALUE"""),"✴️")</f>
        <v>✴️</v>
      </c>
      <c r="Q63" s="282" t="str">
        <f>IFERROR(__xludf.DUMMYFUNCTION("""COMPUTED_VALUE"""),"➖")</f>
        <v>➖</v>
      </c>
      <c r="R63" s="304" t="str">
        <f>IFERROR(__xludf.DUMMYFUNCTION("""COMPUTED_VALUE"""),"   ➖")</f>
        <v>➖</v>
      </c>
      <c r="S63" s="305" t="str">
        <f>IFERROR(__xludf.DUMMYFUNCTION("""COMPUTED_VALUE"""),"➖")</f>
        <v>➖</v>
      </c>
      <c r="T63" s="282" t="str">
        <f>IFERROR(__xludf.DUMMYFUNCTION("""COMPUTED_VALUE"""),"SelfBattleship")</f>
        <v>SelfBattleship</v>
      </c>
      <c r="U63" s="282" t="str">
        <f>IFERROR(__xludf.DUMMYFUNCTION("""COMPUTED_VALUE"""),"➖")</f>
        <v>➖</v>
      </c>
      <c r="V63" s="282" t="str">
        <f>IFERROR(__xludf.DUMMYFUNCTION("""COMPUTED_VALUE"""),"➖")</f>
        <v>➖</v>
      </c>
      <c r="W63" s="306"/>
      <c r="X63" s="306"/>
      <c r="Y63" s="306"/>
    </row>
    <row r="64">
      <c r="A64" s="227"/>
      <c r="B64" s="307"/>
      <c r="C64" s="227"/>
      <c r="D64" s="308" t="str">
        <f>IFERROR(__xludf.DUMMYFUNCTION("""COMPUTED_VALUE"""),"   R")</f>
        <v>R</v>
      </c>
      <c r="E64" s="309" t="str">
        <f>IFERROR(__xludf.DUMMYFUNCTION("""COMPUTED_VALUE"""),"S31 Torpedo Pods")</f>
        <v>S31 Torpedo Pods</v>
      </c>
      <c r="F64" s="310">
        <f>IFERROR(__xludf.DUMMYFUNCTION("""COMPUTED_VALUE"""),2.0)</f>
        <v>2</v>
      </c>
      <c r="G64" s="231" t="str">
        <f>IFERROR(__xludf.DUMMYFUNCTION("""COMPUTED_VALUE"""),"FT")</f>
        <v>FT</v>
      </c>
      <c r="H64" s="231" t="str">
        <f>IFERROR(__xludf.DUMMYFUNCTION("""COMPUTED_VALUE"""),"✴️")</f>
        <v>✴️</v>
      </c>
      <c r="I64" s="231" t="str">
        <f>IFERROR(__xludf.DUMMYFUNCTION("""COMPUTED_VALUE"""),"✴️")</f>
        <v>✴️</v>
      </c>
      <c r="J64" s="231" t="str">
        <f>IFERROR(__xludf.DUMMYFUNCTION("""COMPUTED_VALUE"""),"✴️")</f>
        <v>✴️</v>
      </c>
      <c r="K64" s="288" t="str">
        <f>IFERROR(__xludf.DUMMYFUNCTION("""COMPUTED_VALUE"""),"✴️")</f>
        <v>✴️</v>
      </c>
      <c r="L64" s="288" t="str">
        <f>IFERROR(__xludf.DUMMYFUNCTION("""COMPUTED_VALUE"""),"✴️")</f>
        <v>✴️</v>
      </c>
      <c r="M64" s="288" t="str">
        <f>IFERROR(__xludf.DUMMYFUNCTION("""COMPUTED_VALUE"""),"✴️")</f>
        <v>✴️</v>
      </c>
      <c r="N64" s="288" t="str">
        <f>IFERROR(__xludf.DUMMYFUNCTION("""COMPUTED_VALUE"""),"✴️")</f>
        <v>✴️</v>
      </c>
      <c r="O64" s="288" t="str">
        <f>IFERROR(__xludf.DUMMYFUNCTION("""COMPUTED_VALUE"""),"✴️")</f>
        <v>✴️</v>
      </c>
      <c r="P64" s="288" t="str">
        <f>IFERROR(__xludf.DUMMYFUNCTION("""COMPUTED_VALUE"""),"✴️")</f>
        <v>✴️</v>
      </c>
      <c r="Q64" s="288" t="str">
        <f>IFERROR(__xludf.DUMMYFUNCTION("""COMPUTED_VALUE"""),"✴️")</f>
        <v>✴️</v>
      </c>
      <c r="R64" s="311" t="str">
        <f>IFERROR(__xludf.DUMMYFUNCTION("""COMPUTED_VALUE"""),"   ✴️")</f>
        <v>✴️</v>
      </c>
      <c r="S64" s="312" t="str">
        <f>IFERROR(__xludf.DUMMYFUNCTION("""COMPUTED_VALUE"""),"✴️")</f>
        <v>✴️</v>
      </c>
      <c r="T64" s="288" t="str">
        <f>IFERROR(__xludf.DUMMYFUNCTION("""COMPUTED_VALUE"""),"SelfBattleship")</f>
        <v>SelfBattleship</v>
      </c>
      <c r="U64" s="288" t="str">
        <f>IFERROR(__xludf.DUMMYFUNCTION("""COMPUTED_VALUE"""),"➖")</f>
        <v>➖</v>
      </c>
      <c r="V64" s="288" t="str">
        <f>IFERROR(__xludf.DUMMYFUNCTION("""COMPUTED_VALUE"""),"➖")</f>
        <v>➖</v>
      </c>
      <c r="W64" s="306"/>
      <c r="X64" s="306"/>
      <c r="Y64" s="306"/>
    </row>
    <row r="65">
      <c r="A65" s="227"/>
      <c r="B65" s="128"/>
      <c r="C65" s="227"/>
      <c r="D65" s="301" t="str">
        <f>IFERROR(__xludf.DUMMYFUNCTION("""COMPUTED_VALUE"""),"   R")</f>
        <v>R</v>
      </c>
      <c r="E65" s="313" t="str">
        <f>IFERROR(__xludf.DUMMYFUNCTION("""COMPUTED_VALUE"""),"S31 Torpedo Pods")</f>
        <v>S31 Torpedo Pods</v>
      </c>
      <c r="F65" s="303">
        <f>IFERROR(__xludf.DUMMYFUNCTION("""COMPUTED_VALUE"""),3.0)</f>
        <v>3</v>
      </c>
      <c r="G65" s="281" t="str">
        <f>IFERROR(__xludf.DUMMYFUNCTION("""COMPUTED_VALUE"""),"FT")</f>
        <v>FT</v>
      </c>
      <c r="H65" s="281" t="str">
        <f>IFERROR(__xludf.DUMMYFUNCTION("""COMPUTED_VALUE"""),"➖")</f>
        <v>➖</v>
      </c>
      <c r="I65" s="281" t="str">
        <f>IFERROR(__xludf.DUMMYFUNCTION("""COMPUTED_VALUE"""),"➖")</f>
        <v>➖</v>
      </c>
      <c r="J65" s="281" t="str">
        <f>IFERROR(__xludf.DUMMYFUNCTION("""COMPUTED_VALUE"""),"✴️")</f>
        <v>✴️</v>
      </c>
      <c r="K65" s="282" t="str">
        <f>IFERROR(__xludf.DUMMYFUNCTION("""COMPUTED_VALUE"""),"✴️")</f>
        <v>✴️</v>
      </c>
      <c r="L65" s="282" t="str">
        <f>IFERROR(__xludf.DUMMYFUNCTION("""COMPUTED_VALUE"""),"✴️")</f>
        <v>✴️</v>
      </c>
      <c r="M65" s="282" t="str">
        <f>IFERROR(__xludf.DUMMYFUNCTION("""COMPUTED_VALUE"""),"➖")</f>
        <v>➖</v>
      </c>
      <c r="N65" s="282" t="str">
        <f>IFERROR(__xludf.DUMMYFUNCTION("""COMPUTED_VALUE"""),"✴️")</f>
        <v>✴️</v>
      </c>
      <c r="O65" s="282" t="str">
        <f>IFERROR(__xludf.DUMMYFUNCTION("""COMPUTED_VALUE"""),"✴️")</f>
        <v>✴️</v>
      </c>
      <c r="P65" s="282" t="str">
        <f>IFERROR(__xludf.DUMMYFUNCTION("""COMPUTED_VALUE"""),"✴️")</f>
        <v>✴️</v>
      </c>
      <c r="Q65" s="282" t="str">
        <f>IFERROR(__xludf.DUMMYFUNCTION("""COMPUTED_VALUE"""),"➖")</f>
        <v>➖</v>
      </c>
      <c r="R65" s="304" t="str">
        <f>IFERROR(__xludf.DUMMYFUNCTION("""COMPUTED_VALUE"""),"   ➖")</f>
        <v>➖</v>
      </c>
      <c r="S65" s="305" t="str">
        <f>IFERROR(__xludf.DUMMYFUNCTION("""COMPUTED_VALUE"""),"➖")</f>
        <v>➖</v>
      </c>
      <c r="T65" s="282" t="str">
        <f>IFERROR(__xludf.DUMMYFUNCTION("""COMPUTED_VALUE"""),"SelfBattleship")</f>
        <v>SelfBattleship</v>
      </c>
      <c r="U65" s="282" t="str">
        <f>IFERROR(__xludf.DUMMYFUNCTION("""COMPUTED_VALUE"""),"➖")</f>
        <v>➖</v>
      </c>
      <c r="V65" s="282" t="str">
        <f>IFERROR(__xludf.DUMMYFUNCTION("""COMPUTED_VALUE"""),"➖")</f>
        <v>➖</v>
      </c>
      <c r="W65" s="306"/>
      <c r="X65" s="306"/>
      <c r="Y65" s="306"/>
    </row>
    <row r="66">
      <c r="A66" s="227"/>
      <c r="B66" s="307"/>
      <c r="C66" s="227"/>
      <c r="D66" s="308" t="str">
        <f>IFERROR(__xludf.DUMMYFUNCTION("""COMPUTED_VALUE"""),"   R")</f>
        <v>R</v>
      </c>
      <c r="E66" s="309" t="str">
        <f>IFERROR(__xludf.DUMMYFUNCTION("""COMPUTED_VALUE"""),"S31 Torpedo Pods")</f>
        <v>S31 Torpedo Pods</v>
      </c>
      <c r="F66" s="310">
        <f>IFERROR(__xludf.DUMMYFUNCTION("""COMPUTED_VALUE"""),4.0)</f>
        <v>4</v>
      </c>
      <c r="G66" s="231" t="str">
        <f>IFERROR(__xludf.DUMMYFUNCTION("""COMPUTED_VALUE"""),"FT")</f>
        <v>FT</v>
      </c>
      <c r="H66" s="231" t="str">
        <f>IFERROR(__xludf.DUMMYFUNCTION("""COMPUTED_VALUE"""),"➖")</f>
        <v>➖</v>
      </c>
      <c r="I66" s="231" t="str">
        <f>IFERROR(__xludf.DUMMYFUNCTION("""COMPUTED_VALUE"""),"➖")</f>
        <v>➖</v>
      </c>
      <c r="J66" s="231" t="str">
        <f>IFERROR(__xludf.DUMMYFUNCTION("""COMPUTED_VALUE"""),"✴️")</f>
        <v>✴️</v>
      </c>
      <c r="K66" s="288" t="str">
        <f>IFERROR(__xludf.DUMMYFUNCTION("""COMPUTED_VALUE"""),"✴️")</f>
        <v>✴️</v>
      </c>
      <c r="L66" s="288" t="str">
        <f>IFERROR(__xludf.DUMMYFUNCTION("""COMPUTED_VALUE"""),"✴️")</f>
        <v>✴️</v>
      </c>
      <c r="M66" s="288" t="str">
        <f>IFERROR(__xludf.DUMMYFUNCTION("""COMPUTED_VALUE"""),"➖")</f>
        <v>➖</v>
      </c>
      <c r="N66" s="288" t="str">
        <f>IFERROR(__xludf.DUMMYFUNCTION("""COMPUTED_VALUE"""),"✴️")</f>
        <v>✴️</v>
      </c>
      <c r="O66" s="288" t="str">
        <f>IFERROR(__xludf.DUMMYFUNCTION("""COMPUTED_VALUE"""),"✴️")</f>
        <v>✴️</v>
      </c>
      <c r="P66" s="288" t="str">
        <f>IFERROR(__xludf.DUMMYFUNCTION("""COMPUTED_VALUE"""),"✴️")</f>
        <v>✴️</v>
      </c>
      <c r="Q66" s="288" t="str">
        <f>IFERROR(__xludf.DUMMYFUNCTION("""COMPUTED_VALUE"""),"➖")</f>
        <v>➖</v>
      </c>
      <c r="R66" s="311" t="str">
        <f>IFERROR(__xludf.DUMMYFUNCTION("""COMPUTED_VALUE"""),"   ➖")</f>
        <v>➖</v>
      </c>
      <c r="S66" s="312" t="str">
        <f>IFERROR(__xludf.DUMMYFUNCTION("""COMPUTED_VALUE"""),"➖")</f>
        <v>➖</v>
      </c>
      <c r="T66" s="288" t="str">
        <f>IFERROR(__xludf.DUMMYFUNCTION("""COMPUTED_VALUE"""),"SelfBattleship")</f>
        <v>SelfBattleship</v>
      </c>
      <c r="U66" s="288" t="str">
        <f>IFERROR(__xludf.DUMMYFUNCTION("""COMPUTED_VALUE"""),"➖")</f>
        <v>➖</v>
      </c>
      <c r="V66" s="288" t="str">
        <f>IFERROR(__xludf.DUMMYFUNCTION("""COMPUTED_VALUE"""),"➖")</f>
        <v>➖</v>
      </c>
      <c r="W66" s="306"/>
      <c r="X66" s="306"/>
      <c r="Y66" s="306"/>
    </row>
    <row r="67">
      <c r="A67" s="227"/>
      <c r="B67" s="128"/>
      <c r="C67" s="227"/>
      <c r="D67" s="301" t="str">
        <f>IFERROR(__xludf.DUMMYFUNCTION("""COMPUTED_VALUE"""),"   E")</f>
        <v>E</v>
      </c>
      <c r="E67" s="313" t="str">
        <f>IFERROR(__xludf.DUMMYFUNCTION("""COMPUTED_VALUE"""),"The Hull Piercer")</f>
        <v>The Hull Piercer</v>
      </c>
      <c r="F67" s="303">
        <f>IFERROR(__xludf.DUMMYFUNCTION("""COMPUTED_VALUE"""),1.0)</f>
        <v>1</v>
      </c>
      <c r="G67" s="281" t="str">
        <f>IFERROR(__xludf.DUMMYFUNCTION("""COMPUTED_VALUE"""),"FT")</f>
        <v>FT</v>
      </c>
      <c r="H67" s="281" t="str">
        <f>IFERROR(__xludf.DUMMYFUNCTION("""COMPUTED_VALUE"""),"➖")</f>
        <v>➖</v>
      </c>
      <c r="I67" s="281" t="str">
        <f>IFERROR(__xludf.DUMMYFUNCTION("""COMPUTED_VALUE"""),"➖")</f>
        <v>➖</v>
      </c>
      <c r="J67" s="281" t="str">
        <f>IFERROR(__xludf.DUMMYFUNCTION("""COMPUTED_VALUE"""),"➖")</f>
        <v>➖</v>
      </c>
      <c r="K67" s="282" t="str">
        <f>IFERROR(__xludf.DUMMYFUNCTION("""COMPUTED_VALUE"""),"➖")</f>
        <v>➖</v>
      </c>
      <c r="L67" s="282" t="str">
        <f>IFERROR(__xludf.DUMMYFUNCTION("""COMPUTED_VALUE"""),"➖")</f>
        <v>➖</v>
      </c>
      <c r="M67" s="282" t="str">
        <f>IFERROR(__xludf.DUMMYFUNCTION("""COMPUTED_VALUE"""),"➖")</f>
        <v>➖</v>
      </c>
      <c r="N67" s="282" t="str">
        <f>IFERROR(__xludf.DUMMYFUNCTION("""COMPUTED_VALUE"""),"✴️")</f>
        <v>✴️</v>
      </c>
      <c r="O67" s="282" t="str">
        <f>IFERROR(__xludf.DUMMYFUNCTION("""COMPUTED_VALUE"""),"✴️")</f>
        <v>✴️</v>
      </c>
      <c r="P67" s="282" t="str">
        <f>IFERROR(__xludf.DUMMYFUNCTION("""COMPUTED_VALUE"""),"➖")</f>
        <v>➖</v>
      </c>
      <c r="Q67" s="282" t="str">
        <f>IFERROR(__xludf.DUMMYFUNCTION("""COMPUTED_VALUE"""),"➖")</f>
        <v>➖</v>
      </c>
      <c r="R67" s="304" t="str">
        <f>IFERROR(__xludf.DUMMYFUNCTION("""COMPUTED_VALUE"""),"   ➖")</f>
        <v>➖</v>
      </c>
      <c r="S67" s="305" t="str">
        <f>IFERROR(__xludf.DUMMYFUNCTION("""COMPUTED_VALUE"""),"➖")</f>
        <v>➖</v>
      </c>
      <c r="T67" s="282" t="str">
        <f>IFERROR(__xludf.DUMMYFUNCTION("""COMPUTED_VALUE"""),"SelfBattleship")</f>
        <v>SelfBattleship</v>
      </c>
      <c r="U67" s="282" t="str">
        <f>IFERROR(__xludf.DUMMYFUNCTION("""COMPUTED_VALUE"""),"➖")</f>
        <v>➖</v>
      </c>
      <c r="V67" s="282" t="str">
        <f>IFERROR(__xludf.DUMMYFUNCTION("""COMPUTED_VALUE"""),"➖")</f>
        <v>➖</v>
      </c>
      <c r="W67" s="306"/>
      <c r="X67" s="306"/>
      <c r="Y67" s="306"/>
    </row>
    <row r="68">
      <c r="A68" s="227"/>
      <c r="B68" s="307"/>
      <c r="C68" s="227"/>
      <c r="D68" s="308" t="str">
        <f>IFERROR(__xludf.DUMMYFUNCTION("""COMPUTED_VALUE"""),"   E")</f>
        <v>E</v>
      </c>
      <c r="E68" s="309" t="str">
        <f>IFERROR(__xludf.DUMMYFUNCTION("""COMPUTED_VALUE"""),"The Hull Piercer")</f>
        <v>The Hull Piercer</v>
      </c>
      <c r="F68" s="310">
        <f>IFERROR(__xludf.DUMMYFUNCTION("""COMPUTED_VALUE"""),2.0)</f>
        <v>2</v>
      </c>
      <c r="G68" s="231" t="str">
        <f>IFERROR(__xludf.DUMMYFUNCTION("""COMPUTED_VALUE"""),"FT")</f>
        <v>FT</v>
      </c>
      <c r="H68" s="231" t="str">
        <f>IFERROR(__xludf.DUMMYFUNCTION("""COMPUTED_VALUE"""),"➖")</f>
        <v>➖</v>
      </c>
      <c r="I68" s="231" t="str">
        <f>IFERROR(__xludf.DUMMYFUNCTION("""COMPUTED_VALUE"""),"➖")</f>
        <v>➖</v>
      </c>
      <c r="J68" s="231" t="str">
        <f>IFERROR(__xludf.DUMMYFUNCTION("""COMPUTED_VALUE"""),"➖")</f>
        <v>➖</v>
      </c>
      <c r="K68" s="288" t="str">
        <f>IFERROR(__xludf.DUMMYFUNCTION("""COMPUTED_VALUE"""),"➖")</f>
        <v>➖</v>
      </c>
      <c r="L68" s="288" t="str">
        <f>IFERROR(__xludf.DUMMYFUNCTION("""COMPUTED_VALUE"""),"➖")</f>
        <v>➖</v>
      </c>
      <c r="M68" s="288" t="str">
        <f>IFERROR(__xludf.DUMMYFUNCTION("""COMPUTED_VALUE"""),"➖")</f>
        <v>➖</v>
      </c>
      <c r="N68" s="288" t="str">
        <f>IFERROR(__xludf.DUMMYFUNCTION("""COMPUTED_VALUE"""),"✴️")</f>
        <v>✴️</v>
      </c>
      <c r="O68" s="288" t="str">
        <f>IFERROR(__xludf.DUMMYFUNCTION("""COMPUTED_VALUE"""),"✴️")</f>
        <v>✴️</v>
      </c>
      <c r="P68" s="288" t="str">
        <f>IFERROR(__xludf.DUMMYFUNCTION("""COMPUTED_VALUE"""),"➖")</f>
        <v>➖</v>
      </c>
      <c r="Q68" s="288" t="str">
        <f>IFERROR(__xludf.DUMMYFUNCTION("""COMPUTED_VALUE"""),"➖")</f>
        <v>➖</v>
      </c>
      <c r="R68" s="311" t="str">
        <f>IFERROR(__xludf.DUMMYFUNCTION("""COMPUTED_VALUE"""),"   ➖")</f>
        <v>➖</v>
      </c>
      <c r="S68" s="312" t="str">
        <f>IFERROR(__xludf.DUMMYFUNCTION("""COMPUTED_VALUE"""),"➖")</f>
        <v>➖</v>
      </c>
      <c r="T68" s="288" t="str">
        <f>IFERROR(__xludf.DUMMYFUNCTION("""COMPUTED_VALUE"""),"SelfBattleship")</f>
        <v>SelfBattleship</v>
      </c>
      <c r="U68" s="288" t="str">
        <f>IFERROR(__xludf.DUMMYFUNCTION("""COMPUTED_VALUE"""),"➖")</f>
        <v>➖</v>
      </c>
      <c r="V68" s="288" t="str">
        <f>IFERROR(__xludf.DUMMYFUNCTION("""COMPUTED_VALUE"""),"➖")</f>
        <v>➖</v>
      </c>
      <c r="W68" s="306"/>
      <c r="X68" s="306"/>
      <c r="Y68" s="306"/>
    </row>
    <row r="69">
      <c r="A69" s="227"/>
      <c r="B69" s="128"/>
      <c r="C69" s="227"/>
      <c r="D69" s="301" t="str">
        <f>IFERROR(__xludf.DUMMYFUNCTION("""COMPUTED_VALUE"""),"   E")</f>
        <v>E</v>
      </c>
      <c r="E69" s="313" t="str">
        <f>IFERROR(__xludf.DUMMYFUNCTION("""COMPUTED_VALUE"""),"The Hull Piercer")</f>
        <v>The Hull Piercer</v>
      </c>
      <c r="F69" s="303">
        <f>IFERROR(__xludf.DUMMYFUNCTION("""COMPUTED_VALUE"""),3.0)</f>
        <v>3</v>
      </c>
      <c r="G69" s="281" t="str">
        <f>IFERROR(__xludf.DUMMYFUNCTION("""COMPUTED_VALUE"""),"FT")</f>
        <v>FT</v>
      </c>
      <c r="H69" s="281" t="str">
        <f>IFERROR(__xludf.DUMMYFUNCTION("""COMPUTED_VALUE"""),"➖")</f>
        <v>➖</v>
      </c>
      <c r="I69" s="281" t="str">
        <f>IFERROR(__xludf.DUMMYFUNCTION("""COMPUTED_VALUE"""),"➖")</f>
        <v>➖</v>
      </c>
      <c r="J69" s="281" t="str">
        <f>IFERROR(__xludf.DUMMYFUNCTION("""COMPUTED_VALUE"""),"➖")</f>
        <v>➖</v>
      </c>
      <c r="K69" s="282" t="str">
        <f>IFERROR(__xludf.DUMMYFUNCTION("""COMPUTED_VALUE"""),"➖")</f>
        <v>➖</v>
      </c>
      <c r="L69" s="282" t="str">
        <f>IFERROR(__xludf.DUMMYFUNCTION("""COMPUTED_VALUE"""),"➖")</f>
        <v>➖</v>
      </c>
      <c r="M69" s="282" t="str">
        <f>IFERROR(__xludf.DUMMYFUNCTION("""COMPUTED_VALUE"""),"➖")</f>
        <v>➖</v>
      </c>
      <c r="N69" s="282" t="str">
        <f>IFERROR(__xludf.DUMMYFUNCTION("""COMPUTED_VALUE"""),"✴️")</f>
        <v>✴️</v>
      </c>
      <c r="O69" s="282" t="str">
        <f>IFERROR(__xludf.DUMMYFUNCTION("""COMPUTED_VALUE"""),"✴️")</f>
        <v>✴️</v>
      </c>
      <c r="P69" s="282" t="str">
        <f>IFERROR(__xludf.DUMMYFUNCTION("""COMPUTED_VALUE"""),"➖")</f>
        <v>➖</v>
      </c>
      <c r="Q69" s="282" t="str">
        <f>IFERROR(__xludf.DUMMYFUNCTION("""COMPUTED_VALUE"""),"➖")</f>
        <v>➖</v>
      </c>
      <c r="R69" s="304" t="str">
        <f>IFERROR(__xludf.DUMMYFUNCTION("""COMPUTED_VALUE"""),"   ➖")</f>
        <v>➖</v>
      </c>
      <c r="S69" s="305" t="str">
        <f>IFERROR(__xludf.DUMMYFUNCTION("""COMPUTED_VALUE"""),"➖")</f>
        <v>➖</v>
      </c>
      <c r="T69" s="282" t="str">
        <f>IFERROR(__xludf.DUMMYFUNCTION("""COMPUTED_VALUE"""),"SelfBattleship")</f>
        <v>SelfBattleship</v>
      </c>
      <c r="U69" s="282" t="str">
        <f>IFERROR(__xludf.DUMMYFUNCTION("""COMPUTED_VALUE"""),"➖")</f>
        <v>➖</v>
      </c>
      <c r="V69" s="282" t="str">
        <f>IFERROR(__xludf.DUMMYFUNCTION("""COMPUTED_VALUE"""),"➖")</f>
        <v>➖</v>
      </c>
      <c r="W69" s="306"/>
      <c r="X69" s="306"/>
      <c r="Y69" s="306"/>
    </row>
    <row r="70">
      <c r="A70" s="227"/>
      <c r="B70" s="307"/>
      <c r="C70" s="227"/>
      <c r="D70" s="308" t="str">
        <f>IFERROR(__xludf.DUMMYFUNCTION("""COMPUTED_VALUE"""),"   E")</f>
        <v>E</v>
      </c>
      <c r="E70" s="309" t="str">
        <f>IFERROR(__xludf.DUMMYFUNCTION("""COMPUTED_VALUE"""),"The Hull Piercer")</f>
        <v>The Hull Piercer</v>
      </c>
      <c r="F70" s="310">
        <f>IFERROR(__xludf.DUMMYFUNCTION("""COMPUTED_VALUE"""),4.0)</f>
        <v>4</v>
      </c>
      <c r="G70" s="231" t="str">
        <f>IFERROR(__xludf.DUMMYFUNCTION("""COMPUTED_VALUE"""),"FT")</f>
        <v>FT</v>
      </c>
      <c r="H70" s="231" t="str">
        <f>IFERROR(__xludf.DUMMYFUNCTION("""COMPUTED_VALUE"""),"➖")</f>
        <v>➖</v>
      </c>
      <c r="I70" s="231" t="str">
        <f>IFERROR(__xludf.DUMMYFUNCTION("""COMPUTED_VALUE"""),"➖")</f>
        <v>➖</v>
      </c>
      <c r="J70" s="231" t="str">
        <f>IFERROR(__xludf.DUMMYFUNCTION("""COMPUTED_VALUE"""),"➖")</f>
        <v>➖</v>
      </c>
      <c r="K70" s="288" t="str">
        <f>IFERROR(__xludf.DUMMYFUNCTION("""COMPUTED_VALUE"""),"➖")</f>
        <v>➖</v>
      </c>
      <c r="L70" s="288" t="str">
        <f>IFERROR(__xludf.DUMMYFUNCTION("""COMPUTED_VALUE"""),"➖")</f>
        <v>➖</v>
      </c>
      <c r="M70" s="288" t="str">
        <f>IFERROR(__xludf.DUMMYFUNCTION("""COMPUTED_VALUE"""),"➖")</f>
        <v>➖</v>
      </c>
      <c r="N70" s="288" t="str">
        <f>IFERROR(__xludf.DUMMYFUNCTION("""COMPUTED_VALUE"""),"✴️")</f>
        <v>✴️</v>
      </c>
      <c r="O70" s="288" t="str">
        <f>IFERROR(__xludf.DUMMYFUNCTION("""COMPUTED_VALUE"""),"✴️")</f>
        <v>✴️</v>
      </c>
      <c r="P70" s="288" t="str">
        <f>IFERROR(__xludf.DUMMYFUNCTION("""COMPUTED_VALUE"""),"➖")</f>
        <v>➖</v>
      </c>
      <c r="Q70" s="288" t="str">
        <f>IFERROR(__xludf.DUMMYFUNCTION("""COMPUTED_VALUE"""),"➖")</f>
        <v>➖</v>
      </c>
      <c r="R70" s="311" t="str">
        <f>IFERROR(__xludf.DUMMYFUNCTION("""COMPUTED_VALUE"""),"   ➖")</f>
        <v>➖</v>
      </c>
      <c r="S70" s="312" t="str">
        <f>IFERROR(__xludf.DUMMYFUNCTION("""COMPUTED_VALUE"""),"➖")</f>
        <v>➖</v>
      </c>
      <c r="T70" s="288" t="str">
        <f>IFERROR(__xludf.DUMMYFUNCTION("""COMPUTED_VALUE"""),"SelfBattleship")</f>
        <v>SelfBattleship</v>
      </c>
      <c r="U70" s="288" t="str">
        <f>IFERROR(__xludf.DUMMYFUNCTION("""COMPUTED_VALUE"""),"➖")</f>
        <v>➖</v>
      </c>
      <c r="V70" s="288" t="str">
        <f>IFERROR(__xludf.DUMMYFUNCTION("""COMPUTED_VALUE"""),"➖")</f>
        <v>➖</v>
      </c>
      <c r="W70" s="306"/>
      <c r="X70" s="306"/>
      <c r="Y70" s="306"/>
    </row>
    <row r="71">
      <c r="A71" s="227"/>
      <c r="B71" s="128"/>
      <c r="C71" s="227"/>
      <c r="D71" s="301" t="str">
        <f>IFERROR(__xludf.DUMMYFUNCTION("""COMPUTED_VALUE"""),"   E")</f>
        <v>E</v>
      </c>
      <c r="E71" s="313" t="str">
        <f>IFERROR(__xludf.DUMMYFUNCTION("""COMPUTED_VALUE"""),"Druoda Sentient Missile")</f>
        <v>Druoda Sentient Missile</v>
      </c>
      <c r="F71" s="303">
        <f>IFERROR(__xludf.DUMMYFUNCTION("""COMPUTED_VALUE"""),1.0)</f>
        <v>1</v>
      </c>
      <c r="G71" s="281" t="str">
        <f>IFERROR(__xludf.DUMMYFUNCTION("""COMPUTED_VALUE"""),"FT")</f>
        <v>FT</v>
      </c>
      <c r="H71" s="281" t="str">
        <f>IFERROR(__xludf.DUMMYFUNCTION("""COMPUTED_VALUE"""),"➖")</f>
        <v>➖</v>
      </c>
      <c r="I71" s="281" t="str">
        <f>IFERROR(__xludf.DUMMYFUNCTION("""COMPUTED_VALUE"""),"➖")</f>
        <v>➖</v>
      </c>
      <c r="J71" s="281" t="str">
        <f>IFERROR(__xludf.DUMMYFUNCTION("""COMPUTED_VALUE"""),"➖")</f>
        <v>➖</v>
      </c>
      <c r="K71" s="282" t="str">
        <f>IFERROR(__xludf.DUMMYFUNCTION("""COMPUTED_VALUE"""),"➖")</f>
        <v>➖</v>
      </c>
      <c r="L71" s="282" t="str">
        <f>IFERROR(__xludf.DUMMYFUNCTION("""COMPUTED_VALUE"""),"➖")</f>
        <v>➖</v>
      </c>
      <c r="M71" s="282" t="str">
        <f>IFERROR(__xludf.DUMMYFUNCTION("""COMPUTED_VALUE"""),"➖")</f>
        <v>➖</v>
      </c>
      <c r="N71" s="282" t="str">
        <f>IFERROR(__xludf.DUMMYFUNCTION("""COMPUTED_VALUE"""),"✴️")</f>
        <v>✴️</v>
      </c>
      <c r="O71" s="282" t="str">
        <f>IFERROR(__xludf.DUMMYFUNCTION("""COMPUTED_VALUE"""),"✴️")</f>
        <v>✴️</v>
      </c>
      <c r="P71" s="282" t="str">
        <f>IFERROR(__xludf.DUMMYFUNCTION("""COMPUTED_VALUE"""),"➖")</f>
        <v>➖</v>
      </c>
      <c r="Q71" s="282" t="str">
        <f>IFERROR(__xludf.DUMMYFUNCTION("""COMPUTED_VALUE"""),"➖")</f>
        <v>➖</v>
      </c>
      <c r="R71" s="304" t="str">
        <f>IFERROR(__xludf.DUMMYFUNCTION("""COMPUTED_VALUE"""),"   ➖")</f>
        <v>➖</v>
      </c>
      <c r="S71" s="305" t="str">
        <f>IFERROR(__xludf.DUMMYFUNCTION("""COMPUTED_VALUE"""),"➖")</f>
        <v>➖</v>
      </c>
      <c r="T71" s="282" t="str">
        <f>IFERROR(__xludf.DUMMYFUNCTION("""COMPUTED_VALUE"""),"SelfExplorer")</f>
        <v>SelfExplorer</v>
      </c>
      <c r="U71" s="282" t="str">
        <f>IFERROR(__xludf.DUMMYFUNCTION("""COMPUTED_VALUE"""),"➖")</f>
        <v>➖</v>
      </c>
      <c r="V71" s="282" t="str">
        <f>IFERROR(__xludf.DUMMYFUNCTION("""COMPUTED_VALUE"""),"➖")</f>
        <v>➖</v>
      </c>
      <c r="W71" s="306"/>
      <c r="X71" s="306"/>
      <c r="Y71" s="306"/>
    </row>
    <row r="72">
      <c r="A72" s="227"/>
      <c r="B72" s="307"/>
      <c r="C72" s="227"/>
      <c r="D72" s="308" t="str">
        <f>IFERROR(__xludf.DUMMYFUNCTION("""COMPUTED_VALUE"""),"   E")</f>
        <v>E</v>
      </c>
      <c r="E72" s="309" t="str">
        <f>IFERROR(__xludf.DUMMYFUNCTION("""COMPUTED_VALUE"""),"Druoda Sentient Missile")</f>
        <v>Druoda Sentient Missile</v>
      </c>
      <c r="F72" s="310">
        <f>IFERROR(__xludf.DUMMYFUNCTION("""COMPUTED_VALUE"""),2.0)</f>
        <v>2</v>
      </c>
      <c r="G72" s="231" t="str">
        <f>IFERROR(__xludf.DUMMYFUNCTION("""COMPUTED_VALUE"""),"FT")</f>
        <v>FT</v>
      </c>
      <c r="H72" s="231" t="str">
        <f>IFERROR(__xludf.DUMMYFUNCTION("""COMPUTED_VALUE"""),"➖")</f>
        <v>➖</v>
      </c>
      <c r="I72" s="231" t="str">
        <f>IFERROR(__xludf.DUMMYFUNCTION("""COMPUTED_VALUE"""),"➖")</f>
        <v>➖</v>
      </c>
      <c r="J72" s="231" t="str">
        <f>IFERROR(__xludf.DUMMYFUNCTION("""COMPUTED_VALUE"""),"➖")</f>
        <v>➖</v>
      </c>
      <c r="K72" s="288" t="str">
        <f>IFERROR(__xludf.DUMMYFUNCTION("""COMPUTED_VALUE"""),"➖")</f>
        <v>➖</v>
      </c>
      <c r="L72" s="288" t="str">
        <f>IFERROR(__xludf.DUMMYFUNCTION("""COMPUTED_VALUE"""),"➖")</f>
        <v>➖</v>
      </c>
      <c r="M72" s="288" t="str">
        <f>IFERROR(__xludf.DUMMYFUNCTION("""COMPUTED_VALUE"""),"➖")</f>
        <v>➖</v>
      </c>
      <c r="N72" s="288" t="str">
        <f>IFERROR(__xludf.DUMMYFUNCTION("""COMPUTED_VALUE"""),"✴️")</f>
        <v>✴️</v>
      </c>
      <c r="O72" s="288" t="str">
        <f>IFERROR(__xludf.DUMMYFUNCTION("""COMPUTED_VALUE"""),"✴️")</f>
        <v>✴️</v>
      </c>
      <c r="P72" s="288" t="str">
        <f>IFERROR(__xludf.DUMMYFUNCTION("""COMPUTED_VALUE"""),"➖")</f>
        <v>➖</v>
      </c>
      <c r="Q72" s="288" t="str">
        <f>IFERROR(__xludf.DUMMYFUNCTION("""COMPUTED_VALUE"""),"➖")</f>
        <v>➖</v>
      </c>
      <c r="R72" s="311" t="str">
        <f>IFERROR(__xludf.DUMMYFUNCTION("""COMPUTED_VALUE"""),"   ➖")</f>
        <v>➖</v>
      </c>
      <c r="S72" s="312" t="str">
        <f>IFERROR(__xludf.DUMMYFUNCTION("""COMPUTED_VALUE"""),"➖")</f>
        <v>➖</v>
      </c>
      <c r="T72" s="288" t="str">
        <f>IFERROR(__xludf.DUMMYFUNCTION("""COMPUTED_VALUE"""),"SelfExplorer")</f>
        <v>SelfExplorer</v>
      </c>
      <c r="U72" s="288" t="str">
        <f>IFERROR(__xludf.DUMMYFUNCTION("""COMPUTED_VALUE"""),"➖")</f>
        <v>➖</v>
      </c>
      <c r="V72" s="288" t="str">
        <f>IFERROR(__xludf.DUMMYFUNCTION("""COMPUTED_VALUE"""),"➖")</f>
        <v>➖</v>
      </c>
      <c r="W72" s="306"/>
      <c r="X72" s="306"/>
      <c r="Y72" s="306"/>
    </row>
    <row r="73">
      <c r="A73" s="227"/>
      <c r="B73" s="128"/>
      <c r="C73" s="227"/>
      <c r="D73" s="301" t="str">
        <f>IFERROR(__xludf.DUMMYFUNCTION("""COMPUTED_VALUE"""),"   E")</f>
        <v>E</v>
      </c>
      <c r="E73" s="313" t="str">
        <f>IFERROR(__xludf.DUMMYFUNCTION("""COMPUTED_VALUE"""),"Druoda Sentient Missile")</f>
        <v>Druoda Sentient Missile</v>
      </c>
      <c r="F73" s="303">
        <f>IFERROR(__xludf.DUMMYFUNCTION("""COMPUTED_VALUE"""),3.0)</f>
        <v>3</v>
      </c>
      <c r="G73" s="281" t="str">
        <f>IFERROR(__xludf.DUMMYFUNCTION("""COMPUTED_VALUE"""),"FT")</f>
        <v>FT</v>
      </c>
      <c r="H73" s="281" t="str">
        <f>IFERROR(__xludf.DUMMYFUNCTION("""COMPUTED_VALUE"""),"➖")</f>
        <v>➖</v>
      </c>
      <c r="I73" s="281" t="str">
        <f>IFERROR(__xludf.DUMMYFUNCTION("""COMPUTED_VALUE"""),"➖")</f>
        <v>➖</v>
      </c>
      <c r="J73" s="281" t="str">
        <f>IFERROR(__xludf.DUMMYFUNCTION("""COMPUTED_VALUE"""),"➖")</f>
        <v>➖</v>
      </c>
      <c r="K73" s="282" t="str">
        <f>IFERROR(__xludf.DUMMYFUNCTION("""COMPUTED_VALUE"""),"➖")</f>
        <v>➖</v>
      </c>
      <c r="L73" s="282" t="str">
        <f>IFERROR(__xludf.DUMMYFUNCTION("""COMPUTED_VALUE"""),"➖")</f>
        <v>➖</v>
      </c>
      <c r="M73" s="282" t="str">
        <f>IFERROR(__xludf.DUMMYFUNCTION("""COMPUTED_VALUE"""),"➖")</f>
        <v>➖</v>
      </c>
      <c r="N73" s="282" t="str">
        <f>IFERROR(__xludf.DUMMYFUNCTION("""COMPUTED_VALUE"""),"✴️")</f>
        <v>✴️</v>
      </c>
      <c r="O73" s="282" t="str">
        <f>IFERROR(__xludf.DUMMYFUNCTION("""COMPUTED_VALUE"""),"✴️")</f>
        <v>✴️</v>
      </c>
      <c r="P73" s="282" t="str">
        <f>IFERROR(__xludf.DUMMYFUNCTION("""COMPUTED_VALUE"""),"➖")</f>
        <v>➖</v>
      </c>
      <c r="Q73" s="282" t="str">
        <f>IFERROR(__xludf.DUMMYFUNCTION("""COMPUTED_VALUE"""),"➖")</f>
        <v>➖</v>
      </c>
      <c r="R73" s="304" t="str">
        <f>IFERROR(__xludf.DUMMYFUNCTION("""COMPUTED_VALUE"""),"   ➖")</f>
        <v>➖</v>
      </c>
      <c r="S73" s="305" t="str">
        <f>IFERROR(__xludf.DUMMYFUNCTION("""COMPUTED_VALUE"""),"➖")</f>
        <v>➖</v>
      </c>
      <c r="T73" s="282" t="str">
        <f>IFERROR(__xludf.DUMMYFUNCTION("""COMPUTED_VALUE"""),"SelfExplorer")</f>
        <v>SelfExplorer</v>
      </c>
      <c r="U73" s="282" t="str">
        <f>IFERROR(__xludf.DUMMYFUNCTION("""COMPUTED_VALUE"""),"➖")</f>
        <v>➖</v>
      </c>
      <c r="V73" s="282" t="str">
        <f>IFERROR(__xludf.DUMMYFUNCTION("""COMPUTED_VALUE"""),"➖")</f>
        <v>➖</v>
      </c>
      <c r="W73" s="306"/>
      <c r="X73" s="306"/>
      <c r="Y73" s="306"/>
    </row>
    <row r="74">
      <c r="A74" s="227"/>
      <c r="B74" s="307"/>
      <c r="C74" s="227"/>
      <c r="D74" s="308" t="str">
        <f>IFERROR(__xludf.DUMMYFUNCTION("""COMPUTED_VALUE"""),"   E")</f>
        <v>E</v>
      </c>
      <c r="E74" s="309" t="str">
        <f>IFERROR(__xludf.DUMMYFUNCTION("""COMPUTED_VALUE"""),"Druoda Sentient Missile")</f>
        <v>Druoda Sentient Missile</v>
      </c>
      <c r="F74" s="310">
        <f>IFERROR(__xludf.DUMMYFUNCTION("""COMPUTED_VALUE"""),4.0)</f>
        <v>4</v>
      </c>
      <c r="G74" s="231" t="str">
        <f>IFERROR(__xludf.DUMMYFUNCTION("""COMPUTED_VALUE"""),"FT")</f>
        <v>FT</v>
      </c>
      <c r="H74" s="231" t="str">
        <f>IFERROR(__xludf.DUMMYFUNCTION("""COMPUTED_VALUE"""),"➖")</f>
        <v>➖</v>
      </c>
      <c r="I74" s="231" t="str">
        <f>IFERROR(__xludf.DUMMYFUNCTION("""COMPUTED_VALUE"""),"➖")</f>
        <v>➖</v>
      </c>
      <c r="J74" s="231" t="str">
        <f>IFERROR(__xludf.DUMMYFUNCTION("""COMPUTED_VALUE"""),"➖")</f>
        <v>➖</v>
      </c>
      <c r="K74" s="288" t="str">
        <f>IFERROR(__xludf.DUMMYFUNCTION("""COMPUTED_VALUE"""),"➖")</f>
        <v>➖</v>
      </c>
      <c r="L74" s="288" t="str">
        <f>IFERROR(__xludf.DUMMYFUNCTION("""COMPUTED_VALUE"""),"➖")</f>
        <v>➖</v>
      </c>
      <c r="M74" s="288" t="str">
        <f>IFERROR(__xludf.DUMMYFUNCTION("""COMPUTED_VALUE"""),"➖")</f>
        <v>➖</v>
      </c>
      <c r="N74" s="288" t="str">
        <f>IFERROR(__xludf.DUMMYFUNCTION("""COMPUTED_VALUE"""),"✴️")</f>
        <v>✴️</v>
      </c>
      <c r="O74" s="288" t="str">
        <f>IFERROR(__xludf.DUMMYFUNCTION("""COMPUTED_VALUE"""),"✴️")</f>
        <v>✴️</v>
      </c>
      <c r="P74" s="288" t="str">
        <f>IFERROR(__xludf.DUMMYFUNCTION("""COMPUTED_VALUE"""),"➖")</f>
        <v>➖</v>
      </c>
      <c r="Q74" s="288" t="str">
        <f>IFERROR(__xludf.DUMMYFUNCTION("""COMPUTED_VALUE"""),"➖")</f>
        <v>➖</v>
      </c>
      <c r="R74" s="311" t="str">
        <f>IFERROR(__xludf.DUMMYFUNCTION("""COMPUTED_VALUE"""),"   ➖")</f>
        <v>➖</v>
      </c>
      <c r="S74" s="312" t="str">
        <f>IFERROR(__xludf.DUMMYFUNCTION("""COMPUTED_VALUE"""),"➖")</f>
        <v>➖</v>
      </c>
      <c r="T74" s="288" t="str">
        <f>IFERROR(__xludf.DUMMYFUNCTION("""COMPUTED_VALUE"""),"SelfExplorer")</f>
        <v>SelfExplorer</v>
      </c>
      <c r="U74" s="288" t="str">
        <f>IFERROR(__xludf.DUMMYFUNCTION("""COMPUTED_VALUE"""),"➖")</f>
        <v>➖</v>
      </c>
      <c r="V74" s="288" t="str">
        <f>IFERROR(__xludf.DUMMYFUNCTION("""COMPUTED_VALUE"""),"➖")</f>
        <v>➖</v>
      </c>
      <c r="W74" s="306"/>
      <c r="X74" s="306"/>
      <c r="Y74" s="306"/>
    </row>
    <row r="75">
      <c r="A75" s="227"/>
      <c r="B75" s="128"/>
      <c r="C75" s="227"/>
      <c r="D75" s="301" t="str">
        <f>IFERROR(__xludf.DUMMYFUNCTION("""COMPUTED_VALUE"""),"   E")</f>
        <v>E</v>
      </c>
      <c r="E75" s="313" t="str">
        <f>IFERROR(__xludf.DUMMYFUNCTION("""COMPUTED_VALUE"""),"Berserker Complex")</f>
        <v>Berserker Complex</v>
      </c>
      <c r="F75" s="303">
        <f>IFERROR(__xludf.DUMMYFUNCTION("""COMPUTED_VALUE"""),1.0)</f>
        <v>1</v>
      </c>
      <c r="G75" s="281" t="str">
        <f>IFERROR(__xludf.DUMMYFUNCTION("""COMPUTED_VALUE"""),"FT")</f>
        <v>FT</v>
      </c>
      <c r="H75" s="281" t="str">
        <f>IFERROR(__xludf.DUMMYFUNCTION("""COMPUTED_VALUE"""),"➖")</f>
        <v>➖</v>
      </c>
      <c r="I75" s="281" t="str">
        <f>IFERROR(__xludf.DUMMYFUNCTION("""COMPUTED_VALUE"""),"➖")</f>
        <v>➖</v>
      </c>
      <c r="J75" s="281" t="str">
        <f>IFERROR(__xludf.DUMMYFUNCTION("""COMPUTED_VALUE"""),"➖")</f>
        <v>➖</v>
      </c>
      <c r="K75" s="282" t="str">
        <f>IFERROR(__xludf.DUMMYFUNCTION("""COMPUTED_VALUE"""),"➖")</f>
        <v>➖</v>
      </c>
      <c r="L75" s="282" t="str">
        <f>IFERROR(__xludf.DUMMYFUNCTION("""COMPUTED_VALUE"""),"➖")</f>
        <v>➖</v>
      </c>
      <c r="M75" s="282" t="str">
        <f>IFERROR(__xludf.DUMMYFUNCTION("""COMPUTED_VALUE"""),"➖")</f>
        <v>➖</v>
      </c>
      <c r="N75" s="282" t="str">
        <f>IFERROR(__xludf.DUMMYFUNCTION("""COMPUTED_VALUE"""),"✴️")</f>
        <v>✴️</v>
      </c>
      <c r="O75" s="282" t="str">
        <f>IFERROR(__xludf.DUMMYFUNCTION("""COMPUTED_VALUE"""),"✴️")</f>
        <v>✴️</v>
      </c>
      <c r="P75" s="282" t="str">
        <f>IFERROR(__xludf.DUMMYFUNCTION("""COMPUTED_VALUE"""),"➖")</f>
        <v>➖</v>
      </c>
      <c r="Q75" s="282" t="str">
        <f>IFERROR(__xludf.DUMMYFUNCTION("""COMPUTED_VALUE"""),"➖")</f>
        <v>➖</v>
      </c>
      <c r="R75" s="304" t="str">
        <f>IFERROR(__xludf.DUMMYFUNCTION("""COMPUTED_VALUE"""),"   ➖")</f>
        <v>➖</v>
      </c>
      <c r="S75" s="305" t="str">
        <f>IFERROR(__xludf.DUMMYFUNCTION("""COMPUTED_VALUE"""),"➖")</f>
        <v>➖</v>
      </c>
      <c r="T75" s="282" t="str">
        <f>IFERROR(__xludf.DUMMYFUNCTION("""COMPUTED_VALUE"""),"SelfInterceptor")</f>
        <v>SelfInterceptor</v>
      </c>
      <c r="U75" s="282" t="str">
        <f>IFERROR(__xludf.DUMMYFUNCTION("""COMPUTED_VALUE"""),"➖")</f>
        <v>➖</v>
      </c>
      <c r="V75" s="282" t="str">
        <f>IFERROR(__xludf.DUMMYFUNCTION("""COMPUTED_VALUE"""),"➖")</f>
        <v>➖</v>
      </c>
      <c r="W75" s="306"/>
      <c r="X75" s="306"/>
      <c r="Y75" s="306"/>
    </row>
    <row r="76">
      <c r="A76" s="227"/>
      <c r="B76" s="307"/>
      <c r="C76" s="227"/>
      <c r="D76" s="308" t="str">
        <f>IFERROR(__xludf.DUMMYFUNCTION("""COMPUTED_VALUE"""),"   E")</f>
        <v>E</v>
      </c>
      <c r="E76" s="309" t="str">
        <f>IFERROR(__xludf.DUMMYFUNCTION("""COMPUTED_VALUE"""),"Berserker Complex")</f>
        <v>Berserker Complex</v>
      </c>
      <c r="F76" s="310">
        <f>IFERROR(__xludf.DUMMYFUNCTION("""COMPUTED_VALUE"""),2.0)</f>
        <v>2</v>
      </c>
      <c r="G76" s="231" t="str">
        <f>IFERROR(__xludf.DUMMYFUNCTION("""COMPUTED_VALUE"""),"FT")</f>
        <v>FT</v>
      </c>
      <c r="H76" s="231" t="str">
        <f>IFERROR(__xludf.DUMMYFUNCTION("""COMPUTED_VALUE"""),"➖")</f>
        <v>➖</v>
      </c>
      <c r="I76" s="231" t="str">
        <f>IFERROR(__xludf.DUMMYFUNCTION("""COMPUTED_VALUE"""),"➖")</f>
        <v>➖</v>
      </c>
      <c r="J76" s="231" t="str">
        <f>IFERROR(__xludf.DUMMYFUNCTION("""COMPUTED_VALUE"""),"➖")</f>
        <v>➖</v>
      </c>
      <c r="K76" s="288" t="str">
        <f>IFERROR(__xludf.DUMMYFUNCTION("""COMPUTED_VALUE"""),"➖")</f>
        <v>➖</v>
      </c>
      <c r="L76" s="288" t="str">
        <f>IFERROR(__xludf.DUMMYFUNCTION("""COMPUTED_VALUE"""),"➖")</f>
        <v>➖</v>
      </c>
      <c r="M76" s="288" t="str">
        <f>IFERROR(__xludf.DUMMYFUNCTION("""COMPUTED_VALUE"""),"➖")</f>
        <v>➖</v>
      </c>
      <c r="N76" s="288" t="str">
        <f>IFERROR(__xludf.DUMMYFUNCTION("""COMPUTED_VALUE"""),"✴️")</f>
        <v>✴️</v>
      </c>
      <c r="O76" s="288" t="str">
        <f>IFERROR(__xludf.DUMMYFUNCTION("""COMPUTED_VALUE"""),"✴️")</f>
        <v>✴️</v>
      </c>
      <c r="P76" s="288" t="str">
        <f>IFERROR(__xludf.DUMMYFUNCTION("""COMPUTED_VALUE"""),"➖")</f>
        <v>➖</v>
      </c>
      <c r="Q76" s="288" t="str">
        <f>IFERROR(__xludf.DUMMYFUNCTION("""COMPUTED_VALUE"""),"➖")</f>
        <v>➖</v>
      </c>
      <c r="R76" s="311" t="str">
        <f>IFERROR(__xludf.DUMMYFUNCTION("""COMPUTED_VALUE"""),"   ➖")</f>
        <v>➖</v>
      </c>
      <c r="S76" s="312" t="str">
        <f>IFERROR(__xludf.DUMMYFUNCTION("""COMPUTED_VALUE"""),"➖")</f>
        <v>➖</v>
      </c>
      <c r="T76" s="288" t="str">
        <f>IFERROR(__xludf.DUMMYFUNCTION("""COMPUTED_VALUE"""),"SelfInterceptor")</f>
        <v>SelfInterceptor</v>
      </c>
      <c r="U76" s="288" t="str">
        <f>IFERROR(__xludf.DUMMYFUNCTION("""COMPUTED_VALUE"""),"➖")</f>
        <v>➖</v>
      </c>
      <c r="V76" s="288" t="str">
        <f>IFERROR(__xludf.DUMMYFUNCTION("""COMPUTED_VALUE"""),"➖")</f>
        <v>➖</v>
      </c>
      <c r="W76" s="306"/>
      <c r="X76" s="306"/>
      <c r="Y76" s="306"/>
    </row>
    <row r="77">
      <c r="A77" s="227"/>
      <c r="B77" s="128"/>
      <c r="C77" s="227"/>
      <c r="D77" s="301" t="str">
        <f>IFERROR(__xludf.DUMMYFUNCTION("""COMPUTED_VALUE"""),"   E")</f>
        <v>E</v>
      </c>
      <c r="E77" s="313" t="str">
        <f>IFERROR(__xludf.DUMMYFUNCTION("""COMPUTED_VALUE"""),"Berserker Complex")</f>
        <v>Berserker Complex</v>
      </c>
      <c r="F77" s="303">
        <f>IFERROR(__xludf.DUMMYFUNCTION("""COMPUTED_VALUE"""),3.0)</f>
        <v>3</v>
      </c>
      <c r="G77" s="281" t="str">
        <f>IFERROR(__xludf.DUMMYFUNCTION("""COMPUTED_VALUE"""),"FT")</f>
        <v>FT</v>
      </c>
      <c r="H77" s="281" t="str">
        <f>IFERROR(__xludf.DUMMYFUNCTION("""COMPUTED_VALUE"""),"➖")</f>
        <v>➖</v>
      </c>
      <c r="I77" s="281" t="str">
        <f>IFERROR(__xludf.DUMMYFUNCTION("""COMPUTED_VALUE"""),"➖")</f>
        <v>➖</v>
      </c>
      <c r="J77" s="281" t="str">
        <f>IFERROR(__xludf.DUMMYFUNCTION("""COMPUTED_VALUE"""),"➖")</f>
        <v>➖</v>
      </c>
      <c r="K77" s="282" t="str">
        <f>IFERROR(__xludf.DUMMYFUNCTION("""COMPUTED_VALUE"""),"➖")</f>
        <v>➖</v>
      </c>
      <c r="L77" s="282" t="str">
        <f>IFERROR(__xludf.DUMMYFUNCTION("""COMPUTED_VALUE"""),"➖")</f>
        <v>➖</v>
      </c>
      <c r="M77" s="282" t="str">
        <f>IFERROR(__xludf.DUMMYFUNCTION("""COMPUTED_VALUE"""),"➖")</f>
        <v>➖</v>
      </c>
      <c r="N77" s="282" t="str">
        <f>IFERROR(__xludf.DUMMYFUNCTION("""COMPUTED_VALUE"""),"✴️")</f>
        <v>✴️</v>
      </c>
      <c r="O77" s="282" t="str">
        <f>IFERROR(__xludf.DUMMYFUNCTION("""COMPUTED_VALUE"""),"✴️")</f>
        <v>✴️</v>
      </c>
      <c r="P77" s="282" t="str">
        <f>IFERROR(__xludf.DUMMYFUNCTION("""COMPUTED_VALUE"""),"➖")</f>
        <v>➖</v>
      </c>
      <c r="Q77" s="282" t="str">
        <f>IFERROR(__xludf.DUMMYFUNCTION("""COMPUTED_VALUE"""),"➖")</f>
        <v>➖</v>
      </c>
      <c r="R77" s="304" t="str">
        <f>IFERROR(__xludf.DUMMYFUNCTION("""COMPUTED_VALUE"""),"   ➖")</f>
        <v>➖</v>
      </c>
      <c r="S77" s="305" t="str">
        <f>IFERROR(__xludf.DUMMYFUNCTION("""COMPUTED_VALUE"""),"➖")</f>
        <v>➖</v>
      </c>
      <c r="T77" s="282" t="str">
        <f>IFERROR(__xludf.DUMMYFUNCTION("""COMPUTED_VALUE"""),"SelfInterceptor")</f>
        <v>SelfInterceptor</v>
      </c>
      <c r="U77" s="282" t="str">
        <f>IFERROR(__xludf.DUMMYFUNCTION("""COMPUTED_VALUE"""),"➖")</f>
        <v>➖</v>
      </c>
      <c r="V77" s="282" t="str">
        <f>IFERROR(__xludf.DUMMYFUNCTION("""COMPUTED_VALUE"""),"➖")</f>
        <v>➖</v>
      </c>
      <c r="W77" s="306"/>
      <c r="X77" s="306"/>
      <c r="Y77" s="306"/>
    </row>
    <row r="78">
      <c r="A78" s="227"/>
      <c r="B78" s="307"/>
      <c r="C78" s="227"/>
      <c r="D78" s="308" t="str">
        <f>IFERROR(__xludf.DUMMYFUNCTION("""COMPUTED_VALUE"""),"   E")</f>
        <v>E</v>
      </c>
      <c r="E78" s="309" t="str">
        <f>IFERROR(__xludf.DUMMYFUNCTION("""COMPUTED_VALUE"""),"Berserker Complex")</f>
        <v>Berserker Complex</v>
      </c>
      <c r="F78" s="310">
        <f>IFERROR(__xludf.DUMMYFUNCTION("""COMPUTED_VALUE"""),4.0)</f>
        <v>4</v>
      </c>
      <c r="G78" s="231" t="str">
        <f>IFERROR(__xludf.DUMMYFUNCTION("""COMPUTED_VALUE"""),"FT")</f>
        <v>FT</v>
      </c>
      <c r="H78" s="231" t="str">
        <f>IFERROR(__xludf.DUMMYFUNCTION("""COMPUTED_VALUE"""),"➖")</f>
        <v>➖</v>
      </c>
      <c r="I78" s="231" t="str">
        <f>IFERROR(__xludf.DUMMYFUNCTION("""COMPUTED_VALUE"""),"➖")</f>
        <v>➖</v>
      </c>
      <c r="J78" s="231" t="str">
        <f>IFERROR(__xludf.DUMMYFUNCTION("""COMPUTED_VALUE"""),"➖")</f>
        <v>➖</v>
      </c>
      <c r="K78" s="288" t="str">
        <f>IFERROR(__xludf.DUMMYFUNCTION("""COMPUTED_VALUE"""),"➖")</f>
        <v>➖</v>
      </c>
      <c r="L78" s="288" t="str">
        <f>IFERROR(__xludf.DUMMYFUNCTION("""COMPUTED_VALUE"""),"➖")</f>
        <v>➖</v>
      </c>
      <c r="M78" s="288" t="str">
        <f>IFERROR(__xludf.DUMMYFUNCTION("""COMPUTED_VALUE"""),"➖")</f>
        <v>➖</v>
      </c>
      <c r="N78" s="288" t="str">
        <f>IFERROR(__xludf.DUMMYFUNCTION("""COMPUTED_VALUE"""),"✴️")</f>
        <v>✴️</v>
      </c>
      <c r="O78" s="288" t="str">
        <f>IFERROR(__xludf.DUMMYFUNCTION("""COMPUTED_VALUE"""),"✴️")</f>
        <v>✴️</v>
      </c>
      <c r="P78" s="288" t="str">
        <f>IFERROR(__xludf.DUMMYFUNCTION("""COMPUTED_VALUE"""),"➖")</f>
        <v>➖</v>
      </c>
      <c r="Q78" s="288" t="str">
        <f>IFERROR(__xludf.DUMMYFUNCTION("""COMPUTED_VALUE"""),"➖")</f>
        <v>➖</v>
      </c>
      <c r="R78" s="311" t="str">
        <f>IFERROR(__xludf.DUMMYFUNCTION("""COMPUTED_VALUE"""),"   ➖")</f>
        <v>➖</v>
      </c>
      <c r="S78" s="312" t="str">
        <f>IFERROR(__xludf.DUMMYFUNCTION("""COMPUTED_VALUE"""),"➖")</f>
        <v>➖</v>
      </c>
      <c r="T78" s="288" t="str">
        <f>IFERROR(__xludf.DUMMYFUNCTION("""COMPUTED_VALUE"""),"SelfInterceptor")</f>
        <v>SelfInterceptor</v>
      </c>
      <c r="U78" s="288" t="str">
        <f>IFERROR(__xludf.DUMMYFUNCTION("""COMPUTED_VALUE"""),"➖")</f>
        <v>➖</v>
      </c>
      <c r="V78" s="288" t="str">
        <f>IFERROR(__xludf.DUMMYFUNCTION("""COMPUTED_VALUE"""),"➖")</f>
        <v>➖</v>
      </c>
      <c r="W78" s="306"/>
      <c r="X78" s="306"/>
      <c r="Y78" s="306"/>
    </row>
    <row r="79">
      <c r="A79" s="227"/>
      <c r="B79" s="128"/>
      <c r="C79" s="227"/>
      <c r="D79" s="301" t="str">
        <f>IFERROR(__xludf.DUMMYFUNCTION("""COMPUTED_VALUE"""),"   R")</f>
        <v>R</v>
      </c>
      <c r="E79" s="313" t="str">
        <f>IFERROR(__xludf.DUMMYFUNCTION("""COMPUTED_VALUE"""),"Corrupted Cybernetic Implant")</f>
        <v>Corrupted Cybernetic Implant</v>
      </c>
      <c r="F79" s="303">
        <f>IFERROR(__xludf.DUMMYFUNCTION("""COMPUTED_VALUE"""),1.0)</f>
        <v>1</v>
      </c>
      <c r="G79" s="281" t="str">
        <f>IFERROR(__xludf.DUMMYFUNCTION("""COMPUTED_VALUE"""),"FT")</f>
        <v>FT</v>
      </c>
      <c r="H79" s="281" t="str">
        <f>IFERROR(__xludf.DUMMYFUNCTION("""COMPUTED_VALUE"""),"➖")</f>
        <v>➖</v>
      </c>
      <c r="I79" s="281" t="str">
        <f>IFERROR(__xludf.DUMMYFUNCTION("""COMPUTED_VALUE"""),"✅")</f>
        <v>✅</v>
      </c>
      <c r="J79" s="281" t="str">
        <f>IFERROR(__xludf.DUMMYFUNCTION("""COMPUTED_VALUE"""),"➖")</f>
        <v>➖</v>
      </c>
      <c r="K79" s="282" t="str">
        <f>IFERROR(__xludf.DUMMYFUNCTION("""COMPUTED_VALUE"""),"➖")</f>
        <v>➖</v>
      </c>
      <c r="L79" s="282" t="str">
        <f>IFERROR(__xludf.DUMMYFUNCTION("""COMPUTED_VALUE"""),"➖")</f>
        <v>➖</v>
      </c>
      <c r="M79" s="282" t="str">
        <f>IFERROR(__xludf.DUMMYFUNCTION("""COMPUTED_VALUE"""),"➖")</f>
        <v>➖</v>
      </c>
      <c r="N79" s="282" t="str">
        <f>IFERROR(__xludf.DUMMYFUNCTION("""COMPUTED_VALUE"""),"➖")</f>
        <v>➖</v>
      </c>
      <c r="O79" s="282" t="str">
        <f>IFERROR(__xludf.DUMMYFUNCTION("""COMPUTED_VALUE"""),"➖")</f>
        <v>➖</v>
      </c>
      <c r="P79" s="282" t="str">
        <f>IFERROR(__xludf.DUMMYFUNCTION("""COMPUTED_VALUE"""),"➖")</f>
        <v>➖</v>
      </c>
      <c r="Q79" s="282" t="str">
        <f>IFERROR(__xludf.DUMMYFUNCTION("""COMPUTED_VALUE"""),"➖")</f>
        <v>➖</v>
      </c>
      <c r="R79" s="304" t="str">
        <f>IFERROR(__xludf.DUMMYFUNCTION("""COMPUTED_VALUE"""),"   ➖")</f>
        <v>➖</v>
      </c>
      <c r="S79" s="305" t="str">
        <f>IFERROR(__xludf.DUMMYFUNCTION("""COMPUTED_VALUE"""),"➖")</f>
        <v>➖</v>
      </c>
      <c r="T79" s="282"/>
      <c r="U79" s="282" t="str">
        <f>IFERROR(__xludf.DUMMYFUNCTION("""COMPUTED_VALUE"""),"➖")</f>
        <v>➖</v>
      </c>
      <c r="V79" s="282" t="str">
        <f>IFERROR(__xludf.DUMMYFUNCTION("""COMPUTED_VALUE"""),"➖")</f>
        <v>➖</v>
      </c>
      <c r="W79" s="306"/>
      <c r="X79" s="306"/>
      <c r="Y79" s="306"/>
    </row>
    <row r="80">
      <c r="A80" s="227"/>
      <c r="B80" s="307"/>
      <c r="C80" s="227"/>
      <c r="D80" s="308" t="str">
        <f>IFERROR(__xludf.DUMMYFUNCTION("""COMPUTED_VALUE"""),"   R")</f>
        <v>R</v>
      </c>
      <c r="E80" s="309" t="str">
        <f>IFERROR(__xludf.DUMMYFUNCTION("""COMPUTED_VALUE"""),"Corrupted Cybernetic Implant")</f>
        <v>Corrupted Cybernetic Implant</v>
      </c>
      <c r="F80" s="310">
        <f>IFERROR(__xludf.DUMMYFUNCTION("""COMPUTED_VALUE"""),2.0)</f>
        <v>2</v>
      </c>
      <c r="G80" s="231" t="str">
        <f>IFERROR(__xludf.DUMMYFUNCTION("""COMPUTED_VALUE"""),"FT")</f>
        <v>FT</v>
      </c>
      <c r="H80" s="231" t="str">
        <f>IFERROR(__xludf.DUMMYFUNCTION("""COMPUTED_VALUE"""),"✅")</f>
        <v>✅</v>
      </c>
      <c r="I80" s="231" t="str">
        <f>IFERROR(__xludf.DUMMYFUNCTION("""COMPUTED_VALUE"""),"✅")</f>
        <v>✅</v>
      </c>
      <c r="J80" s="231" t="str">
        <f>IFERROR(__xludf.DUMMYFUNCTION("""COMPUTED_VALUE"""),"✅")</f>
        <v>✅</v>
      </c>
      <c r="K80" s="288" t="str">
        <f>IFERROR(__xludf.DUMMYFUNCTION("""COMPUTED_VALUE"""),"✅")</f>
        <v>✅</v>
      </c>
      <c r="L80" s="288" t="str">
        <f>IFERROR(__xludf.DUMMYFUNCTION("""COMPUTED_VALUE"""),"✅")</f>
        <v>✅</v>
      </c>
      <c r="M80" s="288" t="str">
        <f>IFERROR(__xludf.DUMMYFUNCTION("""COMPUTED_VALUE"""),"✅")</f>
        <v>✅</v>
      </c>
      <c r="N80" s="288" t="str">
        <f>IFERROR(__xludf.DUMMYFUNCTION("""COMPUTED_VALUE"""),"✅")</f>
        <v>✅</v>
      </c>
      <c r="O80" s="288" t="str">
        <f>IFERROR(__xludf.DUMMYFUNCTION("""COMPUTED_VALUE"""),"✅")</f>
        <v>✅</v>
      </c>
      <c r="P80" s="288" t="str">
        <f>IFERROR(__xludf.DUMMYFUNCTION("""COMPUTED_VALUE"""),"✅")</f>
        <v>✅</v>
      </c>
      <c r="Q80" s="288" t="str">
        <f>IFERROR(__xludf.DUMMYFUNCTION("""COMPUTED_VALUE"""),"✅")</f>
        <v>✅</v>
      </c>
      <c r="R80" s="311" t="str">
        <f>IFERROR(__xludf.DUMMYFUNCTION("""COMPUTED_VALUE"""),"   ✅")</f>
        <v>✅</v>
      </c>
      <c r="S80" s="312" t="str">
        <f>IFERROR(__xludf.DUMMYFUNCTION("""COMPUTED_VALUE"""),"✅")</f>
        <v>✅</v>
      </c>
      <c r="T80" s="288"/>
      <c r="U80" s="288" t="str">
        <f>IFERROR(__xludf.DUMMYFUNCTION("""COMPUTED_VALUE"""),"➖")</f>
        <v>➖</v>
      </c>
      <c r="V80" s="288" t="str">
        <f>IFERROR(__xludf.DUMMYFUNCTION("""COMPUTED_VALUE"""),"➖")</f>
        <v>➖</v>
      </c>
      <c r="W80" s="306"/>
      <c r="X80" s="306"/>
      <c r="Y80" s="306"/>
    </row>
    <row r="81">
      <c r="A81" s="227"/>
      <c r="B81" s="128"/>
      <c r="C81" s="227"/>
      <c r="D81" s="301" t="str">
        <f>IFERROR(__xludf.DUMMYFUNCTION("""COMPUTED_VALUE"""),"   R")</f>
        <v>R</v>
      </c>
      <c r="E81" s="313" t="str">
        <f>IFERROR(__xludf.DUMMYFUNCTION("""COMPUTED_VALUE"""),"Corrupted Cybernetic Implant")</f>
        <v>Corrupted Cybernetic Implant</v>
      </c>
      <c r="F81" s="303">
        <f>IFERROR(__xludf.DUMMYFUNCTION("""COMPUTED_VALUE"""),3.0)</f>
        <v>3</v>
      </c>
      <c r="G81" s="281" t="str">
        <f>IFERROR(__xludf.DUMMYFUNCTION("""COMPUTED_VALUE"""),"FT")</f>
        <v>FT</v>
      </c>
      <c r="H81" s="281" t="str">
        <f>IFERROR(__xludf.DUMMYFUNCTION("""COMPUTED_VALUE"""),"➖")</f>
        <v>➖</v>
      </c>
      <c r="I81" s="281" t="str">
        <f>IFERROR(__xludf.DUMMYFUNCTION("""COMPUTED_VALUE"""),"✅")</f>
        <v>✅</v>
      </c>
      <c r="J81" s="281" t="str">
        <f>IFERROR(__xludf.DUMMYFUNCTION("""COMPUTED_VALUE"""),"➖")</f>
        <v>➖</v>
      </c>
      <c r="K81" s="282" t="str">
        <f>IFERROR(__xludf.DUMMYFUNCTION("""COMPUTED_VALUE"""),"➖")</f>
        <v>➖</v>
      </c>
      <c r="L81" s="282" t="str">
        <f>IFERROR(__xludf.DUMMYFUNCTION("""COMPUTED_VALUE"""),"➖")</f>
        <v>➖</v>
      </c>
      <c r="M81" s="282" t="str">
        <f>IFERROR(__xludf.DUMMYFUNCTION("""COMPUTED_VALUE"""),"➖")</f>
        <v>➖</v>
      </c>
      <c r="N81" s="282" t="str">
        <f>IFERROR(__xludf.DUMMYFUNCTION("""COMPUTED_VALUE"""),"➖")</f>
        <v>➖</v>
      </c>
      <c r="O81" s="282" t="str">
        <f>IFERROR(__xludf.DUMMYFUNCTION("""COMPUTED_VALUE"""),"➖")</f>
        <v>➖</v>
      </c>
      <c r="P81" s="282" t="str">
        <f>IFERROR(__xludf.DUMMYFUNCTION("""COMPUTED_VALUE"""),"➖")</f>
        <v>➖</v>
      </c>
      <c r="Q81" s="282" t="str">
        <f>IFERROR(__xludf.DUMMYFUNCTION("""COMPUTED_VALUE"""),"➖")</f>
        <v>➖</v>
      </c>
      <c r="R81" s="304" t="str">
        <f>IFERROR(__xludf.DUMMYFUNCTION("""COMPUTED_VALUE"""),"   ➖")</f>
        <v>➖</v>
      </c>
      <c r="S81" s="305" t="str">
        <f>IFERROR(__xludf.DUMMYFUNCTION("""COMPUTED_VALUE"""),"➖")</f>
        <v>➖</v>
      </c>
      <c r="T81" s="282"/>
      <c r="U81" s="282" t="str">
        <f>IFERROR(__xludf.DUMMYFUNCTION("""COMPUTED_VALUE"""),"➖")</f>
        <v>➖</v>
      </c>
      <c r="V81" s="282" t="str">
        <f>IFERROR(__xludf.DUMMYFUNCTION("""COMPUTED_VALUE"""),"➖")</f>
        <v>➖</v>
      </c>
      <c r="W81" s="306"/>
      <c r="X81" s="306"/>
      <c r="Y81" s="306"/>
    </row>
    <row r="82">
      <c r="A82" s="227"/>
      <c r="B82" s="307"/>
      <c r="C82" s="227"/>
      <c r="D82" s="308" t="str">
        <f>IFERROR(__xludf.DUMMYFUNCTION("""COMPUTED_VALUE"""),"   R")</f>
        <v>R</v>
      </c>
      <c r="E82" s="309" t="str">
        <f>IFERROR(__xludf.DUMMYFUNCTION("""COMPUTED_VALUE"""),"Corrupted Cybernetic Implant")</f>
        <v>Corrupted Cybernetic Implant</v>
      </c>
      <c r="F82" s="310">
        <f>IFERROR(__xludf.DUMMYFUNCTION("""COMPUTED_VALUE"""),4.0)</f>
        <v>4</v>
      </c>
      <c r="G82" s="231" t="str">
        <f>IFERROR(__xludf.DUMMYFUNCTION("""COMPUTED_VALUE"""),"FT")</f>
        <v>FT</v>
      </c>
      <c r="H82" s="231" t="str">
        <f>IFERROR(__xludf.DUMMYFUNCTION("""COMPUTED_VALUE"""),"➖")</f>
        <v>➖</v>
      </c>
      <c r="I82" s="231" t="str">
        <f>IFERROR(__xludf.DUMMYFUNCTION("""COMPUTED_VALUE"""),"✅")</f>
        <v>✅</v>
      </c>
      <c r="J82" s="231" t="str">
        <f>IFERROR(__xludf.DUMMYFUNCTION("""COMPUTED_VALUE"""),"➖")</f>
        <v>➖</v>
      </c>
      <c r="K82" s="288" t="str">
        <f>IFERROR(__xludf.DUMMYFUNCTION("""COMPUTED_VALUE"""),"➖")</f>
        <v>➖</v>
      </c>
      <c r="L82" s="288" t="str">
        <f>IFERROR(__xludf.DUMMYFUNCTION("""COMPUTED_VALUE"""),"➖")</f>
        <v>➖</v>
      </c>
      <c r="M82" s="288" t="str">
        <f>IFERROR(__xludf.DUMMYFUNCTION("""COMPUTED_VALUE"""),"➖")</f>
        <v>➖</v>
      </c>
      <c r="N82" s="288" t="str">
        <f>IFERROR(__xludf.DUMMYFUNCTION("""COMPUTED_VALUE"""),"➖")</f>
        <v>➖</v>
      </c>
      <c r="O82" s="288" t="str">
        <f>IFERROR(__xludf.DUMMYFUNCTION("""COMPUTED_VALUE"""),"➖")</f>
        <v>➖</v>
      </c>
      <c r="P82" s="288" t="str">
        <f>IFERROR(__xludf.DUMMYFUNCTION("""COMPUTED_VALUE"""),"➖")</f>
        <v>➖</v>
      </c>
      <c r="Q82" s="288" t="str">
        <f>IFERROR(__xludf.DUMMYFUNCTION("""COMPUTED_VALUE"""),"➖")</f>
        <v>➖</v>
      </c>
      <c r="R82" s="311" t="str">
        <f>IFERROR(__xludf.DUMMYFUNCTION("""COMPUTED_VALUE"""),"   ➖")</f>
        <v>➖</v>
      </c>
      <c r="S82" s="312" t="str">
        <f>IFERROR(__xludf.DUMMYFUNCTION("""COMPUTED_VALUE"""),"➖")</f>
        <v>➖</v>
      </c>
      <c r="T82" s="288"/>
      <c r="U82" s="288" t="str">
        <f>IFERROR(__xludf.DUMMYFUNCTION("""COMPUTED_VALUE"""),"➖")</f>
        <v>➖</v>
      </c>
      <c r="V82" s="288" t="str">
        <f>IFERROR(__xludf.DUMMYFUNCTION("""COMPUTED_VALUE"""),"➖")</f>
        <v>➖</v>
      </c>
      <c r="W82" s="306"/>
      <c r="X82" s="306"/>
      <c r="Y82" s="306"/>
    </row>
    <row r="83">
      <c r="A83" s="227"/>
      <c r="B83" s="128"/>
      <c r="C83" s="227"/>
      <c r="D83" s="301" t="str">
        <f>IFERROR(__xludf.DUMMYFUNCTION("""COMPUTED_VALUE"""),"   R")</f>
        <v>R</v>
      </c>
      <c r="E83" s="313" t="str">
        <f>IFERROR(__xludf.DUMMYFUNCTION("""COMPUTED_VALUE"""),"Orion Cargo Transporter")</f>
        <v>Orion Cargo Transporter</v>
      </c>
      <c r="F83" s="303">
        <f>IFERROR(__xludf.DUMMYFUNCTION("""COMPUTED_VALUE"""),1.0)</f>
        <v>1</v>
      </c>
      <c r="G83" s="281" t="str">
        <f>IFERROR(__xludf.DUMMYFUNCTION("""COMPUTED_VALUE"""),"FT")</f>
        <v>FT</v>
      </c>
      <c r="H83" s="281" t="str">
        <f>IFERROR(__xludf.DUMMYFUNCTION("""COMPUTED_VALUE"""),"➖")</f>
        <v>➖</v>
      </c>
      <c r="I83" s="281" t="str">
        <f>IFERROR(__xludf.DUMMYFUNCTION("""COMPUTED_VALUE"""),"➖")</f>
        <v>➖</v>
      </c>
      <c r="J83" s="281" t="str">
        <f>IFERROR(__xludf.DUMMYFUNCTION("""COMPUTED_VALUE"""),"➖")</f>
        <v>➖</v>
      </c>
      <c r="K83" s="282" t="str">
        <f>IFERROR(__xludf.DUMMYFUNCTION("""COMPUTED_VALUE"""),"➖")</f>
        <v>➖</v>
      </c>
      <c r="L83" s="282" t="str">
        <f>IFERROR(__xludf.DUMMYFUNCTION("""COMPUTED_VALUE"""),"➖")</f>
        <v>➖</v>
      </c>
      <c r="M83" s="282" t="str">
        <f>IFERROR(__xludf.DUMMYFUNCTION("""COMPUTED_VALUE"""),"➖")</f>
        <v>➖</v>
      </c>
      <c r="N83" s="282" t="str">
        <f>IFERROR(__xludf.DUMMYFUNCTION("""COMPUTED_VALUE"""),"➖")</f>
        <v>➖</v>
      </c>
      <c r="O83" s="282" t="str">
        <f>IFERROR(__xludf.DUMMYFUNCTION("""COMPUTED_VALUE"""),"➖")</f>
        <v>➖</v>
      </c>
      <c r="P83" s="282" t="str">
        <f>IFERROR(__xludf.DUMMYFUNCTION("""COMPUTED_VALUE"""),"➖")</f>
        <v>➖</v>
      </c>
      <c r="Q83" s="282" t="str">
        <f>IFERROR(__xludf.DUMMYFUNCTION("""COMPUTED_VALUE"""),"➖")</f>
        <v>➖</v>
      </c>
      <c r="R83" s="304" t="str">
        <f>IFERROR(__xludf.DUMMYFUNCTION("""COMPUTED_VALUE"""),"   ➖")</f>
        <v>➖</v>
      </c>
      <c r="S83" s="305" t="str">
        <f>IFERROR(__xludf.DUMMYFUNCTION("""COMPUTED_VALUE"""),"➖")</f>
        <v>➖</v>
      </c>
      <c r="T83" s="282"/>
      <c r="U83" s="282" t="str">
        <f>IFERROR(__xludf.DUMMYFUNCTION("""COMPUTED_VALUE"""),"➖")</f>
        <v>➖</v>
      </c>
      <c r="V83" s="282" t="str">
        <f>IFERROR(__xludf.DUMMYFUNCTION("""COMPUTED_VALUE"""),"✅")</f>
        <v>✅</v>
      </c>
      <c r="W83" s="306"/>
      <c r="X83" s="306"/>
      <c r="Y83" s="306"/>
    </row>
    <row r="84">
      <c r="A84" s="227"/>
      <c r="B84" s="307"/>
      <c r="C84" s="227"/>
      <c r="D84" s="308" t="str">
        <f>IFERROR(__xludf.DUMMYFUNCTION("""COMPUTED_VALUE"""),"   R")</f>
        <v>R</v>
      </c>
      <c r="E84" s="309" t="str">
        <f>IFERROR(__xludf.DUMMYFUNCTION("""COMPUTED_VALUE"""),"Orion Cargo Transporter")</f>
        <v>Orion Cargo Transporter</v>
      </c>
      <c r="F84" s="310">
        <f>IFERROR(__xludf.DUMMYFUNCTION("""COMPUTED_VALUE"""),2.0)</f>
        <v>2</v>
      </c>
      <c r="G84" s="231" t="str">
        <f>IFERROR(__xludf.DUMMYFUNCTION("""COMPUTED_VALUE"""),"FT")</f>
        <v>FT</v>
      </c>
      <c r="H84" s="231" t="str">
        <f>IFERROR(__xludf.DUMMYFUNCTION("""COMPUTED_VALUE"""),"➖")</f>
        <v>➖</v>
      </c>
      <c r="I84" s="231" t="str">
        <f>IFERROR(__xludf.DUMMYFUNCTION("""COMPUTED_VALUE"""),"➖")</f>
        <v>➖</v>
      </c>
      <c r="J84" s="231" t="str">
        <f>IFERROR(__xludf.DUMMYFUNCTION("""COMPUTED_VALUE"""),"➖")</f>
        <v>➖</v>
      </c>
      <c r="K84" s="288" t="str">
        <f>IFERROR(__xludf.DUMMYFUNCTION("""COMPUTED_VALUE"""),"➖")</f>
        <v>➖</v>
      </c>
      <c r="L84" s="288" t="str">
        <f>IFERROR(__xludf.DUMMYFUNCTION("""COMPUTED_VALUE"""),"➖")</f>
        <v>➖</v>
      </c>
      <c r="M84" s="288" t="str">
        <f>IFERROR(__xludf.DUMMYFUNCTION("""COMPUTED_VALUE"""),"➖")</f>
        <v>➖</v>
      </c>
      <c r="N84" s="288" t="str">
        <f>IFERROR(__xludf.DUMMYFUNCTION("""COMPUTED_VALUE"""),"➖")</f>
        <v>➖</v>
      </c>
      <c r="O84" s="288" t="str">
        <f>IFERROR(__xludf.DUMMYFUNCTION("""COMPUTED_VALUE"""),"➖")</f>
        <v>➖</v>
      </c>
      <c r="P84" s="288" t="str">
        <f>IFERROR(__xludf.DUMMYFUNCTION("""COMPUTED_VALUE"""),"➖")</f>
        <v>➖</v>
      </c>
      <c r="Q84" s="288" t="str">
        <f>IFERROR(__xludf.DUMMYFUNCTION("""COMPUTED_VALUE"""),"➖")</f>
        <v>➖</v>
      </c>
      <c r="R84" s="311" t="str">
        <f>IFERROR(__xludf.DUMMYFUNCTION("""COMPUTED_VALUE"""),"   ➖")</f>
        <v>➖</v>
      </c>
      <c r="S84" s="312" t="str">
        <f>IFERROR(__xludf.DUMMYFUNCTION("""COMPUTED_VALUE"""),"➖")</f>
        <v>➖</v>
      </c>
      <c r="T84" s="288"/>
      <c r="U84" s="288" t="str">
        <f>IFERROR(__xludf.DUMMYFUNCTION("""COMPUTED_VALUE"""),"➖")</f>
        <v>➖</v>
      </c>
      <c r="V84" s="288" t="str">
        <f>IFERROR(__xludf.DUMMYFUNCTION("""COMPUTED_VALUE"""),"✅")</f>
        <v>✅</v>
      </c>
      <c r="W84" s="306"/>
      <c r="X84" s="306"/>
      <c r="Y84" s="306"/>
    </row>
    <row r="85">
      <c r="A85" s="227"/>
      <c r="B85" s="128"/>
      <c r="C85" s="227"/>
      <c r="D85" s="301" t="str">
        <f>IFERROR(__xludf.DUMMYFUNCTION("""COMPUTED_VALUE"""),"   R")</f>
        <v>R</v>
      </c>
      <c r="E85" s="313" t="str">
        <f>IFERROR(__xludf.DUMMYFUNCTION("""COMPUTED_VALUE"""),"Orion Cargo Transporter")</f>
        <v>Orion Cargo Transporter</v>
      </c>
      <c r="F85" s="303">
        <f>IFERROR(__xludf.DUMMYFUNCTION("""COMPUTED_VALUE"""),3.0)</f>
        <v>3</v>
      </c>
      <c r="G85" s="281" t="str">
        <f>IFERROR(__xludf.DUMMYFUNCTION("""COMPUTED_VALUE"""),"FT")</f>
        <v>FT</v>
      </c>
      <c r="H85" s="281" t="str">
        <f>IFERROR(__xludf.DUMMYFUNCTION("""COMPUTED_VALUE"""),"➖")</f>
        <v>➖</v>
      </c>
      <c r="I85" s="281" t="str">
        <f>IFERROR(__xludf.DUMMYFUNCTION("""COMPUTED_VALUE"""),"➖")</f>
        <v>➖</v>
      </c>
      <c r="J85" s="281" t="str">
        <f>IFERROR(__xludf.DUMMYFUNCTION("""COMPUTED_VALUE"""),"➖")</f>
        <v>➖</v>
      </c>
      <c r="K85" s="282" t="str">
        <f>IFERROR(__xludf.DUMMYFUNCTION("""COMPUTED_VALUE"""),"➖")</f>
        <v>➖</v>
      </c>
      <c r="L85" s="282" t="str">
        <f>IFERROR(__xludf.DUMMYFUNCTION("""COMPUTED_VALUE"""),"➖")</f>
        <v>➖</v>
      </c>
      <c r="M85" s="282" t="str">
        <f>IFERROR(__xludf.DUMMYFUNCTION("""COMPUTED_VALUE"""),"➖")</f>
        <v>➖</v>
      </c>
      <c r="N85" s="282" t="str">
        <f>IFERROR(__xludf.DUMMYFUNCTION("""COMPUTED_VALUE"""),"➖")</f>
        <v>➖</v>
      </c>
      <c r="O85" s="282" t="str">
        <f>IFERROR(__xludf.DUMMYFUNCTION("""COMPUTED_VALUE"""),"➖")</f>
        <v>➖</v>
      </c>
      <c r="P85" s="282" t="str">
        <f>IFERROR(__xludf.DUMMYFUNCTION("""COMPUTED_VALUE"""),"➖")</f>
        <v>➖</v>
      </c>
      <c r="Q85" s="282" t="str">
        <f>IFERROR(__xludf.DUMMYFUNCTION("""COMPUTED_VALUE"""),"➖")</f>
        <v>➖</v>
      </c>
      <c r="R85" s="304" t="str">
        <f>IFERROR(__xludf.DUMMYFUNCTION("""COMPUTED_VALUE"""),"   ➖")</f>
        <v>➖</v>
      </c>
      <c r="S85" s="305" t="str">
        <f>IFERROR(__xludf.DUMMYFUNCTION("""COMPUTED_VALUE"""),"➖")</f>
        <v>➖</v>
      </c>
      <c r="T85" s="282"/>
      <c r="U85" s="282" t="str">
        <f>IFERROR(__xludf.DUMMYFUNCTION("""COMPUTED_VALUE"""),"➖")</f>
        <v>➖</v>
      </c>
      <c r="V85" s="282" t="str">
        <f>IFERROR(__xludf.DUMMYFUNCTION("""COMPUTED_VALUE"""),"✅")</f>
        <v>✅</v>
      </c>
      <c r="W85" s="306"/>
      <c r="X85" s="306"/>
      <c r="Y85" s="306"/>
    </row>
    <row r="86">
      <c r="A86" s="227"/>
      <c r="B86" s="307"/>
      <c r="C86" s="227"/>
      <c r="D86" s="308" t="str">
        <f>IFERROR(__xludf.DUMMYFUNCTION("""COMPUTED_VALUE"""),"   R")</f>
        <v>R</v>
      </c>
      <c r="E86" s="309" t="str">
        <f>IFERROR(__xludf.DUMMYFUNCTION("""COMPUTED_VALUE"""),"Orion Cargo Transporter")</f>
        <v>Orion Cargo Transporter</v>
      </c>
      <c r="F86" s="310">
        <f>IFERROR(__xludf.DUMMYFUNCTION("""COMPUTED_VALUE"""),4.0)</f>
        <v>4</v>
      </c>
      <c r="G86" s="231" t="str">
        <f>IFERROR(__xludf.DUMMYFUNCTION("""COMPUTED_VALUE"""),"FT")</f>
        <v>FT</v>
      </c>
      <c r="H86" s="231" t="str">
        <f>IFERROR(__xludf.DUMMYFUNCTION("""COMPUTED_VALUE"""),"➖")</f>
        <v>➖</v>
      </c>
      <c r="I86" s="231" t="str">
        <f>IFERROR(__xludf.DUMMYFUNCTION("""COMPUTED_VALUE"""),"✴️")</f>
        <v>✴️</v>
      </c>
      <c r="J86" s="231" t="str">
        <f>IFERROR(__xludf.DUMMYFUNCTION("""COMPUTED_VALUE"""),"➖")</f>
        <v>➖</v>
      </c>
      <c r="K86" s="288" t="str">
        <f>IFERROR(__xludf.DUMMYFUNCTION("""COMPUTED_VALUE"""),"➖")</f>
        <v>➖</v>
      </c>
      <c r="L86" s="288" t="str">
        <f>IFERROR(__xludf.DUMMYFUNCTION("""COMPUTED_VALUE"""),"➖")</f>
        <v>➖</v>
      </c>
      <c r="M86" s="288" t="str">
        <f>IFERROR(__xludf.DUMMYFUNCTION("""COMPUTED_VALUE"""),"➖")</f>
        <v>➖</v>
      </c>
      <c r="N86" s="288" t="str">
        <f>IFERROR(__xludf.DUMMYFUNCTION("""COMPUTED_VALUE"""),"➖")</f>
        <v>➖</v>
      </c>
      <c r="O86" s="288" t="str">
        <f>IFERROR(__xludf.DUMMYFUNCTION("""COMPUTED_VALUE"""),"➖")</f>
        <v>➖</v>
      </c>
      <c r="P86" s="288" t="str">
        <f>IFERROR(__xludf.DUMMYFUNCTION("""COMPUTED_VALUE"""),"➖")</f>
        <v>➖</v>
      </c>
      <c r="Q86" s="288" t="str">
        <f>IFERROR(__xludf.DUMMYFUNCTION("""COMPUTED_VALUE"""),"➖")</f>
        <v>➖</v>
      </c>
      <c r="R86" s="311" t="str">
        <f>IFERROR(__xludf.DUMMYFUNCTION("""COMPUTED_VALUE"""),"   ➖")</f>
        <v>➖</v>
      </c>
      <c r="S86" s="312" t="str">
        <f>IFERROR(__xludf.DUMMYFUNCTION("""COMPUTED_VALUE"""),"➖")</f>
        <v>➖</v>
      </c>
      <c r="T86" s="288" t="str">
        <f>IFERROR(__xludf.DUMMYFUNCTION("""COMPUTED_VALUE"""),"Amalgam")</f>
        <v>Amalgam</v>
      </c>
      <c r="U86" s="288" t="str">
        <f>IFERROR(__xludf.DUMMYFUNCTION("""COMPUTED_VALUE"""),"➖")</f>
        <v>➖</v>
      </c>
      <c r="V86" s="288" t="str">
        <f>IFERROR(__xludf.DUMMYFUNCTION("""COMPUTED_VALUE"""),"➖")</f>
        <v>➖</v>
      </c>
      <c r="W86" s="306"/>
      <c r="X86" s="306"/>
      <c r="Y86" s="306"/>
    </row>
    <row r="87">
      <c r="A87" s="227"/>
      <c r="B87" s="128"/>
      <c r="C87" s="227"/>
      <c r="D87" s="301" t="str">
        <f>IFERROR(__xludf.DUMMYFUNCTION("""COMPUTED_VALUE"""),"   R")</f>
        <v>R</v>
      </c>
      <c r="E87" s="313" t="str">
        <f>IFERROR(__xludf.DUMMYFUNCTION("""COMPUTED_VALUE"""),"Ferengi Energy Whip")</f>
        <v>Ferengi Energy Whip</v>
      </c>
      <c r="F87" s="303">
        <f>IFERROR(__xludf.DUMMYFUNCTION("""COMPUTED_VALUE"""),1.0)</f>
        <v>1</v>
      </c>
      <c r="G87" s="281" t="str">
        <f>IFERROR(__xludf.DUMMYFUNCTION("""COMPUTED_VALUE"""),"FT")</f>
        <v>FT</v>
      </c>
      <c r="H87" s="281" t="str">
        <f>IFERROR(__xludf.DUMMYFUNCTION("""COMPUTED_VALUE"""),"➖")</f>
        <v>➖</v>
      </c>
      <c r="I87" s="281" t="str">
        <f>IFERROR(__xludf.DUMMYFUNCTION("""COMPUTED_VALUE"""),"➖")</f>
        <v>➖</v>
      </c>
      <c r="J87" s="281" t="str">
        <f>IFERROR(__xludf.DUMMYFUNCTION("""COMPUTED_VALUE"""),"➖")</f>
        <v>➖</v>
      </c>
      <c r="K87" s="282" t="str">
        <f>IFERROR(__xludf.DUMMYFUNCTION("""COMPUTED_VALUE"""),"➖")</f>
        <v>➖</v>
      </c>
      <c r="L87" s="282" t="str">
        <f>IFERROR(__xludf.DUMMYFUNCTION("""COMPUTED_VALUE"""),"➖")</f>
        <v>➖</v>
      </c>
      <c r="M87" s="282" t="str">
        <f>IFERROR(__xludf.DUMMYFUNCTION("""COMPUTED_VALUE"""),"➖")</f>
        <v>➖</v>
      </c>
      <c r="N87" s="282" t="str">
        <f>IFERROR(__xludf.DUMMYFUNCTION("""COMPUTED_VALUE"""),"➖")</f>
        <v>➖</v>
      </c>
      <c r="O87" s="282" t="str">
        <f>IFERROR(__xludf.DUMMYFUNCTION("""COMPUTED_VALUE"""),"➖")</f>
        <v>➖</v>
      </c>
      <c r="P87" s="282" t="str">
        <f>IFERROR(__xludf.DUMMYFUNCTION("""COMPUTED_VALUE"""),"➖")</f>
        <v>➖</v>
      </c>
      <c r="Q87" s="282" t="str">
        <f>IFERROR(__xludf.DUMMYFUNCTION("""COMPUTED_VALUE"""),"➖")</f>
        <v>➖</v>
      </c>
      <c r="R87" s="304" t="str">
        <f>IFERROR(__xludf.DUMMYFUNCTION("""COMPUTED_VALUE"""),"   ➖")</f>
        <v>➖</v>
      </c>
      <c r="S87" s="305" t="str">
        <f>IFERROR(__xludf.DUMMYFUNCTION("""COMPUTED_VALUE"""),"➖")</f>
        <v>➖</v>
      </c>
      <c r="T87" s="282"/>
      <c r="U87" s="282" t="str">
        <f>IFERROR(__xludf.DUMMYFUNCTION("""COMPUTED_VALUE"""),"➖")</f>
        <v>➖</v>
      </c>
      <c r="V87" s="282" t="str">
        <f>IFERROR(__xludf.DUMMYFUNCTION("""COMPUTED_VALUE"""),"✅")</f>
        <v>✅</v>
      </c>
      <c r="W87" s="306"/>
      <c r="X87" s="306"/>
      <c r="Y87" s="306"/>
    </row>
    <row r="88">
      <c r="A88" s="227"/>
      <c r="B88" s="307"/>
      <c r="C88" s="227"/>
      <c r="D88" s="308" t="str">
        <f>IFERROR(__xludf.DUMMYFUNCTION("""COMPUTED_VALUE"""),"   R")</f>
        <v>R</v>
      </c>
      <c r="E88" s="309" t="str">
        <f>IFERROR(__xludf.DUMMYFUNCTION("""COMPUTED_VALUE"""),"Ferengi Energy Whip")</f>
        <v>Ferengi Energy Whip</v>
      </c>
      <c r="F88" s="310">
        <f>IFERROR(__xludf.DUMMYFUNCTION("""COMPUTED_VALUE"""),2.0)</f>
        <v>2</v>
      </c>
      <c r="G88" s="231" t="str">
        <f>IFERROR(__xludf.DUMMYFUNCTION("""COMPUTED_VALUE"""),"FT")</f>
        <v>FT</v>
      </c>
      <c r="H88" s="231" t="str">
        <f>IFERROR(__xludf.DUMMYFUNCTION("""COMPUTED_VALUE"""),"➖")</f>
        <v>➖</v>
      </c>
      <c r="I88" s="231" t="str">
        <f>IFERROR(__xludf.DUMMYFUNCTION("""COMPUTED_VALUE"""),"➖")</f>
        <v>➖</v>
      </c>
      <c r="J88" s="231" t="str">
        <f>IFERROR(__xludf.DUMMYFUNCTION("""COMPUTED_VALUE"""),"➖")</f>
        <v>➖</v>
      </c>
      <c r="K88" s="288" t="str">
        <f>IFERROR(__xludf.DUMMYFUNCTION("""COMPUTED_VALUE"""),"➖")</f>
        <v>➖</v>
      </c>
      <c r="L88" s="288" t="str">
        <f>IFERROR(__xludf.DUMMYFUNCTION("""COMPUTED_VALUE"""),"➖")</f>
        <v>➖</v>
      </c>
      <c r="M88" s="288" t="str">
        <f>IFERROR(__xludf.DUMMYFUNCTION("""COMPUTED_VALUE"""),"➖")</f>
        <v>➖</v>
      </c>
      <c r="N88" s="288" t="str">
        <f>IFERROR(__xludf.DUMMYFUNCTION("""COMPUTED_VALUE"""),"➖")</f>
        <v>➖</v>
      </c>
      <c r="O88" s="288" t="str">
        <f>IFERROR(__xludf.DUMMYFUNCTION("""COMPUTED_VALUE"""),"➖")</f>
        <v>➖</v>
      </c>
      <c r="P88" s="288" t="str">
        <f>IFERROR(__xludf.DUMMYFUNCTION("""COMPUTED_VALUE"""),"➖")</f>
        <v>➖</v>
      </c>
      <c r="Q88" s="288" t="str">
        <f>IFERROR(__xludf.DUMMYFUNCTION("""COMPUTED_VALUE"""),"➖")</f>
        <v>➖</v>
      </c>
      <c r="R88" s="311" t="str">
        <f>IFERROR(__xludf.DUMMYFUNCTION("""COMPUTED_VALUE"""),"   ➖")</f>
        <v>➖</v>
      </c>
      <c r="S88" s="312" t="str">
        <f>IFERROR(__xludf.DUMMYFUNCTION("""COMPUTED_VALUE"""),"➖")</f>
        <v>➖</v>
      </c>
      <c r="T88" s="288"/>
      <c r="U88" s="288" t="str">
        <f>IFERROR(__xludf.DUMMYFUNCTION("""COMPUTED_VALUE"""),"➖")</f>
        <v>➖</v>
      </c>
      <c r="V88" s="288" t="str">
        <f>IFERROR(__xludf.DUMMYFUNCTION("""COMPUTED_VALUE"""),"✅")</f>
        <v>✅</v>
      </c>
      <c r="W88" s="306"/>
      <c r="X88" s="306"/>
      <c r="Y88" s="306"/>
    </row>
    <row r="89">
      <c r="A89" s="227"/>
      <c r="B89" s="128"/>
      <c r="C89" s="227"/>
      <c r="D89" s="301" t="str">
        <f>IFERROR(__xludf.DUMMYFUNCTION("""COMPUTED_VALUE"""),"   R")</f>
        <v>R</v>
      </c>
      <c r="E89" s="313" t="str">
        <f>IFERROR(__xludf.DUMMYFUNCTION("""COMPUTED_VALUE"""),"Ferengi Energy Whip")</f>
        <v>Ferengi Energy Whip</v>
      </c>
      <c r="F89" s="303">
        <f>IFERROR(__xludf.DUMMYFUNCTION("""COMPUTED_VALUE"""),3.0)</f>
        <v>3</v>
      </c>
      <c r="G89" s="281" t="str">
        <f>IFERROR(__xludf.DUMMYFUNCTION("""COMPUTED_VALUE"""),"FT")</f>
        <v>FT</v>
      </c>
      <c r="H89" s="281" t="str">
        <f>IFERROR(__xludf.DUMMYFUNCTION("""COMPUTED_VALUE"""),"➖")</f>
        <v>➖</v>
      </c>
      <c r="I89" s="281" t="str">
        <f>IFERROR(__xludf.DUMMYFUNCTION("""COMPUTED_VALUE"""),"➖")</f>
        <v>➖</v>
      </c>
      <c r="J89" s="281" t="str">
        <f>IFERROR(__xludf.DUMMYFUNCTION("""COMPUTED_VALUE"""),"➖")</f>
        <v>➖</v>
      </c>
      <c r="K89" s="282" t="str">
        <f>IFERROR(__xludf.DUMMYFUNCTION("""COMPUTED_VALUE"""),"➖")</f>
        <v>➖</v>
      </c>
      <c r="L89" s="282" t="str">
        <f>IFERROR(__xludf.DUMMYFUNCTION("""COMPUTED_VALUE"""),"➖")</f>
        <v>➖</v>
      </c>
      <c r="M89" s="282" t="str">
        <f>IFERROR(__xludf.DUMMYFUNCTION("""COMPUTED_VALUE"""),"➖")</f>
        <v>➖</v>
      </c>
      <c r="N89" s="282" t="str">
        <f>IFERROR(__xludf.DUMMYFUNCTION("""COMPUTED_VALUE"""),"➖")</f>
        <v>➖</v>
      </c>
      <c r="O89" s="282" t="str">
        <f>IFERROR(__xludf.DUMMYFUNCTION("""COMPUTED_VALUE"""),"➖")</f>
        <v>➖</v>
      </c>
      <c r="P89" s="282" t="str">
        <f>IFERROR(__xludf.DUMMYFUNCTION("""COMPUTED_VALUE"""),"➖")</f>
        <v>➖</v>
      </c>
      <c r="Q89" s="282" t="str">
        <f>IFERROR(__xludf.DUMMYFUNCTION("""COMPUTED_VALUE"""),"➖")</f>
        <v>➖</v>
      </c>
      <c r="R89" s="304" t="str">
        <f>IFERROR(__xludf.DUMMYFUNCTION("""COMPUTED_VALUE"""),"   ➖")</f>
        <v>➖</v>
      </c>
      <c r="S89" s="305" t="str">
        <f>IFERROR(__xludf.DUMMYFUNCTION("""COMPUTED_VALUE"""),"➖")</f>
        <v>➖</v>
      </c>
      <c r="T89" s="282"/>
      <c r="U89" s="282" t="str">
        <f>IFERROR(__xludf.DUMMYFUNCTION("""COMPUTED_VALUE"""),"➖")</f>
        <v>➖</v>
      </c>
      <c r="V89" s="282" t="str">
        <f>IFERROR(__xludf.DUMMYFUNCTION("""COMPUTED_VALUE"""),"✅")</f>
        <v>✅</v>
      </c>
      <c r="W89" s="306"/>
      <c r="X89" s="306"/>
      <c r="Y89" s="306"/>
    </row>
    <row r="90">
      <c r="A90" s="227"/>
      <c r="B90" s="307"/>
      <c r="C90" s="227"/>
      <c r="D90" s="308" t="str">
        <f>IFERROR(__xludf.DUMMYFUNCTION("""COMPUTED_VALUE"""),"   R")</f>
        <v>R</v>
      </c>
      <c r="E90" s="309" t="str">
        <f>IFERROR(__xludf.DUMMYFUNCTION("""COMPUTED_VALUE"""),"Ferengi Energy Whip")</f>
        <v>Ferengi Energy Whip</v>
      </c>
      <c r="F90" s="310">
        <f>IFERROR(__xludf.DUMMYFUNCTION("""COMPUTED_VALUE"""),4.0)</f>
        <v>4</v>
      </c>
      <c r="G90" s="231" t="str">
        <f>IFERROR(__xludf.DUMMYFUNCTION("""COMPUTED_VALUE"""),"FT")</f>
        <v>FT</v>
      </c>
      <c r="H90" s="231" t="str">
        <f>IFERROR(__xludf.DUMMYFUNCTION("""COMPUTED_VALUE"""),"➖")</f>
        <v>➖</v>
      </c>
      <c r="I90" s="231" t="str">
        <f>IFERROR(__xludf.DUMMYFUNCTION("""COMPUTED_VALUE"""),"➖")</f>
        <v>➖</v>
      </c>
      <c r="J90" s="231" t="str">
        <f>IFERROR(__xludf.DUMMYFUNCTION("""COMPUTED_VALUE"""),"➖")</f>
        <v>➖</v>
      </c>
      <c r="K90" s="288" t="str">
        <f>IFERROR(__xludf.DUMMYFUNCTION("""COMPUTED_VALUE"""),"➖")</f>
        <v>➖</v>
      </c>
      <c r="L90" s="288" t="str">
        <f>IFERROR(__xludf.DUMMYFUNCTION("""COMPUTED_VALUE"""),"➖")</f>
        <v>➖</v>
      </c>
      <c r="M90" s="288" t="str">
        <f>IFERROR(__xludf.DUMMYFUNCTION("""COMPUTED_VALUE"""),"➖")</f>
        <v>➖</v>
      </c>
      <c r="N90" s="288" t="str">
        <f>IFERROR(__xludf.DUMMYFUNCTION("""COMPUTED_VALUE"""),"➖")</f>
        <v>➖</v>
      </c>
      <c r="O90" s="288" t="str">
        <f>IFERROR(__xludf.DUMMYFUNCTION("""COMPUTED_VALUE"""),"➖")</f>
        <v>➖</v>
      </c>
      <c r="P90" s="288" t="str">
        <f>IFERROR(__xludf.DUMMYFUNCTION("""COMPUTED_VALUE"""),"➖")</f>
        <v>➖</v>
      </c>
      <c r="Q90" s="288" t="str">
        <f>IFERROR(__xludf.DUMMYFUNCTION("""COMPUTED_VALUE"""),"➖")</f>
        <v>➖</v>
      </c>
      <c r="R90" s="311" t="str">
        <f>IFERROR(__xludf.DUMMYFUNCTION("""COMPUTED_VALUE"""),"   ➖")</f>
        <v>➖</v>
      </c>
      <c r="S90" s="312" t="str">
        <f>IFERROR(__xludf.DUMMYFUNCTION("""COMPUTED_VALUE"""),"➖")</f>
        <v>➖</v>
      </c>
      <c r="T90" s="288"/>
      <c r="U90" s="288" t="str">
        <f>IFERROR(__xludf.DUMMYFUNCTION("""COMPUTED_VALUE"""),"➖")</f>
        <v>➖</v>
      </c>
      <c r="V90" s="288" t="str">
        <f>IFERROR(__xludf.DUMMYFUNCTION("""COMPUTED_VALUE"""),"✅")</f>
        <v>✅</v>
      </c>
      <c r="W90" s="306"/>
      <c r="X90" s="306"/>
      <c r="Y90" s="306"/>
    </row>
    <row r="91">
      <c r="A91" s="227"/>
      <c r="B91" s="128"/>
      <c r="C91" s="227"/>
      <c r="D91" s="301" t="str">
        <f>IFERROR(__xludf.DUMMYFUNCTION("""COMPUTED_VALUE"""),"   R")</f>
        <v>R</v>
      </c>
      <c r="E91" s="313" t="str">
        <f>IFERROR(__xludf.DUMMYFUNCTION("""COMPUTED_VALUE"""),"Breen Energy Dampener")</f>
        <v>Breen Energy Dampener</v>
      </c>
      <c r="F91" s="303">
        <f>IFERROR(__xludf.DUMMYFUNCTION("""COMPUTED_VALUE"""),1.0)</f>
        <v>1</v>
      </c>
      <c r="G91" s="281" t="str">
        <f>IFERROR(__xludf.DUMMYFUNCTION("""COMPUTED_VALUE"""),"FT")</f>
        <v>FT</v>
      </c>
      <c r="H91" s="281" t="str">
        <f>IFERROR(__xludf.DUMMYFUNCTION("""COMPUTED_VALUE"""),"➖")</f>
        <v>➖</v>
      </c>
      <c r="I91" s="281" t="str">
        <f>IFERROR(__xludf.DUMMYFUNCTION("""COMPUTED_VALUE"""),"➖")</f>
        <v>➖</v>
      </c>
      <c r="J91" s="281" t="str">
        <f>IFERROR(__xludf.DUMMYFUNCTION("""COMPUTED_VALUE"""),"✴️")</f>
        <v>✴️</v>
      </c>
      <c r="K91" s="282" t="str">
        <f>IFERROR(__xludf.DUMMYFUNCTION("""COMPUTED_VALUE"""),"➖")</f>
        <v>➖</v>
      </c>
      <c r="L91" s="282" t="str">
        <f>IFERROR(__xludf.DUMMYFUNCTION("""COMPUTED_VALUE"""),"➖")</f>
        <v>➖</v>
      </c>
      <c r="M91" s="282" t="str">
        <f>IFERROR(__xludf.DUMMYFUNCTION("""COMPUTED_VALUE"""),"➖")</f>
        <v>➖</v>
      </c>
      <c r="N91" s="282" t="str">
        <f>IFERROR(__xludf.DUMMYFUNCTION("""COMPUTED_VALUE"""),"➖")</f>
        <v>➖</v>
      </c>
      <c r="O91" s="282" t="str">
        <f>IFERROR(__xludf.DUMMYFUNCTION("""COMPUTED_VALUE"""),"➖")</f>
        <v>➖</v>
      </c>
      <c r="P91" s="282" t="str">
        <f>IFERROR(__xludf.DUMMYFUNCTION("""COMPUTED_VALUE"""),"➖")</f>
        <v>➖</v>
      </c>
      <c r="Q91" s="282" t="str">
        <f>IFERROR(__xludf.DUMMYFUNCTION("""COMPUTED_VALUE"""),"➖")</f>
        <v>➖</v>
      </c>
      <c r="R91" s="304" t="str">
        <f>IFERROR(__xludf.DUMMYFUNCTION("""COMPUTED_VALUE"""),"   ➖")</f>
        <v>➖</v>
      </c>
      <c r="S91" s="305" t="str">
        <f>IFERROR(__xludf.DUMMYFUNCTION("""COMPUTED_VALUE"""),"➖")</f>
        <v>➖</v>
      </c>
      <c r="T91" s="282" t="str">
        <f>IFERROR(__xludf.DUMMYFUNCTION("""COMPUTED_VALUE"""),"MantisActianVenomLoot")</f>
        <v>MantisActianVenomLoot</v>
      </c>
      <c r="U91" s="282" t="str">
        <f>IFERROR(__xludf.DUMMYFUNCTION("""COMPUTED_VALUE"""),"✅")</f>
        <v>✅</v>
      </c>
      <c r="V91" s="282" t="str">
        <f>IFERROR(__xludf.DUMMYFUNCTION("""COMPUTED_VALUE"""),"➖")</f>
        <v>➖</v>
      </c>
      <c r="W91" s="306"/>
      <c r="X91" s="306"/>
      <c r="Y91" s="306"/>
    </row>
    <row r="92">
      <c r="A92" s="227"/>
      <c r="B92" s="307"/>
      <c r="C92" s="227"/>
      <c r="D92" s="308" t="str">
        <f>IFERROR(__xludf.DUMMYFUNCTION("""COMPUTED_VALUE"""),"   R")</f>
        <v>R</v>
      </c>
      <c r="E92" s="309" t="str">
        <f>IFERROR(__xludf.DUMMYFUNCTION("""COMPUTED_VALUE"""),"Breen Energy Dampener")</f>
        <v>Breen Energy Dampener</v>
      </c>
      <c r="F92" s="310">
        <f>IFERROR(__xludf.DUMMYFUNCTION("""COMPUTED_VALUE"""),2.0)</f>
        <v>2</v>
      </c>
      <c r="G92" s="231" t="str">
        <f>IFERROR(__xludf.DUMMYFUNCTION("""COMPUTED_VALUE"""),"FT")</f>
        <v>FT</v>
      </c>
      <c r="H92" s="231" t="str">
        <f>IFERROR(__xludf.DUMMYFUNCTION("""COMPUTED_VALUE"""),"➖")</f>
        <v>➖</v>
      </c>
      <c r="I92" s="231" t="str">
        <f>IFERROR(__xludf.DUMMYFUNCTION("""COMPUTED_VALUE"""),"➖")</f>
        <v>➖</v>
      </c>
      <c r="J92" s="231" t="str">
        <f>IFERROR(__xludf.DUMMYFUNCTION("""COMPUTED_VALUE"""),"✅")</f>
        <v>✅</v>
      </c>
      <c r="K92" s="288" t="str">
        <f>IFERROR(__xludf.DUMMYFUNCTION("""COMPUTED_VALUE"""),"✅")</f>
        <v>✅</v>
      </c>
      <c r="L92" s="288" t="str">
        <f>IFERROR(__xludf.DUMMYFUNCTION("""COMPUTED_VALUE"""),"✅")</f>
        <v>✅</v>
      </c>
      <c r="M92" s="288" t="str">
        <f>IFERROR(__xludf.DUMMYFUNCTION("""COMPUTED_VALUE"""),"➖")</f>
        <v>➖</v>
      </c>
      <c r="N92" s="288" t="str">
        <f>IFERROR(__xludf.DUMMYFUNCTION("""COMPUTED_VALUE"""),"➖")</f>
        <v>➖</v>
      </c>
      <c r="O92" s="288" t="str">
        <f>IFERROR(__xludf.DUMMYFUNCTION("""COMPUTED_VALUE"""),"➖")</f>
        <v>➖</v>
      </c>
      <c r="P92" s="288" t="str">
        <f>IFERROR(__xludf.DUMMYFUNCTION("""COMPUTED_VALUE"""),"➖")</f>
        <v>➖</v>
      </c>
      <c r="Q92" s="288" t="str">
        <f>IFERROR(__xludf.DUMMYFUNCTION("""COMPUTED_VALUE"""),"➖")</f>
        <v>➖</v>
      </c>
      <c r="R92" s="311" t="str">
        <f>IFERROR(__xludf.DUMMYFUNCTION("""COMPUTED_VALUE"""),"   ➖")</f>
        <v>➖</v>
      </c>
      <c r="S92" s="312" t="str">
        <f>IFERROR(__xludf.DUMMYFUNCTION("""COMPUTED_VALUE"""),"➖")</f>
        <v>➖</v>
      </c>
      <c r="T92" s="288"/>
      <c r="U92" s="288" t="str">
        <f>IFERROR(__xludf.DUMMYFUNCTION("""COMPUTED_VALUE"""),"➖")</f>
        <v>➖</v>
      </c>
      <c r="V92" s="288" t="str">
        <f>IFERROR(__xludf.DUMMYFUNCTION("""COMPUTED_VALUE"""),"➖")</f>
        <v>➖</v>
      </c>
      <c r="W92" s="306"/>
      <c r="X92" s="306"/>
      <c r="Y92" s="306"/>
    </row>
    <row r="93">
      <c r="A93" s="227"/>
      <c r="B93" s="128"/>
      <c r="C93" s="227"/>
      <c r="D93" s="301" t="str">
        <f>IFERROR(__xludf.DUMMYFUNCTION("""COMPUTED_VALUE"""),"   R")</f>
        <v>R</v>
      </c>
      <c r="E93" s="313" t="str">
        <f>IFERROR(__xludf.DUMMYFUNCTION("""COMPUTED_VALUE"""),"Breen Energy Dampener")</f>
        <v>Breen Energy Dampener</v>
      </c>
      <c r="F93" s="303">
        <f>IFERROR(__xludf.DUMMYFUNCTION("""COMPUTED_VALUE"""),3.0)</f>
        <v>3</v>
      </c>
      <c r="G93" s="281" t="str">
        <f>IFERROR(__xludf.DUMMYFUNCTION("""COMPUTED_VALUE"""),"FT")</f>
        <v>FT</v>
      </c>
      <c r="H93" s="281" t="str">
        <f>IFERROR(__xludf.DUMMYFUNCTION("""COMPUTED_VALUE"""),"➖")</f>
        <v>➖</v>
      </c>
      <c r="I93" s="281" t="str">
        <f>IFERROR(__xludf.DUMMYFUNCTION("""COMPUTED_VALUE"""),"➖")</f>
        <v>➖</v>
      </c>
      <c r="J93" s="281" t="str">
        <f>IFERROR(__xludf.DUMMYFUNCTION("""COMPUTED_VALUE"""),"➖")</f>
        <v>➖</v>
      </c>
      <c r="K93" s="282" t="str">
        <f>IFERROR(__xludf.DUMMYFUNCTION("""COMPUTED_VALUE"""),"➖")</f>
        <v>➖</v>
      </c>
      <c r="L93" s="282" t="str">
        <f>IFERROR(__xludf.DUMMYFUNCTION("""COMPUTED_VALUE"""),"➖")</f>
        <v>➖</v>
      </c>
      <c r="M93" s="282" t="str">
        <f>IFERROR(__xludf.DUMMYFUNCTION("""COMPUTED_VALUE"""),"➖")</f>
        <v>➖</v>
      </c>
      <c r="N93" s="282" t="str">
        <f>IFERROR(__xludf.DUMMYFUNCTION("""COMPUTED_VALUE"""),"➖")</f>
        <v>➖</v>
      </c>
      <c r="O93" s="282" t="str">
        <f>IFERROR(__xludf.DUMMYFUNCTION("""COMPUTED_VALUE"""),"➖")</f>
        <v>➖</v>
      </c>
      <c r="P93" s="282" t="str">
        <f>IFERROR(__xludf.DUMMYFUNCTION("""COMPUTED_VALUE"""),"➖")</f>
        <v>➖</v>
      </c>
      <c r="Q93" s="282" t="str">
        <f>IFERROR(__xludf.DUMMYFUNCTION("""COMPUTED_VALUE"""),"➖")</f>
        <v>➖</v>
      </c>
      <c r="R93" s="304" t="str">
        <f>IFERROR(__xludf.DUMMYFUNCTION("""COMPUTED_VALUE"""),"   ➖")</f>
        <v>➖</v>
      </c>
      <c r="S93" s="305" t="str">
        <f>IFERROR(__xludf.DUMMYFUNCTION("""COMPUTED_VALUE"""),"➖")</f>
        <v>➖</v>
      </c>
      <c r="T93" s="282"/>
      <c r="U93" s="282" t="str">
        <f>IFERROR(__xludf.DUMMYFUNCTION("""COMPUTED_VALUE"""),"➖")</f>
        <v>➖</v>
      </c>
      <c r="V93" s="282" t="str">
        <f>IFERROR(__xludf.DUMMYFUNCTION("""COMPUTED_VALUE"""),"➖")</f>
        <v>➖</v>
      </c>
      <c r="W93" s="306"/>
      <c r="X93" s="306"/>
      <c r="Y93" s="306"/>
    </row>
    <row r="94">
      <c r="A94" s="227"/>
      <c r="B94" s="307"/>
      <c r="C94" s="227"/>
      <c r="D94" s="308" t="str">
        <f>IFERROR(__xludf.DUMMYFUNCTION("""COMPUTED_VALUE"""),"   R")</f>
        <v>R</v>
      </c>
      <c r="E94" s="309" t="str">
        <f>IFERROR(__xludf.DUMMYFUNCTION("""COMPUTED_VALUE"""),"Breen Energy Dampener")</f>
        <v>Breen Energy Dampener</v>
      </c>
      <c r="F94" s="310">
        <f>IFERROR(__xludf.DUMMYFUNCTION("""COMPUTED_VALUE"""),4.0)</f>
        <v>4</v>
      </c>
      <c r="G94" s="231" t="str">
        <f>IFERROR(__xludf.DUMMYFUNCTION("""COMPUTED_VALUE"""),"FT")</f>
        <v>FT</v>
      </c>
      <c r="H94" s="231" t="str">
        <f>IFERROR(__xludf.DUMMYFUNCTION("""COMPUTED_VALUE"""),"➖")</f>
        <v>➖</v>
      </c>
      <c r="I94" s="231" t="str">
        <f>IFERROR(__xludf.DUMMYFUNCTION("""COMPUTED_VALUE"""),"➖")</f>
        <v>➖</v>
      </c>
      <c r="J94" s="231" t="str">
        <f>IFERROR(__xludf.DUMMYFUNCTION("""COMPUTED_VALUE"""),"➖")</f>
        <v>➖</v>
      </c>
      <c r="K94" s="288" t="str">
        <f>IFERROR(__xludf.DUMMYFUNCTION("""COMPUTED_VALUE"""),"➖")</f>
        <v>➖</v>
      </c>
      <c r="L94" s="288" t="str">
        <f>IFERROR(__xludf.DUMMYFUNCTION("""COMPUTED_VALUE"""),"➖")</f>
        <v>➖</v>
      </c>
      <c r="M94" s="288" t="str">
        <f>IFERROR(__xludf.DUMMYFUNCTION("""COMPUTED_VALUE"""),"➖")</f>
        <v>➖</v>
      </c>
      <c r="N94" s="288" t="str">
        <f>IFERROR(__xludf.DUMMYFUNCTION("""COMPUTED_VALUE"""),"➖")</f>
        <v>➖</v>
      </c>
      <c r="O94" s="288" t="str">
        <f>IFERROR(__xludf.DUMMYFUNCTION("""COMPUTED_VALUE"""),"➖")</f>
        <v>➖</v>
      </c>
      <c r="P94" s="288" t="str">
        <f>IFERROR(__xludf.DUMMYFUNCTION("""COMPUTED_VALUE"""),"➖")</f>
        <v>➖</v>
      </c>
      <c r="Q94" s="288" t="str">
        <f>IFERROR(__xludf.DUMMYFUNCTION("""COMPUTED_VALUE"""),"➖")</f>
        <v>➖</v>
      </c>
      <c r="R94" s="311" t="str">
        <f>IFERROR(__xludf.DUMMYFUNCTION("""COMPUTED_VALUE"""),"   ➖")</f>
        <v>➖</v>
      </c>
      <c r="S94" s="312" t="str">
        <f>IFERROR(__xludf.DUMMYFUNCTION("""COMPUTED_VALUE"""),"➖")</f>
        <v>➖</v>
      </c>
      <c r="T94" s="288"/>
      <c r="U94" s="288" t="str">
        <f>IFERROR(__xludf.DUMMYFUNCTION("""COMPUTED_VALUE"""),"➖")</f>
        <v>➖</v>
      </c>
      <c r="V94" s="288" t="str">
        <f>IFERROR(__xludf.DUMMYFUNCTION("""COMPUTED_VALUE"""),"✅")</f>
        <v>✅</v>
      </c>
      <c r="W94" s="306"/>
      <c r="X94" s="306"/>
      <c r="Y94" s="306"/>
    </row>
    <row r="95">
      <c r="A95" s="227"/>
      <c r="B95" s="128"/>
      <c r="C95" s="227"/>
      <c r="D95" s="301" t="str">
        <f>IFERROR(__xludf.DUMMYFUNCTION("""COMPUTED_VALUE"""),"   E")</f>
        <v>E</v>
      </c>
      <c r="E95" s="313" t="str">
        <f>IFERROR(__xludf.DUMMYFUNCTION("""COMPUTED_VALUE"""),"AGIMUS")</f>
        <v>AGIMUS</v>
      </c>
      <c r="F95" s="303">
        <f>IFERROR(__xludf.DUMMYFUNCTION("""COMPUTED_VALUE"""),1.0)</f>
        <v>1</v>
      </c>
      <c r="G95" s="281" t="str">
        <f>IFERROR(__xludf.DUMMYFUNCTION("""COMPUTED_VALUE"""),"FT")</f>
        <v>FT</v>
      </c>
      <c r="H95" s="281" t="str">
        <f>IFERROR(__xludf.DUMMYFUNCTION("""COMPUTED_VALUE"""),"➖")</f>
        <v>➖</v>
      </c>
      <c r="I95" s="281" t="str">
        <f>IFERROR(__xludf.DUMMYFUNCTION("""COMPUTED_VALUE"""),"➖")</f>
        <v>➖</v>
      </c>
      <c r="J95" s="281" t="str">
        <f>IFERROR(__xludf.DUMMYFUNCTION("""COMPUTED_VALUE"""),"✅")</f>
        <v>✅</v>
      </c>
      <c r="K95" s="282" t="str">
        <f>IFERROR(__xludf.DUMMYFUNCTION("""COMPUTED_VALUE"""),"✅")</f>
        <v>✅</v>
      </c>
      <c r="L95" s="282" t="str">
        <f>IFERROR(__xludf.DUMMYFUNCTION("""COMPUTED_VALUE"""),"✅")</f>
        <v>✅</v>
      </c>
      <c r="M95" s="282" t="str">
        <f>IFERROR(__xludf.DUMMYFUNCTION("""COMPUTED_VALUE"""),"➖")</f>
        <v>➖</v>
      </c>
      <c r="N95" s="282" t="str">
        <f>IFERROR(__xludf.DUMMYFUNCTION("""COMPUTED_VALUE"""),"➖")</f>
        <v>➖</v>
      </c>
      <c r="O95" s="282" t="str">
        <f>IFERROR(__xludf.DUMMYFUNCTION("""COMPUTED_VALUE"""),"➖")</f>
        <v>➖</v>
      </c>
      <c r="P95" s="282" t="str">
        <f>IFERROR(__xludf.DUMMYFUNCTION("""COMPUTED_VALUE"""),"➖")</f>
        <v>➖</v>
      </c>
      <c r="Q95" s="282" t="str">
        <f>IFERROR(__xludf.DUMMYFUNCTION("""COMPUTED_VALUE"""),"➖")</f>
        <v>➖</v>
      </c>
      <c r="R95" s="304" t="str">
        <f>IFERROR(__xludf.DUMMYFUNCTION("""COMPUTED_VALUE"""),"   ➖")</f>
        <v>➖</v>
      </c>
      <c r="S95" s="305" t="str">
        <f>IFERROR(__xludf.DUMMYFUNCTION("""COMPUTED_VALUE"""),"➖")</f>
        <v>➖</v>
      </c>
      <c r="T95" s="282"/>
      <c r="U95" s="282" t="str">
        <f>IFERROR(__xludf.DUMMYFUNCTION("""COMPUTED_VALUE"""),"➖")</f>
        <v>➖</v>
      </c>
      <c r="V95" s="282" t="str">
        <f>IFERROR(__xludf.DUMMYFUNCTION("""COMPUTED_VALUE"""),"➖")</f>
        <v>➖</v>
      </c>
      <c r="W95" s="306"/>
      <c r="X95" s="306"/>
      <c r="Y95" s="306"/>
    </row>
    <row r="96">
      <c r="A96" s="227"/>
      <c r="B96" s="307"/>
      <c r="C96" s="227"/>
      <c r="D96" s="308" t="str">
        <f>IFERROR(__xludf.DUMMYFUNCTION("""COMPUTED_VALUE"""),"   E")</f>
        <v>E</v>
      </c>
      <c r="E96" s="309" t="str">
        <f>IFERROR(__xludf.DUMMYFUNCTION("""COMPUTED_VALUE"""),"AGIMUS")</f>
        <v>AGIMUS</v>
      </c>
      <c r="F96" s="310">
        <f>IFERROR(__xludf.DUMMYFUNCTION("""COMPUTED_VALUE"""),2.0)</f>
        <v>2</v>
      </c>
      <c r="G96" s="231" t="str">
        <f>IFERROR(__xludf.DUMMYFUNCTION("""COMPUTED_VALUE"""),"FT")</f>
        <v>FT</v>
      </c>
      <c r="H96" s="231" t="str">
        <f>IFERROR(__xludf.DUMMYFUNCTION("""COMPUTED_VALUE"""),"➖")</f>
        <v>➖</v>
      </c>
      <c r="I96" s="231" t="str">
        <f>IFERROR(__xludf.DUMMYFUNCTION("""COMPUTED_VALUE"""),"➖")</f>
        <v>➖</v>
      </c>
      <c r="J96" s="231" t="str">
        <f>IFERROR(__xludf.DUMMYFUNCTION("""COMPUTED_VALUE"""),"✅")</f>
        <v>✅</v>
      </c>
      <c r="K96" s="288" t="str">
        <f>IFERROR(__xludf.DUMMYFUNCTION("""COMPUTED_VALUE"""),"➖")</f>
        <v>➖</v>
      </c>
      <c r="L96" s="288" t="str">
        <f>IFERROR(__xludf.DUMMYFUNCTION("""COMPUTED_VALUE"""),"➖")</f>
        <v>➖</v>
      </c>
      <c r="M96" s="288" t="str">
        <f>IFERROR(__xludf.DUMMYFUNCTION("""COMPUTED_VALUE"""),"➖")</f>
        <v>➖</v>
      </c>
      <c r="N96" s="288" t="str">
        <f>IFERROR(__xludf.DUMMYFUNCTION("""COMPUTED_VALUE"""),"✅")</f>
        <v>✅</v>
      </c>
      <c r="O96" s="288" t="str">
        <f>IFERROR(__xludf.DUMMYFUNCTION("""COMPUTED_VALUE"""),"✅")</f>
        <v>✅</v>
      </c>
      <c r="P96" s="288" t="str">
        <f>IFERROR(__xludf.DUMMYFUNCTION("""COMPUTED_VALUE"""),"✅")</f>
        <v>✅</v>
      </c>
      <c r="Q96" s="288" t="str">
        <f>IFERROR(__xludf.DUMMYFUNCTION("""COMPUTED_VALUE"""),"➖")</f>
        <v>➖</v>
      </c>
      <c r="R96" s="311" t="str">
        <f>IFERROR(__xludf.DUMMYFUNCTION("""COMPUTED_VALUE"""),"   ✅")</f>
        <v>✅</v>
      </c>
      <c r="S96" s="312" t="str">
        <f>IFERROR(__xludf.DUMMYFUNCTION("""COMPUTED_VALUE"""),"✅")</f>
        <v>✅</v>
      </c>
      <c r="T96" s="288"/>
      <c r="U96" s="288" t="str">
        <f>IFERROR(__xludf.DUMMYFUNCTION("""COMPUTED_VALUE"""),"✅")</f>
        <v>✅</v>
      </c>
      <c r="V96" s="288" t="str">
        <f>IFERROR(__xludf.DUMMYFUNCTION("""COMPUTED_VALUE"""),"➖")</f>
        <v>➖</v>
      </c>
      <c r="W96" s="306"/>
      <c r="X96" s="306"/>
      <c r="Y96" s="306"/>
    </row>
    <row r="97">
      <c r="A97" s="227"/>
      <c r="B97" s="128"/>
      <c r="C97" s="227"/>
      <c r="D97" s="301" t="str">
        <f>IFERROR(__xludf.DUMMYFUNCTION("""COMPUTED_VALUE"""),"   E")</f>
        <v>E</v>
      </c>
      <c r="E97" s="313" t="str">
        <f>IFERROR(__xludf.DUMMYFUNCTION("""COMPUTED_VALUE"""),"AGIMUS")</f>
        <v>AGIMUS</v>
      </c>
      <c r="F97" s="303">
        <f>IFERROR(__xludf.DUMMYFUNCTION("""COMPUTED_VALUE"""),3.0)</f>
        <v>3</v>
      </c>
      <c r="G97" s="281" t="str">
        <f>IFERROR(__xludf.DUMMYFUNCTION("""COMPUTED_VALUE"""),"FT")</f>
        <v>FT</v>
      </c>
      <c r="H97" s="281" t="str">
        <f>IFERROR(__xludf.DUMMYFUNCTION("""COMPUTED_VALUE"""),"➖")</f>
        <v>➖</v>
      </c>
      <c r="I97" s="281" t="str">
        <f>IFERROR(__xludf.DUMMYFUNCTION("""COMPUTED_VALUE"""),"➖")</f>
        <v>➖</v>
      </c>
      <c r="J97" s="281" t="str">
        <f>IFERROR(__xludf.DUMMYFUNCTION("""COMPUTED_VALUE"""),"✅")</f>
        <v>✅</v>
      </c>
      <c r="K97" s="282" t="str">
        <f>IFERROR(__xludf.DUMMYFUNCTION("""COMPUTED_VALUE"""),"✅")</f>
        <v>✅</v>
      </c>
      <c r="L97" s="282" t="str">
        <f>IFERROR(__xludf.DUMMYFUNCTION("""COMPUTED_VALUE"""),"✅")</f>
        <v>✅</v>
      </c>
      <c r="M97" s="282" t="str">
        <f>IFERROR(__xludf.DUMMYFUNCTION("""COMPUTED_VALUE"""),"➖")</f>
        <v>➖</v>
      </c>
      <c r="N97" s="282" t="str">
        <f>IFERROR(__xludf.DUMMYFUNCTION("""COMPUTED_VALUE"""),"➖")</f>
        <v>➖</v>
      </c>
      <c r="O97" s="282" t="str">
        <f>IFERROR(__xludf.DUMMYFUNCTION("""COMPUTED_VALUE"""),"➖")</f>
        <v>➖</v>
      </c>
      <c r="P97" s="282" t="str">
        <f>IFERROR(__xludf.DUMMYFUNCTION("""COMPUTED_VALUE"""),"➖")</f>
        <v>➖</v>
      </c>
      <c r="Q97" s="282" t="str">
        <f>IFERROR(__xludf.DUMMYFUNCTION("""COMPUTED_VALUE"""),"➖")</f>
        <v>➖</v>
      </c>
      <c r="R97" s="304" t="str">
        <f>IFERROR(__xludf.DUMMYFUNCTION("""COMPUTED_VALUE"""),"   ➖")</f>
        <v>➖</v>
      </c>
      <c r="S97" s="305" t="str">
        <f>IFERROR(__xludf.DUMMYFUNCTION("""COMPUTED_VALUE"""),"➖")</f>
        <v>➖</v>
      </c>
      <c r="T97" s="282"/>
      <c r="U97" s="282" t="str">
        <f>IFERROR(__xludf.DUMMYFUNCTION("""COMPUTED_VALUE"""),"➖")</f>
        <v>➖</v>
      </c>
      <c r="V97" s="282" t="str">
        <f>IFERROR(__xludf.DUMMYFUNCTION("""COMPUTED_VALUE"""),"➖")</f>
        <v>➖</v>
      </c>
      <c r="W97" s="306"/>
      <c r="X97" s="306"/>
      <c r="Y97" s="306"/>
    </row>
    <row r="98">
      <c r="A98" s="227"/>
      <c r="B98" s="307"/>
      <c r="C98" s="227"/>
      <c r="D98" s="308" t="str">
        <f>IFERROR(__xludf.DUMMYFUNCTION("""COMPUTED_VALUE"""),"   E")</f>
        <v>E</v>
      </c>
      <c r="E98" s="309" t="str">
        <f>IFERROR(__xludf.DUMMYFUNCTION("""COMPUTED_VALUE"""),"AGIMUS")</f>
        <v>AGIMUS</v>
      </c>
      <c r="F98" s="310">
        <f>IFERROR(__xludf.DUMMYFUNCTION("""COMPUTED_VALUE"""),4.0)</f>
        <v>4</v>
      </c>
      <c r="G98" s="231" t="str">
        <f>IFERROR(__xludf.DUMMYFUNCTION("""COMPUTED_VALUE"""),"FT")</f>
        <v>FT</v>
      </c>
      <c r="H98" s="231" t="str">
        <f>IFERROR(__xludf.DUMMYFUNCTION("""COMPUTED_VALUE"""),"➖")</f>
        <v>➖</v>
      </c>
      <c r="I98" s="231" t="str">
        <f>IFERROR(__xludf.DUMMYFUNCTION("""COMPUTED_VALUE"""),"➖")</f>
        <v>➖</v>
      </c>
      <c r="J98" s="231" t="str">
        <f>IFERROR(__xludf.DUMMYFUNCTION("""COMPUTED_VALUE"""),"✅")</f>
        <v>✅</v>
      </c>
      <c r="K98" s="288" t="str">
        <f>IFERROR(__xludf.DUMMYFUNCTION("""COMPUTED_VALUE"""),"✅")</f>
        <v>✅</v>
      </c>
      <c r="L98" s="288" t="str">
        <f>IFERROR(__xludf.DUMMYFUNCTION("""COMPUTED_VALUE"""),"✅")</f>
        <v>✅</v>
      </c>
      <c r="M98" s="288" t="str">
        <f>IFERROR(__xludf.DUMMYFUNCTION("""COMPUTED_VALUE"""),"➖")</f>
        <v>➖</v>
      </c>
      <c r="N98" s="288" t="str">
        <f>IFERROR(__xludf.DUMMYFUNCTION("""COMPUTED_VALUE"""),"➖")</f>
        <v>➖</v>
      </c>
      <c r="O98" s="288" t="str">
        <f>IFERROR(__xludf.DUMMYFUNCTION("""COMPUTED_VALUE"""),"➖")</f>
        <v>➖</v>
      </c>
      <c r="P98" s="288" t="str">
        <f>IFERROR(__xludf.DUMMYFUNCTION("""COMPUTED_VALUE"""),"➖")</f>
        <v>➖</v>
      </c>
      <c r="Q98" s="288" t="str">
        <f>IFERROR(__xludf.DUMMYFUNCTION("""COMPUTED_VALUE"""),"➖")</f>
        <v>➖</v>
      </c>
      <c r="R98" s="311" t="str">
        <f>IFERROR(__xludf.DUMMYFUNCTION("""COMPUTED_VALUE"""),"   ➖")</f>
        <v>➖</v>
      </c>
      <c r="S98" s="312" t="str">
        <f>IFERROR(__xludf.DUMMYFUNCTION("""COMPUTED_VALUE"""),"➖")</f>
        <v>➖</v>
      </c>
      <c r="T98" s="288"/>
      <c r="U98" s="288" t="str">
        <f>IFERROR(__xludf.DUMMYFUNCTION("""COMPUTED_VALUE"""),"➖")</f>
        <v>➖</v>
      </c>
      <c r="V98" s="288" t="str">
        <f>IFERROR(__xludf.DUMMYFUNCTION("""COMPUTED_VALUE"""),"➖")</f>
        <v>➖</v>
      </c>
      <c r="W98" s="306"/>
      <c r="X98" s="306"/>
      <c r="Y98" s="306"/>
    </row>
    <row r="99">
      <c r="A99" s="227"/>
      <c r="B99" s="128"/>
      <c r="C99" s="227"/>
      <c r="D99" s="301" t="str">
        <f>IFERROR(__xludf.DUMMYFUNCTION("""COMPUTED_VALUE"""),"   E")</f>
        <v>E</v>
      </c>
      <c r="E99" s="313" t="str">
        <f>IFERROR(__xludf.DUMMYFUNCTION("""COMPUTED_VALUE"""),"Tarka's Isolytic Weapon")</f>
        <v>Tarka's Isolytic Weapon</v>
      </c>
      <c r="F99" s="303">
        <f>IFERROR(__xludf.DUMMYFUNCTION("""COMPUTED_VALUE"""),1.0)</f>
        <v>1</v>
      </c>
      <c r="G99" s="281" t="str">
        <f>IFERROR(__xludf.DUMMYFUNCTION("""COMPUTED_VALUE"""),"FT")</f>
        <v>FT</v>
      </c>
      <c r="H99" s="281" t="str">
        <f>IFERROR(__xludf.DUMMYFUNCTION("""COMPUTED_VALUE"""),"➖")</f>
        <v>➖</v>
      </c>
      <c r="I99" s="281" t="str">
        <f>IFERROR(__xludf.DUMMYFUNCTION("""COMPUTED_VALUE"""),"➖")</f>
        <v>➖</v>
      </c>
      <c r="J99" s="281" t="str">
        <f>IFERROR(__xludf.DUMMYFUNCTION("""COMPUTED_VALUE"""),"✴️")</f>
        <v>✴️</v>
      </c>
      <c r="K99" s="282" t="str">
        <f>IFERROR(__xludf.DUMMYFUNCTION("""COMPUTED_VALUE"""),"✴️")</f>
        <v>✴️</v>
      </c>
      <c r="L99" s="282" t="str">
        <f>IFERROR(__xludf.DUMMYFUNCTION("""COMPUTED_VALUE"""),"✴️")</f>
        <v>✴️</v>
      </c>
      <c r="M99" s="282" t="str">
        <f>IFERROR(__xludf.DUMMYFUNCTION("""COMPUTED_VALUE"""),"✴️")</f>
        <v>✴️</v>
      </c>
      <c r="N99" s="282" t="str">
        <f>IFERROR(__xludf.DUMMYFUNCTION("""COMPUTED_VALUE"""),"➖")</f>
        <v>➖</v>
      </c>
      <c r="O99" s="282" t="str">
        <f>IFERROR(__xludf.DUMMYFUNCTION("""COMPUTED_VALUE"""),"➖")</f>
        <v>➖</v>
      </c>
      <c r="P99" s="282" t="str">
        <f>IFERROR(__xludf.DUMMYFUNCTION("""COMPUTED_VALUE"""),"➖")</f>
        <v>➖</v>
      </c>
      <c r="Q99" s="282" t="str">
        <f>IFERROR(__xludf.DUMMYFUNCTION("""COMPUTED_VALUE"""),"✴️")</f>
        <v>✴️</v>
      </c>
      <c r="R99" s="304" t="str">
        <f>IFERROR(__xludf.DUMMYFUNCTION("""COMPUTED_VALUE"""),"   ➖")</f>
        <v>➖</v>
      </c>
      <c r="S99" s="305" t="str">
        <f>IFERROR(__xludf.DUMMYFUNCTION("""COMPUTED_VALUE"""),"➖")</f>
        <v>➖</v>
      </c>
      <c r="T99" s="282" t="str">
        <f>IFERROR(__xludf.DUMMYFUNCTION("""COMPUTED_VALUE"""),"SNWGorn")</f>
        <v>SNWGorn</v>
      </c>
      <c r="U99" s="282" t="str">
        <f>IFERROR(__xludf.DUMMYFUNCTION("""COMPUTED_VALUE"""),"➖")</f>
        <v>➖</v>
      </c>
      <c r="V99" s="282" t="str">
        <f>IFERROR(__xludf.DUMMYFUNCTION("""COMPUTED_VALUE"""),"➖")</f>
        <v>➖</v>
      </c>
      <c r="W99" s="306"/>
      <c r="X99" s="306"/>
      <c r="Y99" s="306"/>
    </row>
    <row r="100">
      <c r="A100" s="227"/>
      <c r="B100" s="307"/>
      <c r="C100" s="227"/>
      <c r="D100" s="308" t="str">
        <f>IFERROR(__xludf.DUMMYFUNCTION("""COMPUTED_VALUE"""),"   E")</f>
        <v>E</v>
      </c>
      <c r="E100" s="309" t="str">
        <f>IFERROR(__xludf.DUMMYFUNCTION("""COMPUTED_VALUE"""),"Tarka's Isolytic Weapon")</f>
        <v>Tarka's Isolytic Weapon</v>
      </c>
      <c r="F100" s="310">
        <f>IFERROR(__xludf.DUMMYFUNCTION("""COMPUTED_VALUE"""),2.0)</f>
        <v>2</v>
      </c>
      <c r="G100" s="231" t="str">
        <f>IFERROR(__xludf.DUMMYFUNCTION("""COMPUTED_VALUE"""),"FT")</f>
        <v>FT</v>
      </c>
      <c r="H100" s="231" t="str">
        <f>IFERROR(__xludf.DUMMYFUNCTION("""COMPUTED_VALUE"""),"✅")</f>
        <v>✅</v>
      </c>
      <c r="I100" s="231" t="str">
        <f>IFERROR(__xludf.DUMMYFUNCTION("""COMPUTED_VALUE"""),"✅")</f>
        <v>✅</v>
      </c>
      <c r="J100" s="231" t="str">
        <f>IFERROR(__xludf.DUMMYFUNCTION("""COMPUTED_VALUE"""),"✅")</f>
        <v>✅</v>
      </c>
      <c r="K100" s="288" t="str">
        <f>IFERROR(__xludf.DUMMYFUNCTION("""COMPUTED_VALUE"""),"✅")</f>
        <v>✅</v>
      </c>
      <c r="L100" s="288" t="str">
        <f>IFERROR(__xludf.DUMMYFUNCTION("""COMPUTED_VALUE"""),"✅")</f>
        <v>✅</v>
      </c>
      <c r="M100" s="288" t="str">
        <f>IFERROR(__xludf.DUMMYFUNCTION("""COMPUTED_VALUE"""),"✅")</f>
        <v>✅</v>
      </c>
      <c r="N100" s="288" t="str">
        <f>IFERROR(__xludf.DUMMYFUNCTION("""COMPUTED_VALUE"""),"✅")</f>
        <v>✅</v>
      </c>
      <c r="O100" s="288" t="str">
        <f>IFERROR(__xludf.DUMMYFUNCTION("""COMPUTED_VALUE"""),"✅")</f>
        <v>✅</v>
      </c>
      <c r="P100" s="288" t="str">
        <f>IFERROR(__xludf.DUMMYFUNCTION("""COMPUTED_VALUE"""),"✅")</f>
        <v>✅</v>
      </c>
      <c r="Q100" s="288" t="str">
        <f>IFERROR(__xludf.DUMMYFUNCTION("""COMPUTED_VALUE"""),"✅")</f>
        <v>✅</v>
      </c>
      <c r="R100" s="311" t="str">
        <f>IFERROR(__xludf.DUMMYFUNCTION("""COMPUTED_VALUE"""),"   ✅")</f>
        <v>✅</v>
      </c>
      <c r="S100" s="312" t="str">
        <f>IFERROR(__xludf.DUMMYFUNCTION("""COMPUTED_VALUE"""),"✅")</f>
        <v>✅</v>
      </c>
      <c r="T100" s="288"/>
      <c r="U100" s="288" t="str">
        <f>IFERROR(__xludf.DUMMYFUNCTION("""COMPUTED_VALUE"""),"➖")</f>
        <v>➖</v>
      </c>
      <c r="V100" s="288" t="str">
        <f>IFERROR(__xludf.DUMMYFUNCTION("""COMPUTED_VALUE"""),"➖")</f>
        <v>➖</v>
      </c>
      <c r="W100" s="306"/>
      <c r="X100" s="306"/>
      <c r="Y100" s="306"/>
    </row>
    <row r="101">
      <c r="A101" s="227"/>
      <c r="B101" s="128"/>
      <c r="C101" s="227"/>
      <c r="D101" s="301" t="str">
        <f>IFERROR(__xludf.DUMMYFUNCTION("""COMPUTED_VALUE"""),"   E")</f>
        <v>E</v>
      </c>
      <c r="E101" s="313" t="str">
        <f>IFERROR(__xludf.DUMMYFUNCTION("""COMPUTED_VALUE"""),"Tarka's Isolytic Weapon")</f>
        <v>Tarka's Isolytic Weapon</v>
      </c>
      <c r="F101" s="303">
        <f>IFERROR(__xludf.DUMMYFUNCTION("""COMPUTED_VALUE"""),3.0)</f>
        <v>3</v>
      </c>
      <c r="G101" s="281" t="str">
        <f>IFERROR(__xludf.DUMMYFUNCTION("""COMPUTED_VALUE"""),"FT")</f>
        <v>FT</v>
      </c>
      <c r="H101" s="281" t="str">
        <f>IFERROR(__xludf.DUMMYFUNCTION("""COMPUTED_VALUE"""),"➖")</f>
        <v>➖</v>
      </c>
      <c r="I101" s="281" t="str">
        <f>IFERROR(__xludf.DUMMYFUNCTION("""COMPUTED_VALUE"""),"➖")</f>
        <v>➖</v>
      </c>
      <c r="J101" s="281" t="str">
        <f>IFERROR(__xludf.DUMMYFUNCTION("""COMPUTED_VALUE"""),"✅")</f>
        <v>✅</v>
      </c>
      <c r="K101" s="282" t="str">
        <f>IFERROR(__xludf.DUMMYFUNCTION("""COMPUTED_VALUE"""),"✅")</f>
        <v>✅</v>
      </c>
      <c r="L101" s="282" t="str">
        <f>IFERROR(__xludf.DUMMYFUNCTION("""COMPUTED_VALUE"""),"✅")</f>
        <v>✅</v>
      </c>
      <c r="M101" s="282" t="str">
        <f>IFERROR(__xludf.DUMMYFUNCTION("""COMPUTED_VALUE"""),"➖")</f>
        <v>➖</v>
      </c>
      <c r="N101" s="282" t="str">
        <f>IFERROR(__xludf.DUMMYFUNCTION("""COMPUTED_VALUE"""),"➖")</f>
        <v>➖</v>
      </c>
      <c r="O101" s="282" t="str">
        <f>IFERROR(__xludf.DUMMYFUNCTION("""COMPUTED_VALUE"""),"➖")</f>
        <v>➖</v>
      </c>
      <c r="P101" s="282" t="str">
        <f>IFERROR(__xludf.DUMMYFUNCTION("""COMPUTED_VALUE"""),"➖")</f>
        <v>➖</v>
      </c>
      <c r="Q101" s="282" t="str">
        <f>IFERROR(__xludf.DUMMYFUNCTION("""COMPUTED_VALUE"""),"➖")</f>
        <v>➖</v>
      </c>
      <c r="R101" s="304" t="str">
        <f>IFERROR(__xludf.DUMMYFUNCTION("""COMPUTED_VALUE"""),"   ➖")</f>
        <v>➖</v>
      </c>
      <c r="S101" s="305" t="str">
        <f>IFERROR(__xludf.DUMMYFUNCTION("""COMPUTED_VALUE"""),"➖")</f>
        <v>➖</v>
      </c>
      <c r="T101" s="282"/>
      <c r="U101" s="282" t="str">
        <f>IFERROR(__xludf.DUMMYFUNCTION("""COMPUTED_VALUE"""),"➖")</f>
        <v>➖</v>
      </c>
      <c r="V101" s="282" t="str">
        <f>IFERROR(__xludf.DUMMYFUNCTION("""COMPUTED_VALUE"""),"➖")</f>
        <v>➖</v>
      </c>
      <c r="W101" s="306"/>
      <c r="X101" s="306"/>
      <c r="Y101" s="306"/>
    </row>
    <row r="102">
      <c r="A102" s="227"/>
      <c r="B102" s="307"/>
      <c r="C102" s="227"/>
      <c r="D102" s="308" t="str">
        <f>IFERROR(__xludf.DUMMYFUNCTION("""COMPUTED_VALUE"""),"   E")</f>
        <v>E</v>
      </c>
      <c r="E102" s="309" t="str">
        <f>IFERROR(__xludf.DUMMYFUNCTION("""COMPUTED_VALUE"""),"Tarka's Isolytic Weapon")</f>
        <v>Tarka's Isolytic Weapon</v>
      </c>
      <c r="F102" s="310">
        <f>IFERROR(__xludf.DUMMYFUNCTION("""COMPUTED_VALUE"""),4.0)</f>
        <v>4</v>
      </c>
      <c r="G102" s="231" t="str">
        <f>IFERROR(__xludf.DUMMYFUNCTION("""COMPUTED_VALUE"""),"FT")</f>
        <v>FT</v>
      </c>
      <c r="H102" s="231" t="str">
        <f>IFERROR(__xludf.DUMMYFUNCTION("""COMPUTED_VALUE"""),"➖")</f>
        <v>➖</v>
      </c>
      <c r="I102" s="231" t="str">
        <f>IFERROR(__xludf.DUMMYFUNCTION("""COMPUTED_VALUE"""),"➖")</f>
        <v>➖</v>
      </c>
      <c r="J102" s="231" t="str">
        <f>IFERROR(__xludf.DUMMYFUNCTION("""COMPUTED_VALUE"""),"✅")</f>
        <v>✅</v>
      </c>
      <c r="K102" s="288" t="str">
        <f>IFERROR(__xludf.DUMMYFUNCTION("""COMPUTED_VALUE"""),"✅")</f>
        <v>✅</v>
      </c>
      <c r="L102" s="288" t="str">
        <f>IFERROR(__xludf.DUMMYFUNCTION("""COMPUTED_VALUE"""),"✅")</f>
        <v>✅</v>
      </c>
      <c r="M102" s="288" t="str">
        <f>IFERROR(__xludf.DUMMYFUNCTION("""COMPUTED_VALUE"""),"➖")</f>
        <v>➖</v>
      </c>
      <c r="N102" s="288" t="str">
        <f>IFERROR(__xludf.DUMMYFUNCTION("""COMPUTED_VALUE"""),"➖")</f>
        <v>➖</v>
      </c>
      <c r="O102" s="288" t="str">
        <f>IFERROR(__xludf.DUMMYFUNCTION("""COMPUTED_VALUE"""),"➖")</f>
        <v>➖</v>
      </c>
      <c r="P102" s="288" t="str">
        <f>IFERROR(__xludf.DUMMYFUNCTION("""COMPUTED_VALUE"""),"➖")</f>
        <v>➖</v>
      </c>
      <c r="Q102" s="288" t="str">
        <f>IFERROR(__xludf.DUMMYFUNCTION("""COMPUTED_VALUE"""),"➖")</f>
        <v>➖</v>
      </c>
      <c r="R102" s="311" t="str">
        <f>IFERROR(__xludf.DUMMYFUNCTION("""COMPUTED_VALUE"""),"   ➖")</f>
        <v>➖</v>
      </c>
      <c r="S102" s="312" t="str">
        <f>IFERROR(__xludf.DUMMYFUNCTION("""COMPUTED_VALUE"""),"➖")</f>
        <v>➖</v>
      </c>
      <c r="T102" s="288"/>
      <c r="U102" s="288" t="str">
        <f>IFERROR(__xludf.DUMMYFUNCTION("""COMPUTED_VALUE"""),"➖")</f>
        <v>➖</v>
      </c>
      <c r="V102" s="288" t="str">
        <f>IFERROR(__xludf.DUMMYFUNCTION("""COMPUTED_VALUE"""),"➖")</f>
        <v>➖</v>
      </c>
      <c r="W102" s="306"/>
      <c r="X102" s="306"/>
      <c r="Y102" s="306"/>
    </row>
    <row r="103">
      <c r="A103" s="227"/>
      <c r="B103" s="128"/>
      <c r="C103" s="227"/>
      <c r="D103" s="301" t="str">
        <f>IFERROR(__xludf.DUMMYFUNCTION("""COMPUTED_VALUE"""),"   E")</f>
        <v>E</v>
      </c>
      <c r="E103" s="313" t="str">
        <f>IFERROR(__xludf.DUMMYFUNCTION("""COMPUTED_VALUE"""),"Tantalus Field")</f>
        <v>Tantalus Field</v>
      </c>
      <c r="F103" s="303">
        <f>IFERROR(__xludf.DUMMYFUNCTION("""COMPUTED_VALUE"""),1.0)</f>
        <v>1</v>
      </c>
      <c r="G103" s="281" t="str">
        <f>IFERROR(__xludf.DUMMYFUNCTION("""COMPUTED_VALUE"""),"FT")</f>
        <v>FT</v>
      </c>
      <c r="H103" s="281" t="str">
        <f>IFERROR(__xludf.DUMMYFUNCTION("""COMPUTED_VALUE"""),"✅")</f>
        <v>✅</v>
      </c>
      <c r="I103" s="281" t="str">
        <f>IFERROR(__xludf.DUMMYFUNCTION("""COMPUTED_VALUE"""),"✅")</f>
        <v>✅</v>
      </c>
      <c r="J103" s="281" t="str">
        <f>IFERROR(__xludf.DUMMYFUNCTION("""COMPUTED_VALUE"""),"✅")</f>
        <v>✅</v>
      </c>
      <c r="K103" s="282" t="str">
        <f>IFERROR(__xludf.DUMMYFUNCTION("""COMPUTED_VALUE"""),"✅")</f>
        <v>✅</v>
      </c>
      <c r="L103" s="282" t="str">
        <f>IFERROR(__xludf.DUMMYFUNCTION("""COMPUTED_VALUE"""),"✅")</f>
        <v>✅</v>
      </c>
      <c r="M103" s="282" t="str">
        <f>IFERROR(__xludf.DUMMYFUNCTION("""COMPUTED_VALUE"""),"✅")</f>
        <v>✅</v>
      </c>
      <c r="N103" s="282" t="str">
        <f>IFERROR(__xludf.DUMMYFUNCTION("""COMPUTED_VALUE"""),"✅")</f>
        <v>✅</v>
      </c>
      <c r="O103" s="282" t="str">
        <f>IFERROR(__xludf.DUMMYFUNCTION("""COMPUTED_VALUE"""),"✅")</f>
        <v>✅</v>
      </c>
      <c r="P103" s="282" t="str">
        <f>IFERROR(__xludf.DUMMYFUNCTION("""COMPUTED_VALUE"""),"✅")</f>
        <v>✅</v>
      </c>
      <c r="Q103" s="282" t="str">
        <f>IFERROR(__xludf.DUMMYFUNCTION("""COMPUTED_VALUE"""),"✅")</f>
        <v>✅</v>
      </c>
      <c r="R103" s="304" t="str">
        <f>IFERROR(__xludf.DUMMYFUNCTION("""COMPUTED_VALUE"""),"   ✅")</f>
        <v>✅</v>
      </c>
      <c r="S103" s="305" t="str">
        <f>IFERROR(__xludf.DUMMYFUNCTION("""COMPUTED_VALUE"""),"✅")</f>
        <v>✅</v>
      </c>
      <c r="T103" s="282"/>
      <c r="U103" s="282" t="str">
        <f>IFERROR(__xludf.DUMMYFUNCTION("""COMPUTED_VALUE"""),"➖")</f>
        <v>➖</v>
      </c>
      <c r="V103" s="282" t="str">
        <f>IFERROR(__xludf.DUMMYFUNCTION("""COMPUTED_VALUE"""),"➖")</f>
        <v>➖</v>
      </c>
      <c r="W103" s="306"/>
      <c r="X103" s="306"/>
      <c r="Y103" s="306"/>
    </row>
    <row r="104">
      <c r="A104" s="227"/>
      <c r="B104" s="307"/>
      <c r="C104" s="227"/>
      <c r="D104" s="308" t="str">
        <f>IFERROR(__xludf.DUMMYFUNCTION("""COMPUTED_VALUE"""),"   E")</f>
        <v>E</v>
      </c>
      <c r="E104" s="309" t="str">
        <f>IFERROR(__xludf.DUMMYFUNCTION("""COMPUTED_VALUE"""),"Tantalus Field")</f>
        <v>Tantalus Field</v>
      </c>
      <c r="F104" s="310">
        <f>IFERROR(__xludf.DUMMYFUNCTION("""COMPUTED_VALUE"""),2.0)</f>
        <v>2</v>
      </c>
      <c r="G104" s="231" t="str">
        <f>IFERROR(__xludf.DUMMYFUNCTION("""COMPUTED_VALUE"""),"FT")</f>
        <v>FT</v>
      </c>
      <c r="H104" s="231" t="str">
        <f>IFERROR(__xludf.DUMMYFUNCTION("""COMPUTED_VALUE"""),"✅")</f>
        <v>✅</v>
      </c>
      <c r="I104" s="231" t="str">
        <f>IFERROR(__xludf.DUMMYFUNCTION("""COMPUTED_VALUE"""),"✅")</f>
        <v>✅</v>
      </c>
      <c r="J104" s="231" t="str">
        <f>IFERROR(__xludf.DUMMYFUNCTION("""COMPUTED_VALUE"""),"➖")</f>
        <v>➖</v>
      </c>
      <c r="K104" s="288" t="str">
        <f>IFERROR(__xludf.DUMMYFUNCTION("""COMPUTED_VALUE"""),"➖")</f>
        <v>➖</v>
      </c>
      <c r="L104" s="288" t="str">
        <f>IFERROR(__xludf.DUMMYFUNCTION("""COMPUTED_VALUE"""),"➖")</f>
        <v>➖</v>
      </c>
      <c r="M104" s="288" t="str">
        <f>IFERROR(__xludf.DUMMYFUNCTION("""COMPUTED_VALUE"""),"➖")</f>
        <v>➖</v>
      </c>
      <c r="N104" s="288" t="str">
        <f>IFERROR(__xludf.DUMMYFUNCTION("""COMPUTED_VALUE"""),"➖")</f>
        <v>➖</v>
      </c>
      <c r="O104" s="288" t="str">
        <f>IFERROR(__xludf.DUMMYFUNCTION("""COMPUTED_VALUE"""),"➖")</f>
        <v>➖</v>
      </c>
      <c r="P104" s="288" t="str">
        <f>IFERROR(__xludf.DUMMYFUNCTION("""COMPUTED_VALUE"""),"➖")</f>
        <v>➖</v>
      </c>
      <c r="Q104" s="288" t="str">
        <f>IFERROR(__xludf.DUMMYFUNCTION("""COMPUTED_VALUE"""),"➖")</f>
        <v>➖</v>
      </c>
      <c r="R104" s="311" t="str">
        <f>IFERROR(__xludf.DUMMYFUNCTION("""COMPUTED_VALUE"""),"   ➖")</f>
        <v>➖</v>
      </c>
      <c r="S104" s="312" t="str">
        <f>IFERROR(__xludf.DUMMYFUNCTION("""COMPUTED_VALUE"""),"➖")</f>
        <v>➖</v>
      </c>
      <c r="T104" s="288"/>
      <c r="U104" s="288" t="str">
        <f>IFERROR(__xludf.DUMMYFUNCTION("""COMPUTED_VALUE"""),"➖")</f>
        <v>➖</v>
      </c>
      <c r="V104" s="288" t="str">
        <f>IFERROR(__xludf.DUMMYFUNCTION("""COMPUTED_VALUE"""),"➖")</f>
        <v>➖</v>
      </c>
      <c r="W104" s="306"/>
      <c r="X104" s="306"/>
      <c r="Y104" s="306"/>
    </row>
    <row r="105">
      <c r="A105" s="227"/>
      <c r="B105" s="128"/>
      <c r="C105" s="227"/>
      <c r="D105" s="301" t="str">
        <f>IFERROR(__xludf.DUMMYFUNCTION("""COMPUTED_VALUE"""),"   E")</f>
        <v>E</v>
      </c>
      <c r="E105" s="313" t="str">
        <f>IFERROR(__xludf.DUMMYFUNCTION("""COMPUTED_VALUE"""),"Tantalus Field")</f>
        <v>Tantalus Field</v>
      </c>
      <c r="F105" s="303">
        <f>IFERROR(__xludf.DUMMYFUNCTION("""COMPUTED_VALUE"""),3.0)</f>
        <v>3</v>
      </c>
      <c r="G105" s="281" t="str">
        <f>IFERROR(__xludf.DUMMYFUNCTION("""COMPUTED_VALUE"""),"FT")</f>
        <v>FT</v>
      </c>
      <c r="H105" s="281" t="str">
        <f>IFERROR(__xludf.DUMMYFUNCTION("""COMPUTED_VALUE"""),"✴️")</f>
        <v>✴️</v>
      </c>
      <c r="I105" s="281" t="str">
        <f>IFERROR(__xludf.DUMMYFUNCTION("""COMPUTED_VALUE"""),"✴️")</f>
        <v>✴️</v>
      </c>
      <c r="J105" s="281" t="str">
        <f>IFERROR(__xludf.DUMMYFUNCTION("""COMPUTED_VALUE"""),"➖")</f>
        <v>➖</v>
      </c>
      <c r="K105" s="282" t="str">
        <f>IFERROR(__xludf.DUMMYFUNCTION("""COMPUTED_VALUE"""),"➖")</f>
        <v>➖</v>
      </c>
      <c r="L105" s="282" t="str">
        <f>IFERROR(__xludf.DUMMYFUNCTION("""COMPUTED_VALUE"""),"➖")</f>
        <v>➖</v>
      </c>
      <c r="M105" s="282" t="str">
        <f>IFERROR(__xludf.DUMMYFUNCTION("""COMPUTED_VALUE"""),"➖")</f>
        <v>➖</v>
      </c>
      <c r="N105" s="282" t="str">
        <f>IFERROR(__xludf.DUMMYFUNCTION("""COMPUTED_VALUE"""),"➖")</f>
        <v>➖</v>
      </c>
      <c r="O105" s="282" t="str">
        <f>IFERROR(__xludf.DUMMYFUNCTION("""COMPUTED_VALUE"""),"➖")</f>
        <v>➖</v>
      </c>
      <c r="P105" s="282" t="str">
        <f>IFERROR(__xludf.DUMMYFUNCTION("""COMPUTED_VALUE"""),"➖")</f>
        <v>➖</v>
      </c>
      <c r="Q105" s="282" t="str">
        <f>IFERROR(__xludf.DUMMYFUNCTION("""COMPUTED_VALUE"""),"➖")</f>
        <v>➖</v>
      </c>
      <c r="R105" s="304" t="str">
        <f>IFERROR(__xludf.DUMMYFUNCTION("""COMPUTED_VALUE"""),"   ➖")</f>
        <v>➖</v>
      </c>
      <c r="S105" s="305" t="str">
        <f>IFERROR(__xludf.DUMMYFUNCTION("""COMPUTED_VALUE"""),"➖")</f>
        <v>➖</v>
      </c>
      <c r="T105" s="282" t="str">
        <f>IFERROR(__xludf.DUMMYFUNCTION("""COMPUTED_VALUE"""),"SelfOfficerTalNotOnBridge")</f>
        <v>SelfOfficerTalNotOnBridge</v>
      </c>
      <c r="U105" s="282" t="str">
        <f>IFERROR(__xludf.DUMMYFUNCTION("""COMPUTED_VALUE"""),"➖")</f>
        <v>➖</v>
      </c>
      <c r="V105" s="282" t="str">
        <f>IFERROR(__xludf.DUMMYFUNCTION("""COMPUTED_VALUE"""),"➖")</f>
        <v>➖</v>
      </c>
      <c r="W105" s="306"/>
      <c r="X105" s="306"/>
      <c r="Y105" s="306"/>
    </row>
    <row r="106">
      <c r="A106" s="227"/>
      <c r="B106" s="307"/>
      <c r="C106" s="227"/>
      <c r="D106" s="308" t="str">
        <f>IFERROR(__xludf.DUMMYFUNCTION("""COMPUTED_VALUE"""),"   E")</f>
        <v>E</v>
      </c>
      <c r="E106" s="309" t="str">
        <f>IFERROR(__xludf.DUMMYFUNCTION("""COMPUTED_VALUE"""),"Tantalus Field")</f>
        <v>Tantalus Field</v>
      </c>
      <c r="F106" s="310">
        <f>IFERROR(__xludf.DUMMYFUNCTION("""COMPUTED_VALUE"""),4.0)</f>
        <v>4</v>
      </c>
      <c r="G106" s="231" t="str">
        <f>IFERROR(__xludf.DUMMYFUNCTION("""COMPUTED_VALUE"""),"FT")</f>
        <v>FT</v>
      </c>
      <c r="H106" s="231" t="str">
        <f>IFERROR(__xludf.DUMMYFUNCTION("""COMPUTED_VALUE"""),"✅")</f>
        <v>✅</v>
      </c>
      <c r="I106" s="231" t="str">
        <f>IFERROR(__xludf.DUMMYFUNCTION("""COMPUTED_VALUE"""),"✅")</f>
        <v>✅</v>
      </c>
      <c r="J106" s="231" t="str">
        <f>IFERROR(__xludf.DUMMYFUNCTION("""COMPUTED_VALUE"""),"➖")</f>
        <v>➖</v>
      </c>
      <c r="K106" s="288" t="str">
        <f>IFERROR(__xludf.DUMMYFUNCTION("""COMPUTED_VALUE"""),"➖")</f>
        <v>➖</v>
      </c>
      <c r="L106" s="288" t="str">
        <f>IFERROR(__xludf.DUMMYFUNCTION("""COMPUTED_VALUE"""),"➖")</f>
        <v>➖</v>
      </c>
      <c r="M106" s="288" t="str">
        <f>IFERROR(__xludf.DUMMYFUNCTION("""COMPUTED_VALUE"""),"➖")</f>
        <v>➖</v>
      </c>
      <c r="N106" s="288" t="str">
        <f>IFERROR(__xludf.DUMMYFUNCTION("""COMPUTED_VALUE"""),"➖")</f>
        <v>➖</v>
      </c>
      <c r="O106" s="288" t="str">
        <f>IFERROR(__xludf.DUMMYFUNCTION("""COMPUTED_VALUE"""),"➖")</f>
        <v>➖</v>
      </c>
      <c r="P106" s="288" t="str">
        <f>IFERROR(__xludf.DUMMYFUNCTION("""COMPUTED_VALUE"""),"➖")</f>
        <v>➖</v>
      </c>
      <c r="Q106" s="288" t="str">
        <f>IFERROR(__xludf.DUMMYFUNCTION("""COMPUTED_VALUE"""),"➖")</f>
        <v>➖</v>
      </c>
      <c r="R106" s="311" t="str">
        <f>IFERROR(__xludf.DUMMYFUNCTION("""COMPUTED_VALUE"""),"   ➖")</f>
        <v>➖</v>
      </c>
      <c r="S106" s="312" t="str">
        <f>IFERROR(__xludf.DUMMYFUNCTION("""COMPUTED_VALUE"""),"➖")</f>
        <v>➖</v>
      </c>
      <c r="T106" s="288"/>
      <c r="U106" s="288" t="str">
        <f>IFERROR(__xludf.DUMMYFUNCTION("""COMPUTED_VALUE"""),"➖")</f>
        <v>➖</v>
      </c>
      <c r="V106" s="288" t="str">
        <f>IFERROR(__xludf.DUMMYFUNCTION("""COMPUTED_VALUE"""),"➖")</f>
        <v>➖</v>
      </c>
      <c r="W106" s="306"/>
      <c r="X106" s="306"/>
      <c r="Y106" s="306"/>
    </row>
    <row r="107">
      <c r="A107" s="227"/>
      <c r="B107" s="128"/>
      <c r="C107" s="227"/>
      <c r="D107" s="301" t="str">
        <f>IFERROR(__xludf.DUMMYFUNCTION("""COMPUTED_VALUE"""),"   E")</f>
        <v>E</v>
      </c>
      <c r="E107" s="313" t="str">
        <f>IFERROR(__xludf.DUMMYFUNCTION("""COMPUTED_VALUE"""),"Agony Booth")</f>
        <v>Agony Booth</v>
      </c>
      <c r="F107" s="303">
        <f>IFERROR(__xludf.DUMMYFUNCTION("""COMPUTED_VALUE"""),1.0)</f>
        <v>1</v>
      </c>
      <c r="G107" s="281" t="str">
        <f>IFERROR(__xludf.DUMMYFUNCTION("""COMPUTED_VALUE"""),"FT")</f>
        <v>FT</v>
      </c>
      <c r="H107" s="281" t="str">
        <f>IFERROR(__xludf.DUMMYFUNCTION("""COMPUTED_VALUE"""),"➖")</f>
        <v>➖</v>
      </c>
      <c r="I107" s="281" t="str">
        <f>IFERROR(__xludf.DUMMYFUNCTION("""COMPUTED_VALUE"""),"➖")</f>
        <v>➖</v>
      </c>
      <c r="J107" s="281" t="str">
        <f>IFERROR(__xludf.DUMMYFUNCTION("""COMPUTED_VALUE"""),"✴️")</f>
        <v>✴️</v>
      </c>
      <c r="K107" s="282" t="str">
        <f>IFERROR(__xludf.DUMMYFUNCTION("""COMPUTED_VALUE"""),"✴️")</f>
        <v>✴️</v>
      </c>
      <c r="L107" s="282" t="str">
        <f>IFERROR(__xludf.DUMMYFUNCTION("""COMPUTED_VALUE"""),"✴️")</f>
        <v>✴️</v>
      </c>
      <c r="M107" s="282" t="str">
        <f>IFERROR(__xludf.DUMMYFUNCTION("""COMPUTED_VALUE"""),"➖")</f>
        <v>➖</v>
      </c>
      <c r="N107" s="282" t="str">
        <f>IFERROR(__xludf.DUMMYFUNCTION("""COMPUTED_VALUE"""),"➖")</f>
        <v>➖</v>
      </c>
      <c r="O107" s="282" t="str">
        <f>IFERROR(__xludf.DUMMYFUNCTION("""COMPUTED_VALUE"""),"➖")</f>
        <v>➖</v>
      </c>
      <c r="P107" s="282" t="str">
        <f>IFERROR(__xludf.DUMMYFUNCTION("""COMPUTED_VALUE"""),"➖")</f>
        <v>➖</v>
      </c>
      <c r="Q107" s="282" t="str">
        <f>IFERROR(__xludf.DUMMYFUNCTION("""COMPUTED_VALUE"""),"➖")</f>
        <v>➖</v>
      </c>
      <c r="R107" s="304" t="str">
        <f>IFERROR(__xludf.DUMMYFUNCTION("""COMPUTED_VALUE"""),"   ➖")</f>
        <v>➖</v>
      </c>
      <c r="S107" s="305" t="str">
        <f>IFERROR(__xludf.DUMMYFUNCTION("""COMPUTED_VALUE"""),"➖")</f>
        <v>➖</v>
      </c>
      <c r="T107" s="282" t="str">
        <f>IFERROR(__xludf.DUMMYFUNCTION("""COMPUTED_VALUE"""),"SelfOfficerTalNotOnBridge")</f>
        <v>SelfOfficerTalNotOnBridge</v>
      </c>
      <c r="U107" s="282" t="str">
        <f>IFERROR(__xludf.DUMMYFUNCTION("""COMPUTED_VALUE"""),"➖")</f>
        <v>➖</v>
      </c>
      <c r="V107" s="282" t="str">
        <f>IFERROR(__xludf.DUMMYFUNCTION("""COMPUTED_VALUE"""),"➖")</f>
        <v>➖</v>
      </c>
      <c r="W107" s="306"/>
      <c r="X107" s="306"/>
      <c r="Y107" s="306"/>
    </row>
    <row r="108">
      <c r="A108" s="227"/>
      <c r="B108" s="307"/>
      <c r="C108" s="227"/>
      <c r="D108" s="308" t="str">
        <f>IFERROR(__xludf.DUMMYFUNCTION("""COMPUTED_VALUE"""),"   E")</f>
        <v>E</v>
      </c>
      <c r="E108" s="309" t="str">
        <f>IFERROR(__xludf.DUMMYFUNCTION("""COMPUTED_VALUE"""),"Agony Booth")</f>
        <v>Agony Booth</v>
      </c>
      <c r="F108" s="310">
        <f>IFERROR(__xludf.DUMMYFUNCTION("""COMPUTED_VALUE"""),2.0)</f>
        <v>2</v>
      </c>
      <c r="G108" s="231" t="str">
        <f>IFERROR(__xludf.DUMMYFUNCTION("""COMPUTED_VALUE"""),"FT")</f>
        <v>FT</v>
      </c>
      <c r="H108" s="231" t="str">
        <f>IFERROR(__xludf.DUMMYFUNCTION("""COMPUTED_VALUE"""),"➖")</f>
        <v>➖</v>
      </c>
      <c r="I108" s="231" t="str">
        <f>IFERROR(__xludf.DUMMYFUNCTION("""COMPUTED_VALUE"""),"➖")</f>
        <v>➖</v>
      </c>
      <c r="J108" s="231" t="str">
        <f>IFERROR(__xludf.DUMMYFUNCTION("""COMPUTED_VALUE"""),"✴️")</f>
        <v>✴️</v>
      </c>
      <c r="K108" s="288" t="str">
        <f>IFERROR(__xludf.DUMMYFUNCTION("""COMPUTED_VALUE"""),"➖")</f>
        <v>➖</v>
      </c>
      <c r="L108" s="288" t="str">
        <f>IFERROR(__xludf.DUMMYFUNCTION("""COMPUTED_VALUE"""),"➖")</f>
        <v>➖</v>
      </c>
      <c r="M108" s="288" t="str">
        <f>IFERROR(__xludf.DUMMYFUNCTION("""COMPUTED_VALUE"""),"➖")</f>
        <v>➖</v>
      </c>
      <c r="N108" s="288" t="str">
        <f>IFERROR(__xludf.DUMMYFUNCTION("""COMPUTED_VALUE"""),"✴️")</f>
        <v>✴️</v>
      </c>
      <c r="O108" s="288" t="str">
        <f>IFERROR(__xludf.DUMMYFUNCTION("""COMPUTED_VALUE"""),"✴️")</f>
        <v>✴️</v>
      </c>
      <c r="P108" s="288" t="str">
        <f>IFERROR(__xludf.DUMMYFUNCTION("""COMPUTED_VALUE"""),"➖")</f>
        <v>➖</v>
      </c>
      <c r="Q108" s="288" t="str">
        <f>IFERROR(__xludf.DUMMYFUNCTION("""COMPUTED_VALUE"""),"➖")</f>
        <v>➖</v>
      </c>
      <c r="R108" s="311" t="str">
        <f>IFERROR(__xludf.DUMMYFUNCTION("""COMPUTED_VALUE"""),"   ➖")</f>
        <v>➖</v>
      </c>
      <c r="S108" s="312" t="str">
        <f>IFERROR(__xludf.DUMMYFUNCTION("""COMPUTED_VALUE"""),"➖")</f>
        <v>➖</v>
      </c>
      <c r="T108" s="288" t="str">
        <f>IFERROR(__xludf.DUMMYFUNCTION("""COMPUTED_VALUE"""),"FactionPointsGain")</f>
        <v>FactionPointsGain</v>
      </c>
      <c r="U108" s="288" t="str">
        <f>IFERROR(__xludf.DUMMYFUNCTION("""COMPUTED_VALUE"""),"✅")</f>
        <v>✅</v>
      </c>
      <c r="V108" s="288" t="str">
        <f>IFERROR(__xludf.DUMMYFUNCTION("""COMPUTED_VALUE"""),"➖")</f>
        <v>➖</v>
      </c>
      <c r="W108" s="306"/>
      <c r="X108" s="306"/>
      <c r="Y108" s="306"/>
    </row>
    <row r="109">
      <c r="A109" s="227"/>
      <c r="B109" s="128"/>
      <c r="C109" s="227"/>
      <c r="D109" s="301" t="str">
        <f>IFERROR(__xludf.DUMMYFUNCTION("""COMPUTED_VALUE"""),"   E")</f>
        <v>E</v>
      </c>
      <c r="E109" s="313" t="str">
        <f>IFERROR(__xludf.DUMMYFUNCTION("""COMPUTED_VALUE"""),"Agony Booth")</f>
        <v>Agony Booth</v>
      </c>
      <c r="F109" s="303">
        <f>IFERROR(__xludf.DUMMYFUNCTION("""COMPUTED_VALUE"""),3.0)</f>
        <v>3</v>
      </c>
      <c r="G109" s="281" t="str">
        <f>IFERROR(__xludf.DUMMYFUNCTION("""COMPUTED_VALUE"""),"FT")</f>
        <v>FT</v>
      </c>
      <c r="H109" s="281" t="str">
        <f>IFERROR(__xludf.DUMMYFUNCTION("""COMPUTED_VALUE"""),"✅")</f>
        <v>✅</v>
      </c>
      <c r="I109" s="281" t="str">
        <f>IFERROR(__xludf.DUMMYFUNCTION("""COMPUTED_VALUE"""),"✅")</f>
        <v>✅</v>
      </c>
      <c r="J109" s="281" t="str">
        <f>IFERROR(__xludf.DUMMYFUNCTION("""COMPUTED_VALUE"""),"✅")</f>
        <v>✅</v>
      </c>
      <c r="K109" s="282" t="str">
        <f>IFERROR(__xludf.DUMMYFUNCTION("""COMPUTED_VALUE"""),"✅")</f>
        <v>✅</v>
      </c>
      <c r="L109" s="282" t="str">
        <f>IFERROR(__xludf.DUMMYFUNCTION("""COMPUTED_VALUE"""),"✅")</f>
        <v>✅</v>
      </c>
      <c r="M109" s="282" t="str">
        <f>IFERROR(__xludf.DUMMYFUNCTION("""COMPUTED_VALUE"""),"✅")</f>
        <v>✅</v>
      </c>
      <c r="N109" s="282" t="str">
        <f>IFERROR(__xludf.DUMMYFUNCTION("""COMPUTED_VALUE"""),"✅")</f>
        <v>✅</v>
      </c>
      <c r="O109" s="282" t="str">
        <f>IFERROR(__xludf.DUMMYFUNCTION("""COMPUTED_VALUE"""),"✅")</f>
        <v>✅</v>
      </c>
      <c r="P109" s="282" t="str">
        <f>IFERROR(__xludf.DUMMYFUNCTION("""COMPUTED_VALUE"""),"✅")</f>
        <v>✅</v>
      </c>
      <c r="Q109" s="282" t="str">
        <f>IFERROR(__xludf.DUMMYFUNCTION("""COMPUTED_VALUE"""),"✅")</f>
        <v>✅</v>
      </c>
      <c r="R109" s="304" t="str">
        <f>IFERROR(__xludf.DUMMYFUNCTION("""COMPUTED_VALUE"""),"   ✅")</f>
        <v>✅</v>
      </c>
      <c r="S109" s="305" t="str">
        <f>IFERROR(__xludf.DUMMYFUNCTION("""COMPUTED_VALUE"""),"✅")</f>
        <v>✅</v>
      </c>
      <c r="T109" s="282"/>
      <c r="U109" s="282" t="str">
        <f>IFERROR(__xludf.DUMMYFUNCTION("""COMPUTED_VALUE"""),"➖")</f>
        <v>➖</v>
      </c>
      <c r="V109" s="282" t="str">
        <f>IFERROR(__xludf.DUMMYFUNCTION("""COMPUTED_VALUE"""),"➖")</f>
        <v>➖</v>
      </c>
      <c r="W109" s="306"/>
      <c r="X109" s="306"/>
      <c r="Y109" s="306"/>
    </row>
    <row r="110">
      <c r="A110" s="227"/>
      <c r="B110" s="307"/>
      <c r="C110" s="227"/>
      <c r="D110" s="308" t="str">
        <f>IFERROR(__xludf.DUMMYFUNCTION("""COMPUTED_VALUE"""),"   E")</f>
        <v>E</v>
      </c>
      <c r="E110" s="309" t="str">
        <f>IFERROR(__xludf.DUMMYFUNCTION("""COMPUTED_VALUE"""),"Agony Booth")</f>
        <v>Agony Booth</v>
      </c>
      <c r="F110" s="310">
        <f>IFERROR(__xludf.DUMMYFUNCTION("""COMPUTED_VALUE"""),4.0)</f>
        <v>4</v>
      </c>
      <c r="G110" s="231" t="str">
        <f>IFERROR(__xludf.DUMMYFUNCTION("""COMPUTED_VALUE"""),"FT")</f>
        <v>FT</v>
      </c>
      <c r="H110" s="231" t="str">
        <f>IFERROR(__xludf.DUMMYFUNCTION("""COMPUTED_VALUE"""),"➖")</f>
        <v>➖</v>
      </c>
      <c r="I110" s="231" t="str">
        <f>IFERROR(__xludf.DUMMYFUNCTION("""COMPUTED_VALUE"""),"➖")</f>
        <v>➖</v>
      </c>
      <c r="J110" s="231" t="str">
        <f>IFERROR(__xludf.DUMMYFUNCTION("""COMPUTED_VALUE"""),"✅")</f>
        <v>✅</v>
      </c>
      <c r="K110" s="288" t="str">
        <f>IFERROR(__xludf.DUMMYFUNCTION("""COMPUTED_VALUE"""),"✅")</f>
        <v>✅</v>
      </c>
      <c r="L110" s="288" t="str">
        <f>IFERROR(__xludf.DUMMYFUNCTION("""COMPUTED_VALUE"""),"✅")</f>
        <v>✅</v>
      </c>
      <c r="M110" s="288" t="str">
        <f>IFERROR(__xludf.DUMMYFUNCTION("""COMPUTED_VALUE"""),"➖")</f>
        <v>➖</v>
      </c>
      <c r="N110" s="288" t="str">
        <f>IFERROR(__xludf.DUMMYFUNCTION("""COMPUTED_VALUE"""),"➖")</f>
        <v>➖</v>
      </c>
      <c r="O110" s="288" t="str">
        <f>IFERROR(__xludf.DUMMYFUNCTION("""COMPUTED_VALUE"""),"➖")</f>
        <v>➖</v>
      </c>
      <c r="P110" s="288" t="str">
        <f>IFERROR(__xludf.DUMMYFUNCTION("""COMPUTED_VALUE"""),"➖")</f>
        <v>➖</v>
      </c>
      <c r="Q110" s="288" t="str">
        <f>IFERROR(__xludf.DUMMYFUNCTION("""COMPUTED_VALUE"""),"➖")</f>
        <v>➖</v>
      </c>
      <c r="R110" s="311" t="str">
        <f>IFERROR(__xludf.DUMMYFUNCTION("""COMPUTED_VALUE"""),"   ➖")</f>
        <v>➖</v>
      </c>
      <c r="S110" s="312" t="str">
        <f>IFERROR(__xludf.DUMMYFUNCTION("""COMPUTED_VALUE"""),"➖")</f>
        <v>➖</v>
      </c>
      <c r="T110" s="288"/>
      <c r="U110" s="288" t="str">
        <f>IFERROR(__xludf.DUMMYFUNCTION("""COMPUTED_VALUE"""),"➖")</f>
        <v>➖</v>
      </c>
      <c r="V110" s="288" t="str">
        <f>IFERROR(__xludf.DUMMYFUNCTION("""COMPUTED_VALUE"""),"➖")</f>
        <v>➖</v>
      </c>
      <c r="W110" s="306"/>
      <c r="X110" s="306"/>
      <c r="Y110" s="306"/>
    </row>
    <row r="111">
      <c r="A111" s="227"/>
      <c r="B111" s="128"/>
      <c r="C111" s="227"/>
      <c r="D111" s="301" t="str">
        <f>IFERROR(__xludf.DUMMYFUNCTION("""COMPUTED_VALUE"""),"   E")</f>
        <v>E</v>
      </c>
      <c r="E111" s="313" t="str">
        <f>IFERROR(__xludf.DUMMYFUNCTION("""COMPUTED_VALUE"""),"Quantum Slipstream Drive")</f>
        <v>Quantum Slipstream Drive</v>
      </c>
      <c r="F111" s="303">
        <f>IFERROR(__xludf.DUMMYFUNCTION("""COMPUTED_VALUE"""),1.0)</f>
        <v>1</v>
      </c>
      <c r="G111" s="281" t="str">
        <f>IFERROR(__xludf.DUMMYFUNCTION("""COMPUTED_VALUE"""),"FT")</f>
        <v>FT</v>
      </c>
      <c r="H111" s="281" t="str">
        <f>IFERROR(__xludf.DUMMYFUNCTION("""COMPUTED_VALUE"""),"➖")</f>
        <v>➖</v>
      </c>
      <c r="I111" s="281" t="str">
        <f>IFERROR(__xludf.DUMMYFUNCTION("""COMPUTED_VALUE"""),"➖")</f>
        <v>➖</v>
      </c>
      <c r="J111" s="281" t="str">
        <f>IFERROR(__xludf.DUMMYFUNCTION("""COMPUTED_VALUE"""),"➖")</f>
        <v>➖</v>
      </c>
      <c r="K111" s="282" t="str">
        <f>IFERROR(__xludf.DUMMYFUNCTION("""COMPUTED_VALUE"""),"➖")</f>
        <v>➖</v>
      </c>
      <c r="L111" s="282" t="str">
        <f>IFERROR(__xludf.DUMMYFUNCTION("""COMPUTED_VALUE"""),"➖")</f>
        <v>➖</v>
      </c>
      <c r="M111" s="282" t="str">
        <f>IFERROR(__xludf.DUMMYFUNCTION("""COMPUTED_VALUE"""),"➖")</f>
        <v>➖</v>
      </c>
      <c r="N111" s="282" t="str">
        <f>IFERROR(__xludf.DUMMYFUNCTION("""COMPUTED_VALUE"""),"➖")</f>
        <v>➖</v>
      </c>
      <c r="O111" s="282" t="str">
        <f>IFERROR(__xludf.DUMMYFUNCTION("""COMPUTED_VALUE"""),"➖")</f>
        <v>➖</v>
      </c>
      <c r="P111" s="282" t="str">
        <f>IFERROR(__xludf.DUMMYFUNCTION("""COMPUTED_VALUE"""),"➖")</f>
        <v>➖</v>
      </c>
      <c r="Q111" s="282" t="str">
        <f>IFERROR(__xludf.DUMMYFUNCTION("""COMPUTED_VALUE"""),"➖")</f>
        <v>➖</v>
      </c>
      <c r="R111" s="304" t="str">
        <f>IFERROR(__xludf.DUMMYFUNCTION("""COMPUTED_VALUE"""),"   ➖")</f>
        <v>➖</v>
      </c>
      <c r="S111" s="305" t="str">
        <f>IFERROR(__xludf.DUMMYFUNCTION("""COMPUTED_VALUE"""),"➖")</f>
        <v>➖</v>
      </c>
      <c r="T111" s="282"/>
      <c r="U111" s="282" t="str">
        <f>IFERROR(__xludf.DUMMYFUNCTION("""COMPUTED_VALUE"""),"➖")</f>
        <v>➖</v>
      </c>
      <c r="V111" s="282" t="str">
        <f>IFERROR(__xludf.DUMMYFUNCTION("""COMPUTED_VALUE"""),"✅")</f>
        <v>✅</v>
      </c>
      <c r="W111" s="306"/>
      <c r="X111" s="306"/>
      <c r="Y111" s="306"/>
    </row>
    <row r="112">
      <c r="A112" s="227"/>
      <c r="B112" s="307"/>
      <c r="C112" s="227"/>
      <c r="D112" s="308" t="str">
        <f>IFERROR(__xludf.DUMMYFUNCTION("""COMPUTED_VALUE"""),"   E")</f>
        <v>E</v>
      </c>
      <c r="E112" s="309" t="str">
        <f>IFERROR(__xludf.DUMMYFUNCTION("""COMPUTED_VALUE"""),"Quantum Slipstream Drive")</f>
        <v>Quantum Slipstream Drive</v>
      </c>
      <c r="F112" s="310">
        <f>IFERROR(__xludf.DUMMYFUNCTION("""COMPUTED_VALUE"""),2.0)</f>
        <v>2</v>
      </c>
      <c r="G112" s="231" t="str">
        <f>IFERROR(__xludf.DUMMYFUNCTION("""COMPUTED_VALUE"""),"FT")</f>
        <v>FT</v>
      </c>
      <c r="H112" s="231" t="str">
        <f>IFERROR(__xludf.DUMMYFUNCTION("""COMPUTED_VALUE"""),"✅")</f>
        <v>✅</v>
      </c>
      <c r="I112" s="231" t="str">
        <f>IFERROR(__xludf.DUMMYFUNCTION("""COMPUTED_VALUE"""),"✅")</f>
        <v>✅</v>
      </c>
      <c r="J112" s="231" t="str">
        <f>IFERROR(__xludf.DUMMYFUNCTION("""COMPUTED_VALUE"""),"✅")</f>
        <v>✅</v>
      </c>
      <c r="K112" s="288" t="str">
        <f>IFERROR(__xludf.DUMMYFUNCTION("""COMPUTED_VALUE"""),"✅")</f>
        <v>✅</v>
      </c>
      <c r="L112" s="288" t="str">
        <f>IFERROR(__xludf.DUMMYFUNCTION("""COMPUTED_VALUE"""),"✅")</f>
        <v>✅</v>
      </c>
      <c r="M112" s="288" t="str">
        <f>IFERROR(__xludf.DUMMYFUNCTION("""COMPUTED_VALUE"""),"✅")</f>
        <v>✅</v>
      </c>
      <c r="N112" s="288" t="str">
        <f>IFERROR(__xludf.DUMMYFUNCTION("""COMPUTED_VALUE"""),"✅")</f>
        <v>✅</v>
      </c>
      <c r="O112" s="288" t="str">
        <f>IFERROR(__xludf.DUMMYFUNCTION("""COMPUTED_VALUE"""),"✅")</f>
        <v>✅</v>
      </c>
      <c r="P112" s="288" t="str">
        <f>IFERROR(__xludf.DUMMYFUNCTION("""COMPUTED_VALUE"""),"✅")</f>
        <v>✅</v>
      </c>
      <c r="Q112" s="288" t="str">
        <f>IFERROR(__xludf.DUMMYFUNCTION("""COMPUTED_VALUE"""),"✅")</f>
        <v>✅</v>
      </c>
      <c r="R112" s="311" t="str">
        <f>IFERROR(__xludf.DUMMYFUNCTION("""COMPUTED_VALUE"""),"   ✅")</f>
        <v>✅</v>
      </c>
      <c r="S112" s="312" t="str">
        <f>IFERROR(__xludf.DUMMYFUNCTION("""COMPUTED_VALUE"""),"✅")</f>
        <v>✅</v>
      </c>
      <c r="T112" s="288"/>
      <c r="U112" s="288" t="str">
        <f>IFERROR(__xludf.DUMMYFUNCTION("""COMPUTED_VALUE"""),"➖")</f>
        <v>➖</v>
      </c>
      <c r="V112" s="288" t="str">
        <f>IFERROR(__xludf.DUMMYFUNCTION("""COMPUTED_VALUE"""),"➖")</f>
        <v>➖</v>
      </c>
      <c r="W112" s="306"/>
      <c r="X112" s="306"/>
      <c r="Y112" s="306"/>
    </row>
    <row r="113">
      <c r="A113" s="227"/>
      <c r="B113" s="128"/>
      <c r="C113" s="227"/>
      <c r="D113" s="301" t="str">
        <f>IFERROR(__xludf.DUMMYFUNCTION("""COMPUTED_VALUE"""),"   E")</f>
        <v>E</v>
      </c>
      <c r="E113" s="313" t="str">
        <f>IFERROR(__xludf.DUMMYFUNCTION("""COMPUTED_VALUE"""),"Quantum Slipstream Drive")</f>
        <v>Quantum Slipstream Drive</v>
      </c>
      <c r="F113" s="303">
        <f>IFERROR(__xludf.DUMMYFUNCTION("""COMPUTED_VALUE"""),3.0)</f>
        <v>3</v>
      </c>
      <c r="G113" s="281" t="str">
        <f>IFERROR(__xludf.DUMMYFUNCTION("""COMPUTED_VALUE"""),"FT")</f>
        <v>FT</v>
      </c>
      <c r="H113" s="281" t="str">
        <f>IFERROR(__xludf.DUMMYFUNCTION("""COMPUTED_VALUE"""),"✅")</f>
        <v>✅</v>
      </c>
      <c r="I113" s="281" t="str">
        <f>IFERROR(__xludf.DUMMYFUNCTION("""COMPUTED_VALUE"""),"✅")</f>
        <v>✅</v>
      </c>
      <c r="J113" s="281" t="str">
        <f>IFERROR(__xludf.DUMMYFUNCTION("""COMPUTED_VALUE"""),"✅")</f>
        <v>✅</v>
      </c>
      <c r="K113" s="282" t="str">
        <f>IFERROR(__xludf.DUMMYFUNCTION("""COMPUTED_VALUE"""),"✅")</f>
        <v>✅</v>
      </c>
      <c r="L113" s="282" t="str">
        <f>IFERROR(__xludf.DUMMYFUNCTION("""COMPUTED_VALUE"""),"✅")</f>
        <v>✅</v>
      </c>
      <c r="M113" s="282" t="str">
        <f>IFERROR(__xludf.DUMMYFUNCTION("""COMPUTED_VALUE"""),"✅")</f>
        <v>✅</v>
      </c>
      <c r="N113" s="282" t="str">
        <f>IFERROR(__xludf.DUMMYFUNCTION("""COMPUTED_VALUE"""),"✅")</f>
        <v>✅</v>
      </c>
      <c r="O113" s="282" t="str">
        <f>IFERROR(__xludf.DUMMYFUNCTION("""COMPUTED_VALUE"""),"✅")</f>
        <v>✅</v>
      </c>
      <c r="P113" s="282" t="str">
        <f>IFERROR(__xludf.DUMMYFUNCTION("""COMPUTED_VALUE"""),"✅")</f>
        <v>✅</v>
      </c>
      <c r="Q113" s="282" t="str">
        <f>IFERROR(__xludf.DUMMYFUNCTION("""COMPUTED_VALUE"""),"✅")</f>
        <v>✅</v>
      </c>
      <c r="R113" s="304" t="str">
        <f>IFERROR(__xludf.DUMMYFUNCTION("""COMPUTED_VALUE"""),"   ✅")</f>
        <v>✅</v>
      </c>
      <c r="S113" s="305" t="str">
        <f>IFERROR(__xludf.DUMMYFUNCTION("""COMPUTED_VALUE"""),"✅")</f>
        <v>✅</v>
      </c>
      <c r="T113" s="282"/>
      <c r="U113" s="282" t="str">
        <f>IFERROR(__xludf.DUMMYFUNCTION("""COMPUTED_VALUE"""),"➖")</f>
        <v>➖</v>
      </c>
      <c r="V113" s="282" t="str">
        <f>IFERROR(__xludf.DUMMYFUNCTION("""COMPUTED_VALUE"""),"➖")</f>
        <v>➖</v>
      </c>
      <c r="W113" s="306"/>
      <c r="X113" s="306"/>
      <c r="Y113" s="306"/>
    </row>
    <row r="114">
      <c r="A114" s="227"/>
      <c r="B114" s="307"/>
      <c r="C114" s="227"/>
      <c r="D114" s="308" t="str">
        <f>IFERROR(__xludf.DUMMYFUNCTION("""COMPUTED_VALUE"""),"   E")</f>
        <v>E</v>
      </c>
      <c r="E114" s="309" t="str">
        <f>IFERROR(__xludf.DUMMYFUNCTION("""COMPUTED_VALUE"""),"Quantum Slipstream Drive")</f>
        <v>Quantum Slipstream Drive</v>
      </c>
      <c r="F114" s="310">
        <f>IFERROR(__xludf.DUMMYFUNCTION("""COMPUTED_VALUE"""),4.0)</f>
        <v>4</v>
      </c>
      <c r="G114" s="231" t="str">
        <f>IFERROR(__xludf.DUMMYFUNCTION("""COMPUTED_VALUE"""),"FT")</f>
        <v>FT</v>
      </c>
      <c r="H114" s="231" t="str">
        <f>IFERROR(__xludf.DUMMYFUNCTION("""COMPUTED_VALUE"""),"✅")</f>
        <v>✅</v>
      </c>
      <c r="I114" s="231" t="str">
        <f>IFERROR(__xludf.DUMMYFUNCTION("""COMPUTED_VALUE"""),"✅")</f>
        <v>✅</v>
      </c>
      <c r="J114" s="231" t="str">
        <f>IFERROR(__xludf.DUMMYFUNCTION("""COMPUTED_VALUE"""),"✅")</f>
        <v>✅</v>
      </c>
      <c r="K114" s="288" t="str">
        <f>IFERROR(__xludf.DUMMYFUNCTION("""COMPUTED_VALUE"""),"✅")</f>
        <v>✅</v>
      </c>
      <c r="L114" s="288" t="str">
        <f>IFERROR(__xludf.DUMMYFUNCTION("""COMPUTED_VALUE"""),"✅")</f>
        <v>✅</v>
      </c>
      <c r="M114" s="288" t="str">
        <f>IFERROR(__xludf.DUMMYFUNCTION("""COMPUTED_VALUE"""),"✅")</f>
        <v>✅</v>
      </c>
      <c r="N114" s="288" t="str">
        <f>IFERROR(__xludf.DUMMYFUNCTION("""COMPUTED_VALUE"""),"✅")</f>
        <v>✅</v>
      </c>
      <c r="O114" s="288" t="str">
        <f>IFERROR(__xludf.DUMMYFUNCTION("""COMPUTED_VALUE"""),"✅")</f>
        <v>✅</v>
      </c>
      <c r="P114" s="288" t="str">
        <f>IFERROR(__xludf.DUMMYFUNCTION("""COMPUTED_VALUE"""),"✅")</f>
        <v>✅</v>
      </c>
      <c r="Q114" s="288" t="str">
        <f>IFERROR(__xludf.DUMMYFUNCTION("""COMPUTED_VALUE"""),"✅")</f>
        <v>✅</v>
      </c>
      <c r="R114" s="311" t="str">
        <f>IFERROR(__xludf.DUMMYFUNCTION("""COMPUTED_VALUE"""),"   ✅")</f>
        <v>✅</v>
      </c>
      <c r="S114" s="312" t="str">
        <f>IFERROR(__xludf.DUMMYFUNCTION("""COMPUTED_VALUE"""),"✅")</f>
        <v>✅</v>
      </c>
      <c r="T114" s="288"/>
      <c r="U114" s="288" t="str">
        <f>IFERROR(__xludf.DUMMYFUNCTION("""COMPUTED_VALUE"""),"➖")</f>
        <v>➖</v>
      </c>
      <c r="V114" s="288" t="str">
        <f>IFERROR(__xludf.DUMMYFUNCTION("""COMPUTED_VALUE"""),"➖")</f>
        <v>➖</v>
      </c>
      <c r="W114" s="306"/>
      <c r="X114" s="306"/>
      <c r="Y114" s="306"/>
    </row>
    <row r="115">
      <c r="A115" s="227"/>
      <c r="B115" s="128"/>
      <c r="C115" s="227"/>
      <c r="D115" s="301" t="str">
        <f>IFERROR(__xludf.DUMMYFUNCTION("""COMPUTED_VALUE"""),"   E")</f>
        <v>E</v>
      </c>
      <c r="E115" s="313" t="str">
        <f>IFERROR(__xludf.DUMMYFUNCTION("""COMPUTED_VALUE"""),"Q Cannon")</f>
        <v>Q Cannon</v>
      </c>
      <c r="F115" s="303">
        <f>IFERROR(__xludf.DUMMYFUNCTION("""COMPUTED_VALUE"""),1.0)</f>
        <v>1</v>
      </c>
      <c r="G115" s="281" t="str">
        <f>IFERROR(__xludf.DUMMYFUNCTION("""COMPUTED_VALUE"""),"CT")</f>
        <v>CT</v>
      </c>
      <c r="H115" s="281" t="str">
        <f>IFERROR(__xludf.DUMMYFUNCTION("""COMPUTED_VALUE"""),"✅")</f>
        <v>✅</v>
      </c>
      <c r="I115" s="281" t="str">
        <f>IFERROR(__xludf.DUMMYFUNCTION("""COMPUTED_VALUE"""),"✅")</f>
        <v>✅</v>
      </c>
      <c r="J115" s="281" t="str">
        <f>IFERROR(__xludf.DUMMYFUNCTION("""COMPUTED_VALUE"""),"➖")</f>
        <v>➖</v>
      </c>
      <c r="K115" s="282" t="str">
        <f>IFERROR(__xludf.DUMMYFUNCTION("""COMPUTED_VALUE"""),"➖")</f>
        <v>➖</v>
      </c>
      <c r="L115" s="282" t="str">
        <f>IFERROR(__xludf.DUMMYFUNCTION("""COMPUTED_VALUE"""),"➖")</f>
        <v>➖</v>
      </c>
      <c r="M115" s="282" t="str">
        <f>IFERROR(__xludf.DUMMYFUNCTION("""COMPUTED_VALUE"""),"➖")</f>
        <v>➖</v>
      </c>
      <c r="N115" s="282" t="str">
        <f>IFERROR(__xludf.DUMMYFUNCTION("""COMPUTED_VALUE"""),"➖")</f>
        <v>➖</v>
      </c>
      <c r="O115" s="282" t="str">
        <f>IFERROR(__xludf.DUMMYFUNCTION("""COMPUTED_VALUE"""),"➖")</f>
        <v>➖</v>
      </c>
      <c r="P115" s="282" t="str">
        <f>IFERROR(__xludf.DUMMYFUNCTION("""COMPUTED_VALUE"""),"➖")</f>
        <v>➖</v>
      </c>
      <c r="Q115" s="282" t="str">
        <f>IFERROR(__xludf.DUMMYFUNCTION("""COMPUTED_VALUE"""),"➖")</f>
        <v>➖</v>
      </c>
      <c r="R115" s="304" t="str">
        <f>IFERROR(__xludf.DUMMYFUNCTION("""COMPUTED_VALUE"""),"   ➖")</f>
        <v>➖</v>
      </c>
      <c r="S115" s="305" t="str">
        <f>IFERROR(__xludf.DUMMYFUNCTION("""COMPUTED_VALUE"""),"➖")</f>
        <v>➖</v>
      </c>
      <c r="T115" s="282"/>
      <c r="U115" s="282" t="str">
        <f>IFERROR(__xludf.DUMMYFUNCTION("""COMPUTED_VALUE"""),"➖")</f>
        <v>➖</v>
      </c>
      <c r="V115" s="282" t="str">
        <f>IFERROR(__xludf.DUMMYFUNCTION("""COMPUTED_VALUE"""),"➖")</f>
        <v>➖</v>
      </c>
      <c r="W115" s="306"/>
      <c r="X115" s="306"/>
      <c r="Y115" s="306"/>
    </row>
    <row r="116">
      <c r="A116" s="227"/>
      <c r="B116" s="307"/>
      <c r="C116" s="227"/>
      <c r="D116" s="308" t="str">
        <f>IFERROR(__xludf.DUMMYFUNCTION("""COMPUTED_VALUE"""),"   E")</f>
        <v>E</v>
      </c>
      <c r="E116" s="309" t="str">
        <f>IFERROR(__xludf.DUMMYFUNCTION("""COMPUTED_VALUE"""),"Q Cannon")</f>
        <v>Q Cannon</v>
      </c>
      <c r="F116" s="310">
        <f>IFERROR(__xludf.DUMMYFUNCTION("""COMPUTED_VALUE"""),2.0)</f>
        <v>2</v>
      </c>
      <c r="G116" s="231" t="str">
        <f>IFERROR(__xludf.DUMMYFUNCTION("""COMPUTED_VALUE"""),"CT")</f>
        <v>CT</v>
      </c>
      <c r="H116" s="231" t="str">
        <f>IFERROR(__xludf.DUMMYFUNCTION("""COMPUTED_VALUE"""),"✅")</f>
        <v>✅</v>
      </c>
      <c r="I116" s="231" t="str">
        <f>IFERROR(__xludf.DUMMYFUNCTION("""COMPUTED_VALUE"""),"✅")</f>
        <v>✅</v>
      </c>
      <c r="J116" s="231" t="str">
        <f>IFERROR(__xludf.DUMMYFUNCTION("""COMPUTED_VALUE"""),"➖")</f>
        <v>➖</v>
      </c>
      <c r="K116" s="288" t="str">
        <f>IFERROR(__xludf.DUMMYFUNCTION("""COMPUTED_VALUE"""),"➖")</f>
        <v>➖</v>
      </c>
      <c r="L116" s="288" t="str">
        <f>IFERROR(__xludf.DUMMYFUNCTION("""COMPUTED_VALUE"""),"➖")</f>
        <v>➖</v>
      </c>
      <c r="M116" s="288" t="str">
        <f>IFERROR(__xludf.DUMMYFUNCTION("""COMPUTED_VALUE"""),"➖")</f>
        <v>➖</v>
      </c>
      <c r="N116" s="288" t="str">
        <f>IFERROR(__xludf.DUMMYFUNCTION("""COMPUTED_VALUE"""),"➖")</f>
        <v>➖</v>
      </c>
      <c r="O116" s="288" t="str">
        <f>IFERROR(__xludf.DUMMYFUNCTION("""COMPUTED_VALUE"""),"➖")</f>
        <v>➖</v>
      </c>
      <c r="P116" s="288" t="str">
        <f>IFERROR(__xludf.DUMMYFUNCTION("""COMPUTED_VALUE"""),"➖")</f>
        <v>➖</v>
      </c>
      <c r="Q116" s="288" t="str">
        <f>IFERROR(__xludf.DUMMYFUNCTION("""COMPUTED_VALUE"""),"➖")</f>
        <v>➖</v>
      </c>
      <c r="R116" s="311" t="str">
        <f>IFERROR(__xludf.DUMMYFUNCTION("""COMPUTED_VALUE"""),"   ➖")</f>
        <v>➖</v>
      </c>
      <c r="S116" s="312" t="str">
        <f>IFERROR(__xludf.DUMMYFUNCTION("""COMPUTED_VALUE"""),"➖")</f>
        <v>➖</v>
      </c>
      <c r="T116" s="288"/>
      <c r="U116" s="288" t="str">
        <f>IFERROR(__xludf.DUMMYFUNCTION("""COMPUTED_VALUE"""),"➖")</f>
        <v>➖</v>
      </c>
      <c r="V116" s="288" t="str">
        <f>IFERROR(__xludf.DUMMYFUNCTION("""COMPUTED_VALUE"""),"➖")</f>
        <v>➖</v>
      </c>
      <c r="W116" s="306"/>
      <c r="X116" s="306"/>
      <c r="Y116" s="306"/>
    </row>
    <row r="117">
      <c r="A117" s="227"/>
      <c r="B117" s="128"/>
      <c r="C117" s="227"/>
      <c r="D117" s="301" t="str">
        <f>IFERROR(__xludf.DUMMYFUNCTION("""COMPUTED_VALUE"""),"   E")</f>
        <v>E</v>
      </c>
      <c r="E117" s="313" t="str">
        <f>IFERROR(__xludf.DUMMYFUNCTION("""COMPUTED_VALUE"""),"Q Cannon")</f>
        <v>Q Cannon</v>
      </c>
      <c r="F117" s="303">
        <f>IFERROR(__xludf.DUMMYFUNCTION("""COMPUTED_VALUE"""),3.0)</f>
        <v>3</v>
      </c>
      <c r="G117" s="281" t="str">
        <f>IFERROR(__xludf.DUMMYFUNCTION("""COMPUTED_VALUE"""),"CT")</f>
        <v>CT</v>
      </c>
      <c r="H117" s="281" t="str">
        <f>IFERROR(__xludf.DUMMYFUNCTION("""COMPUTED_VALUE"""),"✅")</f>
        <v>✅</v>
      </c>
      <c r="I117" s="281" t="str">
        <f>IFERROR(__xludf.DUMMYFUNCTION("""COMPUTED_VALUE"""),"✅")</f>
        <v>✅</v>
      </c>
      <c r="J117" s="281" t="str">
        <f>IFERROR(__xludf.DUMMYFUNCTION("""COMPUTED_VALUE"""),"➖")</f>
        <v>➖</v>
      </c>
      <c r="K117" s="282" t="str">
        <f>IFERROR(__xludf.DUMMYFUNCTION("""COMPUTED_VALUE"""),"➖")</f>
        <v>➖</v>
      </c>
      <c r="L117" s="282" t="str">
        <f>IFERROR(__xludf.DUMMYFUNCTION("""COMPUTED_VALUE"""),"➖")</f>
        <v>➖</v>
      </c>
      <c r="M117" s="282" t="str">
        <f>IFERROR(__xludf.DUMMYFUNCTION("""COMPUTED_VALUE"""),"➖")</f>
        <v>➖</v>
      </c>
      <c r="N117" s="282" t="str">
        <f>IFERROR(__xludf.DUMMYFUNCTION("""COMPUTED_VALUE"""),"➖")</f>
        <v>➖</v>
      </c>
      <c r="O117" s="282" t="str">
        <f>IFERROR(__xludf.DUMMYFUNCTION("""COMPUTED_VALUE"""),"➖")</f>
        <v>➖</v>
      </c>
      <c r="P117" s="282" t="str">
        <f>IFERROR(__xludf.DUMMYFUNCTION("""COMPUTED_VALUE"""),"➖")</f>
        <v>➖</v>
      </c>
      <c r="Q117" s="282" t="str">
        <f>IFERROR(__xludf.DUMMYFUNCTION("""COMPUTED_VALUE"""),"➖")</f>
        <v>➖</v>
      </c>
      <c r="R117" s="304" t="str">
        <f>IFERROR(__xludf.DUMMYFUNCTION("""COMPUTED_VALUE"""),"   ➖")</f>
        <v>➖</v>
      </c>
      <c r="S117" s="305" t="str">
        <f>IFERROR(__xludf.DUMMYFUNCTION("""COMPUTED_VALUE"""),"➖")</f>
        <v>➖</v>
      </c>
      <c r="T117" s="282"/>
      <c r="U117" s="282" t="str">
        <f>IFERROR(__xludf.DUMMYFUNCTION("""COMPUTED_VALUE"""),"➖")</f>
        <v>➖</v>
      </c>
      <c r="V117" s="282" t="str">
        <f>IFERROR(__xludf.DUMMYFUNCTION("""COMPUTED_VALUE"""),"➖")</f>
        <v>➖</v>
      </c>
      <c r="W117" s="306"/>
      <c r="X117" s="306"/>
      <c r="Y117" s="306"/>
    </row>
    <row r="118">
      <c r="A118" s="227"/>
      <c r="B118" s="307"/>
      <c r="C118" s="227"/>
      <c r="D118" s="308" t="str">
        <f>IFERROR(__xludf.DUMMYFUNCTION("""COMPUTED_VALUE"""),"   E")</f>
        <v>E</v>
      </c>
      <c r="E118" s="309" t="str">
        <f>IFERROR(__xludf.DUMMYFUNCTION("""COMPUTED_VALUE"""),"Temporal Conduit")</f>
        <v>Temporal Conduit</v>
      </c>
      <c r="F118" s="310">
        <f>IFERROR(__xludf.DUMMYFUNCTION("""COMPUTED_VALUE"""),1.0)</f>
        <v>1</v>
      </c>
      <c r="G118" s="231" t="str">
        <f>IFERROR(__xludf.DUMMYFUNCTION("""COMPUTED_VALUE"""),"CT")</f>
        <v>CT</v>
      </c>
      <c r="H118" s="231" t="str">
        <f>IFERROR(__xludf.DUMMYFUNCTION("""COMPUTED_VALUE"""),"➖")</f>
        <v>➖</v>
      </c>
      <c r="I118" s="231" t="str">
        <f>IFERROR(__xludf.DUMMYFUNCTION("""COMPUTED_VALUE"""),"➖")</f>
        <v>➖</v>
      </c>
      <c r="J118" s="231" t="str">
        <f>IFERROR(__xludf.DUMMYFUNCTION("""COMPUTED_VALUE"""),"✅")</f>
        <v>✅</v>
      </c>
      <c r="K118" s="288" t="str">
        <f>IFERROR(__xludf.DUMMYFUNCTION("""COMPUTED_VALUE"""),"✅")</f>
        <v>✅</v>
      </c>
      <c r="L118" s="288" t="str">
        <f>IFERROR(__xludf.DUMMYFUNCTION("""COMPUTED_VALUE"""),"✅")</f>
        <v>✅</v>
      </c>
      <c r="M118" s="288" t="str">
        <f>IFERROR(__xludf.DUMMYFUNCTION("""COMPUTED_VALUE"""),"➖")</f>
        <v>➖</v>
      </c>
      <c r="N118" s="288" t="str">
        <f>IFERROR(__xludf.DUMMYFUNCTION("""COMPUTED_VALUE"""),"✅")</f>
        <v>✅</v>
      </c>
      <c r="O118" s="288" t="str">
        <f>IFERROR(__xludf.DUMMYFUNCTION("""COMPUTED_VALUE"""),"✅")</f>
        <v>✅</v>
      </c>
      <c r="P118" s="288" t="str">
        <f>IFERROR(__xludf.DUMMYFUNCTION("""COMPUTED_VALUE"""),"✅")</f>
        <v>✅</v>
      </c>
      <c r="Q118" s="288" t="str">
        <f>IFERROR(__xludf.DUMMYFUNCTION("""COMPUTED_VALUE"""),"➖")</f>
        <v>➖</v>
      </c>
      <c r="R118" s="311" t="str">
        <f>IFERROR(__xludf.DUMMYFUNCTION("""COMPUTED_VALUE"""),"   ➖")</f>
        <v>➖</v>
      </c>
      <c r="S118" s="312" t="str">
        <f>IFERROR(__xludf.DUMMYFUNCTION("""COMPUTED_VALUE"""),"➖")</f>
        <v>➖</v>
      </c>
      <c r="T118" s="288"/>
      <c r="U118" s="288" t="str">
        <f>IFERROR(__xludf.DUMMYFUNCTION("""COMPUTED_VALUE"""),"➖")</f>
        <v>➖</v>
      </c>
      <c r="V118" s="288" t="str">
        <f>IFERROR(__xludf.DUMMYFUNCTION("""COMPUTED_VALUE"""),"➖")</f>
        <v>➖</v>
      </c>
      <c r="W118" s="306"/>
      <c r="X118" s="306"/>
      <c r="Y118" s="306"/>
    </row>
    <row r="119">
      <c r="A119" s="227"/>
      <c r="B119" s="128"/>
      <c r="C119" s="227"/>
      <c r="D119" s="301" t="str">
        <f>IFERROR(__xludf.DUMMYFUNCTION("""COMPUTED_VALUE"""),"   E")</f>
        <v>E</v>
      </c>
      <c r="E119" s="313" t="str">
        <f>IFERROR(__xludf.DUMMYFUNCTION("""COMPUTED_VALUE"""),"Temporal Conduit")</f>
        <v>Temporal Conduit</v>
      </c>
      <c r="F119" s="303">
        <f>IFERROR(__xludf.DUMMYFUNCTION("""COMPUTED_VALUE"""),2.0)</f>
        <v>2</v>
      </c>
      <c r="G119" s="281" t="str">
        <f>IFERROR(__xludf.DUMMYFUNCTION("""COMPUTED_VALUE"""),"CT")</f>
        <v>CT</v>
      </c>
      <c r="H119" s="281" t="str">
        <f>IFERROR(__xludf.DUMMYFUNCTION("""COMPUTED_VALUE"""),"➖")</f>
        <v>➖</v>
      </c>
      <c r="I119" s="281" t="str">
        <f>IFERROR(__xludf.DUMMYFUNCTION("""COMPUTED_VALUE"""),"➖")</f>
        <v>➖</v>
      </c>
      <c r="J119" s="281" t="str">
        <f>IFERROR(__xludf.DUMMYFUNCTION("""COMPUTED_VALUE"""),"✴️")</f>
        <v>✴️</v>
      </c>
      <c r="K119" s="282" t="str">
        <f>IFERROR(__xludf.DUMMYFUNCTION("""COMPUTED_VALUE"""),"➖")</f>
        <v>➖</v>
      </c>
      <c r="L119" s="282" t="str">
        <f>IFERROR(__xludf.DUMMYFUNCTION("""COMPUTED_VALUE"""),"➖")</f>
        <v>➖</v>
      </c>
      <c r="M119" s="282" t="str">
        <f>IFERROR(__xludf.DUMMYFUNCTION("""COMPUTED_VALUE"""),"➖")</f>
        <v>➖</v>
      </c>
      <c r="N119" s="282" t="str">
        <f>IFERROR(__xludf.DUMMYFUNCTION("""COMPUTED_VALUE"""),"➖")</f>
        <v>➖</v>
      </c>
      <c r="O119" s="282" t="str">
        <f>IFERROR(__xludf.DUMMYFUNCTION("""COMPUTED_VALUE"""),"➖")</f>
        <v>➖</v>
      </c>
      <c r="P119" s="282" t="str">
        <f>IFERROR(__xludf.DUMMYFUNCTION("""COMPUTED_VALUE"""),"➖")</f>
        <v>➖</v>
      </c>
      <c r="Q119" s="282" t="str">
        <f>IFERROR(__xludf.DUMMYFUNCTION("""COMPUTED_VALUE"""),"➖")</f>
        <v>➖</v>
      </c>
      <c r="R119" s="304" t="str">
        <f>IFERROR(__xludf.DUMMYFUNCTION("""COMPUTED_VALUE"""),"   ➖")</f>
        <v>➖</v>
      </c>
      <c r="S119" s="305" t="str">
        <f>IFERROR(__xludf.DUMMYFUNCTION("""COMPUTED_VALUE"""),"➖")</f>
        <v>➖</v>
      </c>
      <c r="T119" s="282" t="str">
        <f>IFERROR(__xludf.DUMMYFUNCTION("""COMPUTED_VALUE"""),"XindiHostileLoot")</f>
        <v>XindiHostileLoot</v>
      </c>
      <c r="U119" s="282" t="str">
        <f>IFERROR(__xludf.DUMMYFUNCTION("""COMPUTED_VALUE"""),"✅")</f>
        <v>✅</v>
      </c>
      <c r="V119" s="282" t="str">
        <f>IFERROR(__xludf.DUMMYFUNCTION("""COMPUTED_VALUE"""),"➖")</f>
        <v>➖</v>
      </c>
      <c r="W119" s="306"/>
      <c r="X119" s="306"/>
      <c r="Y119" s="306"/>
    </row>
    <row r="120">
      <c r="A120" s="227"/>
      <c r="B120" s="307"/>
      <c r="C120" s="227"/>
      <c r="D120" s="308" t="str">
        <f>IFERROR(__xludf.DUMMYFUNCTION("""COMPUTED_VALUE"""),"   E")</f>
        <v>E</v>
      </c>
      <c r="E120" s="309" t="str">
        <f>IFERROR(__xludf.DUMMYFUNCTION("""COMPUTED_VALUE"""),"Temporal Conduit")</f>
        <v>Temporal Conduit</v>
      </c>
      <c r="F120" s="310">
        <f>IFERROR(__xludf.DUMMYFUNCTION("""COMPUTED_VALUE"""),3.0)</f>
        <v>3</v>
      </c>
      <c r="G120" s="231" t="str">
        <f>IFERROR(__xludf.DUMMYFUNCTION("""COMPUTED_VALUE"""),"CT")</f>
        <v>CT</v>
      </c>
      <c r="H120" s="231" t="str">
        <f>IFERROR(__xludf.DUMMYFUNCTION("""COMPUTED_VALUE"""),"➖")</f>
        <v>➖</v>
      </c>
      <c r="I120" s="231" t="str">
        <f>IFERROR(__xludf.DUMMYFUNCTION("""COMPUTED_VALUE"""),"➖")</f>
        <v>➖</v>
      </c>
      <c r="J120" s="231" t="str">
        <f>IFERROR(__xludf.DUMMYFUNCTION("""COMPUTED_VALUE"""),"➖")</f>
        <v>➖</v>
      </c>
      <c r="K120" s="288" t="str">
        <f>IFERROR(__xludf.DUMMYFUNCTION("""COMPUTED_VALUE"""),"➖")</f>
        <v>➖</v>
      </c>
      <c r="L120" s="288" t="str">
        <f>IFERROR(__xludf.DUMMYFUNCTION("""COMPUTED_VALUE"""),"➖")</f>
        <v>➖</v>
      </c>
      <c r="M120" s="288" t="str">
        <f>IFERROR(__xludf.DUMMYFUNCTION("""COMPUTED_VALUE"""),"➖")</f>
        <v>➖</v>
      </c>
      <c r="N120" s="288" t="str">
        <f>IFERROR(__xludf.DUMMYFUNCTION("""COMPUTED_VALUE"""),"➖")</f>
        <v>➖</v>
      </c>
      <c r="O120" s="288" t="str">
        <f>IFERROR(__xludf.DUMMYFUNCTION("""COMPUTED_VALUE"""),"➖")</f>
        <v>➖</v>
      </c>
      <c r="P120" s="288" t="str">
        <f>IFERROR(__xludf.DUMMYFUNCTION("""COMPUTED_VALUE"""),"➖")</f>
        <v>➖</v>
      </c>
      <c r="Q120" s="288" t="str">
        <f>IFERROR(__xludf.DUMMYFUNCTION("""COMPUTED_VALUE"""),"➖")</f>
        <v>➖</v>
      </c>
      <c r="R120" s="311" t="str">
        <f>IFERROR(__xludf.DUMMYFUNCTION("""COMPUTED_VALUE"""),"   ➖")</f>
        <v>➖</v>
      </c>
      <c r="S120" s="312" t="str">
        <f>IFERROR(__xludf.DUMMYFUNCTION("""COMPUTED_VALUE"""),"➖")</f>
        <v>➖</v>
      </c>
      <c r="T120" s="288"/>
      <c r="U120" s="288" t="str">
        <f>IFERROR(__xludf.DUMMYFUNCTION("""COMPUTED_VALUE"""),"➖")</f>
        <v>➖</v>
      </c>
      <c r="V120" s="288" t="str">
        <f>IFERROR(__xludf.DUMMYFUNCTION("""COMPUTED_VALUE"""),"➖")</f>
        <v>➖</v>
      </c>
      <c r="W120" s="306"/>
      <c r="X120" s="306"/>
      <c r="Y120" s="306"/>
    </row>
    <row r="121">
      <c r="A121" s="227"/>
      <c r="B121" s="128"/>
      <c r="C121" s="227"/>
      <c r="D121" s="301" t="str">
        <f>IFERROR(__xludf.DUMMYFUNCTION("""COMPUTED_VALUE"""),"   C")</f>
        <v>C</v>
      </c>
      <c r="E121" s="313" t="str">
        <f>IFERROR(__xludf.DUMMYFUNCTION("""COMPUTED_VALUE"""),"Thought Maker")</f>
        <v>Thought Maker</v>
      </c>
      <c r="F121" s="303">
        <f>IFERROR(__xludf.DUMMYFUNCTION("""COMPUTED_VALUE"""),1.0)</f>
        <v>1</v>
      </c>
      <c r="G121" s="281" t="str">
        <f>IFERROR(__xludf.DUMMYFUNCTION("""COMPUTED_VALUE"""),"CT")</f>
        <v>CT</v>
      </c>
      <c r="H121" s="281" t="str">
        <f>IFERROR(__xludf.DUMMYFUNCTION("""COMPUTED_VALUE"""),"➖")</f>
        <v>➖</v>
      </c>
      <c r="I121" s="281" t="str">
        <f>IFERROR(__xludf.DUMMYFUNCTION("""COMPUTED_VALUE"""),"➖")</f>
        <v>➖</v>
      </c>
      <c r="J121" s="281" t="str">
        <f>IFERROR(__xludf.DUMMYFUNCTION("""COMPUTED_VALUE"""),"✴️")</f>
        <v>✴️</v>
      </c>
      <c r="K121" s="282" t="str">
        <f>IFERROR(__xludf.DUMMYFUNCTION("""COMPUTED_VALUE"""),"✴️")</f>
        <v>✴️</v>
      </c>
      <c r="L121" s="282" t="str">
        <f>IFERROR(__xludf.DUMMYFUNCTION("""COMPUTED_VALUE"""),"✴️")</f>
        <v>✴️</v>
      </c>
      <c r="M121" s="282" t="str">
        <f>IFERROR(__xludf.DUMMYFUNCTION("""COMPUTED_VALUE"""),"➖")</f>
        <v>➖</v>
      </c>
      <c r="N121" s="282" t="str">
        <f>IFERROR(__xludf.DUMMYFUNCTION("""COMPUTED_VALUE"""),"➖")</f>
        <v>➖</v>
      </c>
      <c r="O121" s="282" t="str">
        <f>IFERROR(__xludf.DUMMYFUNCTION("""COMPUTED_VALUE"""),"➖")</f>
        <v>➖</v>
      </c>
      <c r="P121" s="282" t="str">
        <f>IFERROR(__xludf.DUMMYFUNCTION("""COMPUTED_VALUE"""),"➖")</f>
        <v>➖</v>
      </c>
      <c r="Q121" s="282" t="str">
        <f>IFERROR(__xludf.DUMMYFUNCTION("""COMPUTED_VALUE"""),"➖")</f>
        <v>➖</v>
      </c>
      <c r="R121" s="304" t="str">
        <f>IFERROR(__xludf.DUMMYFUNCTION("""COMPUTED_VALUE"""),"   ➖")</f>
        <v>➖</v>
      </c>
      <c r="S121" s="305" t="str">
        <f>IFERROR(__xludf.DUMMYFUNCTION("""COMPUTED_VALUE"""),"➖")</f>
        <v>➖</v>
      </c>
      <c r="T121" s="282" t="str">
        <f>IFERROR(__xludf.DUMMYFUNCTION("""COMPUTED_VALUE"""),"SelfOfficerTalNotOnBridge")</f>
        <v>SelfOfficerTalNotOnBridge</v>
      </c>
      <c r="U121" s="282" t="str">
        <f>IFERROR(__xludf.DUMMYFUNCTION("""COMPUTED_VALUE"""),"➖")</f>
        <v>➖</v>
      </c>
      <c r="V121" s="282" t="str">
        <f>IFERROR(__xludf.DUMMYFUNCTION("""COMPUTED_VALUE"""),"➖")</f>
        <v>➖</v>
      </c>
      <c r="W121" s="306"/>
      <c r="X121" s="306"/>
      <c r="Y121" s="306"/>
    </row>
    <row r="122">
      <c r="A122" s="227"/>
      <c r="B122" s="307"/>
      <c r="C122" s="227"/>
      <c r="D122" s="308" t="str">
        <f>IFERROR(__xludf.DUMMYFUNCTION("""COMPUTED_VALUE"""),"   C")</f>
        <v>C</v>
      </c>
      <c r="E122" s="309" t="str">
        <f>IFERROR(__xludf.DUMMYFUNCTION("""COMPUTED_VALUE"""),"Thought Maker")</f>
        <v>Thought Maker</v>
      </c>
      <c r="F122" s="310">
        <f>IFERROR(__xludf.DUMMYFUNCTION("""COMPUTED_VALUE"""),2.0)</f>
        <v>2</v>
      </c>
      <c r="G122" s="231" t="str">
        <f>IFERROR(__xludf.DUMMYFUNCTION("""COMPUTED_VALUE"""),"CT")</f>
        <v>CT</v>
      </c>
      <c r="H122" s="231" t="str">
        <f>IFERROR(__xludf.DUMMYFUNCTION("""COMPUTED_VALUE"""),"➖")</f>
        <v>➖</v>
      </c>
      <c r="I122" s="231" t="str">
        <f>IFERROR(__xludf.DUMMYFUNCTION("""COMPUTED_VALUE"""),"➖")</f>
        <v>➖</v>
      </c>
      <c r="J122" s="231" t="str">
        <f>IFERROR(__xludf.DUMMYFUNCTION("""COMPUTED_VALUE"""),"✅")</f>
        <v>✅</v>
      </c>
      <c r="K122" s="288" t="str">
        <f>IFERROR(__xludf.DUMMYFUNCTION("""COMPUTED_VALUE"""),"➖")</f>
        <v>➖</v>
      </c>
      <c r="L122" s="288" t="str">
        <f>IFERROR(__xludf.DUMMYFUNCTION("""COMPUTED_VALUE"""),"➖")</f>
        <v>➖</v>
      </c>
      <c r="M122" s="288" t="str">
        <f>IFERROR(__xludf.DUMMYFUNCTION("""COMPUTED_VALUE"""),"➖")</f>
        <v>➖</v>
      </c>
      <c r="N122" s="288" t="str">
        <f>IFERROR(__xludf.DUMMYFUNCTION("""COMPUTED_VALUE"""),"➖")</f>
        <v>➖</v>
      </c>
      <c r="O122" s="288" t="str">
        <f>IFERROR(__xludf.DUMMYFUNCTION("""COMPUTED_VALUE"""),"➖")</f>
        <v>➖</v>
      </c>
      <c r="P122" s="288" t="str">
        <f>IFERROR(__xludf.DUMMYFUNCTION("""COMPUTED_VALUE"""),"➖")</f>
        <v>➖</v>
      </c>
      <c r="Q122" s="288" t="str">
        <f>IFERROR(__xludf.DUMMYFUNCTION("""COMPUTED_VALUE"""),"➖")</f>
        <v>➖</v>
      </c>
      <c r="R122" s="311" t="str">
        <f>IFERROR(__xludf.DUMMYFUNCTION("""COMPUTED_VALUE"""),"   ➖")</f>
        <v>➖</v>
      </c>
      <c r="S122" s="312" t="str">
        <f>IFERROR(__xludf.DUMMYFUNCTION("""COMPUTED_VALUE"""),"➖")</f>
        <v>➖</v>
      </c>
      <c r="T122" s="288"/>
      <c r="U122" s="288" t="str">
        <f>IFERROR(__xludf.DUMMYFUNCTION("""COMPUTED_VALUE"""),"✅")</f>
        <v>✅</v>
      </c>
      <c r="V122" s="288" t="str">
        <f>IFERROR(__xludf.DUMMYFUNCTION("""COMPUTED_VALUE"""),"➖")</f>
        <v>➖</v>
      </c>
      <c r="W122" s="306"/>
      <c r="X122" s="306"/>
      <c r="Y122" s="306"/>
    </row>
    <row r="123">
      <c r="A123" s="227"/>
      <c r="B123" s="128"/>
      <c r="C123" s="227"/>
      <c r="D123" s="301" t="str">
        <f>IFERROR(__xludf.DUMMYFUNCTION("""COMPUTED_VALUE"""),"   R")</f>
        <v>R</v>
      </c>
      <c r="E123" s="313" t="str">
        <f>IFERROR(__xludf.DUMMYFUNCTION("""COMPUTED_VALUE"""),"Electromagnetic Lute")</f>
        <v>Electromagnetic Lute</v>
      </c>
      <c r="F123" s="303">
        <f>IFERROR(__xludf.DUMMYFUNCTION("""COMPUTED_VALUE"""),1.0)</f>
        <v>1</v>
      </c>
      <c r="G123" s="281" t="str">
        <f>IFERROR(__xludf.DUMMYFUNCTION("""COMPUTED_VALUE"""),"CT")</f>
        <v>CT</v>
      </c>
      <c r="H123" s="281" t="str">
        <f>IFERROR(__xludf.DUMMYFUNCTION("""COMPUTED_VALUE"""),"➖")</f>
        <v>➖</v>
      </c>
      <c r="I123" s="281" t="str">
        <f>IFERROR(__xludf.DUMMYFUNCTION("""COMPUTED_VALUE"""),"➖")</f>
        <v>➖</v>
      </c>
      <c r="J123" s="281" t="str">
        <f>IFERROR(__xludf.DUMMYFUNCTION("""COMPUTED_VALUE"""),"✅")</f>
        <v>✅</v>
      </c>
      <c r="K123" s="282" t="str">
        <f>IFERROR(__xludf.DUMMYFUNCTION("""COMPUTED_VALUE"""),"✅")</f>
        <v>✅</v>
      </c>
      <c r="L123" s="282" t="str">
        <f>IFERROR(__xludf.DUMMYFUNCTION("""COMPUTED_VALUE"""),"✅")</f>
        <v>✅</v>
      </c>
      <c r="M123" s="282" t="str">
        <f>IFERROR(__xludf.DUMMYFUNCTION("""COMPUTED_VALUE"""),"➖")</f>
        <v>➖</v>
      </c>
      <c r="N123" s="282" t="str">
        <f>IFERROR(__xludf.DUMMYFUNCTION("""COMPUTED_VALUE"""),"➖")</f>
        <v>➖</v>
      </c>
      <c r="O123" s="282" t="str">
        <f>IFERROR(__xludf.DUMMYFUNCTION("""COMPUTED_VALUE"""),"➖")</f>
        <v>➖</v>
      </c>
      <c r="P123" s="282" t="str">
        <f>IFERROR(__xludf.DUMMYFUNCTION("""COMPUTED_VALUE"""),"➖")</f>
        <v>➖</v>
      </c>
      <c r="Q123" s="282" t="str">
        <f>IFERROR(__xludf.DUMMYFUNCTION("""COMPUTED_VALUE"""),"➖")</f>
        <v>➖</v>
      </c>
      <c r="R123" s="304" t="str">
        <f>IFERROR(__xludf.DUMMYFUNCTION("""COMPUTED_VALUE"""),"   ➖")</f>
        <v>➖</v>
      </c>
      <c r="S123" s="305" t="str">
        <f>IFERROR(__xludf.DUMMYFUNCTION("""COMPUTED_VALUE"""),"➖")</f>
        <v>➖</v>
      </c>
      <c r="T123" s="282"/>
      <c r="U123" s="282" t="str">
        <f>IFERROR(__xludf.DUMMYFUNCTION("""COMPUTED_VALUE"""),"➖")</f>
        <v>➖</v>
      </c>
      <c r="V123" s="282" t="str">
        <f>IFERROR(__xludf.DUMMYFUNCTION("""COMPUTED_VALUE"""),"➖")</f>
        <v>➖</v>
      </c>
      <c r="W123" s="306"/>
      <c r="X123" s="306"/>
      <c r="Y123" s="306"/>
    </row>
    <row r="124">
      <c r="A124" s="227"/>
      <c r="B124" s="307"/>
      <c r="C124" s="227"/>
      <c r="D124" s="308" t="str">
        <f>IFERROR(__xludf.DUMMYFUNCTION("""COMPUTED_VALUE"""),"   R")</f>
        <v>R</v>
      </c>
      <c r="E124" s="309" t="str">
        <f>IFERROR(__xludf.DUMMYFUNCTION("""COMPUTED_VALUE"""),"Electromagnetic Lute")</f>
        <v>Electromagnetic Lute</v>
      </c>
      <c r="F124" s="310">
        <f>IFERROR(__xludf.DUMMYFUNCTION("""COMPUTED_VALUE"""),2.0)</f>
        <v>2</v>
      </c>
      <c r="G124" s="231" t="str">
        <f>IFERROR(__xludf.DUMMYFUNCTION("""COMPUTED_VALUE"""),"CT")</f>
        <v>CT</v>
      </c>
      <c r="H124" s="231" t="str">
        <f>IFERROR(__xludf.DUMMYFUNCTION("""COMPUTED_VALUE"""),"➖")</f>
        <v>➖</v>
      </c>
      <c r="I124" s="231" t="str">
        <f>IFERROR(__xludf.DUMMYFUNCTION("""COMPUTED_VALUE"""),"➖")</f>
        <v>➖</v>
      </c>
      <c r="J124" s="231" t="str">
        <f>IFERROR(__xludf.DUMMYFUNCTION("""COMPUTED_VALUE"""),"✴️")</f>
        <v>✴️</v>
      </c>
      <c r="K124" s="288" t="str">
        <f>IFERROR(__xludf.DUMMYFUNCTION("""COMPUTED_VALUE"""),"➖")</f>
        <v>➖</v>
      </c>
      <c r="L124" s="288" t="str">
        <f>IFERROR(__xludf.DUMMYFUNCTION("""COMPUTED_VALUE"""),"➖")</f>
        <v>➖</v>
      </c>
      <c r="M124" s="288" t="str">
        <f>IFERROR(__xludf.DUMMYFUNCTION("""COMPUTED_VALUE"""),"➖")</f>
        <v>➖</v>
      </c>
      <c r="N124" s="288" t="str">
        <f>IFERROR(__xludf.DUMMYFUNCTION("""COMPUTED_VALUE"""),"➖")</f>
        <v>➖</v>
      </c>
      <c r="O124" s="288" t="str">
        <f>IFERROR(__xludf.DUMMYFUNCTION("""COMPUTED_VALUE"""),"➖")</f>
        <v>➖</v>
      </c>
      <c r="P124" s="288" t="str">
        <f>IFERROR(__xludf.DUMMYFUNCTION("""COMPUTED_VALUE"""),"➖")</f>
        <v>➖</v>
      </c>
      <c r="Q124" s="288" t="str">
        <f>IFERROR(__xludf.DUMMYFUNCTION("""COMPUTED_VALUE"""),"➖")</f>
        <v>➖</v>
      </c>
      <c r="R124" s="311" t="str">
        <f>IFERROR(__xludf.DUMMYFUNCTION("""COMPUTED_VALUE"""),"   ➖")</f>
        <v>➖</v>
      </c>
      <c r="S124" s="312" t="str">
        <f>IFERROR(__xludf.DUMMYFUNCTION("""COMPUTED_VALUE"""),"➖")</f>
        <v>➖</v>
      </c>
      <c r="T124" s="288" t="str">
        <f>IFERROR(__xludf.DUMMYFUNCTION("""COMPUTED_VALUE"""),"NetChipLoot")</f>
        <v>NetChipLoot</v>
      </c>
      <c r="U124" s="288" t="str">
        <f>IFERROR(__xludf.DUMMYFUNCTION("""COMPUTED_VALUE"""),"✅")</f>
        <v>✅</v>
      </c>
      <c r="V124" s="288" t="str">
        <f>IFERROR(__xludf.DUMMYFUNCTION("""COMPUTED_VALUE"""),"➖")</f>
        <v>➖</v>
      </c>
      <c r="W124" s="306"/>
      <c r="X124" s="306"/>
      <c r="Y124" s="306"/>
    </row>
    <row r="125">
      <c r="A125" s="227"/>
      <c r="B125" s="128"/>
      <c r="C125" s="227"/>
      <c r="D125" s="301" t="str">
        <f>IFERROR(__xludf.DUMMYFUNCTION("""COMPUTED_VALUE"""),"   R")</f>
        <v>R</v>
      </c>
      <c r="E125" s="313" t="str">
        <f>IFERROR(__xludf.DUMMYFUNCTION("""COMPUTED_VALUE"""),"Electromagnetic Lute")</f>
        <v>Electromagnetic Lute</v>
      </c>
      <c r="F125" s="303">
        <f>IFERROR(__xludf.DUMMYFUNCTION("""COMPUTED_VALUE"""),3.0)</f>
        <v>3</v>
      </c>
      <c r="G125" s="281" t="str">
        <f>IFERROR(__xludf.DUMMYFUNCTION("""COMPUTED_VALUE"""),"CT")</f>
        <v>CT</v>
      </c>
      <c r="H125" s="281" t="str">
        <f>IFERROR(__xludf.DUMMYFUNCTION("""COMPUTED_VALUE"""),"➖")</f>
        <v>➖</v>
      </c>
      <c r="I125" s="281" t="str">
        <f>IFERROR(__xludf.DUMMYFUNCTION("""COMPUTED_VALUE"""),"➖")</f>
        <v>➖</v>
      </c>
      <c r="J125" s="281" t="str">
        <f>IFERROR(__xludf.DUMMYFUNCTION("""COMPUTED_VALUE"""),"✴️")</f>
        <v>✴️</v>
      </c>
      <c r="K125" s="282" t="str">
        <f>IFERROR(__xludf.DUMMYFUNCTION("""COMPUTED_VALUE"""),"✴️")</f>
        <v>✴️</v>
      </c>
      <c r="L125" s="282" t="str">
        <f>IFERROR(__xludf.DUMMYFUNCTION("""COMPUTED_VALUE"""),"✴️")</f>
        <v>✴️</v>
      </c>
      <c r="M125" s="282" t="str">
        <f>IFERROR(__xludf.DUMMYFUNCTION("""COMPUTED_VALUE"""),"✴️")</f>
        <v>✴️</v>
      </c>
      <c r="N125" s="282" t="str">
        <f>IFERROR(__xludf.DUMMYFUNCTION("""COMPUTED_VALUE"""),"✴️")</f>
        <v>✴️</v>
      </c>
      <c r="O125" s="282" t="str">
        <f>IFERROR(__xludf.DUMMYFUNCTION("""COMPUTED_VALUE"""),"✴️")</f>
        <v>✴️</v>
      </c>
      <c r="P125" s="282" t="str">
        <f>IFERROR(__xludf.DUMMYFUNCTION("""COMPUTED_VALUE"""),"➖")</f>
        <v>➖</v>
      </c>
      <c r="Q125" s="282" t="str">
        <f>IFERROR(__xludf.DUMMYFUNCTION("""COMPUTED_VALUE"""),"✴️")</f>
        <v>✴️</v>
      </c>
      <c r="R125" s="304" t="str">
        <f>IFERROR(__xludf.DUMMYFUNCTION("""COMPUTED_VALUE"""),"   ➖")</f>
        <v>➖</v>
      </c>
      <c r="S125" s="305" t="str">
        <f>IFERROR(__xludf.DUMMYFUNCTION("""COMPUTED_VALUE"""),"➖")</f>
        <v>➖</v>
      </c>
      <c r="T125" s="282" t="str">
        <f>IFERROR(__xludf.DUMMYFUNCTION("""COMPUTED_VALUE"""),"EnemyHullFaction, SelfOfficerTalNotOnBridge")</f>
        <v>EnemyHullFaction, SelfOfficerTalNotOnBridge</v>
      </c>
      <c r="U125" s="282" t="str">
        <f>IFERROR(__xludf.DUMMYFUNCTION("""COMPUTED_VALUE"""),"➖")</f>
        <v>➖</v>
      </c>
      <c r="V125" s="282" t="str">
        <f>IFERROR(__xludf.DUMMYFUNCTION("""COMPUTED_VALUE"""),"➖")</f>
        <v>➖</v>
      </c>
      <c r="W125" s="306"/>
      <c r="X125" s="306"/>
      <c r="Y125" s="306"/>
    </row>
    <row r="126">
      <c r="A126" s="227"/>
      <c r="B126" s="307"/>
      <c r="C126" s="227"/>
      <c r="D126" s="308" t="str">
        <f>IFERROR(__xludf.DUMMYFUNCTION("""COMPUTED_VALUE"""),"   U")</f>
        <v>U</v>
      </c>
      <c r="E126" s="309" t="str">
        <f>IFERROR(__xludf.DUMMYFUNCTION("""COMPUTED_VALUE"""),"Interphasic Mirror")</f>
        <v>Interphasic Mirror</v>
      </c>
      <c r="F126" s="310">
        <f>IFERROR(__xludf.DUMMYFUNCTION("""COMPUTED_VALUE"""),1.0)</f>
        <v>1</v>
      </c>
      <c r="G126" s="231" t="str">
        <f>IFERROR(__xludf.DUMMYFUNCTION("""COMPUTED_VALUE"""),"CT")</f>
        <v>CT</v>
      </c>
      <c r="H126" s="231" t="str">
        <f>IFERROR(__xludf.DUMMYFUNCTION("""COMPUTED_VALUE"""),"➖")</f>
        <v>➖</v>
      </c>
      <c r="I126" s="231" t="str">
        <f>IFERROR(__xludf.DUMMYFUNCTION("""COMPUTED_VALUE"""),"➖")</f>
        <v>➖</v>
      </c>
      <c r="J126" s="231" t="str">
        <f>IFERROR(__xludf.DUMMYFUNCTION("""COMPUTED_VALUE"""),"✅")</f>
        <v>✅</v>
      </c>
      <c r="K126" s="288" t="str">
        <f>IFERROR(__xludf.DUMMYFUNCTION("""COMPUTED_VALUE"""),"✅")</f>
        <v>✅</v>
      </c>
      <c r="L126" s="288" t="str">
        <f>IFERROR(__xludf.DUMMYFUNCTION("""COMPUTED_VALUE"""),"✅")</f>
        <v>✅</v>
      </c>
      <c r="M126" s="288" t="str">
        <f>IFERROR(__xludf.DUMMYFUNCTION("""COMPUTED_VALUE"""),"➖")</f>
        <v>➖</v>
      </c>
      <c r="N126" s="288" t="str">
        <f>IFERROR(__xludf.DUMMYFUNCTION("""COMPUTED_VALUE"""),"✅")</f>
        <v>✅</v>
      </c>
      <c r="O126" s="288" t="str">
        <f>IFERROR(__xludf.DUMMYFUNCTION("""COMPUTED_VALUE"""),"✅")</f>
        <v>✅</v>
      </c>
      <c r="P126" s="288" t="str">
        <f>IFERROR(__xludf.DUMMYFUNCTION("""COMPUTED_VALUE"""),"✅")</f>
        <v>✅</v>
      </c>
      <c r="Q126" s="288" t="str">
        <f>IFERROR(__xludf.DUMMYFUNCTION("""COMPUTED_VALUE"""),"➖")</f>
        <v>➖</v>
      </c>
      <c r="R126" s="311" t="str">
        <f>IFERROR(__xludf.DUMMYFUNCTION("""COMPUTED_VALUE"""),"   ➖")</f>
        <v>➖</v>
      </c>
      <c r="S126" s="312" t="str">
        <f>IFERROR(__xludf.DUMMYFUNCTION("""COMPUTED_VALUE"""),"➖")</f>
        <v>➖</v>
      </c>
      <c r="T126" s="288"/>
      <c r="U126" s="288" t="str">
        <f>IFERROR(__xludf.DUMMYFUNCTION("""COMPUTED_VALUE"""),"➖")</f>
        <v>➖</v>
      </c>
      <c r="V126" s="288" t="str">
        <f>IFERROR(__xludf.DUMMYFUNCTION("""COMPUTED_VALUE"""),"➖")</f>
        <v>➖</v>
      </c>
      <c r="W126" s="306"/>
      <c r="X126" s="306"/>
      <c r="Y126" s="306"/>
    </row>
    <row r="127">
      <c r="A127" s="227"/>
      <c r="B127" s="128"/>
      <c r="C127" s="227"/>
      <c r="D127" s="301" t="str">
        <f>IFERROR(__xludf.DUMMYFUNCTION("""COMPUTED_VALUE"""),"   U")</f>
        <v>U</v>
      </c>
      <c r="E127" s="313" t="str">
        <f>IFERROR(__xludf.DUMMYFUNCTION("""COMPUTED_VALUE"""),"Interphasic Mirror")</f>
        <v>Interphasic Mirror</v>
      </c>
      <c r="F127" s="303">
        <f>IFERROR(__xludf.DUMMYFUNCTION("""COMPUTED_VALUE"""),2.0)</f>
        <v>2</v>
      </c>
      <c r="G127" s="281" t="str">
        <f>IFERROR(__xludf.DUMMYFUNCTION("""COMPUTED_VALUE"""),"CT")</f>
        <v>CT</v>
      </c>
      <c r="H127" s="281" t="str">
        <f>IFERROR(__xludf.DUMMYFUNCTION("""COMPUTED_VALUE"""),"➖")</f>
        <v>➖</v>
      </c>
      <c r="I127" s="281" t="str">
        <f>IFERROR(__xludf.DUMMYFUNCTION("""COMPUTED_VALUE"""),"➖")</f>
        <v>➖</v>
      </c>
      <c r="J127" s="281" t="str">
        <f>IFERROR(__xludf.DUMMYFUNCTION("""COMPUTED_VALUE"""),"✅")</f>
        <v>✅</v>
      </c>
      <c r="K127" s="282" t="str">
        <f>IFERROR(__xludf.DUMMYFUNCTION("""COMPUTED_VALUE"""),"✅")</f>
        <v>✅</v>
      </c>
      <c r="L127" s="282" t="str">
        <f>IFERROR(__xludf.DUMMYFUNCTION("""COMPUTED_VALUE"""),"✅")</f>
        <v>✅</v>
      </c>
      <c r="M127" s="282" t="str">
        <f>IFERROR(__xludf.DUMMYFUNCTION("""COMPUTED_VALUE"""),"➖")</f>
        <v>➖</v>
      </c>
      <c r="N127" s="282" t="str">
        <f>IFERROR(__xludf.DUMMYFUNCTION("""COMPUTED_VALUE"""),"✅")</f>
        <v>✅</v>
      </c>
      <c r="O127" s="282" t="str">
        <f>IFERROR(__xludf.DUMMYFUNCTION("""COMPUTED_VALUE"""),"✅")</f>
        <v>✅</v>
      </c>
      <c r="P127" s="282" t="str">
        <f>IFERROR(__xludf.DUMMYFUNCTION("""COMPUTED_VALUE"""),"✅")</f>
        <v>✅</v>
      </c>
      <c r="Q127" s="282" t="str">
        <f>IFERROR(__xludf.DUMMYFUNCTION("""COMPUTED_VALUE"""),"➖")</f>
        <v>➖</v>
      </c>
      <c r="R127" s="304" t="str">
        <f>IFERROR(__xludf.DUMMYFUNCTION("""COMPUTED_VALUE"""),"   ➖")</f>
        <v>➖</v>
      </c>
      <c r="S127" s="305" t="str">
        <f>IFERROR(__xludf.DUMMYFUNCTION("""COMPUTED_VALUE"""),"➖")</f>
        <v>➖</v>
      </c>
      <c r="T127" s="282"/>
      <c r="U127" s="282" t="str">
        <f>IFERROR(__xludf.DUMMYFUNCTION("""COMPUTED_VALUE"""),"➖")</f>
        <v>➖</v>
      </c>
      <c r="V127" s="282" t="str">
        <f>IFERROR(__xludf.DUMMYFUNCTION("""COMPUTED_VALUE"""),"➖")</f>
        <v>➖</v>
      </c>
      <c r="W127" s="306"/>
      <c r="X127" s="306"/>
      <c r="Y127" s="306"/>
    </row>
    <row r="128">
      <c r="A128" s="227"/>
      <c r="B128" s="307"/>
      <c r="C128" s="227"/>
      <c r="D128" s="308" t="str">
        <f>IFERROR(__xludf.DUMMYFUNCTION("""COMPUTED_VALUE"""),"   R")</f>
        <v>R</v>
      </c>
      <c r="E128" s="309" t="str">
        <f>IFERROR(__xludf.DUMMYFUNCTION("""COMPUTED_VALUE"""),"Unimatrix Shielding")</f>
        <v>Unimatrix Shielding</v>
      </c>
      <c r="F128" s="310">
        <f>IFERROR(__xludf.DUMMYFUNCTION("""COMPUTED_VALUE"""),1.0)</f>
        <v>1</v>
      </c>
      <c r="G128" s="231" t="str">
        <f>IFERROR(__xludf.DUMMYFUNCTION("""COMPUTED_VALUE"""),"CT")</f>
        <v>CT</v>
      </c>
      <c r="H128" s="231" t="str">
        <f>IFERROR(__xludf.DUMMYFUNCTION("""COMPUTED_VALUE"""),"✴️")</f>
        <v>✴️</v>
      </c>
      <c r="I128" s="231" t="str">
        <f>IFERROR(__xludf.DUMMYFUNCTION("""COMPUTED_VALUE"""),"✴️")</f>
        <v>✴️</v>
      </c>
      <c r="J128" s="231" t="str">
        <f>IFERROR(__xludf.DUMMYFUNCTION("""COMPUTED_VALUE"""),"➖")</f>
        <v>➖</v>
      </c>
      <c r="K128" s="288" t="str">
        <f>IFERROR(__xludf.DUMMYFUNCTION("""COMPUTED_VALUE"""),"➖")</f>
        <v>➖</v>
      </c>
      <c r="L128" s="288" t="str">
        <f>IFERROR(__xludf.DUMMYFUNCTION("""COMPUTED_VALUE"""),"➖")</f>
        <v>➖</v>
      </c>
      <c r="M128" s="288" t="str">
        <f>IFERROR(__xludf.DUMMYFUNCTION("""COMPUTED_VALUE"""),"➖")</f>
        <v>➖</v>
      </c>
      <c r="N128" s="288" t="str">
        <f>IFERROR(__xludf.DUMMYFUNCTION("""COMPUTED_VALUE"""),"➖")</f>
        <v>➖</v>
      </c>
      <c r="O128" s="288" t="str">
        <f>IFERROR(__xludf.DUMMYFUNCTION("""COMPUTED_VALUE"""),"➖")</f>
        <v>➖</v>
      </c>
      <c r="P128" s="288" t="str">
        <f>IFERROR(__xludf.DUMMYFUNCTION("""COMPUTED_VALUE"""),"➖")</f>
        <v>➖</v>
      </c>
      <c r="Q128" s="288" t="str">
        <f>IFERROR(__xludf.DUMMYFUNCTION("""COMPUTED_VALUE"""),"➖")</f>
        <v>➖</v>
      </c>
      <c r="R128" s="311" t="str">
        <f>IFERROR(__xludf.DUMMYFUNCTION("""COMPUTED_VALUE"""),"   ➖")</f>
        <v>➖</v>
      </c>
      <c r="S128" s="312" t="str">
        <f>IFERROR(__xludf.DUMMYFUNCTION("""COMPUTED_VALUE"""),"➖")</f>
        <v>➖</v>
      </c>
      <c r="T128" s="288" t="str">
        <f>IFERROR(__xludf.DUMMYFUNCTION("""COMPUTED_VALUE"""),"SelfStateAny")</f>
        <v>SelfStateAny</v>
      </c>
      <c r="U128" s="288" t="str">
        <f>IFERROR(__xludf.DUMMYFUNCTION("""COMPUTED_VALUE"""),"➖")</f>
        <v>➖</v>
      </c>
      <c r="V128" s="288" t="str">
        <f>IFERROR(__xludf.DUMMYFUNCTION("""COMPUTED_VALUE"""),"➖")</f>
        <v>➖</v>
      </c>
      <c r="W128" s="306"/>
      <c r="X128" s="306"/>
      <c r="Y128" s="306"/>
    </row>
    <row r="129">
      <c r="A129" s="227"/>
      <c r="B129" s="128"/>
      <c r="C129" s="227"/>
      <c r="D129" s="301" t="str">
        <f>IFERROR(__xludf.DUMMYFUNCTION("""COMPUTED_VALUE"""),"   R")</f>
        <v>R</v>
      </c>
      <c r="E129" s="313" t="str">
        <f>IFERROR(__xludf.DUMMYFUNCTION("""COMPUTED_VALUE"""),"Unimatrix Shielding")</f>
        <v>Unimatrix Shielding</v>
      </c>
      <c r="F129" s="303">
        <f>IFERROR(__xludf.DUMMYFUNCTION("""COMPUTED_VALUE"""),2.0)</f>
        <v>2</v>
      </c>
      <c r="G129" s="281" t="str">
        <f>IFERROR(__xludf.DUMMYFUNCTION("""COMPUTED_VALUE"""),"CT")</f>
        <v>CT</v>
      </c>
      <c r="H129" s="281" t="str">
        <f>IFERROR(__xludf.DUMMYFUNCTION("""COMPUTED_VALUE"""),"✅")</f>
        <v>✅</v>
      </c>
      <c r="I129" s="281" t="str">
        <f>IFERROR(__xludf.DUMMYFUNCTION("""COMPUTED_VALUE"""),"✅")</f>
        <v>✅</v>
      </c>
      <c r="J129" s="281" t="str">
        <f>IFERROR(__xludf.DUMMYFUNCTION("""COMPUTED_VALUE"""),"➖")</f>
        <v>➖</v>
      </c>
      <c r="K129" s="282" t="str">
        <f>IFERROR(__xludf.DUMMYFUNCTION("""COMPUTED_VALUE"""),"➖")</f>
        <v>➖</v>
      </c>
      <c r="L129" s="282" t="str">
        <f>IFERROR(__xludf.DUMMYFUNCTION("""COMPUTED_VALUE"""),"➖")</f>
        <v>➖</v>
      </c>
      <c r="M129" s="282" t="str">
        <f>IFERROR(__xludf.DUMMYFUNCTION("""COMPUTED_VALUE"""),"➖")</f>
        <v>➖</v>
      </c>
      <c r="N129" s="282" t="str">
        <f>IFERROR(__xludf.DUMMYFUNCTION("""COMPUTED_VALUE"""),"➖")</f>
        <v>➖</v>
      </c>
      <c r="O129" s="282" t="str">
        <f>IFERROR(__xludf.DUMMYFUNCTION("""COMPUTED_VALUE"""),"➖")</f>
        <v>➖</v>
      </c>
      <c r="P129" s="282" t="str">
        <f>IFERROR(__xludf.DUMMYFUNCTION("""COMPUTED_VALUE"""),"➖")</f>
        <v>➖</v>
      </c>
      <c r="Q129" s="282" t="str">
        <f>IFERROR(__xludf.DUMMYFUNCTION("""COMPUTED_VALUE"""),"➖")</f>
        <v>➖</v>
      </c>
      <c r="R129" s="304" t="str">
        <f>IFERROR(__xludf.DUMMYFUNCTION("""COMPUTED_VALUE"""),"   ➖")</f>
        <v>➖</v>
      </c>
      <c r="S129" s="305" t="str">
        <f>IFERROR(__xludf.DUMMYFUNCTION("""COMPUTED_VALUE"""),"➖")</f>
        <v>➖</v>
      </c>
      <c r="T129" s="282"/>
      <c r="U129" s="282" t="str">
        <f>IFERROR(__xludf.DUMMYFUNCTION("""COMPUTED_VALUE"""),"➖")</f>
        <v>➖</v>
      </c>
      <c r="V129" s="282" t="str">
        <f>IFERROR(__xludf.DUMMYFUNCTION("""COMPUTED_VALUE"""),"➖")</f>
        <v>➖</v>
      </c>
      <c r="W129" s="306"/>
      <c r="X129" s="306"/>
      <c r="Y129" s="306"/>
    </row>
    <row r="130">
      <c r="A130" s="227"/>
      <c r="B130" s="307"/>
      <c r="C130" s="227"/>
      <c r="D130" s="308" t="str">
        <f>IFERROR(__xludf.DUMMYFUNCTION("""COMPUTED_VALUE"""),"   R")</f>
        <v>R</v>
      </c>
      <c r="E130" s="309" t="str">
        <f>IFERROR(__xludf.DUMMYFUNCTION("""COMPUTED_VALUE"""),"Unimatrix Shielding")</f>
        <v>Unimatrix Shielding</v>
      </c>
      <c r="F130" s="310">
        <f>IFERROR(__xludf.DUMMYFUNCTION("""COMPUTED_VALUE"""),3.0)</f>
        <v>3</v>
      </c>
      <c r="G130" s="231" t="str">
        <f>IFERROR(__xludf.DUMMYFUNCTION("""COMPUTED_VALUE"""),"CT")</f>
        <v>CT</v>
      </c>
      <c r="H130" s="231" t="str">
        <f>IFERROR(__xludf.DUMMYFUNCTION("""COMPUTED_VALUE"""),"✴️")</f>
        <v>✴️</v>
      </c>
      <c r="I130" s="231" t="str">
        <f>IFERROR(__xludf.DUMMYFUNCTION("""COMPUTED_VALUE"""),"✴️")</f>
        <v>✴️</v>
      </c>
      <c r="J130" s="231" t="str">
        <f>IFERROR(__xludf.DUMMYFUNCTION("""COMPUTED_VALUE"""),"➖")</f>
        <v>➖</v>
      </c>
      <c r="K130" s="288" t="str">
        <f>IFERROR(__xludf.DUMMYFUNCTION("""COMPUTED_VALUE"""),"➖")</f>
        <v>➖</v>
      </c>
      <c r="L130" s="288" t="str">
        <f>IFERROR(__xludf.DUMMYFUNCTION("""COMPUTED_VALUE"""),"➖")</f>
        <v>➖</v>
      </c>
      <c r="M130" s="288" t="str">
        <f>IFERROR(__xludf.DUMMYFUNCTION("""COMPUTED_VALUE"""),"➖")</f>
        <v>➖</v>
      </c>
      <c r="N130" s="288" t="str">
        <f>IFERROR(__xludf.DUMMYFUNCTION("""COMPUTED_VALUE"""),"➖")</f>
        <v>➖</v>
      </c>
      <c r="O130" s="288" t="str">
        <f>IFERROR(__xludf.DUMMYFUNCTION("""COMPUTED_VALUE"""),"➖")</f>
        <v>➖</v>
      </c>
      <c r="P130" s="288" t="str">
        <f>IFERROR(__xludf.DUMMYFUNCTION("""COMPUTED_VALUE"""),"➖")</f>
        <v>➖</v>
      </c>
      <c r="Q130" s="288" t="str">
        <f>IFERROR(__xludf.DUMMYFUNCTION("""COMPUTED_VALUE"""),"➖")</f>
        <v>➖</v>
      </c>
      <c r="R130" s="311" t="str">
        <f>IFERROR(__xludf.DUMMYFUNCTION("""COMPUTED_VALUE"""),"   ➖")</f>
        <v>➖</v>
      </c>
      <c r="S130" s="312" t="str">
        <f>IFERROR(__xludf.DUMMYFUNCTION("""COMPUTED_VALUE"""),"➖")</f>
        <v>➖</v>
      </c>
      <c r="T130" s="288" t="str">
        <f>IFERROR(__xludf.DUMMYFUNCTION("""COMPUTED_VALUE"""),"SelfStateAny")</f>
        <v>SelfStateAny</v>
      </c>
      <c r="U130" s="288" t="str">
        <f>IFERROR(__xludf.DUMMYFUNCTION("""COMPUTED_VALUE"""),"➖")</f>
        <v>➖</v>
      </c>
      <c r="V130" s="288" t="str">
        <f>IFERROR(__xludf.DUMMYFUNCTION("""COMPUTED_VALUE"""),"➖")</f>
        <v>➖</v>
      </c>
      <c r="W130" s="306"/>
      <c r="X130" s="306"/>
      <c r="Y130" s="306"/>
    </row>
    <row r="131">
      <c r="A131" s="227"/>
      <c r="B131" s="128"/>
      <c r="C131" s="227"/>
      <c r="D131" s="301" t="str">
        <f>IFERROR(__xludf.DUMMYFUNCTION("""COMPUTED_VALUE"""),"   E")</f>
        <v>E</v>
      </c>
      <c r="E131" s="313" t="str">
        <f>IFERROR(__xludf.DUMMYFUNCTION("""COMPUTED_VALUE"""),"Enaran Execution Post")</f>
        <v>Enaran Execution Post</v>
      </c>
      <c r="F131" s="303">
        <f>IFERROR(__xludf.DUMMYFUNCTION("""COMPUTED_VALUE"""),1.0)</f>
        <v>1</v>
      </c>
      <c r="G131" s="281" t="str">
        <f>IFERROR(__xludf.DUMMYFUNCTION("""COMPUTED_VALUE"""),"CT")</f>
        <v>CT</v>
      </c>
      <c r="H131" s="281" t="str">
        <f>IFERROR(__xludf.DUMMYFUNCTION("""COMPUTED_VALUE"""),"➖")</f>
        <v>➖</v>
      </c>
      <c r="I131" s="281" t="str">
        <f>IFERROR(__xludf.DUMMYFUNCTION("""COMPUTED_VALUE"""),"➖")</f>
        <v>➖</v>
      </c>
      <c r="J131" s="281" t="str">
        <f>IFERROR(__xludf.DUMMYFUNCTION("""COMPUTED_VALUE"""),"✴️")</f>
        <v>✴️</v>
      </c>
      <c r="K131" s="282" t="str">
        <f>IFERROR(__xludf.DUMMYFUNCTION("""COMPUTED_VALUE"""),"✴️")</f>
        <v>✴️</v>
      </c>
      <c r="L131" s="282" t="str">
        <f>IFERROR(__xludf.DUMMYFUNCTION("""COMPUTED_VALUE"""),"✴️")</f>
        <v>✴️</v>
      </c>
      <c r="M131" s="282" t="str">
        <f>IFERROR(__xludf.DUMMYFUNCTION("""COMPUTED_VALUE"""),"➖")</f>
        <v>➖</v>
      </c>
      <c r="N131" s="282" t="str">
        <f>IFERROR(__xludf.DUMMYFUNCTION("""COMPUTED_VALUE"""),"✴️")</f>
        <v>✴️</v>
      </c>
      <c r="O131" s="282" t="str">
        <f>IFERROR(__xludf.DUMMYFUNCTION("""COMPUTED_VALUE"""),"✴️")</f>
        <v>✴️</v>
      </c>
      <c r="P131" s="282" t="str">
        <f>IFERROR(__xludf.DUMMYFUNCTION("""COMPUTED_VALUE"""),"✴️")</f>
        <v>✴️</v>
      </c>
      <c r="Q131" s="282" t="str">
        <f>IFERROR(__xludf.DUMMYFUNCTION("""COMPUTED_VALUE"""),"➖")</f>
        <v>➖</v>
      </c>
      <c r="R131" s="304" t="str">
        <f>IFERROR(__xludf.DUMMYFUNCTION("""COMPUTED_VALUE"""),"   ➖")</f>
        <v>➖</v>
      </c>
      <c r="S131" s="305" t="str">
        <f>IFERROR(__xludf.DUMMYFUNCTION("""COMPUTED_VALUE"""),"➖")</f>
        <v>➖</v>
      </c>
      <c r="T131" s="282" t="str">
        <f>IFERROR(__xludf.DUMMYFUNCTION("""COMPUTED_VALUE"""),"SelfOfficerTalNotOnBridge")</f>
        <v>SelfOfficerTalNotOnBridge</v>
      </c>
      <c r="U131" s="282" t="str">
        <f>IFERROR(__xludf.DUMMYFUNCTION("""COMPUTED_VALUE"""),"➖")</f>
        <v>➖</v>
      </c>
      <c r="V131" s="282" t="str">
        <f>IFERROR(__xludf.DUMMYFUNCTION("""COMPUTED_VALUE"""),"➖")</f>
        <v>➖</v>
      </c>
      <c r="W131" s="306"/>
      <c r="X131" s="306"/>
      <c r="Y131" s="306"/>
    </row>
    <row r="132">
      <c r="A132" s="227"/>
      <c r="B132" s="307"/>
      <c r="C132" s="227"/>
      <c r="D132" s="308" t="str">
        <f>IFERROR(__xludf.DUMMYFUNCTION("""COMPUTED_VALUE"""),"   E")</f>
        <v>E</v>
      </c>
      <c r="E132" s="309" t="str">
        <f>IFERROR(__xludf.DUMMYFUNCTION("""COMPUTED_VALUE"""),"Enaran Execution Post")</f>
        <v>Enaran Execution Post</v>
      </c>
      <c r="F132" s="310">
        <f>IFERROR(__xludf.DUMMYFUNCTION("""COMPUTED_VALUE"""),2.0)</f>
        <v>2</v>
      </c>
      <c r="G132" s="231" t="str">
        <f>IFERROR(__xludf.DUMMYFUNCTION("""COMPUTED_VALUE"""),"CT")</f>
        <v>CT</v>
      </c>
      <c r="H132" s="231" t="str">
        <f>IFERROR(__xludf.DUMMYFUNCTION("""COMPUTED_VALUE"""),"➖")</f>
        <v>➖</v>
      </c>
      <c r="I132" s="231" t="str">
        <f>IFERROR(__xludf.DUMMYFUNCTION("""COMPUTED_VALUE"""),"➖")</f>
        <v>➖</v>
      </c>
      <c r="J132" s="231" t="str">
        <f>IFERROR(__xludf.DUMMYFUNCTION("""COMPUTED_VALUE"""),"✴️")</f>
        <v>✴️</v>
      </c>
      <c r="K132" s="288" t="str">
        <f>IFERROR(__xludf.DUMMYFUNCTION("""COMPUTED_VALUE"""),"✴️")</f>
        <v>✴️</v>
      </c>
      <c r="L132" s="288" t="str">
        <f>IFERROR(__xludf.DUMMYFUNCTION("""COMPUTED_VALUE"""),"✴️")</f>
        <v>✴️</v>
      </c>
      <c r="M132" s="288" t="str">
        <f>IFERROR(__xludf.DUMMYFUNCTION("""COMPUTED_VALUE"""),"✴️")</f>
        <v>✴️</v>
      </c>
      <c r="N132" s="288" t="str">
        <f>IFERROR(__xludf.DUMMYFUNCTION("""COMPUTED_VALUE"""),"✴️")</f>
        <v>✴️</v>
      </c>
      <c r="O132" s="288" t="str">
        <f>IFERROR(__xludf.DUMMYFUNCTION("""COMPUTED_VALUE"""),"✴️")</f>
        <v>✴️</v>
      </c>
      <c r="P132" s="288" t="str">
        <f>IFERROR(__xludf.DUMMYFUNCTION("""COMPUTED_VALUE"""),"➖")</f>
        <v>➖</v>
      </c>
      <c r="Q132" s="288" t="str">
        <f>IFERROR(__xludf.DUMMYFUNCTION("""COMPUTED_VALUE"""),"✴️")</f>
        <v>✴️</v>
      </c>
      <c r="R132" s="311" t="str">
        <f>IFERROR(__xludf.DUMMYFUNCTION("""COMPUTED_VALUE"""),"   ➖")</f>
        <v>➖</v>
      </c>
      <c r="S132" s="312" t="str">
        <f>IFERROR(__xludf.DUMMYFUNCTION("""COMPUTED_VALUE"""),"➖")</f>
        <v>➖</v>
      </c>
      <c r="T132" s="288" t="str">
        <f>IFERROR(__xludf.DUMMYFUNCTION("""COMPUTED_VALUE"""),"SNWGorn")</f>
        <v>SNWGorn</v>
      </c>
      <c r="U132" s="288" t="str">
        <f>IFERROR(__xludf.DUMMYFUNCTION("""COMPUTED_VALUE"""),"➖")</f>
        <v>➖</v>
      </c>
      <c r="V132" s="288" t="str">
        <f>IFERROR(__xludf.DUMMYFUNCTION("""COMPUTED_VALUE"""),"➖")</f>
        <v>➖</v>
      </c>
      <c r="W132" s="306"/>
      <c r="X132" s="306"/>
      <c r="Y132" s="306"/>
    </row>
    <row r="133">
      <c r="A133" s="227"/>
      <c r="B133" s="128"/>
      <c r="C133" s="227"/>
      <c r="D133" s="301" t="str">
        <f>IFERROR(__xludf.DUMMYFUNCTION("""COMPUTED_VALUE"""),"   E")</f>
        <v>E</v>
      </c>
      <c r="E133" s="313" t="str">
        <f>IFERROR(__xludf.DUMMYFUNCTION("""COMPUTED_VALUE"""),"Enaran Execution Post")</f>
        <v>Enaran Execution Post</v>
      </c>
      <c r="F133" s="303">
        <f>IFERROR(__xludf.DUMMYFUNCTION("""COMPUTED_VALUE"""),3.0)</f>
        <v>3</v>
      </c>
      <c r="G133" s="281" t="str">
        <f>IFERROR(__xludf.DUMMYFUNCTION("""COMPUTED_VALUE"""),"CT")</f>
        <v>CT</v>
      </c>
      <c r="H133" s="281" t="str">
        <f>IFERROR(__xludf.DUMMYFUNCTION("""COMPUTED_VALUE"""),"➖")</f>
        <v>➖</v>
      </c>
      <c r="I133" s="281" t="str">
        <f>IFERROR(__xludf.DUMMYFUNCTION("""COMPUTED_VALUE"""),"➖")</f>
        <v>➖</v>
      </c>
      <c r="J133" s="281" t="str">
        <f>IFERROR(__xludf.DUMMYFUNCTION("""COMPUTED_VALUE"""),"✴️")</f>
        <v>✴️</v>
      </c>
      <c r="K133" s="282" t="str">
        <f>IFERROR(__xludf.DUMMYFUNCTION("""COMPUTED_VALUE"""),"➖")</f>
        <v>➖</v>
      </c>
      <c r="L133" s="282" t="str">
        <f>IFERROR(__xludf.DUMMYFUNCTION("""COMPUTED_VALUE"""),"➖")</f>
        <v>➖</v>
      </c>
      <c r="M133" s="282" t="str">
        <f>IFERROR(__xludf.DUMMYFUNCTION("""COMPUTED_VALUE"""),"➖")</f>
        <v>➖</v>
      </c>
      <c r="N133" s="282" t="str">
        <f>IFERROR(__xludf.DUMMYFUNCTION("""COMPUTED_VALUE"""),"➖")</f>
        <v>➖</v>
      </c>
      <c r="O133" s="282" t="str">
        <f>IFERROR(__xludf.DUMMYFUNCTION("""COMPUTED_VALUE"""),"➖")</f>
        <v>➖</v>
      </c>
      <c r="P133" s="282" t="str">
        <f>IFERROR(__xludf.DUMMYFUNCTION("""COMPUTED_VALUE"""),"➖")</f>
        <v>➖</v>
      </c>
      <c r="Q133" s="282" t="str">
        <f>IFERROR(__xludf.DUMMYFUNCTION("""COMPUTED_VALUE"""),"➖")</f>
        <v>➖</v>
      </c>
      <c r="R133" s="304" t="str">
        <f>IFERROR(__xludf.DUMMYFUNCTION("""COMPUTED_VALUE"""),"   ➖")</f>
        <v>➖</v>
      </c>
      <c r="S133" s="305" t="str">
        <f>IFERROR(__xludf.DUMMYFUNCTION("""COMPUTED_VALUE"""),"➖")</f>
        <v>➖</v>
      </c>
      <c r="T133" s="282" t="str">
        <f>IFERROR(__xludf.DUMMYFUNCTION("""COMPUTED_VALUE"""),"GornHostileIsomatterLoot")</f>
        <v>GornHostileIsomatterLoot</v>
      </c>
      <c r="U133" s="282" t="str">
        <f>IFERROR(__xludf.DUMMYFUNCTION("""COMPUTED_VALUE"""),"✅")</f>
        <v>✅</v>
      </c>
      <c r="V133" s="282" t="str">
        <f>IFERROR(__xludf.DUMMYFUNCTION("""COMPUTED_VALUE"""),"➖")</f>
        <v>➖</v>
      </c>
      <c r="W133" s="306"/>
      <c r="X133" s="306"/>
      <c r="Y133" s="306"/>
    </row>
    <row r="134">
      <c r="A134" s="227"/>
      <c r="B134" s="307"/>
      <c r="C134" s="227"/>
      <c r="D134" s="308" t="str">
        <f>IFERROR(__xludf.DUMMYFUNCTION("""COMPUTED_VALUE"""),"   E")</f>
        <v>E</v>
      </c>
      <c r="E134" s="309" t="str">
        <f>IFERROR(__xludf.DUMMYFUNCTION("""COMPUTED_VALUE"""),"Soran's Trilithium")</f>
        <v>Soran's Trilithium</v>
      </c>
      <c r="F134" s="310">
        <f>IFERROR(__xludf.DUMMYFUNCTION("""COMPUTED_VALUE"""),1.0)</f>
        <v>1</v>
      </c>
      <c r="G134" s="231" t="str">
        <f>IFERROR(__xludf.DUMMYFUNCTION("""COMPUTED_VALUE"""),"CT")</f>
        <v>CT</v>
      </c>
      <c r="H134" s="231" t="str">
        <f>IFERROR(__xludf.DUMMYFUNCTION("""COMPUTED_VALUE"""),"✴️")</f>
        <v>✴️</v>
      </c>
      <c r="I134" s="231" t="str">
        <f>IFERROR(__xludf.DUMMYFUNCTION("""COMPUTED_VALUE"""),"✴️")</f>
        <v>✴️</v>
      </c>
      <c r="J134" s="231" t="str">
        <f>IFERROR(__xludf.DUMMYFUNCTION("""COMPUTED_VALUE"""),"➖")</f>
        <v>➖</v>
      </c>
      <c r="K134" s="288" t="str">
        <f>IFERROR(__xludf.DUMMYFUNCTION("""COMPUTED_VALUE"""),"➖")</f>
        <v>➖</v>
      </c>
      <c r="L134" s="288" t="str">
        <f>IFERROR(__xludf.DUMMYFUNCTION("""COMPUTED_VALUE"""),"➖")</f>
        <v>➖</v>
      </c>
      <c r="M134" s="288" t="str">
        <f>IFERROR(__xludf.DUMMYFUNCTION("""COMPUTED_VALUE"""),"➖")</f>
        <v>➖</v>
      </c>
      <c r="N134" s="288" t="str">
        <f>IFERROR(__xludf.DUMMYFUNCTION("""COMPUTED_VALUE"""),"➖")</f>
        <v>➖</v>
      </c>
      <c r="O134" s="288" t="str">
        <f>IFERROR(__xludf.DUMMYFUNCTION("""COMPUTED_VALUE"""),"➖")</f>
        <v>➖</v>
      </c>
      <c r="P134" s="288" t="str">
        <f>IFERROR(__xludf.DUMMYFUNCTION("""COMPUTED_VALUE"""),"➖")</f>
        <v>➖</v>
      </c>
      <c r="Q134" s="288" t="str">
        <f>IFERROR(__xludf.DUMMYFUNCTION("""COMPUTED_VALUE"""),"➖")</f>
        <v>➖</v>
      </c>
      <c r="R134" s="311" t="str">
        <f>IFERROR(__xludf.DUMMYFUNCTION("""COMPUTED_VALUE"""),"   ➖")</f>
        <v>➖</v>
      </c>
      <c r="S134" s="312" t="str">
        <f>IFERROR(__xludf.DUMMYFUNCTION("""COMPUTED_VALUE"""),"➖")</f>
        <v>➖</v>
      </c>
      <c r="T134" s="288" t="str">
        <f>IFERROR(__xludf.DUMMYFUNCTION("""COMPUTED_VALUE"""),"SelfOfficerTalNotOnBridge")</f>
        <v>SelfOfficerTalNotOnBridge</v>
      </c>
      <c r="U134" s="288" t="str">
        <f>IFERROR(__xludf.DUMMYFUNCTION("""COMPUTED_VALUE"""),"➖")</f>
        <v>➖</v>
      </c>
      <c r="V134" s="288" t="str">
        <f>IFERROR(__xludf.DUMMYFUNCTION("""COMPUTED_VALUE"""),"➖")</f>
        <v>➖</v>
      </c>
      <c r="W134" s="306"/>
      <c r="X134" s="306"/>
      <c r="Y134" s="306"/>
    </row>
    <row r="135">
      <c r="A135" s="227"/>
      <c r="B135" s="128"/>
      <c r="C135" s="227"/>
      <c r="D135" s="301" t="str">
        <f>IFERROR(__xludf.DUMMYFUNCTION("""COMPUTED_VALUE"""),"   E")</f>
        <v>E</v>
      </c>
      <c r="E135" s="313" t="str">
        <f>IFERROR(__xludf.DUMMYFUNCTION("""COMPUTED_VALUE"""),"Soran's Trilithium")</f>
        <v>Soran's Trilithium</v>
      </c>
      <c r="F135" s="303">
        <f>IFERROR(__xludf.DUMMYFUNCTION("""COMPUTED_VALUE"""),2.0)</f>
        <v>2</v>
      </c>
      <c r="G135" s="281" t="str">
        <f>IFERROR(__xludf.DUMMYFUNCTION("""COMPUTED_VALUE"""),"CT")</f>
        <v>CT</v>
      </c>
      <c r="H135" s="281" t="str">
        <f>IFERROR(__xludf.DUMMYFUNCTION("""COMPUTED_VALUE"""),"✴️")</f>
        <v>✴️</v>
      </c>
      <c r="I135" s="281" t="str">
        <f>IFERROR(__xludf.DUMMYFUNCTION("""COMPUTED_VALUE"""),"✴️")</f>
        <v>✴️</v>
      </c>
      <c r="J135" s="281" t="str">
        <f>IFERROR(__xludf.DUMMYFUNCTION("""COMPUTED_VALUE"""),"➖")</f>
        <v>➖</v>
      </c>
      <c r="K135" s="282" t="str">
        <f>IFERROR(__xludf.DUMMYFUNCTION("""COMPUTED_VALUE"""),"➖")</f>
        <v>➖</v>
      </c>
      <c r="L135" s="282" t="str">
        <f>IFERROR(__xludf.DUMMYFUNCTION("""COMPUTED_VALUE"""),"➖")</f>
        <v>➖</v>
      </c>
      <c r="M135" s="282" t="str">
        <f>IFERROR(__xludf.DUMMYFUNCTION("""COMPUTED_VALUE"""),"➖")</f>
        <v>➖</v>
      </c>
      <c r="N135" s="282" t="str">
        <f>IFERROR(__xludf.DUMMYFUNCTION("""COMPUTED_VALUE"""),"➖")</f>
        <v>➖</v>
      </c>
      <c r="O135" s="282" t="str">
        <f>IFERROR(__xludf.DUMMYFUNCTION("""COMPUTED_VALUE"""),"➖")</f>
        <v>➖</v>
      </c>
      <c r="P135" s="282" t="str">
        <f>IFERROR(__xludf.DUMMYFUNCTION("""COMPUTED_VALUE"""),"➖")</f>
        <v>➖</v>
      </c>
      <c r="Q135" s="282" t="str">
        <f>IFERROR(__xludf.DUMMYFUNCTION("""COMPUTED_VALUE"""),"➖")</f>
        <v>➖</v>
      </c>
      <c r="R135" s="304" t="str">
        <f>IFERROR(__xludf.DUMMYFUNCTION("""COMPUTED_VALUE"""),"   ➖")</f>
        <v>➖</v>
      </c>
      <c r="S135" s="305" t="str">
        <f>IFERROR(__xludf.DUMMYFUNCTION("""COMPUTED_VALUE"""),"➖")</f>
        <v>➖</v>
      </c>
      <c r="T135" s="282" t="str">
        <f>IFERROR(__xludf.DUMMYFUNCTION("""COMPUTED_VALUE"""),"TargetHasMorale")</f>
        <v>TargetHasMorale</v>
      </c>
      <c r="U135" s="282" t="str">
        <f>IFERROR(__xludf.DUMMYFUNCTION("""COMPUTED_VALUE"""),"➖")</f>
        <v>➖</v>
      </c>
      <c r="V135" s="282" t="str">
        <f>IFERROR(__xludf.DUMMYFUNCTION("""COMPUTED_VALUE"""),"➖")</f>
        <v>➖</v>
      </c>
      <c r="W135" s="306"/>
      <c r="X135" s="306"/>
      <c r="Y135" s="306"/>
    </row>
    <row r="136">
      <c r="A136" s="227"/>
      <c r="B136" s="307"/>
      <c r="C136" s="227"/>
      <c r="D136" s="308" t="str">
        <f>IFERROR(__xludf.DUMMYFUNCTION("""COMPUTED_VALUE"""),"   E")</f>
        <v>E</v>
      </c>
      <c r="E136" s="309" t="str">
        <f>IFERROR(__xludf.DUMMYFUNCTION("""COMPUTED_VALUE"""),"Soran's Trilithium")</f>
        <v>Soran's Trilithium</v>
      </c>
      <c r="F136" s="310">
        <f>IFERROR(__xludf.DUMMYFUNCTION("""COMPUTED_VALUE"""),3.0)</f>
        <v>3</v>
      </c>
      <c r="G136" s="231" t="str">
        <f>IFERROR(__xludf.DUMMYFUNCTION("""COMPUTED_VALUE"""),"CT")</f>
        <v>CT</v>
      </c>
      <c r="H136" s="231" t="str">
        <f>IFERROR(__xludf.DUMMYFUNCTION("""COMPUTED_VALUE"""),"✅")</f>
        <v>✅</v>
      </c>
      <c r="I136" s="231" t="str">
        <f>IFERROR(__xludf.DUMMYFUNCTION("""COMPUTED_VALUE"""),"✅")</f>
        <v>✅</v>
      </c>
      <c r="J136" s="231" t="str">
        <f>IFERROR(__xludf.DUMMYFUNCTION("""COMPUTED_VALUE"""),"➖")</f>
        <v>➖</v>
      </c>
      <c r="K136" s="288" t="str">
        <f>IFERROR(__xludf.DUMMYFUNCTION("""COMPUTED_VALUE"""),"➖")</f>
        <v>➖</v>
      </c>
      <c r="L136" s="288" t="str">
        <f>IFERROR(__xludf.DUMMYFUNCTION("""COMPUTED_VALUE"""),"➖")</f>
        <v>➖</v>
      </c>
      <c r="M136" s="288" t="str">
        <f>IFERROR(__xludf.DUMMYFUNCTION("""COMPUTED_VALUE"""),"➖")</f>
        <v>➖</v>
      </c>
      <c r="N136" s="288" t="str">
        <f>IFERROR(__xludf.DUMMYFUNCTION("""COMPUTED_VALUE"""),"➖")</f>
        <v>➖</v>
      </c>
      <c r="O136" s="288" t="str">
        <f>IFERROR(__xludf.DUMMYFUNCTION("""COMPUTED_VALUE"""),"➖")</f>
        <v>➖</v>
      </c>
      <c r="P136" s="288" t="str">
        <f>IFERROR(__xludf.DUMMYFUNCTION("""COMPUTED_VALUE"""),"➖")</f>
        <v>➖</v>
      </c>
      <c r="Q136" s="288" t="str">
        <f>IFERROR(__xludf.DUMMYFUNCTION("""COMPUTED_VALUE"""),"➖")</f>
        <v>➖</v>
      </c>
      <c r="R136" s="311" t="str">
        <f>IFERROR(__xludf.DUMMYFUNCTION("""COMPUTED_VALUE"""),"   ➖")</f>
        <v>➖</v>
      </c>
      <c r="S136" s="312" t="str">
        <f>IFERROR(__xludf.DUMMYFUNCTION("""COMPUTED_VALUE"""),"➖")</f>
        <v>➖</v>
      </c>
      <c r="T136" s="288"/>
      <c r="U136" s="288" t="str">
        <f>IFERROR(__xludf.DUMMYFUNCTION("""COMPUTED_VALUE"""),"➖")</f>
        <v>➖</v>
      </c>
      <c r="V136" s="288" t="str">
        <f>IFERROR(__xludf.DUMMYFUNCTION("""COMPUTED_VALUE"""),"➖")</f>
        <v>➖</v>
      </c>
      <c r="W136" s="306"/>
      <c r="X136" s="306"/>
      <c r="Y136" s="306"/>
    </row>
    <row r="137">
      <c r="A137" s="227"/>
      <c r="B137" s="128"/>
      <c r="C137" s="227"/>
      <c r="D137" s="301" t="str">
        <f>IFERROR(__xludf.DUMMYFUNCTION("""COMPUTED_VALUE"""),"   U")</f>
        <v>U</v>
      </c>
      <c r="E137" s="313" t="str">
        <f>IFERROR(__xludf.DUMMYFUNCTION("""COMPUTED_VALUE"""),"Multiphasic Chamber")</f>
        <v>Multiphasic Chamber</v>
      </c>
      <c r="F137" s="303">
        <f>IFERROR(__xludf.DUMMYFUNCTION("""COMPUTED_VALUE"""),1.0)</f>
        <v>1</v>
      </c>
      <c r="G137" s="281" t="str">
        <f>IFERROR(__xludf.DUMMYFUNCTION("""COMPUTED_VALUE"""),"CT")</f>
        <v>CT</v>
      </c>
      <c r="H137" s="281" t="str">
        <f>IFERROR(__xludf.DUMMYFUNCTION("""COMPUTED_VALUE"""),"➖")</f>
        <v>➖</v>
      </c>
      <c r="I137" s="281" t="str">
        <f>IFERROR(__xludf.DUMMYFUNCTION("""COMPUTED_VALUE"""),"➖")</f>
        <v>➖</v>
      </c>
      <c r="J137" s="281" t="str">
        <f>IFERROR(__xludf.DUMMYFUNCTION("""COMPUTED_VALUE"""),"➖")</f>
        <v>➖</v>
      </c>
      <c r="K137" s="282" t="str">
        <f>IFERROR(__xludf.DUMMYFUNCTION("""COMPUTED_VALUE"""),"➖")</f>
        <v>➖</v>
      </c>
      <c r="L137" s="282" t="str">
        <f>IFERROR(__xludf.DUMMYFUNCTION("""COMPUTED_VALUE"""),"➖")</f>
        <v>➖</v>
      </c>
      <c r="M137" s="282" t="str">
        <f>IFERROR(__xludf.DUMMYFUNCTION("""COMPUTED_VALUE"""),"➖")</f>
        <v>➖</v>
      </c>
      <c r="N137" s="282" t="str">
        <f>IFERROR(__xludf.DUMMYFUNCTION("""COMPUTED_VALUE"""),"➖")</f>
        <v>➖</v>
      </c>
      <c r="O137" s="282" t="str">
        <f>IFERROR(__xludf.DUMMYFUNCTION("""COMPUTED_VALUE"""),"➖")</f>
        <v>➖</v>
      </c>
      <c r="P137" s="282" t="str">
        <f>IFERROR(__xludf.DUMMYFUNCTION("""COMPUTED_VALUE"""),"➖")</f>
        <v>➖</v>
      </c>
      <c r="Q137" s="282" t="str">
        <f>IFERROR(__xludf.DUMMYFUNCTION("""COMPUTED_VALUE"""),"➖")</f>
        <v>➖</v>
      </c>
      <c r="R137" s="304" t="str">
        <f>IFERROR(__xludf.DUMMYFUNCTION("""COMPUTED_VALUE"""),"   ➖")</f>
        <v>➖</v>
      </c>
      <c r="S137" s="305" t="str">
        <f>IFERROR(__xludf.DUMMYFUNCTION("""COMPUTED_VALUE"""),"➖")</f>
        <v>➖</v>
      </c>
      <c r="T137" s="282"/>
      <c r="U137" s="282" t="str">
        <f>IFERROR(__xludf.DUMMYFUNCTION("""COMPUTED_VALUE"""),"➖")</f>
        <v>➖</v>
      </c>
      <c r="V137" s="282" t="str">
        <f>IFERROR(__xludf.DUMMYFUNCTION("""COMPUTED_VALUE"""),"✅")</f>
        <v>✅</v>
      </c>
      <c r="W137" s="306"/>
      <c r="X137" s="306"/>
      <c r="Y137" s="306"/>
    </row>
    <row r="138">
      <c r="A138" s="227"/>
      <c r="B138" s="307"/>
      <c r="C138" s="227"/>
      <c r="D138" s="308" t="str">
        <f>IFERROR(__xludf.DUMMYFUNCTION("""COMPUTED_VALUE"""),"   U")</f>
        <v>U</v>
      </c>
      <c r="E138" s="309" t="str">
        <f>IFERROR(__xludf.DUMMYFUNCTION("""COMPUTED_VALUE"""),"Multiphasic Chamber")</f>
        <v>Multiphasic Chamber</v>
      </c>
      <c r="F138" s="310">
        <f>IFERROR(__xludf.DUMMYFUNCTION("""COMPUTED_VALUE"""),2.0)</f>
        <v>2</v>
      </c>
      <c r="G138" s="231" t="str">
        <f>IFERROR(__xludf.DUMMYFUNCTION("""COMPUTED_VALUE"""),"CT")</f>
        <v>CT</v>
      </c>
      <c r="H138" s="231" t="str">
        <f>IFERROR(__xludf.DUMMYFUNCTION("""COMPUTED_VALUE"""),"➖")</f>
        <v>➖</v>
      </c>
      <c r="I138" s="231" t="str">
        <f>IFERROR(__xludf.DUMMYFUNCTION("""COMPUTED_VALUE"""),"➖")</f>
        <v>➖</v>
      </c>
      <c r="J138" s="231" t="str">
        <f>IFERROR(__xludf.DUMMYFUNCTION("""COMPUTED_VALUE"""),"➖")</f>
        <v>➖</v>
      </c>
      <c r="K138" s="288" t="str">
        <f>IFERROR(__xludf.DUMMYFUNCTION("""COMPUTED_VALUE"""),"➖")</f>
        <v>➖</v>
      </c>
      <c r="L138" s="288" t="str">
        <f>IFERROR(__xludf.DUMMYFUNCTION("""COMPUTED_VALUE"""),"➖")</f>
        <v>➖</v>
      </c>
      <c r="M138" s="288" t="str">
        <f>IFERROR(__xludf.DUMMYFUNCTION("""COMPUTED_VALUE"""),"➖")</f>
        <v>➖</v>
      </c>
      <c r="N138" s="288" t="str">
        <f>IFERROR(__xludf.DUMMYFUNCTION("""COMPUTED_VALUE"""),"➖")</f>
        <v>➖</v>
      </c>
      <c r="O138" s="288" t="str">
        <f>IFERROR(__xludf.DUMMYFUNCTION("""COMPUTED_VALUE"""),"➖")</f>
        <v>➖</v>
      </c>
      <c r="P138" s="288" t="str">
        <f>IFERROR(__xludf.DUMMYFUNCTION("""COMPUTED_VALUE"""),"➖")</f>
        <v>➖</v>
      </c>
      <c r="Q138" s="288" t="str">
        <f>IFERROR(__xludf.DUMMYFUNCTION("""COMPUTED_VALUE"""),"➖")</f>
        <v>➖</v>
      </c>
      <c r="R138" s="311" t="str">
        <f>IFERROR(__xludf.DUMMYFUNCTION("""COMPUTED_VALUE"""),"   ➖")</f>
        <v>➖</v>
      </c>
      <c r="S138" s="312" t="str">
        <f>IFERROR(__xludf.DUMMYFUNCTION("""COMPUTED_VALUE"""),"➖")</f>
        <v>➖</v>
      </c>
      <c r="T138" s="288"/>
      <c r="U138" s="288" t="str">
        <f>IFERROR(__xludf.DUMMYFUNCTION("""COMPUTED_VALUE"""),"➖")</f>
        <v>➖</v>
      </c>
      <c r="V138" s="288" t="str">
        <f>IFERROR(__xludf.DUMMYFUNCTION("""COMPUTED_VALUE"""),"✅")</f>
        <v>✅</v>
      </c>
      <c r="W138" s="306"/>
      <c r="X138" s="306"/>
      <c r="Y138" s="306"/>
    </row>
    <row r="139">
      <c r="A139" s="227"/>
      <c r="B139" s="128"/>
      <c r="C139" s="227"/>
      <c r="D139" s="301" t="str">
        <f>IFERROR(__xludf.DUMMYFUNCTION("""COMPUTED_VALUE"""),"   R")</f>
        <v>R</v>
      </c>
      <c r="E139" s="313" t="str">
        <f>IFERROR(__xludf.DUMMYFUNCTION("""COMPUTED_VALUE"""),"Chronophage")</f>
        <v>Chronophage</v>
      </c>
      <c r="F139" s="303">
        <f>IFERROR(__xludf.DUMMYFUNCTION("""COMPUTED_VALUE"""),1.0)</f>
        <v>1</v>
      </c>
      <c r="G139" s="281" t="str">
        <f>IFERROR(__xludf.DUMMYFUNCTION("""COMPUTED_VALUE"""),"CT")</f>
        <v>CT</v>
      </c>
      <c r="H139" s="281" t="str">
        <f>IFERROR(__xludf.DUMMYFUNCTION("""COMPUTED_VALUE"""),"✴️")</f>
        <v>✴️</v>
      </c>
      <c r="I139" s="281" t="str">
        <f>IFERROR(__xludf.DUMMYFUNCTION("""COMPUTED_VALUE"""),"✴️")</f>
        <v>✴️</v>
      </c>
      <c r="J139" s="281" t="str">
        <f>IFERROR(__xludf.DUMMYFUNCTION("""COMPUTED_VALUE"""),"➖")</f>
        <v>➖</v>
      </c>
      <c r="K139" s="282" t="str">
        <f>IFERROR(__xludf.DUMMYFUNCTION("""COMPUTED_VALUE"""),"➖")</f>
        <v>➖</v>
      </c>
      <c r="L139" s="282" t="str">
        <f>IFERROR(__xludf.DUMMYFUNCTION("""COMPUTED_VALUE"""),"➖")</f>
        <v>➖</v>
      </c>
      <c r="M139" s="282" t="str">
        <f>IFERROR(__xludf.DUMMYFUNCTION("""COMPUTED_VALUE"""),"➖")</f>
        <v>➖</v>
      </c>
      <c r="N139" s="282" t="str">
        <f>IFERROR(__xludf.DUMMYFUNCTION("""COMPUTED_VALUE"""),"➖")</f>
        <v>➖</v>
      </c>
      <c r="O139" s="282" t="str">
        <f>IFERROR(__xludf.DUMMYFUNCTION("""COMPUTED_VALUE"""),"➖")</f>
        <v>➖</v>
      </c>
      <c r="P139" s="282" t="str">
        <f>IFERROR(__xludf.DUMMYFUNCTION("""COMPUTED_VALUE"""),"➖")</f>
        <v>➖</v>
      </c>
      <c r="Q139" s="282" t="str">
        <f>IFERROR(__xludf.DUMMYFUNCTION("""COMPUTED_VALUE"""),"➖")</f>
        <v>➖</v>
      </c>
      <c r="R139" s="304" t="str">
        <f>IFERROR(__xludf.DUMMYFUNCTION("""COMPUTED_VALUE"""),"   ➖")</f>
        <v>➖</v>
      </c>
      <c r="S139" s="305" t="str">
        <f>IFERROR(__xludf.DUMMYFUNCTION("""COMPUTED_VALUE"""),"➖")</f>
        <v>➖</v>
      </c>
      <c r="T139" s="282" t="str">
        <f>IFERROR(__xludf.DUMMYFUNCTION("""COMPUTED_VALUE"""),"HullHealthBelowStartOfCombat")</f>
        <v>HullHealthBelowStartOfCombat</v>
      </c>
      <c r="U139" s="282" t="str">
        <f>IFERROR(__xludf.DUMMYFUNCTION("""COMPUTED_VALUE"""),"➖")</f>
        <v>➖</v>
      </c>
      <c r="V139" s="282" t="str">
        <f>IFERROR(__xludf.DUMMYFUNCTION("""COMPUTED_VALUE"""),"➖")</f>
        <v>➖</v>
      </c>
      <c r="W139" s="306"/>
      <c r="X139" s="306"/>
      <c r="Y139" s="306"/>
    </row>
    <row r="140">
      <c r="A140" s="227"/>
      <c r="B140" s="307"/>
      <c r="C140" s="227"/>
      <c r="D140" s="308" t="str">
        <f>IFERROR(__xludf.DUMMYFUNCTION("""COMPUTED_VALUE"""),"   R")</f>
        <v>R</v>
      </c>
      <c r="E140" s="309" t="str">
        <f>IFERROR(__xludf.DUMMYFUNCTION("""COMPUTED_VALUE"""),"Chronophage")</f>
        <v>Chronophage</v>
      </c>
      <c r="F140" s="310">
        <f>IFERROR(__xludf.DUMMYFUNCTION("""COMPUTED_VALUE"""),2.0)</f>
        <v>2</v>
      </c>
      <c r="G140" s="231" t="str">
        <f>IFERROR(__xludf.DUMMYFUNCTION("""COMPUTED_VALUE"""),"CT")</f>
        <v>CT</v>
      </c>
      <c r="H140" s="231" t="str">
        <f>IFERROR(__xludf.DUMMYFUNCTION("""COMPUTED_VALUE"""),"✴️")</f>
        <v>✴️</v>
      </c>
      <c r="I140" s="231" t="str">
        <f>IFERROR(__xludf.DUMMYFUNCTION("""COMPUTED_VALUE"""),"✴️")</f>
        <v>✴️</v>
      </c>
      <c r="J140" s="231" t="str">
        <f>IFERROR(__xludf.DUMMYFUNCTION("""COMPUTED_VALUE"""),"➖")</f>
        <v>➖</v>
      </c>
      <c r="K140" s="288" t="str">
        <f>IFERROR(__xludf.DUMMYFUNCTION("""COMPUTED_VALUE"""),"➖")</f>
        <v>➖</v>
      </c>
      <c r="L140" s="288" t="str">
        <f>IFERROR(__xludf.DUMMYFUNCTION("""COMPUTED_VALUE"""),"➖")</f>
        <v>➖</v>
      </c>
      <c r="M140" s="288" t="str">
        <f>IFERROR(__xludf.DUMMYFUNCTION("""COMPUTED_VALUE"""),"➖")</f>
        <v>➖</v>
      </c>
      <c r="N140" s="288" t="str">
        <f>IFERROR(__xludf.DUMMYFUNCTION("""COMPUTED_VALUE"""),"➖")</f>
        <v>➖</v>
      </c>
      <c r="O140" s="288" t="str">
        <f>IFERROR(__xludf.DUMMYFUNCTION("""COMPUTED_VALUE"""),"➖")</f>
        <v>➖</v>
      </c>
      <c r="P140" s="288" t="str">
        <f>IFERROR(__xludf.DUMMYFUNCTION("""COMPUTED_VALUE"""),"➖")</f>
        <v>➖</v>
      </c>
      <c r="Q140" s="288" t="str">
        <f>IFERROR(__xludf.DUMMYFUNCTION("""COMPUTED_VALUE"""),"➖")</f>
        <v>➖</v>
      </c>
      <c r="R140" s="311" t="str">
        <f>IFERROR(__xludf.DUMMYFUNCTION("""COMPUTED_VALUE"""),"   ➖")</f>
        <v>➖</v>
      </c>
      <c r="S140" s="312" t="str">
        <f>IFERROR(__xludf.DUMMYFUNCTION("""COMPUTED_VALUE"""),"➖")</f>
        <v>➖</v>
      </c>
      <c r="T140" s="288" t="str">
        <f>IFERROR(__xludf.DUMMYFUNCTION("""COMPUTED_VALUE"""),"HullHealthBelowStartOfCombat")</f>
        <v>HullHealthBelowStartOfCombat</v>
      </c>
      <c r="U140" s="288" t="str">
        <f>IFERROR(__xludf.DUMMYFUNCTION("""COMPUTED_VALUE"""),"➖")</f>
        <v>➖</v>
      </c>
      <c r="V140" s="288" t="str">
        <f>IFERROR(__xludf.DUMMYFUNCTION("""COMPUTED_VALUE"""),"➖")</f>
        <v>➖</v>
      </c>
      <c r="W140" s="306"/>
      <c r="X140" s="306"/>
      <c r="Y140" s="306"/>
    </row>
    <row r="141">
      <c r="A141" s="227"/>
      <c r="B141" s="128"/>
      <c r="C141" s="227"/>
      <c r="D141" s="301" t="str">
        <f>IFERROR(__xludf.DUMMYFUNCTION("""COMPUTED_VALUE"""),"   R")</f>
        <v>R</v>
      </c>
      <c r="E141" s="313" t="str">
        <f>IFERROR(__xludf.DUMMYFUNCTION("""COMPUTED_VALUE"""),"Chronophage")</f>
        <v>Chronophage</v>
      </c>
      <c r="F141" s="303">
        <f>IFERROR(__xludf.DUMMYFUNCTION("""COMPUTED_VALUE"""),3.0)</f>
        <v>3</v>
      </c>
      <c r="G141" s="281" t="str">
        <f>IFERROR(__xludf.DUMMYFUNCTION("""COMPUTED_VALUE"""),"CT")</f>
        <v>CT</v>
      </c>
      <c r="H141" s="281" t="str">
        <f>IFERROR(__xludf.DUMMYFUNCTION("""COMPUTED_VALUE"""),"✴️")</f>
        <v>✴️</v>
      </c>
      <c r="I141" s="281" t="str">
        <f>IFERROR(__xludf.DUMMYFUNCTION("""COMPUTED_VALUE"""),"✴️")</f>
        <v>✴️</v>
      </c>
      <c r="J141" s="281" t="str">
        <f>IFERROR(__xludf.DUMMYFUNCTION("""COMPUTED_VALUE"""),"➖")</f>
        <v>➖</v>
      </c>
      <c r="K141" s="282" t="str">
        <f>IFERROR(__xludf.DUMMYFUNCTION("""COMPUTED_VALUE"""),"➖")</f>
        <v>➖</v>
      </c>
      <c r="L141" s="282" t="str">
        <f>IFERROR(__xludf.DUMMYFUNCTION("""COMPUTED_VALUE"""),"➖")</f>
        <v>➖</v>
      </c>
      <c r="M141" s="282" t="str">
        <f>IFERROR(__xludf.DUMMYFUNCTION("""COMPUTED_VALUE"""),"➖")</f>
        <v>➖</v>
      </c>
      <c r="N141" s="282" t="str">
        <f>IFERROR(__xludf.DUMMYFUNCTION("""COMPUTED_VALUE"""),"➖")</f>
        <v>➖</v>
      </c>
      <c r="O141" s="282" t="str">
        <f>IFERROR(__xludf.DUMMYFUNCTION("""COMPUTED_VALUE"""),"➖")</f>
        <v>➖</v>
      </c>
      <c r="P141" s="282" t="str">
        <f>IFERROR(__xludf.DUMMYFUNCTION("""COMPUTED_VALUE"""),"➖")</f>
        <v>➖</v>
      </c>
      <c r="Q141" s="282" t="str">
        <f>IFERROR(__xludf.DUMMYFUNCTION("""COMPUTED_VALUE"""),"➖")</f>
        <v>➖</v>
      </c>
      <c r="R141" s="304" t="str">
        <f>IFERROR(__xludf.DUMMYFUNCTION("""COMPUTED_VALUE"""),"   ➖")</f>
        <v>➖</v>
      </c>
      <c r="S141" s="305" t="str">
        <f>IFERROR(__xludf.DUMMYFUNCTION("""COMPUTED_VALUE"""),"➖")</f>
        <v>➖</v>
      </c>
      <c r="T141" s="282" t="str">
        <f>IFERROR(__xludf.DUMMYFUNCTION("""COMPUTED_VALUE"""),"HullHealthBelowStartOfCombat")</f>
        <v>HullHealthBelowStartOfCombat</v>
      </c>
      <c r="U141" s="282" t="str">
        <f>IFERROR(__xludf.DUMMYFUNCTION("""COMPUTED_VALUE"""),"➖")</f>
        <v>➖</v>
      </c>
      <c r="V141" s="282" t="str">
        <f>IFERROR(__xludf.DUMMYFUNCTION("""COMPUTED_VALUE"""),"➖")</f>
        <v>➖</v>
      </c>
      <c r="W141" s="306"/>
      <c r="X141" s="306"/>
      <c r="Y141" s="306"/>
    </row>
    <row r="142">
      <c r="A142" s="227"/>
      <c r="B142" s="307"/>
      <c r="C142" s="227"/>
      <c r="D142" s="308" t="str">
        <f>IFERROR(__xludf.DUMMYFUNCTION("""COMPUTED_VALUE"""),"   R")</f>
        <v>R</v>
      </c>
      <c r="E142" s="309" t="str">
        <f>IFERROR(__xludf.DUMMYFUNCTION("""COMPUTED_VALUE"""),"Chrono Deflector")</f>
        <v>Chrono Deflector</v>
      </c>
      <c r="F142" s="310">
        <f>IFERROR(__xludf.DUMMYFUNCTION("""COMPUTED_VALUE"""),1.0)</f>
        <v>1</v>
      </c>
      <c r="G142" s="231" t="str">
        <f>IFERROR(__xludf.DUMMYFUNCTION("""COMPUTED_VALUE"""),"CT")</f>
        <v>CT</v>
      </c>
      <c r="H142" s="231" t="str">
        <f>IFERROR(__xludf.DUMMYFUNCTION("""COMPUTED_VALUE"""),"➖")</f>
        <v>➖</v>
      </c>
      <c r="I142" s="231" t="str">
        <f>IFERROR(__xludf.DUMMYFUNCTION("""COMPUTED_VALUE"""),"➖")</f>
        <v>➖</v>
      </c>
      <c r="J142" s="231" t="str">
        <f>IFERROR(__xludf.DUMMYFUNCTION("""COMPUTED_VALUE"""),"✴️")</f>
        <v>✴️</v>
      </c>
      <c r="K142" s="288" t="str">
        <f>IFERROR(__xludf.DUMMYFUNCTION("""COMPUTED_VALUE"""),"✴️")</f>
        <v>✴️</v>
      </c>
      <c r="L142" s="288" t="str">
        <f>IFERROR(__xludf.DUMMYFUNCTION("""COMPUTED_VALUE"""),"➖")</f>
        <v>➖</v>
      </c>
      <c r="M142" s="288" t="str">
        <f>IFERROR(__xludf.DUMMYFUNCTION("""COMPUTED_VALUE"""),"➖")</f>
        <v>➖</v>
      </c>
      <c r="N142" s="288" t="str">
        <f>IFERROR(__xludf.DUMMYFUNCTION("""COMPUTED_VALUE"""),"➖")</f>
        <v>➖</v>
      </c>
      <c r="O142" s="288" t="str">
        <f>IFERROR(__xludf.DUMMYFUNCTION("""COMPUTED_VALUE"""),"➖")</f>
        <v>➖</v>
      </c>
      <c r="P142" s="288" t="str">
        <f>IFERROR(__xludf.DUMMYFUNCTION("""COMPUTED_VALUE"""),"✴️")</f>
        <v>✴️</v>
      </c>
      <c r="Q142" s="288" t="str">
        <f>IFERROR(__xludf.DUMMYFUNCTION("""COMPUTED_VALUE"""),"➖")</f>
        <v>➖</v>
      </c>
      <c r="R142" s="311" t="str">
        <f>IFERROR(__xludf.DUMMYFUNCTION("""COMPUTED_VALUE"""),"   ➖")</f>
        <v>➖</v>
      </c>
      <c r="S142" s="312" t="str">
        <f>IFERROR(__xludf.DUMMYFUNCTION("""COMPUTED_VALUE"""),"➖")</f>
        <v>➖</v>
      </c>
      <c r="T142" s="288" t="str">
        <f>IFERROR(__xludf.DUMMYFUNCTION("""COMPUTED_VALUE"""),"SelfOfficerTalNotOnBridge")</f>
        <v>SelfOfficerTalNotOnBridge</v>
      </c>
      <c r="U142" s="288" t="str">
        <f>IFERROR(__xludf.DUMMYFUNCTION("""COMPUTED_VALUE"""),"➖")</f>
        <v>➖</v>
      </c>
      <c r="V142" s="288" t="str">
        <f>IFERROR(__xludf.DUMMYFUNCTION("""COMPUTED_VALUE"""),"➖")</f>
        <v>➖</v>
      </c>
      <c r="W142" s="306"/>
      <c r="X142" s="306"/>
      <c r="Y142" s="306"/>
    </row>
    <row r="143">
      <c r="A143" s="227"/>
      <c r="B143" s="128"/>
      <c r="C143" s="227"/>
      <c r="D143" s="301" t="str">
        <f>IFERROR(__xludf.DUMMYFUNCTION("""COMPUTED_VALUE"""),"   R")</f>
        <v>R</v>
      </c>
      <c r="E143" s="313" t="str">
        <f>IFERROR(__xludf.DUMMYFUNCTION("""COMPUTED_VALUE"""),"Chrono Deflector")</f>
        <v>Chrono Deflector</v>
      </c>
      <c r="F143" s="303">
        <f>IFERROR(__xludf.DUMMYFUNCTION("""COMPUTED_VALUE"""),2.0)</f>
        <v>2</v>
      </c>
      <c r="G143" s="281" t="str">
        <f>IFERROR(__xludf.DUMMYFUNCTION("""COMPUTED_VALUE"""),"CT")</f>
        <v>CT</v>
      </c>
      <c r="H143" s="281" t="str">
        <f>IFERROR(__xludf.DUMMYFUNCTION("""COMPUTED_VALUE"""),"➖")</f>
        <v>➖</v>
      </c>
      <c r="I143" s="281" t="str">
        <f>IFERROR(__xludf.DUMMYFUNCTION("""COMPUTED_VALUE"""),"➖")</f>
        <v>➖</v>
      </c>
      <c r="J143" s="281" t="str">
        <f>IFERROR(__xludf.DUMMYFUNCTION("""COMPUTED_VALUE"""),"➖")</f>
        <v>➖</v>
      </c>
      <c r="K143" s="282" t="str">
        <f>IFERROR(__xludf.DUMMYFUNCTION("""COMPUTED_VALUE"""),"➖")</f>
        <v>➖</v>
      </c>
      <c r="L143" s="282" t="str">
        <f>IFERROR(__xludf.DUMMYFUNCTION("""COMPUTED_VALUE"""),"➖")</f>
        <v>➖</v>
      </c>
      <c r="M143" s="282" t="str">
        <f>IFERROR(__xludf.DUMMYFUNCTION("""COMPUTED_VALUE"""),"➖")</f>
        <v>➖</v>
      </c>
      <c r="N143" s="282" t="str">
        <f>IFERROR(__xludf.DUMMYFUNCTION("""COMPUTED_VALUE"""),"✅")</f>
        <v>✅</v>
      </c>
      <c r="O143" s="282" t="str">
        <f>IFERROR(__xludf.DUMMYFUNCTION("""COMPUTED_VALUE"""),"✅")</f>
        <v>✅</v>
      </c>
      <c r="P143" s="282" t="str">
        <f>IFERROR(__xludf.DUMMYFUNCTION("""COMPUTED_VALUE"""),"✅")</f>
        <v>✅</v>
      </c>
      <c r="Q143" s="282" t="str">
        <f>IFERROR(__xludf.DUMMYFUNCTION("""COMPUTED_VALUE"""),"➖")</f>
        <v>➖</v>
      </c>
      <c r="R143" s="304" t="str">
        <f>IFERROR(__xludf.DUMMYFUNCTION("""COMPUTED_VALUE"""),"   ➖")</f>
        <v>➖</v>
      </c>
      <c r="S143" s="305" t="str">
        <f>IFERROR(__xludf.DUMMYFUNCTION("""COMPUTED_VALUE"""),"➖")</f>
        <v>➖</v>
      </c>
      <c r="T143" s="282"/>
      <c r="U143" s="282" t="str">
        <f>IFERROR(__xludf.DUMMYFUNCTION("""COMPUTED_VALUE"""),"➖")</f>
        <v>➖</v>
      </c>
      <c r="V143" s="282" t="str">
        <f>IFERROR(__xludf.DUMMYFUNCTION("""COMPUTED_VALUE"""),"➖")</f>
        <v>➖</v>
      </c>
      <c r="W143" s="306"/>
      <c r="X143" s="306"/>
      <c r="Y143" s="306"/>
    </row>
    <row r="144">
      <c r="A144" s="227"/>
      <c r="B144" s="307"/>
      <c r="C144" s="227"/>
      <c r="D144" s="308" t="str">
        <f>IFERROR(__xludf.DUMMYFUNCTION("""COMPUTED_VALUE"""),"   R")</f>
        <v>R</v>
      </c>
      <c r="E144" s="309" t="str">
        <f>IFERROR(__xludf.DUMMYFUNCTION("""COMPUTED_VALUE"""),"Chrono Deflector")</f>
        <v>Chrono Deflector</v>
      </c>
      <c r="F144" s="310">
        <f>IFERROR(__xludf.DUMMYFUNCTION("""COMPUTED_VALUE"""),3.0)</f>
        <v>3</v>
      </c>
      <c r="G144" s="231" t="str">
        <f>IFERROR(__xludf.DUMMYFUNCTION("""COMPUTED_VALUE"""),"CT")</f>
        <v>CT</v>
      </c>
      <c r="H144" s="231" t="str">
        <f>IFERROR(__xludf.DUMMYFUNCTION("""COMPUTED_VALUE"""),"➖")</f>
        <v>➖</v>
      </c>
      <c r="I144" s="231" t="str">
        <f>IFERROR(__xludf.DUMMYFUNCTION("""COMPUTED_VALUE"""),"➖")</f>
        <v>➖</v>
      </c>
      <c r="J144" s="231" t="str">
        <f>IFERROR(__xludf.DUMMYFUNCTION("""COMPUTED_VALUE"""),"✅")</f>
        <v>✅</v>
      </c>
      <c r="K144" s="288" t="str">
        <f>IFERROR(__xludf.DUMMYFUNCTION("""COMPUTED_VALUE"""),"✅")</f>
        <v>✅</v>
      </c>
      <c r="L144" s="288" t="str">
        <f>IFERROR(__xludf.DUMMYFUNCTION("""COMPUTED_VALUE"""),"✅")</f>
        <v>✅</v>
      </c>
      <c r="M144" s="288" t="str">
        <f>IFERROR(__xludf.DUMMYFUNCTION("""COMPUTED_VALUE"""),"➖")</f>
        <v>➖</v>
      </c>
      <c r="N144" s="288" t="str">
        <f>IFERROR(__xludf.DUMMYFUNCTION("""COMPUTED_VALUE"""),"✅")</f>
        <v>✅</v>
      </c>
      <c r="O144" s="288" t="str">
        <f>IFERROR(__xludf.DUMMYFUNCTION("""COMPUTED_VALUE"""),"✅")</f>
        <v>✅</v>
      </c>
      <c r="P144" s="288" t="str">
        <f>IFERROR(__xludf.DUMMYFUNCTION("""COMPUTED_VALUE"""),"✅")</f>
        <v>✅</v>
      </c>
      <c r="Q144" s="288" t="str">
        <f>IFERROR(__xludf.DUMMYFUNCTION("""COMPUTED_VALUE"""),"➖")</f>
        <v>➖</v>
      </c>
      <c r="R144" s="311" t="str">
        <f>IFERROR(__xludf.DUMMYFUNCTION("""COMPUTED_VALUE"""),"   ➖")</f>
        <v>➖</v>
      </c>
      <c r="S144" s="312" t="str">
        <f>IFERROR(__xludf.DUMMYFUNCTION("""COMPUTED_VALUE"""),"➖")</f>
        <v>➖</v>
      </c>
      <c r="T144" s="288"/>
      <c r="U144" s="288" t="str">
        <f>IFERROR(__xludf.DUMMYFUNCTION("""COMPUTED_VALUE"""),"➖")</f>
        <v>➖</v>
      </c>
      <c r="V144" s="288" t="str">
        <f>IFERROR(__xludf.DUMMYFUNCTION("""COMPUTED_VALUE"""),"➖")</f>
        <v>➖</v>
      </c>
      <c r="W144" s="306"/>
      <c r="X144" s="306"/>
      <c r="Y144" s="306"/>
    </row>
    <row r="145">
      <c r="A145" s="227"/>
      <c r="B145" s="128"/>
      <c r="C145" s="227"/>
      <c r="D145" s="301" t="str">
        <f>IFERROR(__xludf.DUMMYFUNCTION("""COMPUTED_VALUE"""),"   E")</f>
        <v>E</v>
      </c>
      <c r="E145" s="313" t="str">
        <f>IFERROR(__xludf.DUMMYFUNCTION("""COMPUTED_VALUE"""),"The Godsend")</f>
        <v>The Godsend</v>
      </c>
      <c r="F145" s="303">
        <f>IFERROR(__xludf.DUMMYFUNCTION("""COMPUTED_VALUE"""),1.0)</f>
        <v>1</v>
      </c>
      <c r="G145" s="281" t="str">
        <f>IFERROR(__xludf.DUMMYFUNCTION("""COMPUTED_VALUE"""),"CT")</f>
        <v>CT</v>
      </c>
      <c r="H145" s="281" t="str">
        <f>IFERROR(__xludf.DUMMYFUNCTION("""COMPUTED_VALUE"""),"✅")</f>
        <v>✅</v>
      </c>
      <c r="I145" s="281" t="str">
        <f>IFERROR(__xludf.DUMMYFUNCTION("""COMPUTED_VALUE"""),"✅")</f>
        <v>✅</v>
      </c>
      <c r="J145" s="281" t="str">
        <f>IFERROR(__xludf.DUMMYFUNCTION("""COMPUTED_VALUE"""),"✅")</f>
        <v>✅</v>
      </c>
      <c r="K145" s="282" t="str">
        <f>IFERROR(__xludf.DUMMYFUNCTION("""COMPUTED_VALUE"""),"✅")</f>
        <v>✅</v>
      </c>
      <c r="L145" s="282" t="str">
        <f>IFERROR(__xludf.DUMMYFUNCTION("""COMPUTED_VALUE"""),"✅")</f>
        <v>✅</v>
      </c>
      <c r="M145" s="282" t="str">
        <f>IFERROR(__xludf.DUMMYFUNCTION("""COMPUTED_VALUE"""),"✅")</f>
        <v>✅</v>
      </c>
      <c r="N145" s="282" t="str">
        <f>IFERROR(__xludf.DUMMYFUNCTION("""COMPUTED_VALUE"""),"✅")</f>
        <v>✅</v>
      </c>
      <c r="O145" s="282" t="str">
        <f>IFERROR(__xludf.DUMMYFUNCTION("""COMPUTED_VALUE"""),"✅")</f>
        <v>✅</v>
      </c>
      <c r="P145" s="282" t="str">
        <f>IFERROR(__xludf.DUMMYFUNCTION("""COMPUTED_VALUE"""),"✅")</f>
        <v>✅</v>
      </c>
      <c r="Q145" s="282" t="str">
        <f>IFERROR(__xludf.DUMMYFUNCTION("""COMPUTED_VALUE"""),"✅")</f>
        <v>✅</v>
      </c>
      <c r="R145" s="304" t="str">
        <f>IFERROR(__xludf.DUMMYFUNCTION("""COMPUTED_VALUE"""),"   ✅")</f>
        <v>✅</v>
      </c>
      <c r="S145" s="305" t="str">
        <f>IFERROR(__xludf.DUMMYFUNCTION("""COMPUTED_VALUE"""),"✅")</f>
        <v>✅</v>
      </c>
      <c r="T145" s="282"/>
      <c r="U145" s="282" t="str">
        <f>IFERROR(__xludf.DUMMYFUNCTION("""COMPUTED_VALUE"""),"➖")</f>
        <v>➖</v>
      </c>
      <c r="V145" s="282" t="str">
        <f>IFERROR(__xludf.DUMMYFUNCTION("""COMPUTED_VALUE"""),"➖")</f>
        <v>➖</v>
      </c>
      <c r="W145" s="306"/>
      <c r="X145" s="306"/>
      <c r="Y145" s="306"/>
    </row>
    <row r="146">
      <c r="A146" s="227"/>
      <c r="B146" s="307"/>
      <c r="C146" s="227"/>
      <c r="D146" s="308" t="str">
        <f>IFERROR(__xludf.DUMMYFUNCTION("""COMPUTED_VALUE"""),"   E")</f>
        <v>E</v>
      </c>
      <c r="E146" s="309" t="str">
        <f>IFERROR(__xludf.DUMMYFUNCTION("""COMPUTED_VALUE"""),"The Godsend")</f>
        <v>The Godsend</v>
      </c>
      <c r="F146" s="310">
        <f>IFERROR(__xludf.DUMMYFUNCTION("""COMPUTED_VALUE"""),2.0)</f>
        <v>2</v>
      </c>
      <c r="G146" s="231" t="str">
        <f>IFERROR(__xludf.DUMMYFUNCTION("""COMPUTED_VALUE"""),"CT")</f>
        <v>CT</v>
      </c>
      <c r="H146" s="231" t="str">
        <f>IFERROR(__xludf.DUMMYFUNCTION("""COMPUTED_VALUE"""),"➖")</f>
        <v>➖</v>
      </c>
      <c r="I146" s="231" t="str">
        <f>IFERROR(__xludf.DUMMYFUNCTION("""COMPUTED_VALUE"""),"➖")</f>
        <v>➖</v>
      </c>
      <c r="J146" s="231" t="str">
        <f>IFERROR(__xludf.DUMMYFUNCTION("""COMPUTED_VALUE"""),"✴️")</f>
        <v>✴️</v>
      </c>
      <c r="K146" s="288" t="str">
        <f>IFERROR(__xludf.DUMMYFUNCTION("""COMPUTED_VALUE"""),"✴️")</f>
        <v>✴️</v>
      </c>
      <c r="L146" s="288" t="str">
        <f>IFERROR(__xludf.DUMMYFUNCTION("""COMPUTED_VALUE"""),"✴️")</f>
        <v>✴️</v>
      </c>
      <c r="M146" s="288" t="str">
        <f>IFERROR(__xludf.DUMMYFUNCTION("""COMPUTED_VALUE"""),"➖")</f>
        <v>➖</v>
      </c>
      <c r="N146" s="288" t="str">
        <f>IFERROR(__xludf.DUMMYFUNCTION("""COMPUTED_VALUE"""),"➖")</f>
        <v>➖</v>
      </c>
      <c r="O146" s="288" t="str">
        <f>IFERROR(__xludf.DUMMYFUNCTION("""COMPUTED_VALUE"""),"➖")</f>
        <v>➖</v>
      </c>
      <c r="P146" s="288" t="str">
        <f>IFERROR(__xludf.DUMMYFUNCTION("""COMPUTED_VALUE"""),"➖")</f>
        <v>➖</v>
      </c>
      <c r="Q146" s="288" t="str">
        <f>IFERROR(__xludf.DUMMYFUNCTION("""COMPUTED_VALUE"""),"➖")</f>
        <v>➖</v>
      </c>
      <c r="R146" s="311" t="str">
        <f>IFERROR(__xludf.DUMMYFUNCTION("""COMPUTED_VALUE"""),"   ➖")</f>
        <v>➖</v>
      </c>
      <c r="S146" s="312" t="str">
        <f>IFERROR(__xludf.DUMMYFUNCTION("""COMPUTED_VALUE"""),"➖")</f>
        <v>➖</v>
      </c>
      <c r="T146" s="288" t="str">
        <f>IFERROR(__xludf.DUMMYFUNCTION("""COMPUTED_VALUE"""),"SelfOfficerTalNotOnBridge")</f>
        <v>SelfOfficerTalNotOnBridge</v>
      </c>
      <c r="U146" s="288" t="str">
        <f>IFERROR(__xludf.DUMMYFUNCTION("""COMPUTED_VALUE"""),"➖")</f>
        <v>➖</v>
      </c>
      <c r="V146" s="288" t="str">
        <f>IFERROR(__xludf.DUMMYFUNCTION("""COMPUTED_VALUE"""),"➖")</f>
        <v>➖</v>
      </c>
      <c r="W146" s="306"/>
      <c r="X146" s="306"/>
      <c r="Y146" s="306"/>
    </row>
    <row r="147">
      <c r="A147" s="227"/>
      <c r="B147" s="128"/>
      <c r="C147" s="227"/>
      <c r="D147" s="301" t="str">
        <f>IFERROR(__xludf.DUMMYFUNCTION("""COMPUTED_VALUE"""),"   E")</f>
        <v>E</v>
      </c>
      <c r="E147" s="313" t="str">
        <f>IFERROR(__xludf.DUMMYFUNCTION("""COMPUTED_VALUE"""),"The Godsend")</f>
        <v>The Godsend</v>
      </c>
      <c r="F147" s="303">
        <f>IFERROR(__xludf.DUMMYFUNCTION("""COMPUTED_VALUE"""),3.0)</f>
        <v>3</v>
      </c>
      <c r="G147" s="281" t="str">
        <f>IFERROR(__xludf.DUMMYFUNCTION("""COMPUTED_VALUE"""),"CT")</f>
        <v>CT</v>
      </c>
      <c r="H147" s="281" t="str">
        <f>IFERROR(__xludf.DUMMYFUNCTION("""COMPUTED_VALUE"""),"➖")</f>
        <v>➖</v>
      </c>
      <c r="I147" s="281" t="str">
        <f>IFERROR(__xludf.DUMMYFUNCTION("""COMPUTED_VALUE"""),"➖")</f>
        <v>➖</v>
      </c>
      <c r="J147" s="281" t="str">
        <f>IFERROR(__xludf.DUMMYFUNCTION("""COMPUTED_VALUE"""),"✅")</f>
        <v>✅</v>
      </c>
      <c r="K147" s="282" t="str">
        <f>IFERROR(__xludf.DUMMYFUNCTION("""COMPUTED_VALUE"""),"✅")</f>
        <v>✅</v>
      </c>
      <c r="L147" s="282" t="str">
        <f>IFERROR(__xludf.DUMMYFUNCTION("""COMPUTED_VALUE"""),"✅")</f>
        <v>✅</v>
      </c>
      <c r="M147" s="282" t="str">
        <f>IFERROR(__xludf.DUMMYFUNCTION("""COMPUTED_VALUE"""),"➖")</f>
        <v>➖</v>
      </c>
      <c r="N147" s="282" t="str">
        <f>IFERROR(__xludf.DUMMYFUNCTION("""COMPUTED_VALUE"""),"➖")</f>
        <v>➖</v>
      </c>
      <c r="O147" s="282" t="str">
        <f>IFERROR(__xludf.DUMMYFUNCTION("""COMPUTED_VALUE"""),"➖")</f>
        <v>➖</v>
      </c>
      <c r="P147" s="282" t="str">
        <f>IFERROR(__xludf.DUMMYFUNCTION("""COMPUTED_VALUE"""),"➖")</f>
        <v>➖</v>
      </c>
      <c r="Q147" s="282" t="str">
        <f>IFERROR(__xludf.DUMMYFUNCTION("""COMPUTED_VALUE"""),"➖")</f>
        <v>➖</v>
      </c>
      <c r="R147" s="304" t="str">
        <f>IFERROR(__xludf.DUMMYFUNCTION("""COMPUTED_VALUE"""),"   ➖")</f>
        <v>➖</v>
      </c>
      <c r="S147" s="305" t="str">
        <f>IFERROR(__xludf.DUMMYFUNCTION("""COMPUTED_VALUE"""),"➖")</f>
        <v>➖</v>
      </c>
      <c r="T147" s="282"/>
      <c r="U147" s="282" t="str">
        <f>IFERROR(__xludf.DUMMYFUNCTION("""COMPUTED_VALUE"""),"➖")</f>
        <v>➖</v>
      </c>
      <c r="V147" s="282" t="str">
        <f>IFERROR(__xludf.DUMMYFUNCTION("""COMPUTED_VALUE"""),"➖")</f>
        <v>➖</v>
      </c>
      <c r="W147" s="306"/>
      <c r="X147" s="306"/>
      <c r="Y147" s="306"/>
    </row>
    <row r="148">
      <c r="A148" s="227"/>
      <c r="B148" s="307"/>
      <c r="C148" s="227"/>
      <c r="D148" s="308" t="str">
        <f>IFERROR(__xludf.DUMMYFUNCTION("""COMPUTED_VALUE"""),"   U")</f>
        <v>U</v>
      </c>
      <c r="E148" s="309" t="str">
        <f>IFERROR(__xludf.DUMMYFUNCTION("""COMPUTED_VALUE"""),"Control")</f>
        <v>Control</v>
      </c>
      <c r="F148" s="310">
        <f>IFERROR(__xludf.DUMMYFUNCTION("""COMPUTED_VALUE"""),1.0)</f>
        <v>1</v>
      </c>
      <c r="G148" s="231" t="str">
        <f>IFERROR(__xludf.DUMMYFUNCTION("""COMPUTED_VALUE"""),"CT")</f>
        <v>CT</v>
      </c>
      <c r="H148" s="231" t="str">
        <f>IFERROR(__xludf.DUMMYFUNCTION("""COMPUTED_VALUE"""),"➖")</f>
        <v>➖</v>
      </c>
      <c r="I148" s="231" t="str">
        <f>IFERROR(__xludf.DUMMYFUNCTION("""COMPUTED_VALUE"""),"➖")</f>
        <v>➖</v>
      </c>
      <c r="J148" s="231" t="str">
        <f>IFERROR(__xludf.DUMMYFUNCTION("""COMPUTED_VALUE"""),"➖")</f>
        <v>➖</v>
      </c>
      <c r="K148" s="288" t="str">
        <f>IFERROR(__xludf.DUMMYFUNCTION("""COMPUTED_VALUE"""),"➖")</f>
        <v>➖</v>
      </c>
      <c r="L148" s="288" t="str">
        <f>IFERROR(__xludf.DUMMYFUNCTION("""COMPUTED_VALUE"""),"➖")</f>
        <v>➖</v>
      </c>
      <c r="M148" s="288" t="str">
        <f>IFERROR(__xludf.DUMMYFUNCTION("""COMPUTED_VALUE"""),"➖")</f>
        <v>➖</v>
      </c>
      <c r="N148" s="288" t="str">
        <f>IFERROR(__xludf.DUMMYFUNCTION("""COMPUTED_VALUE"""),"➖")</f>
        <v>➖</v>
      </c>
      <c r="O148" s="288" t="str">
        <f>IFERROR(__xludf.DUMMYFUNCTION("""COMPUTED_VALUE"""),"➖")</f>
        <v>➖</v>
      </c>
      <c r="P148" s="288" t="str">
        <f>IFERROR(__xludf.DUMMYFUNCTION("""COMPUTED_VALUE"""),"➖")</f>
        <v>➖</v>
      </c>
      <c r="Q148" s="288" t="str">
        <f>IFERROR(__xludf.DUMMYFUNCTION("""COMPUTED_VALUE"""),"➖")</f>
        <v>➖</v>
      </c>
      <c r="R148" s="311" t="str">
        <f>IFERROR(__xludf.DUMMYFUNCTION("""COMPUTED_VALUE"""),"   ➖")</f>
        <v>➖</v>
      </c>
      <c r="S148" s="312" t="str">
        <f>IFERROR(__xludf.DUMMYFUNCTION("""COMPUTED_VALUE"""),"➖")</f>
        <v>➖</v>
      </c>
      <c r="T148" s="288"/>
      <c r="U148" s="288" t="str">
        <f>IFERROR(__xludf.DUMMYFUNCTION("""COMPUTED_VALUE"""),"➖")</f>
        <v>➖</v>
      </c>
      <c r="V148" s="288" t="str">
        <f>IFERROR(__xludf.DUMMYFUNCTION("""COMPUTED_VALUE"""),"✅")</f>
        <v>✅</v>
      </c>
      <c r="W148" s="306"/>
      <c r="X148" s="306"/>
      <c r="Y148" s="306"/>
    </row>
    <row r="149">
      <c r="A149" s="227"/>
      <c r="B149" s="128"/>
      <c r="C149" s="227"/>
      <c r="D149" s="301" t="str">
        <f>IFERROR(__xludf.DUMMYFUNCTION("""COMPUTED_VALUE"""),"   U")</f>
        <v>U</v>
      </c>
      <c r="E149" s="313" t="str">
        <f>IFERROR(__xludf.DUMMYFUNCTION("""COMPUTED_VALUE"""),"Control")</f>
        <v>Control</v>
      </c>
      <c r="F149" s="303">
        <f>IFERROR(__xludf.DUMMYFUNCTION("""COMPUTED_VALUE"""),2.0)</f>
        <v>2</v>
      </c>
      <c r="G149" s="281" t="str">
        <f>IFERROR(__xludf.DUMMYFUNCTION("""COMPUTED_VALUE"""),"CT")</f>
        <v>CT</v>
      </c>
      <c r="H149" s="281" t="str">
        <f>IFERROR(__xludf.DUMMYFUNCTION("""COMPUTED_VALUE"""),"➖")</f>
        <v>➖</v>
      </c>
      <c r="I149" s="281" t="str">
        <f>IFERROR(__xludf.DUMMYFUNCTION("""COMPUTED_VALUE"""),"➖")</f>
        <v>➖</v>
      </c>
      <c r="J149" s="281" t="str">
        <f>IFERROR(__xludf.DUMMYFUNCTION("""COMPUTED_VALUE"""),"➖")</f>
        <v>➖</v>
      </c>
      <c r="K149" s="282" t="str">
        <f>IFERROR(__xludf.DUMMYFUNCTION("""COMPUTED_VALUE"""),"➖")</f>
        <v>➖</v>
      </c>
      <c r="L149" s="282" t="str">
        <f>IFERROR(__xludf.DUMMYFUNCTION("""COMPUTED_VALUE"""),"➖")</f>
        <v>➖</v>
      </c>
      <c r="M149" s="282" t="str">
        <f>IFERROR(__xludf.DUMMYFUNCTION("""COMPUTED_VALUE"""),"➖")</f>
        <v>➖</v>
      </c>
      <c r="N149" s="282" t="str">
        <f>IFERROR(__xludf.DUMMYFUNCTION("""COMPUTED_VALUE"""),"➖")</f>
        <v>➖</v>
      </c>
      <c r="O149" s="282" t="str">
        <f>IFERROR(__xludf.DUMMYFUNCTION("""COMPUTED_VALUE"""),"➖")</f>
        <v>➖</v>
      </c>
      <c r="P149" s="282" t="str">
        <f>IFERROR(__xludf.DUMMYFUNCTION("""COMPUTED_VALUE"""),"➖")</f>
        <v>➖</v>
      </c>
      <c r="Q149" s="282" t="str">
        <f>IFERROR(__xludf.DUMMYFUNCTION("""COMPUTED_VALUE"""),"➖")</f>
        <v>➖</v>
      </c>
      <c r="R149" s="304" t="str">
        <f>IFERROR(__xludf.DUMMYFUNCTION("""COMPUTED_VALUE"""),"   ➖")</f>
        <v>➖</v>
      </c>
      <c r="S149" s="305" t="str">
        <f>IFERROR(__xludf.DUMMYFUNCTION("""COMPUTED_VALUE"""),"➖")</f>
        <v>➖</v>
      </c>
      <c r="T149" s="282"/>
      <c r="U149" s="282" t="str">
        <f>IFERROR(__xludf.DUMMYFUNCTION("""COMPUTED_VALUE"""),"➖")</f>
        <v>➖</v>
      </c>
      <c r="V149" s="282" t="str">
        <f>IFERROR(__xludf.DUMMYFUNCTION("""COMPUTED_VALUE"""),"✅")</f>
        <v>✅</v>
      </c>
      <c r="W149" s="306"/>
      <c r="X149" s="306"/>
      <c r="Y149" s="306"/>
    </row>
    <row r="150">
      <c r="A150" s="227"/>
      <c r="B150" s="307"/>
      <c r="C150" s="227"/>
      <c r="D150" s="308" t="str">
        <f>IFERROR(__xludf.DUMMYFUNCTION("""COMPUTED_VALUE"""),"   R")</f>
        <v>R</v>
      </c>
      <c r="E150" s="309" t="str">
        <f>IFERROR(__xludf.DUMMYFUNCTION("""COMPUTED_VALUE"""),"Tothian Mines")</f>
        <v>Tothian Mines</v>
      </c>
      <c r="F150" s="310">
        <f>IFERROR(__xludf.DUMMYFUNCTION("""COMPUTED_VALUE"""),1.0)</f>
        <v>1</v>
      </c>
      <c r="G150" s="231" t="str">
        <f>IFERROR(__xludf.DUMMYFUNCTION("""COMPUTED_VALUE"""),"CT")</f>
        <v>CT</v>
      </c>
      <c r="H150" s="231" t="str">
        <f>IFERROR(__xludf.DUMMYFUNCTION("""COMPUTED_VALUE"""),"✅")</f>
        <v>✅</v>
      </c>
      <c r="I150" s="231" t="str">
        <f>IFERROR(__xludf.DUMMYFUNCTION("""COMPUTED_VALUE"""),"✅")</f>
        <v>✅</v>
      </c>
      <c r="J150" s="231" t="str">
        <f>IFERROR(__xludf.DUMMYFUNCTION("""COMPUTED_VALUE"""),"✅")</f>
        <v>✅</v>
      </c>
      <c r="K150" s="288" t="str">
        <f>IFERROR(__xludf.DUMMYFUNCTION("""COMPUTED_VALUE"""),"✅")</f>
        <v>✅</v>
      </c>
      <c r="L150" s="288" t="str">
        <f>IFERROR(__xludf.DUMMYFUNCTION("""COMPUTED_VALUE"""),"✅")</f>
        <v>✅</v>
      </c>
      <c r="M150" s="288" t="str">
        <f>IFERROR(__xludf.DUMMYFUNCTION("""COMPUTED_VALUE"""),"✅")</f>
        <v>✅</v>
      </c>
      <c r="N150" s="288" t="str">
        <f>IFERROR(__xludf.DUMMYFUNCTION("""COMPUTED_VALUE"""),"✅")</f>
        <v>✅</v>
      </c>
      <c r="O150" s="288" t="str">
        <f>IFERROR(__xludf.DUMMYFUNCTION("""COMPUTED_VALUE"""),"✅")</f>
        <v>✅</v>
      </c>
      <c r="P150" s="288" t="str">
        <f>IFERROR(__xludf.DUMMYFUNCTION("""COMPUTED_VALUE"""),"✅")</f>
        <v>✅</v>
      </c>
      <c r="Q150" s="288" t="str">
        <f>IFERROR(__xludf.DUMMYFUNCTION("""COMPUTED_VALUE"""),"✅")</f>
        <v>✅</v>
      </c>
      <c r="R150" s="311" t="str">
        <f>IFERROR(__xludf.DUMMYFUNCTION("""COMPUTED_VALUE"""),"   ✅")</f>
        <v>✅</v>
      </c>
      <c r="S150" s="312" t="str">
        <f>IFERROR(__xludf.DUMMYFUNCTION("""COMPUTED_VALUE"""),"✅")</f>
        <v>✅</v>
      </c>
      <c r="T150" s="288"/>
      <c r="U150" s="288" t="str">
        <f>IFERROR(__xludf.DUMMYFUNCTION("""COMPUTED_VALUE"""),"➖")</f>
        <v>➖</v>
      </c>
      <c r="V150" s="288" t="str">
        <f>IFERROR(__xludf.DUMMYFUNCTION("""COMPUTED_VALUE"""),"➖")</f>
        <v>➖</v>
      </c>
      <c r="W150" s="306"/>
      <c r="X150" s="306"/>
      <c r="Y150" s="306"/>
    </row>
    <row r="151">
      <c r="A151" s="227"/>
      <c r="B151" s="128"/>
      <c r="C151" s="227"/>
      <c r="D151" s="301" t="str">
        <f>IFERROR(__xludf.DUMMYFUNCTION("""COMPUTED_VALUE"""),"   R")</f>
        <v>R</v>
      </c>
      <c r="E151" s="313" t="str">
        <f>IFERROR(__xludf.DUMMYFUNCTION("""COMPUTED_VALUE"""),"Tothian Mines")</f>
        <v>Tothian Mines</v>
      </c>
      <c r="F151" s="303">
        <f>IFERROR(__xludf.DUMMYFUNCTION("""COMPUTED_VALUE"""),2.0)</f>
        <v>2</v>
      </c>
      <c r="G151" s="281" t="str">
        <f>IFERROR(__xludf.DUMMYFUNCTION("""COMPUTED_VALUE"""),"CT")</f>
        <v>CT</v>
      </c>
      <c r="H151" s="281" t="str">
        <f>IFERROR(__xludf.DUMMYFUNCTION("""COMPUTED_VALUE"""),"➖")</f>
        <v>➖</v>
      </c>
      <c r="I151" s="281" t="str">
        <f>IFERROR(__xludf.DUMMYFUNCTION("""COMPUTED_VALUE"""),"➖")</f>
        <v>➖</v>
      </c>
      <c r="J151" s="281" t="str">
        <f>IFERROR(__xludf.DUMMYFUNCTION("""COMPUTED_VALUE"""),"✴️")</f>
        <v>✴️</v>
      </c>
      <c r="K151" s="282" t="str">
        <f>IFERROR(__xludf.DUMMYFUNCTION("""COMPUTED_VALUE"""),"➖")</f>
        <v>➖</v>
      </c>
      <c r="L151" s="282" t="str">
        <f>IFERROR(__xludf.DUMMYFUNCTION("""COMPUTED_VALUE"""),"➖")</f>
        <v>➖</v>
      </c>
      <c r="M151" s="282" t="str">
        <f>IFERROR(__xludf.DUMMYFUNCTION("""COMPUTED_VALUE"""),"➖")</f>
        <v>➖</v>
      </c>
      <c r="N151" s="282" t="str">
        <f>IFERROR(__xludf.DUMMYFUNCTION("""COMPUTED_VALUE"""),"➖")</f>
        <v>➖</v>
      </c>
      <c r="O151" s="282" t="str">
        <f>IFERROR(__xludf.DUMMYFUNCTION("""COMPUTED_VALUE"""),"➖")</f>
        <v>➖</v>
      </c>
      <c r="P151" s="282" t="str">
        <f>IFERROR(__xludf.DUMMYFUNCTION("""COMPUTED_VALUE"""),"➖")</f>
        <v>➖</v>
      </c>
      <c r="Q151" s="282" t="str">
        <f>IFERROR(__xludf.DUMMYFUNCTION("""COMPUTED_VALUE"""),"➖")</f>
        <v>➖</v>
      </c>
      <c r="R151" s="304" t="str">
        <f>IFERROR(__xludf.DUMMYFUNCTION("""COMPUTED_VALUE"""),"   ➖")</f>
        <v>➖</v>
      </c>
      <c r="S151" s="305" t="str">
        <f>IFERROR(__xludf.DUMMYFUNCTION("""COMPUTED_VALUE"""),"➖")</f>
        <v>➖</v>
      </c>
      <c r="T151" s="282" t="str">
        <f>IFERROR(__xludf.DUMMYFUNCTION("""COMPUTED_VALUE"""),"TrelliumRewards")</f>
        <v>TrelliumRewards</v>
      </c>
      <c r="U151" s="282" t="str">
        <f>IFERROR(__xludf.DUMMYFUNCTION("""COMPUTED_VALUE"""),"✅")</f>
        <v>✅</v>
      </c>
      <c r="V151" s="282" t="str">
        <f>IFERROR(__xludf.DUMMYFUNCTION("""COMPUTED_VALUE"""),"➖")</f>
        <v>➖</v>
      </c>
      <c r="W151" s="306"/>
      <c r="X151" s="306"/>
      <c r="Y151" s="306"/>
    </row>
    <row r="152">
      <c r="A152" s="227"/>
      <c r="B152" s="307"/>
      <c r="C152" s="227"/>
      <c r="D152" s="308" t="str">
        <f>IFERROR(__xludf.DUMMYFUNCTION("""COMPUTED_VALUE"""),"   R")</f>
        <v>R</v>
      </c>
      <c r="E152" s="309" t="str">
        <f>IFERROR(__xludf.DUMMYFUNCTION("""COMPUTED_VALUE"""),"Tothian Mines")</f>
        <v>Tothian Mines</v>
      </c>
      <c r="F152" s="310">
        <f>IFERROR(__xludf.DUMMYFUNCTION("""COMPUTED_VALUE"""),3.0)</f>
        <v>3</v>
      </c>
      <c r="G152" s="231" t="str">
        <f>IFERROR(__xludf.DUMMYFUNCTION("""COMPUTED_VALUE"""),"CT")</f>
        <v>CT</v>
      </c>
      <c r="H152" s="231" t="str">
        <f>IFERROR(__xludf.DUMMYFUNCTION("""COMPUTED_VALUE"""),"➖")</f>
        <v>➖</v>
      </c>
      <c r="I152" s="231" t="str">
        <f>IFERROR(__xludf.DUMMYFUNCTION("""COMPUTED_VALUE"""),"➖")</f>
        <v>➖</v>
      </c>
      <c r="J152" s="231" t="str">
        <f>IFERROR(__xludf.DUMMYFUNCTION("""COMPUTED_VALUE"""),"✴️")</f>
        <v>✴️</v>
      </c>
      <c r="K152" s="288" t="str">
        <f>IFERROR(__xludf.DUMMYFUNCTION("""COMPUTED_VALUE"""),"✴️")</f>
        <v>✴️</v>
      </c>
      <c r="L152" s="288" t="str">
        <f>IFERROR(__xludf.DUMMYFUNCTION("""COMPUTED_VALUE"""),"✴️")</f>
        <v>✴️</v>
      </c>
      <c r="M152" s="288" t="str">
        <f>IFERROR(__xludf.DUMMYFUNCTION("""COMPUTED_VALUE"""),"➖")</f>
        <v>➖</v>
      </c>
      <c r="N152" s="288" t="str">
        <f>IFERROR(__xludf.DUMMYFUNCTION("""COMPUTED_VALUE"""),"✴️")</f>
        <v>✴️</v>
      </c>
      <c r="O152" s="288" t="str">
        <f>IFERROR(__xludf.DUMMYFUNCTION("""COMPUTED_VALUE"""),"✴️")</f>
        <v>✴️</v>
      </c>
      <c r="P152" s="288" t="str">
        <f>IFERROR(__xludf.DUMMYFUNCTION("""COMPUTED_VALUE"""),"➖")</f>
        <v>➖</v>
      </c>
      <c r="Q152" s="288" t="str">
        <f>IFERROR(__xludf.DUMMYFUNCTION("""COMPUTED_VALUE"""),"➖")</f>
        <v>➖</v>
      </c>
      <c r="R152" s="311" t="str">
        <f>IFERROR(__xludf.DUMMYFUNCTION("""COMPUTED_VALUE"""),"   ➖")</f>
        <v>➖</v>
      </c>
      <c r="S152" s="312" t="str">
        <f>IFERROR(__xludf.DUMMYFUNCTION("""COMPUTED_VALUE"""),"➖")</f>
        <v>➖</v>
      </c>
      <c r="T152" s="288" t="str">
        <f>IFERROR(__xludf.DUMMYFUNCTION("""COMPUTED_VALUE"""),"MirrorUniverse")</f>
        <v>MirrorUniverse</v>
      </c>
      <c r="U152" s="288" t="str">
        <f>IFERROR(__xludf.DUMMYFUNCTION("""COMPUTED_VALUE"""),"➖")</f>
        <v>➖</v>
      </c>
      <c r="V152" s="288" t="str">
        <f>IFERROR(__xludf.DUMMYFUNCTION("""COMPUTED_VALUE"""),"➖")</f>
        <v>➖</v>
      </c>
      <c r="W152" s="306"/>
      <c r="X152" s="306"/>
      <c r="Y152" s="306"/>
    </row>
    <row r="153">
      <c r="A153" s="227"/>
      <c r="B153" s="128"/>
      <c r="C153" s="227"/>
      <c r="D153" s="301" t="str">
        <f>IFERROR(__xludf.DUMMYFUNCTION("""COMPUTED_VALUE"""),"   E")</f>
        <v>E</v>
      </c>
      <c r="E153" s="313" t="str">
        <f>IFERROR(__xludf.DUMMYFUNCTION("""COMPUTED_VALUE"""),"Echo Papa 607")</f>
        <v>Echo Papa 607</v>
      </c>
      <c r="F153" s="303">
        <f>IFERROR(__xludf.DUMMYFUNCTION("""COMPUTED_VALUE"""),1.0)</f>
        <v>1</v>
      </c>
      <c r="G153" s="281" t="str">
        <f>IFERROR(__xludf.DUMMYFUNCTION("""COMPUTED_VALUE"""),"CT")</f>
        <v>CT</v>
      </c>
      <c r="H153" s="281" t="str">
        <f>IFERROR(__xludf.DUMMYFUNCTION("""COMPUTED_VALUE"""),"✴️")</f>
        <v>✴️</v>
      </c>
      <c r="I153" s="281" t="str">
        <f>IFERROR(__xludf.DUMMYFUNCTION("""COMPUTED_VALUE"""),"✴️")</f>
        <v>✴️</v>
      </c>
      <c r="J153" s="281" t="str">
        <f>IFERROR(__xludf.DUMMYFUNCTION("""COMPUTED_VALUE"""),"✴️")</f>
        <v>✴️</v>
      </c>
      <c r="K153" s="282" t="str">
        <f>IFERROR(__xludf.DUMMYFUNCTION("""COMPUTED_VALUE"""),"✴️")</f>
        <v>✴️</v>
      </c>
      <c r="L153" s="282" t="str">
        <f>IFERROR(__xludf.DUMMYFUNCTION("""COMPUTED_VALUE"""),"✴️")</f>
        <v>✴️</v>
      </c>
      <c r="M153" s="282" t="str">
        <f>IFERROR(__xludf.DUMMYFUNCTION("""COMPUTED_VALUE"""),"✴️")</f>
        <v>✴️</v>
      </c>
      <c r="N153" s="282" t="str">
        <f>IFERROR(__xludf.DUMMYFUNCTION("""COMPUTED_VALUE"""),"✴️")</f>
        <v>✴️</v>
      </c>
      <c r="O153" s="282" t="str">
        <f>IFERROR(__xludf.DUMMYFUNCTION("""COMPUTED_VALUE"""),"✴️")</f>
        <v>✴️</v>
      </c>
      <c r="P153" s="282" t="str">
        <f>IFERROR(__xludf.DUMMYFUNCTION("""COMPUTED_VALUE"""),"✴️")</f>
        <v>✴️</v>
      </c>
      <c r="Q153" s="282" t="str">
        <f>IFERROR(__xludf.DUMMYFUNCTION("""COMPUTED_VALUE"""),"✴️")</f>
        <v>✴️</v>
      </c>
      <c r="R153" s="304" t="str">
        <f>IFERROR(__xludf.DUMMYFUNCTION("""COMPUTED_VALUE"""),"   ✴️")</f>
        <v>✴️</v>
      </c>
      <c r="S153" s="305" t="str">
        <f>IFERROR(__xludf.DUMMYFUNCTION("""COMPUTED_VALUE"""),"✴️")</f>
        <v>✴️</v>
      </c>
      <c r="T153" s="282" t="str">
        <f>IFERROR(__xludf.DUMMYFUNCTION("""COMPUTED_VALUE"""),"HullHealthBelow")</f>
        <v>HullHealthBelow</v>
      </c>
      <c r="U153" s="282" t="str">
        <f>IFERROR(__xludf.DUMMYFUNCTION("""COMPUTED_VALUE"""),"➖")</f>
        <v>➖</v>
      </c>
      <c r="V153" s="282" t="str">
        <f>IFERROR(__xludf.DUMMYFUNCTION("""COMPUTED_VALUE"""),"➖")</f>
        <v>➖</v>
      </c>
      <c r="W153" s="306"/>
      <c r="X153" s="306"/>
      <c r="Y153" s="306"/>
    </row>
    <row r="154">
      <c r="A154" s="227"/>
      <c r="B154" s="307"/>
      <c r="C154" s="227"/>
      <c r="D154" s="308" t="str">
        <f>IFERROR(__xludf.DUMMYFUNCTION("""COMPUTED_VALUE"""),"   E")</f>
        <v>E</v>
      </c>
      <c r="E154" s="309" t="str">
        <f>IFERROR(__xludf.DUMMYFUNCTION("""COMPUTED_VALUE"""),"Echo Papa 607")</f>
        <v>Echo Papa 607</v>
      </c>
      <c r="F154" s="310">
        <f>IFERROR(__xludf.DUMMYFUNCTION("""COMPUTED_VALUE"""),2.0)</f>
        <v>2</v>
      </c>
      <c r="G154" s="231" t="str">
        <f>IFERROR(__xludf.DUMMYFUNCTION("""COMPUTED_VALUE"""),"CT")</f>
        <v>CT</v>
      </c>
      <c r="H154" s="231" t="str">
        <f>IFERROR(__xludf.DUMMYFUNCTION("""COMPUTED_VALUE"""),"✅")</f>
        <v>✅</v>
      </c>
      <c r="I154" s="231" t="str">
        <f>IFERROR(__xludf.DUMMYFUNCTION("""COMPUTED_VALUE"""),"✅")</f>
        <v>✅</v>
      </c>
      <c r="J154" s="231" t="str">
        <f>IFERROR(__xludf.DUMMYFUNCTION("""COMPUTED_VALUE"""),"➖")</f>
        <v>➖</v>
      </c>
      <c r="K154" s="288" t="str">
        <f>IFERROR(__xludf.DUMMYFUNCTION("""COMPUTED_VALUE"""),"➖")</f>
        <v>➖</v>
      </c>
      <c r="L154" s="288" t="str">
        <f>IFERROR(__xludf.DUMMYFUNCTION("""COMPUTED_VALUE"""),"➖")</f>
        <v>➖</v>
      </c>
      <c r="M154" s="288" t="str">
        <f>IFERROR(__xludf.DUMMYFUNCTION("""COMPUTED_VALUE"""),"➖")</f>
        <v>➖</v>
      </c>
      <c r="N154" s="288" t="str">
        <f>IFERROR(__xludf.DUMMYFUNCTION("""COMPUTED_VALUE"""),"➖")</f>
        <v>➖</v>
      </c>
      <c r="O154" s="288" t="str">
        <f>IFERROR(__xludf.DUMMYFUNCTION("""COMPUTED_VALUE"""),"➖")</f>
        <v>➖</v>
      </c>
      <c r="P154" s="288" t="str">
        <f>IFERROR(__xludf.DUMMYFUNCTION("""COMPUTED_VALUE"""),"➖")</f>
        <v>➖</v>
      </c>
      <c r="Q154" s="288" t="str">
        <f>IFERROR(__xludf.DUMMYFUNCTION("""COMPUTED_VALUE"""),"➖")</f>
        <v>➖</v>
      </c>
      <c r="R154" s="311" t="str">
        <f>IFERROR(__xludf.DUMMYFUNCTION("""COMPUTED_VALUE"""),"   ➖")</f>
        <v>➖</v>
      </c>
      <c r="S154" s="312" t="str">
        <f>IFERROR(__xludf.DUMMYFUNCTION("""COMPUTED_VALUE"""),"➖")</f>
        <v>➖</v>
      </c>
      <c r="T154" s="288"/>
      <c r="U154" s="288" t="str">
        <f>IFERROR(__xludf.DUMMYFUNCTION("""COMPUTED_VALUE"""),"➖")</f>
        <v>➖</v>
      </c>
      <c r="V154" s="288" t="str">
        <f>IFERROR(__xludf.DUMMYFUNCTION("""COMPUTED_VALUE"""),"➖")</f>
        <v>➖</v>
      </c>
      <c r="W154" s="306"/>
      <c r="X154" s="306"/>
      <c r="Y154" s="306"/>
    </row>
    <row r="155">
      <c r="A155" s="227"/>
      <c r="B155" s="128"/>
      <c r="C155" s="227"/>
      <c r="D155" s="301" t="str">
        <f>IFERROR(__xludf.DUMMYFUNCTION("""COMPUTED_VALUE"""),"   E")</f>
        <v>E</v>
      </c>
      <c r="E155" s="313" t="str">
        <f>IFERROR(__xludf.DUMMYFUNCTION("""COMPUTED_VALUE"""),"Echo Papa 607")</f>
        <v>Echo Papa 607</v>
      </c>
      <c r="F155" s="303">
        <f>IFERROR(__xludf.DUMMYFUNCTION("""COMPUTED_VALUE"""),3.0)</f>
        <v>3</v>
      </c>
      <c r="G155" s="281" t="str">
        <f>IFERROR(__xludf.DUMMYFUNCTION("""COMPUTED_VALUE"""),"CT")</f>
        <v>CT</v>
      </c>
      <c r="H155" s="281" t="str">
        <f>IFERROR(__xludf.DUMMYFUNCTION("""COMPUTED_VALUE"""),"✅")</f>
        <v>✅</v>
      </c>
      <c r="I155" s="281" t="str">
        <f>IFERROR(__xludf.DUMMYFUNCTION("""COMPUTED_VALUE"""),"➖")</f>
        <v>➖</v>
      </c>
      <c r="J155" s="281" t="str">
        <f>IFERROR(__xludf.DUMMYFUNCTION("""COMPUTED_VALUE"""),"➖")</f>
        <v>➖</v>
      </c>
      <c r="K155" s="282" t="str">
        <f>IFERROR(__xludf.DUMMYFUNCTION("""COMPUTED_VALUE"""),"➖")</f>
        <v>➖</v>
      </c>
      <c r="L155" s="282" t="str">
        <f>IFERROR(__xludf.DUMMYFUNCTION("""COMPUTED_VALUE"""),"➖")</f>
        <v>➖</v>
      </c>
      <c r="M155" s="282" t="str">
        <f>IFERROR(__xludf.DUMMYFUNCTION("""COMPUTED_VALUE"""),"➖")</f>
        <v>➖</v>
      </c>
      <c r="N155" s="282" t="str">
        <f>IFERROR(__xludf.DUMMYFUNCTION("""COMPUTED_VALUE"""),"➖")</f>
        <v>➖</v>
      </c>
      <c r="O155" s="282" t="str">
        <f>IFERROR(__xludf.DUMMYFUNCTION("""COMPUTED_VALUE"""),"➖")</f>
        <v>➖</v>
      </c>
      <c r="P155" s="282" t="str">
        <f>IFERROR(__xludf.DUMMYFUNCTION("""COMPUTED_VALUE"""),"➖")</f>
        <v>➖</v>
      </c>
      <c r="Q155" s="282" t="str">
        <f>IFERROR(__xludf.DUMMYFUNCTION("""COMPUTED_VALUE"""),"➖")</f>
        <v>➖</v>
      </c>
      <c r="R155" s="304" t="str">
        <f>IFERROR(__xludf.DUMMYFUNCTION("""COMPUTED_VALUE"""),"   ➖")</f>
        <v>➖</v>
      </c>
      <c r="S155" s="305" t="str">
        <f>IFERROR(__xludf.DUMMYFUNCTION("""COMPUTED_VALUE"""),"➖")</f>
        <v>➖</v>
      </c>
      <c r="T155" s="282"/>
      <c r="U155" s="282" t="str">
        <f>IFERROR(__xludf.DUMMYFUNCTION("""COMPUTED_VALUE"""),"➖")</f>
        <v>➖</v>
      </c>
      <c r="V155" s="282" t="str">
        <f>IFERROR(__xludf.DUMMYFUNCTION("""COMPUTED_VALUE"""),"➖")</f>
        <v>➖</v>
      </c>
      <c r="W155" s="306"/>
      <c r="X155" s="306"/>
      <c r="Y155" s="306"/>
    </row>
    <row r="156">
      <c r="A156" s="227"/>
      <c r="B156" s="307"/>
      <c r="C156" s="227"/>
      <c r="D156" s="308" t="str">
        <f>IFERROR(__xludf.DUMMYFUNCTION("""COMPUTED_VALUE"""),"   R")</f>
        <v>R</v>
      </c>
      <c r="E156" s="309" t="str">
        <f>IFERROR(__xludf.DUMMYFUNCTION("""COMPUTED_VALUE"""),"Morphogenic Virus")</f>
        <v>Morphogenic Virus</v>
      </c>
      <c r="F156" s="310">
        <f>IFERROR(__xludf.DUMMYFUNCTION("""COMPUTED_VALUE"""),1.0)</f>
        <v>1</v>
      </c>
      <c r="G156" s="231" t="str">
        <f>IFERROR(__xludf.DUMMYFUNCTION("""COMPUTED_VALUE"""),"CT")</f>
        <v>CT</v>
      </c>
      <c r="H156" s="231" t="str">
        <f>IFERROR(__xludf.DUMMYFUNCTION("""COMPUTED_VALUE"""),"✅")</f>
        <v>✅</v>
      </c>
      <c r="I156" s="231" t="str">
        <f>IFERROR(__xludf.DUMMYFUNCTION("""COMPUTED_VALUE"""),"➖")</f>
        <v>➖</v>
      </c>
      <c r="J156" s="231" t="str">
        <f>IFERROR(__xludf.DUMMYFUNCTION("""COMPUTED_VALUE"""),"➖")</f>
        <v>➖</v>
      </c>
      <c r="K156" s="288" t="str">
        <f>IFERROR(__xludf.DUMMYFUNCTION("""COMPUTED_VALUE"""),"➖")</f>
        <v>➖</v>
      </c>
      <c r="L156" s="288" t="str">
        <f>IFERROR(__xludf.DUMMYFUNCTION("""COMPUTED_VALUE"""),"➖")</f>
        <v>➖</v>
      </c>
      <c r="M156" s="288" t="str">
        <f>IFERROR(__xludf.DUMMYFUNCTION("""COMPUTED_VALUE"""),"➖")</f>
        <v>➖</v>
      </c>
      <c r="N156" s="288" t="str">
        <f>IFERROR(__xludf.DUMMYFUNCTION("""COMPUTED_VALUE"""),"➖")</f>
        <v>➖</v>
      </c>
      <c r="O156" s="288" t="str">
        <f>IFERROR(__xludf.DUMMYFUNCTION("""COMPUTED_VALUE"""),"➖")</f>
        <v>➖</v>
      </c>
      <c r="P156" s="288" t="str">
        <f>IFERROR(__xludf.DUMMYFUNCTION("""COMPUTED_VALUE"""),"➖")</f>
        <v>➖</v>
      </c>
      <c r="Q156" s="288" t="str">
        <f>IFERROR(__xludf.DUMMYFUNCTION("""COMPUTED_VALUE"""),"➖")</f>
        <v>➖</v>
      </c>
      <c r="R156" s="311" t="str">
        <f>IFERROR(__xludf.DUMMYFUNCTION("""COMPUTED_VALUE"""),"   ➖")</f>
        <v>➖</v>
      </c>
      <c r="S156" s="312" t="str">
        <f>IFERROR(__xludf.DUMMYFUNCTION("""COMPUTED_VALUE"""),"➖")</f>
        <v>➖</v>
      </c>
      <c r="T156" s="288"/>
      <c r="U156" s="288" t="str">
        <f>IFERROR(__xludf.DUMMYFUNCTION("""COMPUTED_VALUE"""),"➖")</f>
        <v>➖</v>
      </c>
      <c r="V156" s="288" t="str">
        <f>IFERROR(__xludf.DUMMYFUNCTION("""COMPUTED_VALUE"""),"➖")</f>
        <v>➖</v>
      </c>
      <c r="W156" s="306"/>
      <c r="X156" s="306"/>
      <c r="Y156" s="306"/>
    </row>
    <row r="157">
      <c r="A157" s="227"/>
      <c r="B157" s="128"/>
      <c r="C157" s="227"/>
      <c r="D157" s="301" t="str">
        <f>IFERROR(__xludf.DUMMYFUNCTION("""COMPUTED_VALUE"""),"   R")</f>
        <v>R</v>
      </c>
      <c r="E157" s="313" t="str">
        <f>IFERROR(__xludf.DUMMYFUNCTION("""COMPUTED_VALUE"""),"Morphogenic Virus")</f>
        <v>Morphogenic Virus</v>
      </c>
      <c r="F157" s="303">
        <f>IFERROR(__xludf.DUMMYFUNCTION("""COMPUTED_VALUE"""),2.0)</f>
        <v>2</v>
      </c>
      <c r="G157" s="281" t="str">
        <f>IFERROR(__xludf.DUMMYFUNCTION("""COMPUTED_VALUE"""),"CT")</f>
        <v>CT</v>
      </c>
      <c r="H157" s="281" t="str">
        <f>IFERROR(__xludf.DUMMYFUNCTION("""COMPUTED_VALUE"""),"✴️")</f>
        <v>✴️</v>
      </c>
      <c r="I157" s="281" t="str">
        <f>IFERROR(__xludf.DUMMYFUNCTION("""COMPUTED_VALUE"""),"✴️")</f>
        <v>✴️</v>
      </c>
      <c r="J157" s="281" t="str">
        <f>IFERROR(__xludf.DUMMYFUNCTION("""COMPUTED_VALUE"""),"➖")</f>
        <v>➖</v>
      </c>
      <c r="K157" s="282" t="str">
        <f>IFERROR(__xludf.DUMMYFUNCTION("""COMPUTED_VALUE"""),"➖")</f>
        <v>➖</v>
      </c>
      <c r="L157" s="282" t="str">
        <f>IFERROR(__xludf.DUMMYFUNCTION("""COMPUTED_VALUE"""),"➖")</f>
        <v>➖</v>
      </c>
      <c r="M157" s="282" t="str">
        <f>IFERROR(__xludf.DUMMYFUNCTION("""COMPUTED_VALUE"""),"➖")</f>
        <v>➖</v>
      </c>
      <c r="N157" s="282" t="str">
        <f>IFERROR(__xludf.DUMMYFUNCTION("""COMPUTED_VALUE"""),"➖")</f>
        <v>➖</v>
      </c>
      <c r="O157" s="282" t="str">
        <f>IFERROR(__xludf.DUMMYFUNCTION("""COMPUTED_VALUE"""),"➖")</f>
        <v>➖</v>
      </c>
      <c r="P157" s="282" t="str">
        <f>IFERROR(__xludf.DUMMYFUNCTION("""COMPUTED_VALUE"""),"➖")</f>
        <v>➖</v>
      </c>
      <c r="Q157" s="282" t="str">
        <f>IFERROR(__xludf.DUMMYFUNCTION("""COMPUTED_VALUE"""),"➖")</f>
        <v>➖</v>
      </c>
      <c r="R157" s="304" t="str">
        <f>IFERROR(__xludf.DUMMYFUNCTION("""COMPUTED_VALUE"""),"   ➖")</f>
        <v>➖</v>
      </c>
      <c r="S157" s="305" t="str">
        <f>IFERROR(__xludf.DUMMYFUNCTION("""COMPUTED_VALUE"""),"➖")</f>
        <v>➖</v>
      </c>
      <c r="T157" s="282" t="str">
        <f>IFERROR(__xludf.DUMMYFUNCTION("""COMPUTED_VALUE"""),"SelfHullJunker")</f>
        <v>SelfHullJunker</v>
      </c>
      <c r="U157" s="282" t="str">
        <f>IFERROR(__xludf.DUMMYFUNCTION("""COMPUTED_VALUE"""),"➖")</f>
        <v>➖</v>
      </c>
      <c r="V157" s="282" t="str">
        <f>IFERROR(__xludf.DUMMYFUNCTION("""COMPUTED_VALUE"""),"➖")</f>
        <v>➖</v>
      </c>
      <c r="W157" s="306"/>
      <c r="X157" s="306"/>
      <c r="Y157" s="306"/>
    </row>
    <row r="158">
      <c r="A158" s="227"/>
      <c r="B158" s="307"/>
      <c r="C158" s="227"/>
      <c r="D158" s="308" t="str">
        <f>IFERROR(__xludf.DUMMYFUNCTION("""COMPUTED_VALUE"""),"   R")</f>
        <v>R</v>
      </c>
      <c r="E158" s="309" t="str">
        <f>IFERROR(__xludf.DUMMYFUNCTION("""COMPUTED_VALUE"""),"Morphogenic Virus")</f>
        <v>Morphogenic Virus</v>
      </c>
      <c r="F158" s="310">
        <f>IFERROR(__xludf.DUMMYFUNCTION("""COMPUTED_VALUE"""),3.0)</f>
        <v>3</v>
      </c>
      <c r="G158" s="231" t="str">
        <f>IFERROR(__xludf.DUMMYFUNCTION("""COMPUTED_VALUE"""),"CT")</f>
        <v>CT</v>
      </c>
      <c r="H158" s="231" t="str">
        <f>IFERROR(__xludf.DUMMYFUNCTION("""COMPUTED_VALUE"""),"➖")</f>
        <v>➖</v>
      </c>
      <c r="I158" s="231" t="str">
        <f>IFERROR(__xludf.DUMMYFUNCTION("""COMPUTED_VALUE"""),"➖")</f>
        <v>➖</v>
      </c>
      <c r="J158" s="231" t="str">
        <f>IFERROR(__xludf.DUMMYFUNCTION("""COMPUTED_VALUE"""),"➖")</f>
        <v>➖</v>
      </c>
      <c r="K158" s="288" t="str">
        <f>IFERROR(__xludf.DUMMYFUNCTION("""COMPUTED_VALUE"""),"➖")</f>
        <v>➖</v>
      </c>
      <c r="L158" s="288" t="str">
        <f>IFERROR(__xludf.DUMMYFUNCTION("""COMPUTED_VALUE"""),"➖")</f>
        <v>➖</v>
      </c>
      <c r="M158" s="288" t="str">
        <f>IFERROR(__xludf.DUMMYFUNCTION("""COMPUTED_VALUE"""),"➖")</f>
        <v>➖</v>
      </c>
      <c r="N158" s="288" t="str">
        <f>IFERROR(__xludf.DUMMYFUNCTION("""COMPUTED_VALUE"""),"➖")</f>
        <v>➖</v>
      </c>
      <c r="O158" s="288" t="str">
        <f>IFERROR(__xludf.DUMMYFUNCTION("""COMPUTED_VALUE"""),"➖")</f>
        <v>➖</v>
      </c>
      <c r="P158" s="288" t="str">
        <f>IFERROR(__xludf.DUMMYFUNCTION("""COMPUTED_VALUE"""),"➖")</f>
        <v>➖</v>
      </c>
      <c r="Q158" s="288" t="str">
        <f>IFERROR(__xludf.DUMMYFUNCTION("""COMPUTED_VALUE"""),"➖")</f>
        <v>➖</v>
      </c>
      <c r="R158" s="311" t="str">
        <f>IFERROR(__xludf.DUMMYFUNCTION("""COMPUTED_VALUE"""),"   ➖")</f>
        <v>➖</v>
      </c>
      <c r="S158" s="312" t="str">
        <f>IFERROR(__xludf.DUMMYFUNCTION("""COMPUTED_VALUE"""),"➖")</f>
        <v>➖</v>
      </c>
      <c r="T158" s="288"/>
      <c r="U158" s="288" t="str">
        <f>IFERROR(__xludf.DUMMYFUNCTION("""COMPUTED_VALUE"""),"➖")</f>
        <v>➖</v>
      </c>
      <c r="V158" s="288" t="str">
        <f>IFERROR(__xludf.DUMMYFUNCTION("""COMPUTED_VALUE"""),"➖")</f>
        <v>➖</v>
      </c>
      <c r="W158" s="306"/>
      <c r="X158" s="306"/>
      <c r="Y158" s="306"/>
    </row>
    <row r="159">
      <c r="A159" s="227"/>
      <c r="B159" s="128"/>
      <c r="C159" s="227"/>
      <c r="D159" s="301" t="str">
        <f>IFERROR(__xludf.DUMMYFUNCTION("""COMPUTED_VALUE"""),"   R")</f>
        <v>R</v>
      </c>
      <c r="E159" s="313" t="str">
        <f>IFERROR(__xludf.DUMMYFUNCTION("""COMPUTED_VALUE"""),"Genesis Device")</f>
        <v>Genesis Device</v>
      </c>
      <c r="F159" s="303">
        <f>IFERROR(__xludf.DUMMYFUNCTION("""COMPUTED_VALUE"""),1.0)</f>
        <v>1</v>
      </c>
      <c r="G159" s="281" t="str">
        <f>IFERROR(__xludf.DUMMYFUNCTION("""COMPUTED_VALUE"""),"CT")</f>
        <v>CT</v>
      </c>
      <c r="H159" s="281" t="str">
        <f>IFERROR(__xludf.DUMMYFUNCTION("""COMPUTED_VALUE"""),"➖")</f>
        <v>➖</v>
      </c>
      <c r="I159" s="281" t="str">
        <f>IFERROR(__xludf.DUMMYFUNCTION("""COMPUTED_VALUE"""),"➖")</f>
        <v>➖</v>
      </c>
      <c r="J159" s="281" t="str">
        <f>IFERROR(__xludf.DUMMYFUNCTION("""COMPUTED_VALUE"""),"➖")</f>
        <v>➖</v>
      </c>
      <c r="K159" s="282" t="str">
        <f>IFERROR(__xludf.DUMMYFUNCTION("""COMPUTED_VALUE"""),"➖")</f>
        <v>➖</v>
      </c>
      <c r="L159" s="282" t="str">
        <f>IFERROR(__xludf.DUMMYFUNCTION("""COMPUTED_VALUE"""),"➖")</f>
        <v>➖</v>
      </c>
      <c r="M159" s="282" t="str">
        <f>IFERROR(__xludf.DUMMYFUNCTION("""COMPUTED_VALUE"""),"➖")</f>
        <v>➖</v>
      </c>
      <c r="N159" s="282" t="str">
        <f>IFERROR(__xludf.DUMMYFUNCTION("""COMPUTED_VALUE"""),"➖")</f>
        <v>➖</v>
      </c>
      <c r="O159" s="282" t="str">
        <f>IFERROR(__xludf.DUMMYFUNCTION("""COMPUTED_VALUE"""),"➖")</f>
        <v>➖</v>
      </c>
      <c r="P159" s="282" t="str">
        <f>IFERROR(__xludf.DUMMYFUNCTION("""COMPUTED_VALUE"""),"➖")</f>
        <v>➖</v>
      </c>
      <c r="Q159" s="282" t="str">
        <f>IFERROR(__xludf.DUMMYFUNCTION("""COMPUTED_VALUE"""),"➖")</f>
        <v>➖</v>
      </c>
      <c r="R159" s="304" t="str">
        <f>IFERROR(__xludf.DUMMYFUNCTION("""COMPUTED_VALUE"""),"   ➖")</f>
        <v>➖</v>
      </c>
      <c r="S159" s="305" t="str">
        <f>IFERROR(__xludf.DUMMYFUNCTION("""COMPUTED_VALUE"""),"➖")</f>
        <v>➖</v>
      </c>
      <c r="T159" s="282"/>
      <c r="U159" s="282" t="str">
        <f>IFERROR(__xludf.DUMMYFUNCTION("""COMPUTED_VALUE"""),"➖")</f>
        <v>➖</v>
      </c>
      <c r="V159" s="282" t="str">
        <f>IFERROR(__xludf.DUMMYFUNCTION("""COMPUTED_VALUE"""),"➖")</f>
        <v>➖</v>
      </c>
      <c r="W159" s="306"/>
      <c r="X159" s="306"/>
      <c r="Y159" s="306"/>
    </row>
    <row r="160">
      <c r="A160" s="227"/>
      <c r="B160" s="307"/>
      <c r="C160" s="227"/>
      <c r="D160" s="308" t="str">
        <f>IFERROR(__xludf.DUMMYFUNCTION("""COMPUTED_VALUE"""),"   R")</f>
        <v>R</v>
      </c>
      <c r="E160" s="309" t="str">
        <f>IFERROR(__xludf.DUMMYFUNCTION("""COMPUTED_VALUE"""),"Genesis Device")</f>
        <v>Genesis Device</v>
      </c>
      <c r="F160" s="310">
        <f>IFERROR(__xludf.DUMMYFUNCTION("""COMPUTED_VALUE"""),2.0)</f>
        <v>2</v>
      </c>
      <c r="G160" s="231" t="str">
        <f>IFERROR(__xludf.DUMMYFUNCTION("""COMPUTED_VALUE"""),"CT")</f>
        <v>CT</v>
      </c>
      <c r="H160" s="231" t="str">
        <f>IFERROR(__xludf.DUMMYFUNCTION("""COMPUTED_VALUE"""),"➖")</f>
        <v>➖</v>
      </c>
      <c r="I160" s="231" t="str">
        <f>IFERROR(__xludf.DUMMYFUNCTION("""COMPUTED_VALUE"""),"➖")</f>
        <v>➖</v>
      </c>
      <c r="J160" s="231" t="str">
        <f>IFERROR(__xludf.DUMMYFUNCTION("""COMPUTED_VALUE"""),"➖")</f>
        <v>➖</v>
      </c>
      <c r="K160" s="288" t="str">
        <f>IFERROR(__xludf.DUMMYFUNCTION("""COMPUTED_VALUE"""),"➖")</f>
        <v>➖</v>
      </c>
      <c r="L160" s="288" t="str">
        <f>IFERROR(__xludf.DUMMYFUNCTION("""COMPUTED_VALUE"""),"➖")</f>
        <v>➖</v>
      </c>
      <c r="M160" s="288" t="str">
        <f>IFERROR(__xludf.DUMMYFUNCTION("""COMPUTED_VALUE"""),"➖")</f>
        <v>➖</v>
      </c>
      <c r="N160" s="288" t="str">
        <f>IFERROR(__xludf.DUMMYFUNCTION("""COMPUTED_VALUE"""),"➖")</f>
        <v>➖</v>
      </c>
      <c r="O160" s="288" t="str">
        <f>IFERROR(__xludf.DUMMYFUNCTION("""COMPUTED_VALUE"""),"➖")</f>
        <v>➖</v>
      </c>
      <c r="P160" s="288" t="str">
        <f>IFERROR(__xludf.DUMMYFUNCTION("""COMPUTED_VALUE"""),"➖")</f>
        <v>➖</v>
      </c>
      <c r="Q160" s="288" t="str">
        <f>IFERROR(__xludf.DUMMYFUNCTION("""COMPUTED_VALUE"""),"➖")</f>
        <v>➖</v>
      </c>
      <c r="R160" s="311" t="str">
        <f>IFERROR(__xludf.DUMMYFUNCTION("""COMPUTED_VALUE"""),"   ➖")</f>
        <v>➖</v>
      </c>
      <c r="S160" s="312" t="str">
        <f>IFERROR(__xludf.DUMMYFUNCTION("""COMPUTED_VALUE"""),"➖")</f>
        <v>➖</v>
      </c>
      <c r="T160" s="288"/>
      <c r="U160" s="288" t="str">
        <f>IFERROR(__xludf.DUMMYFUNCTION("""COMPUTED_VALUE"""),"➖")</f>
        <v>➖</v>
      </c>
      <c r="V160" s="288" t="str">
        <f>IFERROR(__xludf.DUMMYFUNCTION("""COMPUTED_VALUE"""),"➖")</f>
        <v>➖</v>
      </c>
      <c r="W160" s="306"/>
      <c r="X160" s="306"/>
      <c r="Y160" s="306"/>
    </row>
    <row r="161">
      <c r="A161" s="227"/>
      <c r="B161" s="128"/>
      <c r="C161" s="227"/>
      <c r="D161" s="301" t="str">
        <f>IFERROR(__xludf.DUMMYFUNCTION("""COMPUTED_VALUE"""),"   R")</f>
        <v>R</v>
      </c>
      <c r="E161" s="313" t="str">
        <f>IFERROR(__xludf.DUMMYFUNCTION("""COMPUTED_VALUE"""),"Genesis Device")</f>
        <v>Genesis Device</v>
      </c>
      <c r="F161" s="303">
        <f>IFERROR(__xludf.DUMMYFUNCTION("""COMPUTED_VALUE"""),3.0)</f>
        <v>3</v>
      </c>
      <c r="G161" s="281" t="str">
        <f>IFERROR(__xludf.DUMMYFUNCTION("""COMPUTED_VALUE"""),"CT")</f>
        <v>CT</v>
      </c>
      <c r="H161" s="281" t="str">
        <f>IFERROR(__xludf.DUMMYFUNCTION("""COMPUTED_VALUE"""),"✅")</f>
        <v>✅</v>
      </c>
      <c r="I161" s="281" t="str">
        <f>IFERROR(__xludf.DUMMYFUNCTION("""COMPUTED_VALUE"""),"✅")</f>
        <v>✅</v>
      </c>
      <c r="J161" s="281" t="str">
        <f>IFERROR(__xludf.DUMMYFUNCTION("""COMPUTED_VALUE"""),"✅")</f>
        <v>✅</v>
      </c>
      <c r="K161" s="282" t="str">
        <f>IFERROR(__xludf.DUMMYFUNCTION("""COMPUTED_VALUE"""),"✅")</f>
        <v>✅</v>
      </c>
      <c r="L161" s="282" t="str">
        <f>IFERROR(__xludf.DUMMYFUNCTION("""COMPUTED_VALUE"""),"✅")</f>
        <v>✅</v>
      </c>
      <c r="M161" s="282" t="str">
        <f>IFERROR(__xludf.DUMMYFUNCTION("""COMPUTED_VALUE"""),"✅")</f>
        <v>✅</v>
      </c>
      <c r="N161" s="282" t="str">
        <f>IFERROR(__xludf.DUMMYFUNCTION("""COMPUTED_VALUE"""),"✅")</f>
        <v>✅</v>
      </c>
      <c r="O161" s="282" t="str">
        <f>IFERROR(__xludf.DUMMYFUNCTION("""COMPUTED_VALUE"""),"✅")</f>
        <v>✅</v>
      </c>
      <c r="P161" s="282" t="str">
        <f>IFERROR(__xludf.DUMMYFUNCTION("""COMPUTED_VALUE"""),"✅")</f>
        <v>✅</v>
      </c>
      <c r="Q161" s="282" t="str">
        <f>IFERROR(__xludf.DUMMYFUNCTION("""COMPUTED_VALUE"""),"✅")</f>
        <v>✅</v>
      </c>
      <c r="R161" s="304" t="str">
        <f>IFERROR(__xludf.DUMMYFUNCTION("""COMPUTED_VALUE"""),"   ✅")</f>
        <v>✅</v>
      </c>
      <c r="S161" s="305" t="str">
        <f>IFERROR(__xludf.DUMMYFUNCTION("""COMPUTED_VALUE"""),"✅")</f>
        <v>✅</v>
      </c>
      <c r="T161" s="282"/>
      <c r="U161" s="282" t="str">
        <f>IFERROR(__xludf.DUMMYFUNCTION("""COMPUTED_VALUE"""),"➖")</f>
        <v>➖</v>
      </c>
      <c r="V161" s="282" t="str">
        <f>IFERROR(__xludf.DUMMYFUNCTION("""COMPUTED_VALUE"""),"➖")</f>
        <v>➖</v>
      </c>
      <c r="W161" s="306"/>
      <c r="X161" s="306"/>
      <c r="Y161" s="306"/>
    </row>
    <row r="162">
      <c r="A162" s="227"/>
      <c r="B162" s="307"/>
      <c r="C162" s="227"/>
      <c r="D162" s="308" t="str">
        <f>IFERROR(__xludf.DUMMYFUNCTION("""COMPUTED_VALUE"""),"   E")</f>
        <v>E</v>
      </c>
      <c r="E162" s="309" t="str">
        <f>IFERROR(__xludf.DUMMYFUNCTION("""COMPUTED_VALUE"""),"C-12 Stasis Globe")</f>
        <v>C-12 Stasis Globe</v>
      </c>
      <c r="F162" s="310">
        <f>IFERROR(__xludf.DUMMYFUNCTION("""COMPUTED_VALUE"""),1.0)</f>
        <v>1</v>
      </c>
      <c r="G162" s="231" t="str">
        <f>IFERROR(__xludf.DUMMYFUNCTION("""COMPUTED_VALUE"""),"CT")</f>
        <v>CT</v>
      </c>
      <c r="H162" s="231" t="str">
        <f>IFERROR(__xludf.DUMMYFUNCTION("""COMPUTED_VALUE"""),"➖")</f>
        <v>➖</v>
      </c>
      <c r="I162" s="231" t="str">
        <f>IFERROR(__xludf.DUMMYFUNCTION("""COMPUTED_VALUE"""),"➖")</f>
        <v>➖</v>
      </c>
      <c r="J162" s="231" t="str">
        <f>IFERROR(__xludf.DUMMYFUNCTION("""COMPUTED_VALUE"""),"➖")</f>
        <v>➖</v>
      </c>
      <c r="K162" s="288" t="str">
        <f>IFERROR(__xludf.DUMMYFUNCTION("""COMPUTED_VALUE"""),"➖")</f>
        <v>➖</v>
      </c>
      <c r="L162" s="288" t="str">
        <f>IFERROR(__xludf.DUMMYFUNCTION("""COMPUTED_VALUE"""),"➖")</f>
        <v>➖</v>
      </c>
      <c r="M162" s="288" t="str">
        <f>IFERROR(__xludf.DUMMYFUNCTION("""COMPUTED_VALUE"""),"➖")</f>
        <v>➖</v>
      </c>
      <c r="N162" s="288" t="str">
        <f>IFERROR(__xludf.DUMMYFUNCTION("""COMPUTED_VALUE"""),"➖")</f>
        <v>➖</v>
      </c>
      <c r="O162" s="288" t="str">
        <f>IFERROR(__xludf.DUMMYFUNCTION("""COMPUTED_VALUE"""),"➖")</f>
        <v>➖</v>
      </c>
      <c r="P162" s="288" t="str">
        <f>IFERROR(__xludf.DUMMYFUNCTION("""COMPUTED_VALUE"""),"➖")</f>
        <v>➖</v>
      </c>
      <c r="Q162" s="288" t="str">
        <f>IFERROR(__xludf.DUMMYFUNCTION("""COMPUTED_VALUE"""),"➖")</f>
        <v>➖</v>
      </c>
      <c r="R162" s="311" t="str">
        <f>IFERROR(__xludf.DUMMYFUNCTION("""COMPUTED_VALUE"""),"   ➖")</f>
        <v>➖</v>
      </c>
      <c r="S162" s="312" t="str">
        <f>IFERROR(__xludf.DUMMYFUNCTION("""COMPUTED_VALUE"""),"➖")</f>
        <v>➖</v>
      </c>
      <c r="T162" s="288"/>
      <c r="U162" s="288" t="str">
        <f>IFERROR(__xludf.DUMMYFUNCTION("""COMPUTED_VALUE"""),"➖")</f>
        <v>➖</v>
      </c>
      <c r="V162" s="288" t="str">
        <f>IFERROR(__xludf.DUMMYFUNCTION("""COMPUTED_VALUE"""),"✅")</f>
        <v>✅</v>
      </c>
      <c r="W162" s="306"/>
      <c r="X162" s="306"/>
      <c r="Y162" s="306"/>
    </row>
    <row r="163">
      <c r="A163" s="227"/>
      <c r="B163" s="128"/>
      <c r="C163" s="227"/>
      <c r="D163" s="301" t="str">
        <f>IFERROR(__xludf.DUMMYFUNCTION("""COMPUTED_VALUE"""),"   E")</f>
        <v>E</v>
      </c>
      <c r="E163" s="313" t="str">
        <f>IFERROR(__xludf.DUMMYFUNCTION("""COMPUTED_VALUE"""),"C-12 Stasis Globe")</f>
        <v>C-12 Stasis Globe</v>
      </c>
      <c r="F163" s="303">
        <f>IFERROR(__xludf.DUMMYFUNCTION("""COMPUTED_VALUE"""),2.0)</f>
        <v>2</v>
      </c>
      <c r="G163" s="281" t="str">
        <f>IFERROR(__xludf.DUMMYFUNCTION("""COMPUTED_VALUE"""),"CT")</f>
        <v>CT</v>
      </c>
      <c r="H163" s="281" t="str">
        <f>IFERROR(__xludf.DUMMYFUNCTION("""COMPUTED_VALUE"""),"➖")</f>
        <v>➖</v>
      </c>
      <c r="I163" s="281" t="str">
        <f>IFERROR(__xludf.DUMMYFUNCTION("""COMPUTED_VALUE"""),"➖")</f>
        <v>➖</v>
      </c>
      <c r="J163" s="281" t="str">
        <f>IFERROR(__xludf.DUMMYFUNCTION("""COMPUTED_VALUE"""),"➖")</f>
        <v>➖</v>
      </c>
      <c r="K163" s="282" t="str">
        <f>IFERROR(__xludf.DUMMYFUNCTION("""COMPUTED_VALUE"""),"➖")</f>
        <v>➖</v>
      </c>
      <c r="L163" s="282" t="str">
        <f>IFERROR(__xludf.DUMMYFUNCTION("""COMPUTED_VALUE"""),"➖")</f>
        <v>➖</v>
      </c>
      <c r="M163" s="282" t="str">
        <f>IFERROR(__xludf.DUMMYFUNCTION("""COMPUTED_VALUE"""),"➖")</f>
        <v>➖</v>
      </c>
      <c r="N163" s="282" t="str">
        <f>IFERROR(__xludf.DUMMYFUNCTION("""COMPUTED_VALUE"""),"➖")</f>
        <v>➖</v>
      </c>
      <c r="O163" s="282" t="str">
        <f>IFERROR(__xludf.DUMMYFUNCTION("""COMPUTED_VALUE"""),"➖")</f>
        <v>➖</v>
      </c>
      <c r="P163" s="282" t="str">
        <f>IFERROR(__xludf.DUMMYFUNCTION("""COMPUTED_VALUE"""),"➖")</f>
        <v>➖</v>
      </c>
      <c r="Q163" s="282" t="str">
        <f>IFERROR(__xludf.DUMMYFUNCTION("""COMPUTED_VALUE"""),"➖")</f>
        <v>➖</v>
      </c>
      <c r="R163" s="304" t="str">
        <f>IFERROR(__xludf.DUMMYFUNCTION("""COMPUTED_VALUE"""),"   ➖")</f>
        <v>➖</v>
      </c>
      <c r="S163" s="305" t="str">
        <f>IFERROR(__xludf.DUMMYFUNCTION("""COMPUTED_VALUE"""),"➖")</f>
        <v>➖</v>
      </c>
      <c r="T163" s="282"/>
      <c r="U163" s="282" t="str">
        <f>IFERROR(__xludf.DUMMYFUNCTION("""COMPUTED_VALUE"""),"➖")</f>
        <v>➖</v>
      </c>
      <c r="V163" s="282" t="str">
        <f>IFERROR(__xludf.DUMMYFUNCTION("""COMPUTED_VALUE"""),"✅")</f>
        <v>✅</v>
      </c>
      <c r="W163" s="306"/>
      <c r="X163" s="306"/>
      <c r="Y163" s="306"/>
    </row>
    <row r="164">
      <c r="A164" s="227"/>
      <c r="B164" s="307"/>
      <c r="C164" s="227"/>
      <c r="D164" s="308" t="str">
        <f>IFERROR(__xludf.DUMMYFUNCTION("""COMPUTED_VALUE"""),"   E")</f>
        <v>E</v>
      </c>
      <c r="E164" s="309" t="str">
        <f>IFERROR(__xludf.DUMMYFUNCTION("""COMPUTED_VALUE"""),"C-12 Stasis Globe")</f>
        <v>C-12 Stasis Globe</v>
      </c>
      <c r="F164" s="310">
        <f>IFERROR(__xludf.DUMMYFUNCTION("""COMPUTED_VALUE"""),3.0)</f>
        <v>3</v>
      </c>
      <c r="G164" s="231" t="str">
        <f>IFERROR(__xludf.DUMMYFUNCTION("""COMPUTED_VALUE"""),"CT")</f>
        <v>CT</v>
      </c>
      <c r="H164" s="231" t="str">
        <f>IFERROR(__xludf.DUMMYFUNCTION("""COMPUTED_VALUE"""),"✅")</f>
        <v>✅</v>
      </c>
      <c r="I164" s="231" t="str">
        <f>IFERROR(__xludf.DUMMYFUNCTION("""COMPUTED_VALUE"""),"✅")</f>
        <v>✅</v>
      </c>
      <c r="J164" s="231" t="str">
        <f>IFERROR(__xludf.DUMMYFUNCTION("""COMPUTED_VALUE"""),"✅")</f>
        <v>✅</v>
      </c>
      <c r="K164" s="288" t="str">
        <f>IFERROR(__xludf.DUMMYFUNCTION("""COMPUTED_VALUE"""),"✅")</f>
        <v>✅</v>
      </c>
      <c r="L164" s="288" t="str">
        <f>IFERROR(__xludf.DUMMYFUNCTION("""COMPUTED_VALUE"""),"✅")</f>
        <v>✅</v>
      </c>
      <c r="M164" s="288" t="str">
        <f>IFERROR(__xludf.DUMMYFUNCTION("""COMPUTED_VALUE"""),"✅")</f>
        <v>✅</v>
      </c>
      <c r="N164" s="288" t="str">
        <f>IFERROR(__xludf.DUMMYFUNCTION("""COMPUTED_VALUE"""),"✅")</f>
        <v>✅</v>
      </c>
      <c r="O164" s="288" t="str">
        <f>IFERROR(__xludf.DUMMYFUNCTION("""COMPUTED_VALUE"""),"✅")</f>
        <v>✅</v>
      </c>
      <c r="P164" s="288" t="str">
        <f>IFERROR(__xludf.DUMMYFUNCTION("""COMPUTED_VALUE"""),"✅")</f>
        <v>✅</v>
      </c>
      <c r="Q164" s="288" t="str">
        <f>IFERROR(__xludf.DUMMYFUNCTION("""COMPUTED_VALUE"""),"✅")</f>
        <v>✅</v>
      </c>
      <c r="R164" s="311" t="str">
        <f>IFERROR(__xludf.DUMMYFUNCTION("""COMPUTED_VALUE"""),"   ✅")</f>
        <v>✅</v>
      </c>
      <c r="S164" s="312" t="str">
        <f>IFERROR(__xludf.DUMMYFUNCTION("""COMPUTED_VALUE"""),"✅")</f>
        <v>✅</v>
      </c>
      <c r="T164" s="288"/>
      <c r="U164" s="288" t="str">
        <f>IFERROR(__xludf.DUMMYFUNCTION("""COMPUTED_VALUE"""),"➖")</f>
        <v>➖</v>
      </c>
      <c r="V164" s="288" t="str">
        <f>IFERROR(__xludf.DUMMYFUNCTION("""COMPUTED_VALUE"""),"➖")</f>
        <v>➖</v>
      </c>
      <c r="W164" s="306"/>
      <c r="X164" s="306"/>
      <c r="Y164" s="306"/>
    </row>
    <row r="165">
      <c r="A165" s="227"/>
      <c r="B165" s="128"/>
      <c r="C165" s="227"/>
      <c r="D165" s="301" t="str">
        <f>IFERROR(__xludf.DUMMYFUNCTION("""COMPUTED_VALUE"""),"   R")</f>
        <v>R</v>
      </c>
      <c r="E165" s="313" t="str">
        <f>IFERROR(__xludf.DUMMYFUNCTION("""COMPUTED_VALUE"""),"Omega Molecule")</f>
        <v>Omega Molecule</v>
      </c>
      <c r="F165" s="303">
        <f>IFERROR(__xludf.DUMMYFUNCTION("""COMPUTED_VALUE"""),1.0)</f>
        <v>1</v>
      </c>
      <c r="G165" s="281" t="str">
        <f>IFERROR(__xludf.DUMMYFUNCTION("""COMPUTED_VALUE"""),"CT")</f>
        <v>CT</v>
      </c>
      <c r="H165" s="281" t="str">
        <f>IFERROR(__xludf.DUMMYFUNCTION("""COMPUTED_VALUE"""),"➖")</f>
        <v>➖</v>
      </c>
      <c r="I165" s="281" t="str">
        <f>IFERROR(__xludf.DUMMYFUNCTION("""COMPUTED_VALUE"""),"➖")</f>
        <v>➖</v>
      </c>
      <c r="J165" s="281" t="str">
        <f>IFERROR(__xludf.DUMMYFUNCTION("""COMPUTED_VALUE"""),"➖")</f>
        <v>➖</v>
      </c>
      <c r="K165" s="282" t="str">
        <f>IFERROR(__xludf.DUMMYFUNCTION("""COMPUTED_VALUE"""),"➖")</f>
        <v>➖</v>
      </c>
      <c r="L165" s="282" t="str">
        <f>IFERROR(__xludf.DUMMYFUNCTION("""COMPUTED_VALUE"""),"➖")</f>
        <v>➖</v>
      </c>
      <c r="M165" s="282" t="str">
        <f>IFERROR(__xludf.DUMMYFUNCTION("""COMPUTED_VALUE"""),"➖")</f>
        <v>➖</v>
      </c>
      <c r="N165" s="282" t="str">
        <f>IFERROR(__xludf.DUMMYFUNCTION("""COMPUTED_VALUE"""),"✴️")</f>
        <v>✴️</v>
      </c>
      <c r="O165" s="282" t="str">
        <f>IFERROR(__xludf.DUMMYFUNCTION("""COMPUTED_VALUE"""),"➖")</f>
        <v>➖</v>
      </c>
      <c r="P165" s="282" t="str">
        <f>IFERROR(__xludf.DUMMYFUNCTION("""COMPUTED_VALUE"""),"➖")</f>
        <v>➖</v>
      </c>
      <c r="Q165" s="282" t="str">
        <f>IFERROR(__xludf.DUMMYFUNCTION("""COMPUTED_VALUE"""),"➖")</f>
        <v>➖</v>
      </c>
      <c r="R165" s="304" t="str">
        <f>IFERROR(__xludf.DUMMYFUNCTION("""COMPUTED_VALUE"""),"   ➖")</f>
        <v>➖</v>
      </c>
      <c r="S165" s="305" t="str">
        <f>IFERROR(__xludf.DUMMYFUNCTION("""COMPUTED_VALUE"""),"➖")</f>
        <v>➖</v>
      </c>
      <c r="T165" s="282" t="str">
        <f>IFERROR(__xludf.DUMMYFUNCTION("""COMPUTED_VALUE"""),"TemporalWreckageLoot")</f>
        <v>TemporalWreckageLoot</v>
      </c>
      <c r="U165" s="282" t="str">
        <f>IFERROR(__xludf.DUMMYFUNCTION("""COMPUTED_VALUE"""),"✅")</f>
        <v>✅</v>
      </c>
      <c r="V165" s="282" t="str">
        <f>IFERROR(__xludf.DUMMYFUNCTION("""COMPUTED_VALUE"""),"➖")</f>
        <v>➖</v>
      </c>
      <c r="W165" s="306"/>
      <c r="X165" s="306"/>
      <c r="Y165" s="306"/>
    </row>
    <row r="166">
      <c r="A166" s="227"/>
      <c r="B166" s="307"/>
      <c r="C166" s="227"/>
      <c r="D166" s="308" t="str">
        <f>IFERROR(__xludf.DUMMYFUNCTION("""COMPUTED_VALUE"""),"   R")</f>
        <v>R</v>
      </c>
      <c r="E166" s="309" t="str">
        <f>IFERROR(__xludf.DUMMYFUNCTION("""COMPUTED_VALUE"""),"Omega Molecule")</f>
        <v>Omega Molecule</v>
      </c>
      <c r="F166" s="310">
        <f>IFERROR(__xludf.DUMMYFUNCTION("""COMPUTED_VALUE"""),2.0)</f>
        <v>2</v>
      </c>
      <c r="G166" s="231" t="str">
        <f>IFERROR(__xludf.DUMMYFUNCTION("""COMPUTED_VALUE"""),"CT")</f>
        <v>CT</v>
      </c>
      <c r="H166" s="231" t="str">
        <f>IFERROR(__xludf.DUMMYFUNCTION("""COMPUTED_VALUE"""),"➖")</f>
        <v>➖</v>
      </c>
      <c r="I166" s="231" t="str">
        <f>IFERROR(__xludf.DUMMYFUNCTION("""COMPUTED_VALUE"""),"➖")</f>
        <v>➖</v>
      </c>
      <c r="J166" s="231" t="str">
        <f>IFERROR(__xludf.DUMMYFUNCTION("""COMPUTED_VALUE"""),"➖")</f>
        <v>➖</v>
      </c>
      <c r="K166" s="288" t="str">
        <f>IFERROR(__xludf.DUMMYFUNCTION("""COMPUTED_VALUE"""),"➖")</f>
        <v>➖</v>
      </c>
      <c r="L166" s="288" t="str">
        <f>IFERROR(__xludf.DUMMYFUNCTION("""COMPUTED_VALUE"""),"➖")</f>
        <v>➖</v>
      </c>
      <c r="M166" s="288" t="str">
        <f>IFERROR(__xludf.DUMMYFUNCTION("""COMPUTED_VALUE"""),"➖")</f>
        <v>➖</v>
      </c>
      <c r="N166" s="288" t="str">
        <f>IFERROR(__xludf.DUMMYFUNCTION("""COMPUTED_VALUE"""),"➖")</f>
        <v>➖</v>
      </c>
      <c r="O166" s="288" t="str">
        <f>IFERROR(__xludf.DUMMYFUNCTION("""COMPUTED_VALUE"""),"➖")</f>
        <v>➖</v>
      </c>
      <c r="P166" s="288" t="str">
        <f>IFERROR(__xludf.DUMMYFUNCTION("""COMPUTED_VALUE"""),"➖")</f>
        <v>➖</v>
      </c>
      <c r="Q166" s="288" t="str">
        <f>IFERROR(__xludf.DUMMYFUNCTION("""COMPUTED_VALUE"""),"➖")</f>
        <v>➖</v>
      </c>
      <c r="R166" s="311" t="str">
        <f>IFERROR(__xludf.DUMMYFUNCTION("""COMPUTED_VALUE"""),"   ➖")</f>
        <v>➖</v>
      </c>
      <c r="S166" s="312" t="str">
        <f>IFERROR(__xludf.DUMMYFUNCTION("""COMPUTED_VALUE"""),"➖")</f>
        <v>➖</v>
      </c>
      <c r="T166" s="288"/>
      <c r="U166" s="288" t="str">
        <f>IFERROR(__xludf.DUMMYFUNCTION("""COMPUTED_VALUE"""),"➖")</f>
        <v>➖</v>
      </c>
      <c r="V166" s="288" t="str">
        <f>IFERROR(__xludf.DUMMYFUNCTION("""COMPUTED_VALUE"""),"➖")</f>
        <v>➖</v>
      </c>
      <c r="W166" s="306"/>
      <c r="X166" s="306"/>
      <c r="Y166" s="306"/>
    </row>
    <row r="167">
      <c r="A167" s="227"/>
      <c r="B167" s="128"/>
      <c r="C167" s="227"/>
      <c r="D167" s="301" t="str">
        <f>IFERROR(__xludf.DUMMYFUNCTION("""COMPUTED_VALUE"""),"   R")</f>
        <v>R</v>
      </c>
      <c r="E167" s="313" t="str">
        <f>IFERROR(__xludf.DUMMYFUNCTION("""COMPUTED_VALUE"""),"Omega Molecule")</f>
        <v>Omega Molecule</v>
      </c>
      <c r="F167" s="303">
        <f>IFERROR(__xludf.DUMMYFUNCTION("""COMPUTED_VALUE"""),3.0)</f>
        <v>3</v>
      </c>
      <c r="G167" s="281" t="str">
        <f>IFERROR(__xludf.DUMMYFUNCTION("""COMPUTED_VALUE"""),"CT")</f>
        <v>CT</v>
      </c>
      <c r="H167" s="281" t="str">
        <f>IFERROR(__xludf.DUMMYFUNCTION("""COMPUTED_VALUE"""),"✅")</f>
        <v>✅</v>
      </c>
      <c r="I167" s="281" t="str">
        <f>IFERROR(__xludf.DUMMYFUNCTION("""COMPUTED_VALUE"""),"✅")</f>
        <v>✅</v>
      </c>
      <c r="J167" s="281" t="str">
        <f>IFERROR(__xludf.DUMMYFUNCTION("""COMPUTED_VALUE"""),"✅")</f>
        <v>✅</v>
      </c>
      <c r="K167" s="282" t="str">
        <f>IFERROR(__xludf.DUMMYFUNCTION("""COMPUTED_VALUE"""),"✅")</f>
        <v>✅</v>
      </c>
      <c r="L167" s="282" t="str">
        <f>IFERROR(__xludf.DUMMYFUNCTION("""COMPUTED_VALUE"""),"✅")</f>
        <v>✅</v>
      </c>
      <c r="M167" s="282" t="str">
        <f>IFERROR(__xludf.DUMMYFUNCTION("""COMPUTED_VALUE"""),"✅")</f>
        <v>✅</v>
      </c>
      <c r="N167" s="282" t="str">
        <f>IFERROR(__xludf.DUMMYFUNCTION("""COMPUTED_VALUE"""),"✅")</f>
        <v>✅</v>
      </c>
      <c r="O167" s="282" t="str">
        <f>IFERROR(__xludf.DUMMYFUNCTION("""COMPUTED_VALUE"""),"✅")</f>
        <v>✅</v>
      </c>
      <c r="P167" s="282" t="str">
        <f>IFERROR(__xludf.DUMMYFUNCTION("""COMPUTED_VALUE"""),"✅")</f>
        <v>✅</v>
      </c>
      <c r="Q167" s="282" t="str">
        <f>IFERROR(__xludf.DUMMYFUNCTION("""COMPUTED_VALUE"""),"✅")</f>
        <v>✅</v>
      </c>
      <c r="R167" s="304" t="str">
        <f>IFERROR(__xludf.DUMMYFUNCTION("""COMPUTED_VALUE"""),"   ✅")</f>
        <v>✅</v>
      </c>
      <c r="S167" s="305" t="str">
        <f>IFERROR(__xludf.DUMMYFUNCTION("""COMPUTED_VALUE"""),"✅")</f>
        <v>✅</v>
      </c>
      <c r="T167" s="282"/>
      <c r="U167" s="282" t="str">
        <f>IFERROR(__xludf.DUMMYFUNCTION("""COMPUTED_VALUE"""),"➖")</f>
        <v>➖</v>
      </c>
      <c r="V167" s="282" t="str">
        <f>IFERROR(__xludf.DUMMYFUNCTION("""COMPUTED_VALUE"""),"➖")</f>
        <v>➖</v>
      </c>
      <c r="W167" s="306"/>
      <c r="X167" s="306"/>
      <c r="Y167" s="306"/>
    </row>
    <row r="168">
      <c r="A168" s="227"/>
      <c r="B168" s="307"/>
      <c r="C168" s="227"/>
      <c r="D168" s="308" t="str">
        <f>IFERROR(__xludf.DUMMYFUNCTION("""COMPUTED_VALUE"""),"   U")</f>
        <v>U</v>
      </c>
      <c r="E168" s="309" t="str">
        <f>IFERROR(__xludf.DUMMYFUNCTION("""COMPUTED_VALUE"""),"Ceti Eel")</f>
        <v>Ceti Eel</v>
      </c>
      <c r="F168" s="310">
        <f>IFERROR(__xludf.DUMMYFUNCTION("""COMPUTED_VALUE"""),1.0)</f>
        <v>1</v>
      </c>
      <c r="G168" s="231" t="str">
        <f>IFERROR(__xludf.DUMMYFUNCTION("""COMPUTED_VALUE"""),"CT")</f>
        <v>CT</v>
      </c>
      <c r="H168" s="231" t="str">
        <f>IFERROR(__xludf.DUMMYFUNCTION("""COMPUTED_VALUE"""),"➖")</f>
        <v>➖</v>
      </c>
      <c r="I168" s="231" t="str">
        <f>IFERROR(__xludf.DUMMYFUNCTION("""COMPUTED_VALUE"""),"➖")</f>
        <v>➖</v>
      </c>
      <c r="J168" s="231" t="str">
        <f>IFERROR(__xludf.DUMMYFUNCTION("""COMPUTED_VALUE"""),"➖")</f>
        <v>➖</v>
      </c>
      <c r="K168" s="288" t="str">
        <f>IFERROR(__xludf.DUMMYFUNCTION("""COMPUTED_VALUE"""),"➖")</f>
        <v>➖</v>
      </c>
      <c r="L168" s="288" t="str">
        <f>IFERROR(__xludf.DUMMYFUNCTION("""COMPUTED_VALUE"""),"➖")</f>
        <v>➖</v>
      </c>
      <c r="M168" s="288" t="str">
        <f>IFERROR(__xludf.DUMMYFUNCTION("""COMPUTED_VALUE"""),"➖")</f>
        <v>➖</v>
      </c>
      <c r="N168" s="288" t="str">
        <f>IFERROR(__xludf.DUMMYFUNCTION("""COMPUTED_VALUE"""),"✅")</f>
        <v>✅</v>
      </c>
      <c r="O168" s="288" t="str">
        <f>IFERROR(__xludf.DUMMYFUNCTION("""COMPUTED_VALUE"""),"✅")</f>
        <v>✅</v>
      </c>
      <c r="P168" s="288" t="str">
        <f>IFERROR(__xludf.DUMMYFUNCTION("""COMPUTED_VALUE"""),"➖")</f>
        <v>➖</v>
      </c>
      <c r="Q168" s="288" t="str">
        <f>IFERROR(__xludf.DUMMYFUNCTION("""COMPUTED_VALUE"""),"➖")</f>
        <v>➖</v>
      </c>
      <c r="R168" s="311" t="str">
        <f>IFERROR(__xludf.DUMMYFUNCTION("""COMPUTED_VALUE"""),"   ➖")</f>
        <v>➖</v>
      </c>
      <c r="S168" s="312" t="str">
        <f>IFERROR(__xludf.DUMMYFUNCTION("""COMPUTED_VALUE"""),"➖")</f>
        <v>➖</v>
      </c>
      <c r="T168" s="288"/>
      <c r="U168" s="288" t="str">
        <f>IFERROR(__xludf.DUMMYFUNCTION("""COMPUTED_VALUE"""),"➖")</f>
        <v>➖</v>
      </c>
      <c r="V168" s="288" t="str">
        <f>IFERROR(__xludf.DUMMYFUNCTION("""COMPUTED_VALUE"""),"➖")</f>
        <v>➖</v>
      </c>
      <c r="W168" s="306"/>
      <c r="X168" s="306"/>
      <c r="Y168" s="306"/>
    </row>
    <row r="169">
      <c r="A169" s="227"/>
      <c r="B169" s="128"/>
      <c r="C169" s="227"/>
      <c r="D169" s="301" t="str">
        <f>IFERROR(__xludf.DUMMYFUNCTION("""COMPUTED_VALUE"""),"   U")</f>
        <v>U</v>
      </c>
      <c r="E169" s="313" t="str">
        <f>IFERROR(__xludf.DUMMYFUNCTION("""COMPUTED_VALUE"""),"Ceti Eel")</f>
        <v>Ceti Eel</v>
      </c>
      <c r="F169" s="303">
        <f>IFERROR(__xludf.DUMMYFUNCTION("""COMPUTED_VALUE"""),2.0)</f>
        <v>2</v>
      </c>
      <c r="G169" s="281" t="str">
        <f>IFERROR(__xludf.DUMMYFUNCTION("""COMPUTED_VALUE"""),"CT")</f>
        <v>CT</v>
      </c>
      <c r="H169" s="281" t="str">
        <f>IFERROR(__xludf.DUMMYFUNCTION("""COMPUTED_VALUE"""),"➖")</f>
        <v>➖</v>
      </c>
      <c r="I169" s="281" t="str">
        <f>IFERROR(__xludf.DUMMYFUNCTION("""COMPUTED_VALUE"""),"➖")</f>
        <v>➖</v>
      </c>
      <c r="J169" s="281" t="str">
        <f>IFERROR(__xludf.DUMMYFUNCTION("""COMPUTED_VALUE"""),"✅")</f>
        <v>✅</v>
      </c>
      <c r="K169" s="282" t="str">
        <f>IFERROR(__xludf.DUMMYFUNCTION("""COMPUTED_VALUE"""),"✅")</f>
        <v>✅</v>
      </c>
      <c r="L169" s="282" t="str">
        <f>IFERROR(__xludf.DUMMYFUNCTION("""COMPUTED_VALUE"""),"✅")</f>
        <v>✅</v>
      </c>
      <c r="M169" s="282" t="str">
        <f>IFERROR(__xludf.DUMMYFUNCTION("""COMPUTED_VALUE"""),"➖")</f>
        <v>➖</v>
      </c>
      <c r="N169" s="282" t="str">
        <f>IFERROR(__xludf.DUMMYFUNCTION("""COMPUTED_VALUE"""),"✅")</f>
        <v>✅</v>
      </c>
      <c r="O169" s="282" t="str">
        <f>IFERROR(__xludf.DUMMYFUNCTION("""COMPUTED_VALUE"""),"✅")</f>
        <v>✅</v>
      </c>
      <c r="P169" s="282" t="str">
        <f>IFERROR(__xludf.DUMMYFUNCTION("""COMPUTED_VALUE"""),"✅")</f>
        <v>✅</v>
      </c>
      <c r="Q169" s="282" t="str">
        <f>IFERROR(__xludf.DUMMYFUNCTION("""COMPUTED_VALUE"""),"➖")</f>
        <v>➖</v>
      </c>
      <c r="R169" s="304" t="str">
        <f>IFERROR(__xludf.DUMMYFUNCTION("""COMPUTED_VALUE"""),"   ➖")</f>
        <v>➖</v>
      </c>
      <c r="S169" s="305" t="str">
        <f>IFERROR(__xludf.DUMMYFUNCTION("""COMPUTED_VALUE"""),"➖")</f>
        <v>➖</v>
      </c>
      <c r="T169" s="282"/>
      <c r="U169" s="282" t="str">
        <f>IFERROR(__xludf.DUMMYFUNCTION("""COMPUTED_VALUE"""),"➖")</f>
        <v>➖</v>
      </c>
      <c r="V169" s="282" t="str">
        <f>IFERROR(__xludf.DUMMYFUNCTION("""COMPUTED_VALUE"""),"➖")</f>
        <v>➖</v>
      </c>
      <c r="W169" s="306"/>
      <c r="X169" s="306"/>
      <c r="Y169" s="306"/>
    </row>
    <row r="170">
      <c r="A170" s="227"/>
      <c r="B170" s="307"/>
      <c r="C170" s="227"/>
      <c r="D170" s="308" t="str">
        <f>IFERROR(__xludf.DUMMYFUNCTION("""COMPUTED_VALUE"""),"   E")</f>
        <v>E</v>
      </c>
      <c r="E170" s="309" t="str">
        <f>IFERROR(__xludf.DUMMYFUNCTION("""COMPUTED_VALUE"""),"[PRO] Romulan Mines")</f>
        <v>[PRO] Romulan Mines</v>
      </c>
      <c r="F170" s="310">
        <f>IFERROR(__xludf.DUMMYFUNCTION("""COMPUTED_VALUE"""),1.0)</f>
        <v>1</v>
      </c>
      <c r="G170" s="231" t="str">
        <f>IFERROR(__xludf.DUMMYFUNCTION("""COMPUTED_VALUE"""),"FT")</f>
        <v>FT</v>
      </c>
      <c r="H170" s="231" t="str">
        <f>IFERROR(__xludf.DUMMYFUNCTION("""COMPUTED_VALUE"""),"✴️")</f>
        <v>✴️</v>
      </c>
      <c r="I170" s="231" t="str">
        <f>IFERROR(__xludf.DUMMYFUNCTION("""COMPUTED_VALUE"""),"✴️")</f>
        <v>✴️</v>
      </c>
      <c r="J170" s="231" t="str">
        <f>IFERROR(__xludf.DUMMYFUNCTION("""COMPUTED_VALUE"""),"➖")</f>
        <v>➖</v>
      </c>
      <c r="K170" s="288" t="str">
        <f>IFERROR(__xludf.DUMMYFUNCTION("""COMPUTED_VALUE"""),"➖")</f>
        <v>➖</v>
      </c>
      <c r="L170" s="288" t="str">
        <f>IFERROR(__xludf.DUMMYFUNCTION("""COMPUTED_VALUE"""),"➖")</f>
        <v>➖</v>
      </c>
      <c r="M170" s="288" t="str">
        <f>IFERROR(__xludf.DUMMYFUNCTION("""COMPUTED_VALUE"""),"➖")</f>
        <v>➖</v>
      </c>
      <c r="N170" s="288" t="str">
        <f>IFERROR(__xludf.DUMMYFUNCTION("""COMPUTED_VALUE"""),"➖")</f>
        <v>➖</v>
      </c>
      <c r="O170" s="288" t="str">
        <f>IFERROR(__xludf.DUMMYFUNCTION("""COMPUTED_VALUE"""),"➖")</f>
        <v>➖</v>
      </c>
      <c r="P170" s="288" t="str">
        <f>IFERROR(__xludf.DUMMYFUNCTION("""COMPUTED_VALUE"""),"➖")</f>
        <v>➖</v>
      </c>
      <c r="Q170" s="288" t="str">
        <f>IFERROR(__xludf.DUMMYFUNCTION("""COMPUTED_VALUE"""),"➖")</f>
        <v>➖</v>
      </c>
      <c r="R170" s="311" t="str">
        <f>IFERROR(__xludf.DUMMYFUNCTION("""COMPUTED_VALUE"""),"   ➖")</f>
        <v>➖</v>
      </c>
      <c r="S170" s="312" t="str">
        <f>IFERROR(__xludf.DUMMYFUNCTION("""COMPUTED_VALUE"""),"➖")</f>
        <v>➖</v>
      </c>
      <c r="T170" s="288" t="str">
        <f>IFERROR(__xludf.DUMMYFUNCTION("""COMPUTED_VALUE"""),"SelfInterceptor, SelfOfficerTalNotOnBridge")</f>
        <v>SelfInterceptor, SelfOfficerTalNotOnBridge</v>
      </c>
      <c r="U170" s="288" t="str">
        <f>IFERROR(__xludf.DUMMYFUNCTION("""COMPUTED_VALUE"""),"➖")</f>
        <v>➖</v>
      </c>
      <c r="V170" s="288" t="str">
        <f>IFERROR(__xludf.DUMMYFUNCTION("""COMPUTED_VALUE"""),"➖")</f>
        <v>➖</v>
      </c>
      <c r="W170" s="306"/>
      <c r="X170" s="306"/>
      <c r="Y170" s="306"/>
    </row>
    <row r="171">
      <c r="A171" s="227"/>
      <c r="B171" s="128"/>
      <c r="C171" s="227"/>
      <c r="D171" s="301" t="str">
        <f>IFERROR(__xludf.DUMMYFUNCTION("""COMPUTED_VALUE"""),"   E")</f>
        <v>E</v>
      </c>
      <c r="E171" s="313" t="str">
        <f>IFERROR(__xludf.DUMMYFUNCTION("""COMPUTED_VALUE"""),"[PRO] Romulan Mines")</f>
        <v>[PRO] Romulan Mines</v>
      </c>
      <c r="F171" s="303">
        <f>IFERROR(__xludf.DUMMYFUNCTION("""COMPUTED_VALUE"""),2.0)</f>
        <v>2</v>
      </c>
      <c r="G171" s="281" t="str">
        <f>IFERROR(__xludf.DUMMYFUNCTION("""COMPUTED_VALUE"""),"FT")</f>
        <v>FT</v>
      </c>
      <c r="H171" s="281" t="str">
        <f>IFERROR(__xludf.DUMMYFUNCTION("""COMPUTED_VALUE"""),"✴️")</f>
        <v>✴️</v>
      </c>
      <c r="I171" s="281" t="str">
        <f>IFERROR(__xludf.DUMMYFUNCTION("""COMPUTED_VALUE"""),"✴️")</f>
        <v>✴️</v>
      </c>
      <c r="J171" s="281" t="str">
        <f>IFERROR(__xludf.DUMMYFUNCTION("""COMPUTED_VALUE"""),"➖")</f>
        <v>➖</v>
      </c>
      <c r="K171" s="282" t="str">
        <f>IFERROR(__xludf.DUMMYFUNCTION("""COMPUTED_VALUE"""),"➖")</f>
        <v>➖</v>
      </c>
      <c r="L171" s="282" t="str">
        <f>IFERROR(__xludf.DUMMYFUNCTION("""COMPUTED_VALUE"""),"➖")</f>
        <v>➖</v>
      </c>
      <c r="M171" s="282" t="str">
        <f>IFERROR(__xludf.DUMMYFUNCTION("""COMPUTED_VALUE"""),"➖")</f>
        <v>➖</v>
      </c>
      <c r="N171" s="282" t="str">
        <f>IFERROR(__xludf.DUMMYFUNCTION("""COMPUTED_VALUE"""),"➖")</f>
        <v>➖</v>
      </c>
      <c r="O171" s="282" t="str">
        <f>IFERROR(__xludf.DUMMYFUNCTION("""COMPUTED_VALUE"""),"➖")</f>
        <v>➖</v>
      </c>
      <c r="P171" s="282" t="str">
        <f>IFERROR(__xludf.DUMMYFUNCTION("""COMPUTED_VALUE"""),"➖")</f>
        <v>➖</v>
      </c>
      <c r="Q171" s="282" t="str">
        <f>IFERROR(__xludf.DUMMYFUNCTION("""COMPUTED_VALUE"""),"➖")</f>
        <v>➖</v>
      </c>
      <c r="R171" s="304" t="str">
        <f>IFERROR(__xludf.DUMMYFUNCTION("""COMPUTED_VALUE"""),"   ➖")</f>
        <v>➖</v>
      </c>
      <c r="S171" s="305" t="str">
        <f>IFERROR(__xludf.DUMMYFUNCTION("""COMPUTED_VALUE"""),"➖")</f>
        <v>➖</v>
      </c>
      <c r="T171" s="282" t="str">
        <f>IFERROR(__xludf.DUMMYFUNCTION("""COMPUTED_VALUE"""),"SelfInterceptor")</f>
        <v>SelfInterceptor</v>
      </c>
      <c r="U171" s="282" t="str">
        <f>IFERROR(__xludf.DUMMYFUNCTION("""COMPUTED_VALUE"""),"➖")</f>
        <v>➖</v>
      </c>
      <c r="V171" s="282" t="str">
        <f>IFERROR(__xludf.DUMMYFUNCTION("""COMPUTED_VALUE"""),"➖")</f>
        <v>➖</v>
      </c>
      <c r="W171" s="306"/>
      <c r="X171" s="306"/>
      <c r="Y171" s="306"/>
    </row>
    <row r="172">
      <c r="A172" s="227"/>
      <c r="B172" s="307"/>
      <c r="C172" s="227"/>
      <c r="D172" s="308" t="str">
        <f>IFERROR(__xludf.DUMMYFUNCTION("""COMPUTED_VALUE"""),"   E")</f>
        <v>E</v>
      </c>
      <c r="E172" s="309" t="str">
        <f>IFERROR(__xludf.DUMMYFUNCTION("""COMPUTED_VALUE"""),"[PRO] Romulan Mines")</f>
        <v>[PRO] Romulan Mines</v>
      </c>
      <c r="F172" s="310">
        <f>IFERROR(__xludf.DUMMYFUNCTION("""COMPUTED_VALUE"""),3.0)</f>
        <v>3</v>
      </c>
      <c r="G172" s="231" t="str">
        <f>IFERROR(__xludf.DUMMYFUNCTION("""COMPUTED_VALUE"""),"FT")</f>
        <v>FT</v>
      </c>
      <c r="H172" s="231" t="str">
        <f>IFERROR(__xludf.DUMMYFUNCTION("""COMPUTED_VALUE"""),"✴️")</f>
        <v>✴️</v>
      </c>
      <c r="I172" s="231" t="str">
        <f>IFERROR(__xludf.DUMMYFUNCTION("""COMPUTED_VALUE"""),"➖")</f>
        <v>➖</v>
      </c>
      <c r="J172" s="231" t="str">
        <f>IFERROR(__xludf.DUMMYFUNCTION("""COMPUTED_VALUE"""),"➖")</f>
        <v>➖</v>
      </c>
      <c r="K172" s="288" t="str">
        <f>IFERROR(__xludf.DUMMYFUNCTION("""COMPUTED_VALUE"""),"➖")</f>
        <v>➖</v>
      </c>
      <c r="L172" s="288" t="str">
        <f>IFERROR(__xludf.DUMMYFUNCTION("""COMPUTED_VALUE"""),"➖")</f>
        <v>➖</v>
      </c>
      <c r="M172" s="288" t="str">
        <f>IFERROR(__xludf.DUMMYFUNCTION("""COMPUTED_VALUE"""),"➖")</f>
        <v>➖</v>
      </c>
      <c r="N172" s="288" t="str">
        <f>IFERROR(__xludf.DUMMYFUNCTION("""COMPUTED_VALUE"""),"➖")</f>
        <v>➖</v>
      </c>
      <c r="O172" s="288" t="str">
        <f>IFERROR(__xludf.DUMMYFUNCTION("""COMPUTED_VALUE"""),"➖")</f>
        <v>➖</v>
      </c>
      <c r="P172" s="288" t="str">
        <f>IFERROR(__xludf.DUMMYFUNCTION("""COMPUTED_VALUE"""),"➖")</f>
        <v>➖</v>
      </c>
      <c r="Q172" s="288" t="str">
        <f>IFERROR(__xludf.DUMMYFUNCTION("""COMPUTED_VALUE"""),"➖")</f>
        <v>➖</v>
      </c>
      <c r="R172" s="311" t="str">
        <f>IFERROR(__xludf.DUMMYFUNCTION("""COMPUTED_VALUE"""),"   ➖")</f>
        <v>➖</v>
      </c>
      <c r="S172" s="312" t="str">
        <f>IFERROR(__xludf.DUMMYFUNCTION("""COMPUTED_VALUE"""),"➖")</f>
        <v>➖</v>
      </c>
      <c r="T172" s="288" t="str">
        <f>IFERROR(__xludf.DUMMYFUNCTION("""COMPUTED_VALUE"""),"SelfInterceptor")</f>
        <v>SelfInterceptor</v>
      </c>
      <c r="U172" s="288" t="str">
        <f>IFERROR(__xludf.DUMMYFUNCTION("""COMPUTED_VALUE"""),"➖")</f>
        <v>➖</v>
      </c>
      <c r="V172" s="288" t="str">
        <f>IFERROR(__xludf.DUMMYFUNCTION("""COMPUTED_VALUE"""),"➖")</f>
        <v>➖</v>
      </c>
      <c r="W172" s="306"/>
      <c r="X172" s="306"/>
      <c r="Y172" s="306"/>
    </row>
    <row r="173">
      <c r="A173" s="227"/>
      <c r="B173" s="128"/>
      <c r="C173" s="227"/>
      <c r="D173" s="301" t="str">
        <f>IFERROR(__xludf.DUMMYFUNCTION("""COMPUTED_VALUE"""),"   E")</f>
        <v>E</v>
      </c>
      <c r="E173" s="313" t="str">
        <f>IFERROR(__xludf.DUMMYFUNCTION("""COMPUTED_VALUE"""),"[PRO] Romulan Mines")</f>
        <v>[PRO] Romulan Mines</v>
      </c>
      <c r="F173" s="303">
        <f>IFERROR(__xludf.DUMMYFUNCTION("""COMPUTED_VALUE"""),4.0)</f>
        <v>4</v>
      </c>
      <c r="G173" s="281" t="str">
        <f>IFERROR(__xludf.DUMMYFUNCTION("""COMPUTED_VALUE"""),"FT")</f>
        <v>FT</v>
      </c>
      <c r="H173" s="281" t="str">
        <f>IFERROR(__xludf.DUMMYFUNCTION("""COMPUTED_VALUE"""),"✴️")</f>
        <v>✴️</v>
      </c>
      <c r="I173" s="281" t="str">
        <f>IFERROR(__xludf.DUMMYFUNCTION("""COMPUTED_VALUE"""),"✴️")</f>
        <v>✴️</v>
      </c>
      <c r="J173" s="281" t="str">
        <f>IFERROR(__xludf.DUMMYFUNCTION("""COMPUTED_VALUE"""),"➖")</f>
        <v>➖</v>
      </c>
      <c r="K173" s="282" t="str">
        <f>IFERROR(__xludf.DUMMYFUNCTION("""COMPUTED_VALUE"""),"➖")</f>
        <v>➖</v>
      </c>
      <c r="L173" s="282" t="str">
        <f>IFERROR(__xludf.DUMMYFUNCTION("""COMPUTED_VALUE"""),"➖")</f>
        <v>➖</v>
      </c>
      <c r="M173" s="282" t="str">
        <f>IFERROR(__xludf.DUMMYFUNCTION("""COMPUTED_VALUE"""),"➖")</f>
        <v>➖</v>
      </c>
      <c r="N173" s="282" t="str">
        <f>IFERROR(__xludf.DUMMYFUNCTION("""COMPUTED_VALUE"""),"➖")</f>
        <v>➖</v>
      </c>
      <c r="O173" s="282" t="str">
        <f>IFERROR(__xludf.DUMMYFUNCTION("""COMPUTED_VALUE"""),"➖")</f>
        <v>➖</v>
      </c>
      <c r="P173" s="282" t="str">
        <f>IFERROR(__xludf.DUMMYFUNCTION("""COMPUTED_VALUE"""),"➖")</f>
        <v>➖</v>
      </c>
      <c r="Q173" s="282" t="str">
        <f>IFERROR(__xludf.DUMMYFUNCTION("""COMPUTED_VALUE"""),"➖")</f>
        <v>➖</v>
      </c>
      <c r="R173" s="304" t="str">
        <f>IFERROR(__xludf.DUMMYFUNCTION("""COMPUTED_VALUE"""),"   ➖")</f>
        <v>➖</v>
      </c>
      <c r="S173" s="305" t="str">
        <f>IFERROR(__xludf.DUMMYFUNCTION("""COMPUTED_VALUE"""),"➖")</f>
        <v>➖</v>
      </c>
      <c r="T173" s="282" t="str">
        <f>IFERROR(__xludf.DUMMYFUNCTION("""COMPUTED_VALUE"""),"SelfInterceptor")</f>
        <v>SelfInterceptor</v>
      </c>
      <c r="U173" s="282" t="str">
        <f>IFERROR(__xludf.DUMMYFUNCTION("""COMPUTED_VALUE"""),"➖")</f>
        <v>➖</v>
      </c>
      <c r="V173" s="282" t="str">
        <f>IFERROR(__xludf.DUMMYFUNCTION("""COMPUTED_VALUE"""),"➖")</f>
        <v>➖</v>
      </c>
      <c r="W173" s="306"/>
      <c r="X173" s="306"/>
      <c r="Y173" s="306"/>
    </row>
    <row r="174">
      <c r="A174" s="227"/>
      <c r="B174" s="307"/>
      <c r="C174" s="227"/>
      <c r="D174" s="308" t="str">
        <f>IFERROR(__xludf.DUMMYFUNCTION("""COMPUTED_VALUE"""),"   E")</f>
        <v>E</v>
      </c>
      <c r="E174" s="309" t="str">
        <f>IFERROR(__xludf.DUMMYFUNCTION("""COMPUTED_VALUE"""),"[PRO] Counterplay Device")</f>
        <v>[PRO] Counterplay Device</v>
      </c>
      <c r="F174" s="310">
        <f>IFERROR(__xludf.DUMMYFUNCTION("""COMPUTED_VALUE"""),1.0)</f>
        <v>1</v>
      </c>
      <c r="G174" s="231" t="str">
        <f>IFERROR(__xludf.DUMMYFUNCTION("""COMPUTED_VALUE"""),"FT")</f>
        <v>FT</v>
      </c>
      <c r="H174" s="231" t="str">
        <f>IFERROR(__xludf.DUMMYFUNCTION("""COMPUTED_VALUE"""),"✴️")</f>
        <v>✴️</v>
      </c>
      <c r="I174" s="231" t="str">
        <f>IFERROR(__xludf.DUMMYFUNCTION("""COMPUTED_VALUE"""),"✴️")</f>
        <v>✴️</v>
      </c>
      <c r="J174" s="231" t="str">
        <f>IFERROR(__xludf.DUMMYFUNCTION("""COMPUTED_VALUE"""),"➖")</f>
        <v>➖</v>
      </c>
      <c r="K174" s="288" t="str">
        <f>IFERROR(__xludf.DUMMYFUNCTION("""COMPUTED_VALUE"""),"➖")</f>
        <v>➖</v>
      </c>
      <c r="L174" s="288" t="str">
        <f>IFERROR(__xludf.DUMMYFUNCTION("""COMPUTED_VALUE"""),"➖")</f>
        <v>➖</v>
      </c>
      <c r="M174" s="288" t="str">
        <f>IFERROR(__xludf.DUMMYFUNCTION("""COMPUTED_VALUE"""),"➖")</f>
        <v>➖</v>
      </c>
      <c r="N174" s="288" t="str">
        <f>IFERROR(__xludf.DUMMYFUNCTION("""COMPUTED_VALUE"""),"➖")</f>
        <v>➖</v>
      </c>
      <c r="O174" s="288" t="str">
        <f>IFERROR(__xludf.DUMMYFUNCTION("""COMPUTED_VALUE"""),"➖")</f>
        <v>➖</v>
      </c>
      <c r="P174" s="288" t="str">
        <f>IFERROR(__xludf.DUMMYFUNCTION("""COMPUTED_VALUE"""),"➖")</f>
        <v>➖</v>
      </c>
      <c r="Q174" s="288" t="str">
        <f>IFERROR(__xludf.DUMMYFUNCTION("""COMPUTED_VALUE"""),"➖")</f>
        <v>➖</v>
      </c>
      <c r="R174" s="311" t="str">
        <f>IFERROR(__xludf.DUMMYFUNCTION("""COMPUTED_VALUE"""),"   ➖")</f>
        <v>➖</v>
      </c>
      <c r="S174" s="312" t="str">
        <f>IFERROR(__xludf.DUMMYFUNCTION("""COMPUTED_VALUE"""),"➖")</f>
        <v>➖</v>
      </c>
      <c r="T174" s="288" t="str">
        <f>IFERROR(__xludf.DUMMYFUNCTION("""COMPUTED_VALUE"""),"SelfExplorer, SelfOfficerTalNotOnBridge")</f>
        <v>SelfExplorer, SelfOfficerTalNotOnBridge</v>
      </c>
      <c r="U174" s="288" t="str">
        <f>IFERROR(__xludf.DUMMYFUNCTION("""COMPUTED_VALUE"""),"➖")</f>
        <v>➖</v>
      </c>
      <c r="V174" s="288" t="str">
        <f>IFERROR(__xludf.DUMMYFUNCTION("""COMPUTED_VALUE"""),"➖")</f>
        <v>➖</v>
      </c>
      <c r="W174" s="306"/>
      <c r="X174" s="306"/>
      <c r="Y174" s="306"/>
    </row>
    <row r="175">
      <c r="A175" s="227"/>
      <c r="B175" s="128"/>
      <c r="C175" s="227"/>
      <c r="D175" s="301" t="str">
        <f>IFERROR(__xludf.DUMMYFUNCTION("""COMPUTED_VALUE"""),"   E")</f>
        <v>E</v>
      </c>
      <c r="E175" s="313" t="str">
        <f>IFERROR(__xludf.DUMMYFUNCTION("""COMPUTED_VALUE"""),"[PRO] Counterplay Device")</f>
        <v>[PRO] Counterplay Device</v>
      </c>
      <c r="F175" s="303">
        <f>IFERROR(__xludf.DUMMYFUNCTION("""COMPUTED_VALUE"""),2.0)</f>
        <v>2</v>
      </c>
      <c r="G175" s="281" t="str">
        <f>IFERROR(__xludf.DUMMYFUNCTION("""COMPUTED_VALUE"""),"FT")</f>
        <v>FT</v>
      </c>
      <c r="H175" s="281" t="str">
        <f>IFERROR(__xludf.DUMMYFUNCTION("""COMPUTED_VALUE"""),"✴️")</f>
        <v>✴️</v>
      </c>
      <c r="I175" s="281" t="str">
        <f>IFERROR(__xludf.DUMMYFUNCTION("""COMPUTED_VALUE"""),"✴️")</f>
        <v>✴️</v>
      </c>
      <c r="J175" s="281" t="str">
        <f>IFERROR(__xludf.DUMMYFUNCTION("""COMPUTED_VALUE"""),"➖")</f>
        <v>➖</v>
      </c>
      <c r="K175" s="282" t="str">
        <f>IFERROR(__xludf.DUMMYFUNCTION("""COMPUTED_VALUE"""),"➖")</f>
        <v>➖</v>
      </c>
      <c r="L175" s="282" t="str">
        <f>IFERROR(__xludf.DUMMYFUNCTION("""COMPUTED_VALUE"""),"➖")</f>
        <v>➖</v>
      </c>
      <c r="M175" s="282" t="str">
        <f>IFERROR(__xludf.DUMMYFUNCTION("""COMPUTED_VALUE"""),"➖")</f>
        <v>➖</v>
      </c>
      <c r="N175" s="282" t="str">
        <f>IFERROR(__xludf.DUMMYFUNCTION("""COMPUTED_VALUE"""),"➖")</f>
        <v>➖</v>
      </c>
      <c r="O175" s="282" t="str">
        <f>IFERROR(__xludf.DUMMYFUNCTION("""COMPUTED_VALUE"""),"➖")</f>
        <v>➖</v>
      </c>
      <c r="P175" s="282" t="str">
        <f>IFERROR(__xludf.DUMMYFUNCTION("""COMPUTED_VALUE"""),"➖")</f>
        <v>➖</v>
      </c>
      <c r="Q175" s="282" t="str">
        <f>IFERROR(__xludf.DUMMYFUNCTION("""COMPUTED_VALUE"""),"➖")</f>
        <v>➖</v>
      </c>
      <c r="R175" s="304" t="str">
        <f>IFERROR(__xludf.DUMMYFUNCTION("""COMPUTED_VALUE"""),"   ➖")</f>
        <v>➖</v>
      </c>
      <c r="S175" s="305" t="str">
        <f>IFERROR(__xludf.DUMMYFUNCTION("""COMPUTED_VALUE"""),"➖")</f>
        <v>➖</v>
      </c>
      <c r="T175" s="282" t="str">
        <f>IFERROR(__xludf.DUMMYFUNCTION("""COMPUTED_VALUE"""),"SelfExplorer")</f>
        <v>SelfExplorer</v>
      </c>
      <c r="U175" s="282" t="str">
        <f>IFERROR(__xludf.DUMMYFUNCTION("""COMPUTED_VALUE"""),"➖")</f>
        <v>➖</v>
      </c>
      <c r="V175" s="282" t="str">
        <f>IFERROR(__xludf.DUMMYFUNCTION("""COMPUTED_VALUE"""),"➖")</f>
        <v>➖</v>
      </c>
      <c r="W175" s="306"/>
      <c r="X175" s="306"/>
      <c r="Y175" s="306"/>
    </row>
    <row r="176">
      <c r="A176" s="227"/>
      <c r="B176" s="307"/>
      <c r="C176" s="227"/>
      <c r="D176" s="308" t="str">
        <f>IFERROR(__xludf.DUMMYFUNCTION("""COMPUTED_VALUE"""),"   E")</f>
        <v>E</v>
      </c>
      <c r="E176" s="309" t="str">
        <f>IFERROR(__xludf.DUMMYFUNCTION("""COMPUTED_VALUE"""),"[PRO] Counterplay Device")</f>
        <v>[PRO] Counterplay Device</v>
      </c>
      <c r="F176" s="310">
        <f>IFERROR(__xludf.DUMMYFUNCTION("""COMPUTED_VALUE"""),3.0)</f>
        <v>3</v>
      </c>
      <c r="G176" s="231" t="str">
        <f>IFERROR(__xludf.DUMMYFUNCTION("""COMPUTED_VALUE"""),"FT")</f>
        <v>FT</v>
      </c>
      <c r="H176" s="231" t="str">
        <f>IFERROR(__xludf.DUMMYFUNCTION("""COMPUTED_VALUE"""),"✴️")</f>
        <v>✴️</v>
      </c>
      <c r="I176" s="231" t="str">
        <f>IFERROR(__xludf.DUMMYFUNCTION("""COMPUTED_VALUE"""),"➖")</f>
        <v>➖</v>
      </c>
      <c r="J176" s="231" t="str">
        <f>IFERROR(__xludf.DUMMYFUNCTION("""COMPUTED_VALUE"""),"➖")</f>
        <v>➖</v>
      </c>
      <c r="K176" s="288" t="str">
        <f>IFERROR(__xludf.DUMMYFUNCTION("""COMPUTED_VALUE"""),"➖")</f>
        <v>➖</v>
      </c>
      <c r="L176" s="288" t="str">
        <f>IFERROR(__xludf.DUMMYFUNCTION("""COMPUTED_VALUE"""),"➖")</f>
        <v>➖</v>
      </c>
      <c r="M176" s="288" t="str">
        <f>IFERROR(__xludf.DUMMYFUNCTION("""COMPUTED_VALUE"""),"➖")</f>
        <v>➖</v>
      </c>
      <c r="N176" s="288" t="str">
        <f>IFERROR(__xludf.DUMMYFUNCTION("""COMPUTED_VALUE"""),"➖")</f>
        <v>➖</v>
      </c>
      <c r="O176" s="288" t="str">
        <f>IFERROR(__xludf.DUMMYFUNCTION("""COMPUTED_VALUE"""),"➖")</f>
        <v>➖</v>
      </c>
      <c r="P176" s="288" t="str">
        <f>IFERROR(__xludf.DUMMYFUNCTION("""COMPUTED_VALUE"""),"➖")</f>
        <v>➖</v>
      </c>
      <c r="Q176" s="288" t="str">
        <f>IFERROR(__xludf.DUMMYFUNCTION("""COMPUTED_VALUE"""),"➖")</f>
        <v>➖</v>
      </c>
      <c r="R176" s="311" t="str">
        <f>IFERROR(__xludf.DUMMYFUNCTION("""COMPUTED_VALUE"""),"   ➖")</f>
        <v>➖</v>
      </c>
      <c r="S176" s="312" t="str">
        <f>IFERROR(__xludf.DUMMYFUNCTION("""COMPUTED_VALUE"""),"➖")</f>
        <v>➖</v>
      </c>
      <c r="T176" s="288" t="str">
        <f>IFERROR(__xludf.DUMMYFUNCTION("""COMPUTED_VALUE"""),"SelfExplorer")</f>
        <v>SelfExplorer</v>
      </c>
      <c r="U176" s="288" t="str">
        <f>IFERROR(__xludf.DUMMYFUNCTION("""COMPUTED_VALUE"""),"➖")</f>
        <v>➖</v>
      </c>
      <c r="V176" s="288" t="str">
        <f>IFERROR(__xludf.DUMMYFUNCTION("""COMPUTED_VALUE"""),"➖")</f>
        <v>➖</v>
      </c>
      <c r="W176" s="306"/>
      <c r="X176" s="306"/>
      <c r="Y176" s="306"/>
    </row>
    <row r="177">
      <c r="A177" s="227"/>
      <c r="B177" s="128"/>
      <c r="C177" s="227"/>
      <c r="D177" s="301" t="str">
        <f>IFERROR(__xludf.DUMMYFUNCTION("""COMPUTED_VALUE"""),"   E")</f>
        <v>E</v>
      </c>
      <c r="E177" s="313" t="str">
        <f>IFERROR(__xludf.DUMMYFUNCTION("""COMPUTED_VALUE"""),"[PRO] Counterplay Device")</f>
        <v>[PRO] Counterplay Device</v>
      </c>
      <c r="F177" s="303">
        <f>IFERROR(__xludf.DUMMYFUNCTION("""COMPUTED_VALUE"""),4.0)</f>
        <v>4</v>
      </c>
      <c r="G177" s="281" t="str">
        <f>IFERROR(__xludf.DUMMYFUNCTION("""COMPUTED_VALUE"""),"FT")</f>
        <v>FT</v>
      </c>
      <c r="H177" s="281" t="str">
        <f>IFERROR(__xludf.DUMMYFUNCTION("""COMPUTED_VALUE"""),"✴️")</f>
        <v>✴️</v>
      </c>
      <c r="I177" s="281" t="str">
        <f>IFERROR(__xludf.DUMMYFUNCTION("""COMPUTED_VALUE"""),"✴️")</f>
        <v>✴️</v>
      </c>
      <c r="J177" s="281" t="str">
        <f>IFERROR(__xludf.DUMMYFUNCTION("""COMPUTED_VALUE"""),"➖")</f>
        <v>➖</v>
      </c>
      <c r="K177" s="282" t="str">
        <f>IFERROR(__xludf.DUMMYFUNCTION("""COMPUTED_VALUE"""),"➖")</f>
        <v>➖</v>
      </c>
      <c r="L177" s="282" t="str">
        <f>IFERROR(__xludf.DUMMYFUNCTION("""COMPUTED_VALUE"""),"➖")</f>
        <v>➖</v>
      </c>
      <c r="M177" s="282" t="str">
        <f>IFERROR(__xludf.DUMMYFUNCTION("""COMPUTED_VALUE"""),"➖")</f>
        <v>➖</v>
      </c>
      <c r="N177" s="282" t="str">
        <f>IFERROR(__xludf.DUMMYFUNCTION("""COMPUTED_VALUE"""),"➖")</f>
        <v>➖</v>
      </c>
      <c r="O177" s="282" t="str">
        <f>IFERROR(__xludf.DUMMYFUNCTION("""COMPUTED_VALUE"""),"➖")</f>
        <v>➖</v>
      </c>
      <c r="P177" s="282" t="str">
        <f>IFERROR(__xludf.DUMMYFUNCTION("""COMPUTED_VALUE"""),"➖")</f>
        <v>➖</v>
      </c>
      <c r="Q177" s="282" t="str">
        <f>IFERROR(__xludf.DUMMYFUNCTION("""COMPUTED_VALUE"""),"➖")</f>
        <v>➖</v>
      </c>
      <c r="R177" s="304" t="str">
        <f>IFERROR(__xludf.DUMMYFUNCTION("""COMPUTED_VALUE"""),"   ➖")</f>
        <v>➖</v>
      </c>
      <c r="S177" s="305" t="str">
        <f>IFERROR(__xludf.DUMMYFUNCTION("""COMPUTED_VALUE"""),"➖")</f>
        <v>➖</v>
      </c>
      <c r="T177" s="282" t="str">
        <f>IFERROR(__xludf.DUMMYFUNCTION("""COMPUTED_VALUE"""),"SelfExplorer")</f>
        <v>SelfExplorer</v>
      </c>
      <c r="U177" s="282" t="str">
        <f>IFERROR(__xludf.DUMMYFUNCTION("""COMPUTED_VALUE"""),"➖")</f>
        <v>➖</v>
      </c>
      <c r="V177" s="282" t="str">
        <f>IFERROR(__xludf.DUMMYFUNCTION("""COMPUTED_VALUE"""),"➖")</f>
        <v>➖</v>
      </c>
      <c r="W177" s="306"/>
      <c r="X177" s="306"/>
      <c r="Y177" s="306"/>
    </row>
    <row r="178">
      <c r="A178" s="227"/>
      <c r="B178" s="307"/>
      <c r="C178" s="227"/>
      <c r="D178" s="308" t="str">
        <f>IFERROR(__xludf.DUMMYFUNCTION("""COMPUTED_VALUE"""),"   E")</f>
        <v>E</v>
      </c>
      <c r="E178" s="309" t="str">
        <f>IFERROR(__xludf.DUMMYFUNCTION("""COMPUTED_VALUE"""),"[PRO] Self-Replicating Mines")</f>
        <v>[PRO] Self-Replicating Mines</v>
      </c>
      <c r="F178" s="310">
        <f>IFERROR(__xludf.DUMMYFUNCTION("""COMPUTED_VALUE"""),1.0)</f>
        <v>1</v>
      </c>
      <c r="G178" s="231" t="str">
        <f>IFERROR(__xludf.DUMMYFUNCTION("""COMPUTED_VALUE"""),"FT")</f>
        <v>FT</v>
      </c>
      <c r="H178" s="231" t="str">
        <f>IFERROR(__xludf.DUMMYFUNCTION("""COMPUTED_VALUE"""),"✴️")</f>
        <v>✴️</v>
      </c>
      <c r="I178" s="231" t="str">
        <f>IFERROR(__xludf.DUMMYFUNCTION("""COMPUTED_VALUE"""),"✴️")</f>
        <v>✴️</v>
      </c>
      <c r="J178" s="231" t="str">
        <f>IFERROR(__xludf.DUMMYFUNCTION("""COMPUTED_VALUE"""),"➖")</f>
        <v>➖</v>
      </c>
      <c r="K178" s="288" t="str">
        <f>IFERROR(__xludf.DUMMYFUNCTION("""COMPUTED_VALUE"""),"➖")</f>
        <v>➖</v>
      </c>
      <c r="L178" s="288" t="str">
        <f>IFERROR(__xludf.DUMMYFUNCTION("""COMPUTED_VALUE"""),"➖")</f>
        <v>➖</v>
      </c>
      <c r="M178" s="288" t="str">
        <f>IFERROR(__xludf.DUMMYFUNCTION("""COMPUTED_VALUE"""),"➖")</f>
        <v>➖</v>
      </c>
      <c r="N178" s="288" t="str">
        <f>IFERROR(__xludf.DUMMYFUNCTION("""COMPUTED_VALUE"""),"➖")</f>
        <v>➖</v>
      </c>
      <c r="O178" s="288" t="str">
        <f>IFERROR(__xludf.DUMMYFUNCTION("""COMPUTED_VALUE"""),"➖")</f>
        <v>➖</v>
      </c>
      <c r="P178" s="288" t="str">
        <f>IFERROR(__xludf.DUMMYFUNCTION("""COMPUTED_VALUE"""),"➖")</f>
        <v>➖</v>
      </c>
      <c r="Q178" s="288" t="str">
        <f>IFERROR(__xludf.DUMMYFUNCTION("""COMPUTED_VALUE"""),"➖")</f>
        <v>➖</v>
      </c>
      <c r="R178" s="311" t="str">
        <f>IFERROR(__xludf.DUMMYFUNCTION("""COMPUTED_VALUE"""),"   ➖")</f>
        <v>➖</v>
      </c>
      <c r="S178" s="312" t="str">
        <f>IFERROR(__xludf.DUMMYFUNCTION("""COMPUTED_VALUE"""),"➖")</f>
        <v>➖</v>
      </c>
      <c r="T178" s="288" t="str">
        <f>IFERROR(__xludf.DUMMYFUNCTION("""COMPUTED_VALUE"""),"SelfBattleship, SelfOfficerTalNotOnBridge")</f>
        <v>SelfBattleship, SelfOfficerTalNotOnBridge</v>
      </c>
      <c r="U178" s="288" t="str">
        <f>IFERROR(__xludf.DUMMYFUNCTION("""COMPUTED_VALUE"""),"➖")</f>
        <v>➖</v>
      </c>
      <c r="V178" s="288" t="str">
        <f>IFERROR(__xludf.DUMMYFUNCTION("""COMPUTED_VALUE"""),"➖")</f>
        <v>➖</v>
      </c>
      <c r="W178" s="306"/>
      <c r="X178" s="306"/>
      <c r="Y178" s="306"/>
    </row>
    <row r="179">
      <c r="A179" s="227"/>
      <c r="B179" s="128"/>
      <c r="C179" s="227"/>
      <c r="D179" s="301" t="str">
        <f>IFERROR(__xludf.DUMMYFUNCTION("""COMPUTED_VALUE"""),"   E")</f>
        <v>E</v>
      </c>
      <c r="E179" s="313" t="str">
        <f>IFERROR(__xludf.DUMMYFUNCTION("""COMPUTED_VALUE"""),"[PRO] Self-Replicating Mines")</f>
        <v>[PRO] Self-Replicating Mines</v>
      </c>
      <c r="F179" s="303">
        <f>IFERROR(__xludf.DUMMYFUNCTION("""COMPUTED_VALUE"""),2.0)</f>
        <v>2</v>
      </c>
      <c r="G179" s="281" t="str">
        <f>IFERROR(__xludf.DUMMYFUNCTION("""COMPUTED_VALUE"""),"FT")</f>
        <v>FT</v>
      </c>
      <c r="H179" s="281" t="str">
        <f>IFERROR(__xludf.DUMMYFUNCTION("""COMPUTED_VALUE"""),"✴️")</f>
        <v>✴️</v>
      </c>
      <c r="I179" s="281" t="str">
        <f>IFERROR(__xludf.DUMMYFUNCTION("""COMPUTED_VALUE"""),"✴️")</f>
        <v>✴️</v>
      </c>
      <c r="J179" s="281" t="str">
        <f>IFERROR(__xludf.DUMMYFUNCTION("""COMPUTED_VALUE"""),"➖")</f>
        <v>➖</v>
      </c>
      <c r="K179" s="282" t="str">
        <f>IFERROR(__xludf.DUMMYFUNCTION("""COMPUTED_VALUE"""),"➖")</f>
        <v>➖</v>
      </c>
      <c r="L179" s="282" t="str">
        <f>IFERROR(__xludf.DUMMYFUNCTION("""COMPUTED_VALUE"""),"➖")</f>
        <v>➖</v>
      </c>
      <c r="M179" s="282" t="str">
        <f>IFERROR(__xludf.DUMMYFUNCTION("""COMPUTED_VALUE"""),"➖")</f>
        <v>➖</v>
      </c>
      <c r="N179" s="282" t="str">
        <f>IFERROR(__xludf.DUMMYFUNCTION("""COMPUTED_VALUE"""),"➖")</f>
        <v>➖</v>
      </c>
      <c r="O179" s="282" t="str">
        <f>IFERROR(__xludf.DUMMYFUNCTION("""COMPUTED_VALUE"""),"➖")</f>
        <v>➖</v>
      </c>
      <c r="P179" s="282" t="str">
        <f>IFERROR(__xludf.DUMMYFUNCTION("""COMPUTED_VALUE"""),"➖")</f>
        <v>➖</v>
      </c>
      <c r="Q179" s="282" t="str">
        <f>IFERROR(__xludf.DUMMYFUNCTION("""COMPUTED_VALUE"""),"➖")</f>
        <v>➖</v>
      </c>
      <c r="R179" s="304" t="str">
        <f>IFERROR(__xludf.DUMMYFUNCTION("""COMPUTED_VALUE"""),"   ➖")</f>
        <v>➖</v>
      </c>
      <c r="S179" s="305" t="str">
        <f>IFERROR(__xludf.DUMMYFUNCTION("""COMPUTED_VALUE"""),"➖")</f>
        <v>➖</v>
      </c>
      <c r="T179" s="282" t="str">
        <f>IFERROR(__xludf.DUMMYFUNCTION("""COMPUTED_VALUE"""),"SelfBattleship")</f>
        <v>SelfBattleship</v>
      </c>
      <c r="U179" s="282" t="str">
        <f>IFERROR(__xludf.DUMMYFUNCTION("""COMPUTED_VALUE"""),"➖")</f>
        <v>➖</v>
      </c>
      <c r="V179" s="282" t="str">
        <f>IFERROR(__xludf.DUMMYFUNCTION("""COMPUTED_VALUE"""),"➖")</f>
        <v>➖</v>
      </c>
      <c r="W179" s="306"/>
      <c r="X179" s="306"/>
      <c r="Y179" s="306"/>
    </row>
    <row r="180">
      <c r="A180" s="227"/>
      <c r="B180" s="307"/>
      <c r="C180" s="227"/>
      <c r="D180" s="308" t="str">
        <f>IFERROR(__xludf.DUMMYFUNCTION("""COMPUTED_VALUE"""),"   E")</f>
        <v>E</v>
      </c>
      <c r="E180" s="309" t="str">
        <f>IFERROR(__xludf.DUMMYFUNCTION("""COMPUTED_VALUE"""),"[PRO] Self-Replicating Mines")</f>
        <v>[PRO] Self-Replicating Mines</v>
      </c>
      <c r="F180" s="310">
        <f>IFERROR(__xludf.DUMMYFUNCTION("""COMPUTED_VALUE"""),3.0)</f>
        <v>3</v>
      </c>
      <c r="G180" s="231" t="str">
        <f>IFERROR(__xludf.DUMMYFUNCTION("""COMPUTED_VALUE"""),"FT")</f>
        <v>FT</v>
      </c>
      <c r="H180" s="231" t="str">
        <f>IFERROR(__xludf.DUMMYFUNCTION("""COMPUTED_VALUE"""),"✴️")</f>
        <v>✴️</v>
      </c>
      <c r="I180" s="231" t="str">
        <f>IFERROR(__xludf.DUMMYFUNCTION("""COMPUTED_VALUE"""),"➖")</f>
        <v>➖</v>
      </c>
      <c r="J180" s="231" t="str">
        <f>IFERROR(__xludf.DUMMYFUNCTION("""COMPUTED_VALUE"""),"➖")</f>
        <v>➖</v>
      </c>
      <c r="K180" s="288" t="str">
        <f>IFERROR(__xludf.DUMMYFUNCTION("""COMPUTED_VALUE"""),"➖")</f>
        <v>➖</v>
      </c>
      <c r="L180" s="288" t="str">
        <f>IFERROR(__xludf.DUMMYFUNCTION("""COMPUTED_VALUE"""),"➖")</f>
        <v>➖</v>
      </c>
      <c r="M180" s="288" t="str">
        <f>IFERROR(__xludf.DUMMYFUNCTION("""COMPUTED_VALUE"""),"➖")</f>
        <v>➖</v>
      </c>
      <c r="N180" s="288" t="str">
        <f>IFERROR(__xludf.DUMMYFUNCTION("""COMPUTED_VALUE"""),"➖")</f>
        <v>➖</v>
      </c>
      <c r="O180" s="288" t="str">
        <f>IFERROR(__xludf.DUMMYFUNCTION("""COMPUTED_VALUE"""),"➖")</f>
        <v>➖</v>
      </c>
      <c r="P180" s="288" t="str">
        <f>IFERROR(__xludf.DUMMYFUNCTION("""COMPUTED_VALUE"""),"➖")</f>
        <v>➖</v>
      </c>
      <c r="Q180" s="288" t="str">
        <f>IFERROR(__xludf.DUMMYFUNCTION("""COMPUTED_VALUE"""),"➖")</f>
        <v>➖</v>
      </c>
      <c r="R180" s="311" t="str">
        <f>IFERROR(__xludf.DUMMYFUNCTION("""COMPUTED_VALUE"""),"   ➖")</f>
        <v>➖</v>
      </c>
      <c r="S180" s="312" t="str">
        <f>IFERROR(__xludf.DUMMYFUNCTION("""COMPUTED_VALUE"""),"➖")</f>
        <v>➖</v>
      </c>
      <c r="T180" s="288" t="str">
        <f>IFERROR(__xludf.DUMMYFUNCTION("""COMPUTED_VALUE"""),"SelfBattleship")</f>
        <v>SelfBattleship</v>
      </c>
      <c r="U180" s="288" t="str">
        <f>IFERROR(__xludf.DUMMYFUNCTION("""COMPUTED_VALUE"""),"➖")</f>
        <v>➖</v>
      </c>
      <c r="V180" s="288" t="str">
        <f>IFERROR(__xludf.DUMMYFUNCTION("""COMPUTED_VALUE"""),"➖")</f>
        <v>➖</v>
      </c>
      <c r="W180" s="306"/>
      <c r="X180" s="306"/>
      <c r="Y180" s="306"/>
    </row>
    <row r="181">
      <c r="A181" s="227"/>
      <c r="B181" s="128"/>
      <c r="C181" s="227"/>
      <c r="D181" s="301" t="str">
        <f>IFERROR(__xludf.DUMMYFUNCTION("""COMPUTED_VALUE"""),"   E")</f>
        <v>E</v>
      </c>
      <c r="E181" s="313" t="str">
        <f>IFERROR(__xludf.DUMMYFUNCTION("""COMPUTED_VALUE"""),"[PRO] Self-Replicating Mines")</f>
        <v>[PRO] Self-Replicating Mines</v>
      </c>
      <c r="F181" s="303">
        <f>IFERROR(__xludf.DUMMYFUNCTION("""COMPUTED_VALUE"""),4.0)</f>
        <v>4</v>
      </c>
      <c r="G181" s="281" t="str">
        <f>IFERROR(__xludf.DUMMYFUNCTION("""COMPUTED_VALUE"""),"FT")</f>
        <v>FT</v>
      </c>
      <c r="H181" s="281" t="str">
        <f>IFERROR(__xludf.DUMMYFUNCTION("""COMPUTED_VALUE"""),"✴️")</f>
        <v>✴️</v>
      </c>
      <c r="I181" s="281" t="str">
        <f>IFERROR(__xludf.DUMMYFUNCTION("""COMPUTED_VALUE"""),"✴️")</f>
        <v>✴️</v>
      </c>
      <c r="J181" s="281" t="str">
        <f>IFERROR(__xludf.DUMMYFUNCTION("""COMPUTED_VALUE"""),"➖")</f>
        <v>➖</v>
      </c>
      <c r="K181" s="282" t="str">
        <f>IFERROR(__xludf.DUMMYFUNCTION("""COMPUTED_VALUE"""),"➖")</f>
        <v>➖</v>
      </c>
      <c r="L181" s="282" t="str">
        <f>IFERROR(__xludf.DUMMYFUNCTION("""COMPUTED_VALUE"""),"➖")</f>
        <v>➖</v>
      </c>
      <c r="M181" s="282" t="str">
        <f>IFERROR(__xludf.DUMMYFUNCTION("""COMPUTED_VALUE"""),"➖")</f>
        <v>➖</v>
      </c>
      <c r="N181" s="282" t="str">
        <f>IFERROR(__xludf.DUMMYFUNCTION("""COMPUTED_VALUE"""),"➖")</f>
        <v>➖</v>
      </c>
      <c r="O181" s="282" t="str">
        <f>IFERROR(__xludf.DUMMYFUNCTION("""COMPUTED_VALUE"""),"➖")</f>
        <v>➖</v>
      </c>
      <c r="P181" s="282" t="str">
        <f>IFERROR(__xludf.DUMMYFUNCTION("""COMPUTED_VALUE"""),"➖")</f>
        <v>➖</v>
      </c>
      <c r="Q181" s="282" t="str">
        <f>IFERROR(__xludf.DUMMYFUNCTION("""COMPUTED_VALUE"""),"➖")</f>
        <v>➖</v>
      </c>
      <c r="R181" s="304" t="str">
        <f>IFERROR(__xludf.DUMMYFUNCTION("""COMPUTED_VALUE"""),"   ➖")</f>
        <v>➖</v>
      </c>
      <c r="S181" s="305" t="str">
        <f>IFERROR(__xludf.DUMMYFUNCTION("""COMPUTED_VALUE"""),"➖")</f>
        <v>➖</v>
      </c>
      <c r="T181" s="282" t="str">
        <f>IFERROR(__xludf.DUMMYFUNCTION("""COMPUTED_VALUE"""),"SelfBattleship")</f>
        <v>SelfBattleship</v>
      </c>
      <c r="U181" s="282" t="str">
        <f>IFERROR(__xludf.DUMMYFUNCTION("""COMPUTED_VALUE"""),"➖")</f>
        <v>➖</v>
      </c>
      <c r="V181" s="282" t="str">
        <f>IFERROR(__xludf.DUMMYFUNCTION("""COMPUTED_VALUE"""),"➖")</f>
        <v>➖</v>
      </c>
      <c r="W181" s="306"/>
      <c r="X181" s="306"/>
      <c r="Y181" s="306"/>
    </row>
    <row r="182">
      <c r="A182" s="227"/>
      <c r="B182" s="307"/>
      <c r="C182" s="227"/>
      <c r="D182" s="308" t="str">
        <f>IFERROR(__xludf.DUMMYFUNCTION("""COMPUTED_VALUE"""),"   E")</f>
        <v>E</v>
      </c>
      <c r="E182" s="309" t="str">
        <f>IFERROR(__xludf.DUMMYFUNCTION("""COMPUTED_VALUE"""),"[PRO] Harvester")</f>
        <v>[PRO] Harvester</v>
      </c>
      <c r="F182" s="310">
        <f>IFERROR(__xludf.DUMMYFUNCTION("""COMPUTED_VALUE"""),1.0)</f>
        <v>1</v>
      </c>
      <c r="G182" s="231" t="str">
        <f>IFERROR(__xludf.DUMMYFUNCTION("""COMPUTED_VALUE"""),"FT")</f>
        <v>FT</v>
      </c>
      <c r="H182" s="231" t="str">
        <f>IFERROR(__xludf.DUMMYFUNCTION("""COMPUTED_VALUE"""),"➖")</f>
        <v>➖</v>
      </c>
      <c r="I182" s="231" t="str">
        <f>IFERROR(__xludf.DUMMYFUNCTION("""COMPUTED_VALUE"""),"➖")</f>
        <v>➖</v>
      </c>
      <c r="J182" s="231" t="str">
        <f>IFERROR(__xludf.DUMMYFUNCTION("""COMPUTED_VALUE"""),"➖")</f>
        <v>➖</v>
      </c>
      <c r="K182" s="288" t="str">
        <f>IFERROR(__xludf.DUMMYFUNCTION("""COMPUTED_VALUE"""),"➖")</f>
        <v>➖</v>
      </c>
      <c r="L182" s="288" t="str">
        <f>IFERROR(__xludf.DUMMYFUNCTION("""COMPUTED_VALUE"""),"➖")</f>
        <v>➖</v>
      </c>
      <c r="M182" s="288" t="str">
        <f>IFERROR(__xludf.DUMMYFUNCTION("""COMPUTED_VALUE"""),"➖")</f>
        <v>➖</v>
      </c>
      <c r="N182" s="288" t="str">
        <f>IFERROR(__xludf.DUMMYFUNCTION("""COMPUTED_VALUE"""),"➖")</f>
        <v>➖</v>
      </c>
      <c r="O182" s="288" t="str">
        <f>IFERROR(__xludf.DUMMYFUNCTION("""COMPUTED_VALUE"""),"➖")</f>
        <v>➖</v>
      </c>
      <c r="P182" s="288" t="str">
        <f>IFERROR(__xludf.DUMMYFUNCTION("""COMPUTED_VALUE"""),"➖")</f>
        <v>➖</v>
      </c>
      <c r="Q182" s="288" t="str">
        <f>IFERROR(__xludf.DUMMYFUNCTION("""COMPUTED_VALUE"""),"➖")</f>
        <v>➖</v>
      </c>
      <c r="R182" s="311" t="str">
        <f>IFERROR(__xludf.DUMMYFUNCTION("""COMPUTED_VALUE"""),"   ➖")</f>
        <v>➖</v>
      </c>
      <c r="S182" s="312" t="str">
        <f>IFERROR(__xludf.DUMMYFUNCTION("""COMPUTED_VALUE"""),"➖")</f>
        <v>➖</v>
      </c>
      <c r="T182" s="288"/>
      <c r="U182" s="288" t="str">
        <f>IFERROR(__xludf.DUMMYFUNCTION("""COMPUTED_VALUE"""),"➖")</f>
        <v>➖</v>
      </c>
      <c r="V182" s="288" t="str">
        <f>IFERROR(__xludf.DUMMYFUNCTION("""COMPUTED_VALUE"""),"✅")</f>
        <v>✅</v>
      </c>
      <c r="W182" s="306"/>
      <c r="X182" s="306"/>
      <c r="Y182" s="306"/>
    </row>
    <row r="183">
      <c r="A183" s="227"/>
      <c r="B183" s="128"/>
      <c r="C183" s="227"/>
      <c r="D183" s="301" t="str">
        <f>IFERROR(__xludf.DUMMYFUNCTION("""COMPUTED_VALUE"""),"   E")</f>
        <v>E</v>
      </c>
      <c r="E183" s="313" t="str">
        <f>IFERROR(__xludf.DUMMYFUNCTION("""COMPUTED_VALUE"""),"[PRO] Harvester")</f>
        <v>[PRO] Harvester</v>
      </c>
      <c r="F183" s="303">
        <f>IFERROR(__xludf.DUMMYFUNCTION("""COMPUTED_VALUE"""),2.0)</f>
        <v>2</v>
      </c>
      <c r="G183" s="281" t="str">
        <f>IFERROR(__xludf.DUMMYFUNCTION("""COMPUTED_VALUE"""),"FT")</f>
        <v>FT</v>
      </c>
      <c r="H183" s="281" t="str">
        <f>IFERROR(__xludf.DUMMYFUNCTION("""COMPUTED_VALUE"""),"➖")</f>
        <v>➖</v>
      </c>
      <c r="I183" s="281" t="str">
        <f>IFERROR(__xludf.DUMMYFUNCTION("""COMPUTED_VALUE"""),"➖")</f>
        <v>➖</v>
      </c>
      <c r="J183" s="281" t="str">
        <f>IFERROR(__xludf.DUMMYFUNCTION("""COMPUTED_VALUE"""),"➖")</f>
        <v>➖</v>
      </c>
      <c r="K183" s="282" t="str">
        <f>IFERROR(__xludf.DUMMYFUNCTION("""COMPUTED_VALUE"""),"➖")</f>
        <v>➖</v>
      </c>
      <c r="L183" s="282" t="str">
        <f>IFERROR(__xludf.DUMMYFUNCTION("""COMPUTED_VALUE"""),"➖")</f>
        <v>➖</v>
      </c>
      <c r="M183" s="282" t="str">
        <f>IFERROR(__xludf.DUMMYFUNCTION("""COMPUTED_VALUE"""),"➖")</f>
        <v>➖</v>
      </c>
      <c r="N183" s="282" t="str">
        <f>IFERROR(__xludf.DUMMYFUNCTION("""COMPUTED_VALUE"""),"➖")</f>
        <v>➖</v>
      </c>
      <c r="O183" s="282" t="str">
        <f>IFERROR(__xludf.DUMMYFUNCTION("""COMPUTED_VALUE"""),"➖")</f>
        <v>➖</v>
      </c>
      <c r="P183" s="282" t="str">
        <f>IFERROR(__xludf.DUMMYFUNCTION("""COMPUTED_VALUE"""),"➖")</f>
        <v>➖</v>
      </c>
      <c r="Q183" s="282" t="str">
        <f>IFERROR(__xludf.DUMMYFUNCTION("""COMPUTED_VALUE"""),"➖")</f>
        <v>➖</v>
      </c>
      <c r="R183" s="304" t="str">
        <f>IFERROR(__xludf.DUMMYFUNCTION("""COMPUTED_VALUE"""),"   ➖")</f>
        <v>➖</v>
      </c>
      <c r="S183" s="305" t="str">
        <f>IFERROR(__xludf.DUMMYFUNCTION("""COMPUTED_VALUE"""),"➖")</f>
        <v>➖</v>
      </c>
      <c r="T183" s="282"/>
      <c r="U183" s="282" t="str">
        <f>IFERROR(__xludf.DUMMYFUNCTION("""COMPUTED_VALUE"""),"➖")</f>
        <v>➖</v>
      </c>
      <c r="V183" s="282" t="str">
        <f>IFERROR(__xludf.DUMMYFUNCTION("""COMPUTED_VALUE"""),"✅")</f>
        <v>✅</v>
      </c>
      <c r="W183" s="306"/>
      <c r="X183" s="306"/>
      <c r="Y183" s="306"/>
    </row>
    <row r="184">
      <c r="A184" s="227"/>
      <c r="B184" s="307"/>
      <c r="C184" s="227"/>
      <c r="D184" s="308" t="str">
        <f>IFERROR(__xludf.DUMMYFUNCTION("""COMPUTED_VALUE"""),"   E")</f>
        <v>E</v>
      </c>
      <c r="E184" s="309" t="str">
        <f>IFERROR(__xludf.DUMMYFUNCTION("""COMPUTED_VALUE"""),"[PRO] Harvester")</f>
        <v>[PRO] Harvester</v>
      </c>
      <c r="F184" s="310">
        <f>IFERROR(__xludf.DUMMYFUNCTION("""COMPUTED_VALUE"""),3.0)</f>
        <v>3</v>
      </c>
      <c r="G184" s="231" t="str">
        <f>IFERROR(__xludf.DUMMYFUNCTION("""COMPUTED_VALUE"""),"FT")</f>
        <v>FT</v>
      </c>
      <c r="H184" s="231" t="str">
        <f>IFERROR(__xludf.DUMMYFUNCTION("""COMPUTED_VALUE"""),"➖")</f>
        <v>➖</v>
      </c>
      <c r="I184" s="231" t="str">
        <f>IFERROR(__xludf.DUMMYFUNCTION("""COMPUTED_VALUE"""),"➖")</f>
        <v>➖</v>
      </c>
      <c r="J184" s="231" t="str">
        <f>IFERROR(__xludf.DUMMYFUNCTION("""COMPUTED_VALUE"""),"➖")</f>
        <v>➖</v>
      </c>
      <c r="K184" s="288" t="str">
        <f>IFERROR(__xludf.DUMMYFUNCTION("""COMPUTED_VALUE"""),"➖")</f>
        <v>➖</v>
      </c>
      <c r="L184" s="288" t="str">
        <f>IFERROR(__xludf.DUMMYFUNCTION("""COMPUTED_VALUE"""),"➖")</f>
        <v>➖</v>
      </c>
      <c r="M184" s="288" t="str">
        <f>IFERROR(__xludf.DUMMYFUNCTION("""COMPUTED_VALUE"""),"➖")</f>
        <v>➖</v>
      </c>
      <c r="N184" s="288" t="str">
        <f>IFERROR(__xludf.DUMMYFUNCTION("""COMPUTED_VALUE"""),"➖")</f>
        <v>➖</v>
      </c>
      <c r="O184" s="288" t="str">
        <f>IFERROR(__xludf.DUMMYFUNCTION("""COMPUTED_VALUE"""),"➖")</f>
        <v>➖</v>
      </c>
      <c r="P184" s="288" t="str">
        <f>IFERROR(__xludf.DUMMYFUNCTION("""COMPUTED_VALUE"""),"➖")</f>
        <v>➖</v>
      </c>
      <c r="Q184" s="288" t="str">
        <f>IFERROR(__xludf.DUMMYFUNCTION("""COMPUTED_VALUE"""),"➖")</f>
        <v>➖</v>
      </c>
      <c r="R184" s="311" t="str">
        <f>IFERROR(__xludf.DUMMYFUNCTION("""COMPUTED_VALUE"""),"   ➖")</f>
        <v>➖</v>
      </c>
      <c r="S184" s="312" t="str">
        <f>IFERROR(__xludf.DUMMYFUNCTION("""COMPUTED_VALUE"""),"➖")</f>
        <v>➖</v>
      </c>
      <c r="T184" s="288"/>
      <c r="U184" s="288" t="str">
        <f>IFERROR(__xludf.DUMMYFUNCTION("""COMPUTED_VALUE"""),"➖")</f>
        <v>➖</v>
      </c>
      <c r="V184" s="288" t="str">
        <f>IFERROR(__xludf.DUMMYFUNCTION("""COMPUTED_VALUE"""),"✅")</f>
        <v>✅</v>
      </c>
      <c r="W184" s="306"/>
      <c r="X184" s="306"/>
      <c r="Y184" s="306"/>
    </row>
    <row r="185">
      <c r="A185" s="227"/>
      <c r="B185" s="128"/>
      <c r="C185" s="227"/>
      <c r="D185" s="301" t="str">
        <f>IFERROR(__xludf.DUMMYFUNCTION("""COMPUTED_VALUE"""),"   E")</f>
        <v>E</v>
      </c>
      <c r="E185" s="313" t="str">
        <f>IFERROR(__xludf.DUMMYFUNCTION("""COMPUTED_VALUE"""),"[PRO] Harvester")</f>
        <v>[PRO] Harvester</v>
      </c>
      <c r="F185" s="303">
        <f>IFERROR(__xludf.DUMMYFUNCTION("""COMPUTED_VALUE"""),4.0)</f>
        <v>4</v>
      </c>
      <c r="G185" s="281" t="str">
        <f>IFERROR(__xludf.DUMMYFUNCTION("""COMPUTED_VALUE"""),"FT")</f>
        <v>FT</v>
      </c>
      <c r="H185" s="281" t="str">
        <f>IFERROR(__xludf.DUMMYFUNCTION("""COMPUTED_VALUE"""),"➖")</f>
        <v>➖</v>
      </c>
      <c r="I185" s="281" t="str">
        <f>IFERROR(__xludf.DUMMYFUNCTION("""COMPUTED_VALUE"""),"➖")</f>
        <v>➖</v>
      </c>
      <c r="J185" s="281" t="str">
        <f>IFERROR(__xludf.DUMMYFUNCTION("""COMPUTED_VALUE"""),"➖")</f>
        <v>➖</v>
      </c>
      <c r="K185" s="282" t="str">
        <f>IFERROR(__xludf.DUMMYFUNCTION("""COMPUTED_VALUE"""),"➖")</f>
        <v>➖</v>
      </c>
      <c r="L185" s="282" t="str">
        <f>IFERROR(__xludf.DUMMYFUNCTION("""COMPUTED_VALUE"""),"➖")</f>
        <v>➖</v>
      </c>
      <c r="M185" s="282" t="str">
        <f>IFERROR(__xludf.DUMMYFUNCTION("""COMPUTED_VALUE"""),"➖")</f>
        <v>➖</v>
      </c>
      <c r="N185" s="282" t="str">
        <f>IFERROR(__xludf.DUMMYFUNCTION("""COMPUTED_VALUE"""),"➖")</f>
        <v>➖</v>
      </c>
      <c r="O185" s="282" t="str">
        <f>IFERROR(__xludf.DUMMYFUNCTION("""COMPUTED_VALUE"""),"➖")</f>
        <v>➖</v>
      </c>
      <c r="P185" s="282" t="str">
        <f>IFERROR(__xludf.DUMMYFUNCTION("""COMPUTED_VALUE"""),"➖")</f>
        <v>➖</v>
      </c>
      <c r="Q185" s="282" t="str">
        <f>IFERROR(__xludf.DUMMYFUNCTION("""COMPUTED_VALUE"""),"➖")</f>
        <v>➖</v>
      </c>
      <c r="R185" s="304" t="str">
        <f>IFERROR(__xludf.DUMMYFUNCTION("""COMPUTED_VALUE"""),"   ➖")</f>
        <v>➖</v>
      </c>
      <c r="S185" s="305" t="str">
        <f>IFERROR(__xludf.DUMMYFUNCTION("""COMPUTED_VALUE"""),"➖")</f>
        <v>➖</v>
      </c>
      <c r="T185" s="282"/>
      <c r="U185" s="282" t="str">
        <f>IFERROR(__xludf.DUMMYFUNCTION("""COMPUTED_VALUE"""),"➖")</f>
        <v>➖</v>
      </c>
      <c r="V185" s="282" t="str">
        <f>IFERROR(__xludf.DUMMYFUNCTION("""COMPUTED_VALUE"""),"✅")</f>
        <v>✅</v>
      </c>
      <c r="W185" s="306"/>
      <c r="X185" s="306"/>
      <c r="Y185" s="306"/>
    </row>
    <row r="186">
      <c r="A186" s="227"/>
      <c r="B186" s="307"/>
      <c r="C186" s="227"/>
      <c r="D186" s="308" t="str">
        <f>IFERROR(__xludf.DUMMYFUNCTION("""COMPUTED_VALUE"""),"   R")</f>
        <v>R</v>
      </c>
      <c r="E186" s="309" t="str">
        <f>IFERROR(__xludf.DUMMYFUNCTION("""COMPUTED_VALUE"""),"[PRO] Orion Syndicate Bomb")</f>
        <v>[PRO] Orion Syndicate Bomb</v>
      </c>
      <c r="F186" s="310">
        <f>IFERROR(__xludf.DUMMYFUNCTION("""COMPUTED_VALUE"""),1.0)</f>
        <v>1</v>
      </c>
      <c r="G186" s="231" t="str">
        <f>IFERROR(__xludf.DUMMYFUNCTION("""COMPUTED_VALUE"""),"FT")</f>
        <v>FT</v>
      </c>
      <c r="H186" s="231" t="str">
        <f>IFERROR(__xludf.DUMMYFUNCTION("""COMPUTED_VALUE"""),"➖")</f>
        <v>➖</v>
      </c>
      <c r="I186" s="231" t="str">
        <f>IFERROR(__xludf.DUMMYFUNCTION("""COMPUTED_VALUE"""),"➖")</f>
        <v>➖</v>
      </c>
      <c r="J186" s="231" t="str">
        <f>IFERROR(__xludf.DUMMYFUNCTION("""COMPUTED_VALUE"""),"➖")</f>
        <v>➖</v>
      </c>
      <c r="K186" s="288" t="str">
        <f>IFERROR(__xludf.DUMMYFUNCTION("""COMPUTED_VALUE"""),"➖")</f>
        <v>➖</v>
      </c>
      <c r="L186" s="288" t="str">
        <f>IFERROR(__xludf.DUMMYFUNCTION("""COMPUTED_VALUE"""),"➖")</f>
        <v>➖</v>
      </c>
      <c r="M186" s="288" t="str">
        <f>IFERROR(__xludf.DUMMYFUNCTION("""COMPUTED_VALUE"""),"➖")</f>
        <v>➖</v>
      </c>
      <c r="N186" s="288" t="str">
        <f>IFERROR(__xludf.DUMMYFUNCTION("""COMPUTED_VALUE"""),"➖")</f>
        <v>➖</v>
      </c>
      <c r="O186" s="288" t="str">
        <f>IFERROR(__xludf.DUMMYFUNCTION("""COMPUTED_VALUE"""),"➖")</f>
        <v>➖</v>
      </c>
      <c r="P186" s="288" t="str">
        <f>IFERROR(__xludf.DUMMYFUNCTION("""COMPUTED_VALUE"""),"➖")</f>
        <v>➖</v>
      </c>
      <c r="Q186" s="288" t="str">
        <f>IFERROR(__xludf.DUMMYFUNCTION("""COMPUTED_VALUE"""),"➖")</f>
        <v>➖</v>
      </c>
      <c r="R186" s="311" t="str">
        <f>IFERROR(__xludf.DUMMYFUNCTION("""COMPUTED_VALUE"""),"   ➖")</f>
        <v>➖</v>
      </c>
      <c r="S186" s="312" t="str">
        <f>IFERROR(__xludf.DUMMYFUNCTION("""COMPUTED_VALUE"""),"➖")</f>
        <v>➖</v>
      </c>
      <c r="T186" s="288"/>
      <c r="U186" s="288" t="str">
        <f>IFERROR(__xludf.DUMMYFUNCTION("""COMPUTED_VALUE"""),"➖")</f>
        <v>➖</v>
      </c>
      <c r="V186" s="288" t="str">
        <f>IFERROR(__xludf.DUMMYFUNCTION("""COMPUTED_VALUE"""),"✅")</f>
        <v>✅</v>
      </c>
      <c r="W186" s="306"/>
      <c r="X186" s="306"/>
      <c r="Y186" s="306"/>
    </row>
    <row r="187">
      <c r="A187" s="227"/>
      <c r="B187" s="128"/>
      <c r="C187" s="227"/>
      <c r="D187" s="301" t="str">
        <f>IFERROR(__xludf.DUMMYFUNCTION("""COMPUTED_VALUE"""),"   R")</f>
        <v>R</v>
      </c>
      <c r="E187" s="313" t="str">
        <f>IFERROR(__xludf.DUMMYFUNCTION("""COMPUTED_VALUE"""),"[PRO] Orion Syndicate Bomb")</f>
        <v>[PRO] Orion Syndicate Bomb</v>
      </c>
      <c r="F187" s="303">
        <f>IFERROR(__xludf.DUMMYFUNCTION("""COMPUTED_VALUE"""),2.0)</f>
        <v>2</v>
      </c>
      <c r="G187" s="281" t="str">
        <f>IFERROR(__xludf.DUMMYFUNCTION("""COMPUTED_VALUE"""),"FT")</f>
        <v>FT</v>
      </c>
      <c r="H187" s="281" t="str">
        <f>IFERROR(__xludf.DUMMYFUNCTION("""COMPUTED_VALUE"""),"➖")</f>
        <v>➖</v>
      </c>
      <c r="I187" s="281" t="str">
        <f>IFERROR(__xludf.DUMMYFUNCTION("""COMPUTED_VALUE"""),"➖")</f>
        <v>➖</v>
      </c>
      <c r="J187" s="281" t="str">
        <f>IFERROR(__xludf.DUMMYFUNCTION("""COMPUTED_VALUE"""),"➖")</f>
        <v>➖</v>
      </c>
      <c r="K187" s="282" t="str">
        <f>IFERROR(__xludf.DUMMYFUNCTION("""COMPUTED_VALUE"""),"➖")</f>
        <v>➖</v>
      </c>
      <c r="L187" s="282" t="str">
        <f>IFERROR(__xludf.DUMMYFUNCTION("""COMPUTED_VALUE"""),"➖")</f>
        <v>➖</v>
      </c>
      <c r="M187" s="282" t="str">
        <f>IFERROR(__xludf.DUMMYFUNCTION("""COMPUTED_VALUE"""),"➖")</f>
        <v>➖</v>
      </c>
      <c r="N187" s="282" t="str">
        <f>IFERROR(__xludf.DUMMYFUNCTION("""COMPUTED_VALUE"""),"➖")</f>
        <v>➖</v>
      </c>
      <c r="O187" s="282" t="str">
        <f>IFERROR(__xludf.DUMMYFUNCTION("""COMPUTED_VALUE"""),"➖")</f>
        <v>➖</v>
      </c>
      <c r="P187" s="282" t="str">
        <f>IFERROR(__xludf.DUMMYFUNCTION("""COMPUTED_VALUE"""),"➖")</f>
        <v>➖</v>
      </c>
      <c r="Q187" s="282" t="str">
        <f>IFERROR(__xludf.DUMMYFUNCTION("""COMPUTED_VALUE"""),"➖")</f>
        <v>➖</v>
      </c>
      <c r="R187" s="304" t="str">
        <f>IFERROR(__xludf.DUMMYFUNCTION("""COMPUTED_VALUE"""),"   ➖")</f>
        <v>➖</v>
      </c>
      <c r="S187" s="305" t="str">
        <f>IFERROR(__xludf.DUMMYFUNCTION("""COMPUTED_VALUE"""),"➖")</f>
        <v>➖</v>
      </c>
      <c r="T187" s="282"/>
      <c r="U187" s="282" t="str">
        <f>IFERROR(__xludf.DUMMYFUNCTION("""COMPUTED_VALUE"""),"➖")</f>
        <v>➖</v>
      </c>
      <c r="V187" s="282" t="str">
        <f>IFERROR(__xludf.DUMMYFUNCTION("""COMPUTED_VALUE"""),"✅")</f>
        <v>✅</v>
      </c>
      <c r="W187" s="306"/>
      <c r="X187" s="306"/>
      <c r="Y187" s="306"/>
    </row>
    <row r="188">
      <c r="A188" s="227"/>
      <c r="B188" s="307"/>
      <c r="C188" s="227"/>
      <c r="D188" s="308" t="str">
        <f>IFERROR(__xludf.DUMMYFUNCTION("""COMPUTED_VALUE"""),"   R")</f>
        <v>R</v>
      </c>
      <c r="E188" s="309" t="str">
        <f>IFERROR(__xludf.DUMMYFUNCTION("""COMPUTED_VALUE"""),"[PRO] Orion Syndicate Bomb")</f>
        <v>[PRO] Orion Syndicate Bomb</v>
      </c>
      <c r="F188" s="310">
        <f>IFERROR(__xludf.DUMMYFUNCTION("""COMPUTED_VALUE"""),3.0)</f>
        <v>3</v>
      </c>
      <c r="G188" s="231" t="str">
        <f>IFERROR(__xludf.DUMMYFUNCTION("""COMPUTED_VALUE"""),"FT")</f>
        <v>FT</v>
      </c>
      <c r="H188" s="231" t="str">
        <f>IFERROR(__xludf.DUMMYFUNCTION("""COMPUTED_VALUE"""),"➖")</f>
        <v>➖</v>
      </c>
      <c r="I188" s="231" t="str">
        <f>IFERROR(__xludf.DUMMYFUNCTION("""COMPUTED_VALUE"""),"➖")</f>
        <v>➖</v>
      </c>
      <c r="J188" s="231" t="str">
        <f>IFERROR(__xludf.DUMMYFUNCTION("""COMPUTED_VALUE"""),"✴️")</f>
        <v>✴️</v>
      </c>
      <c r="K188" s="288" t="str">
        <f>IFERROR(__xludf.DUMMYFUNCTION("""COMPUTED_VALUE"""),"➖")</f>
        <v>➖</v>
      </c>
      <c r="L188" s="288" t="str">
        <f>IFERROR(__xludf.DUMMYFUNCTION("""COMPUTED_VALUE"""),"➖")</f>
        <v>➖</v>
      </c>
      <c r="M188" s="288" t="str">
        <f>IFERROR(__xludf.DUMMYFUNCTION("""COMPUTED_VALUE"""),"➖")</f>
        <v>➖</v>
      </c>
      <c r="N188" s="288" t="str">
        <f>IFERROR(__xludf.DUMMYFUNCTION("""COMPUTED_VALUE"""),"✴️")</f>
        <v>✴️</v>
      </c>
      <c r="O188" s="288" t="str">
        <f>IFERROR(__xludf.DUMMYFUNCTION("""COMPUTED_VALUE"""),"✴️")</f>
        <v>✴️</v>
      </c>
      <c r="P188" s="288" t="str">
        <f>IFERROR(__xludf.DUMMYFUNCTION("""COMPUTED_VALUE"""),"➖")</f>
        <v>➖</v>
      </c>
      <c r="Q188" s="288" t="str">
        <f>IFERROR(__xludf.DUMMYFUNCTION("""COMPUTED_VALUE"""),"➖")</f>
        <v>➖</v>
      </c>
      <c r="R188" s="311" t="str">
        <f>IFERROR(__xludf.DUMMYFUNCTION("""COMPUTED_VALUE"""),"   ➖")</f>
        <v>➖</v>
      </c>
      <c r="S188" s="312" t="str">
        <f>IFERROR(__xludf.DUMMYFUNCTION("""COMPUTED_VALUE"""),"➖")</f>
        <v>➖</v>
      </c>
      <c r="T188" s="288" t="str">
        <f>IFERROR(__xludf.DUMMYFUNCTION("""COMPUTED_VALUE"""),"FactionPointsGain")</f>
        <v>FactionPointsGain</v>
      </c>
      <c r="U188" s="288" t="str">
        <f>IFERROR(__xludf.DUMMYFUNCTION("""COMPUTED_VALUE"""),"✅")</f>
        <v>✅</v>
      </c>
      <c r="V188" s="288" t="str">
        <f>IFERROR(__xludf.DUMMYFUNCTION("""COMPUTED_VALUE"""),"➖")</f>
        <v>➖</v>
      </c>
      <c r="W188" s="306"/>
      <c r="X188" s="306"/>
      <c r="Y188" s="306"/>
    </row>
    <row r="189">
      <c r="A189" s="227"/>
      <c r="B189" s="128"/>
      <c r="C189" s="227"/>
      <c r="D189" s="301" t="str">
        <f>IFERROR(__xludf.DUMMYFUNCTION("""COMPUTED_VALUE"""),"   R")</f>
        <v>R</v>
      </c>
      <c r="E189" s="313" t="str">
        <f>IFERROR(__xludf.DUMMYFUNCTION("""COMPUTED_VALUE"""),"[PRO] Orion Syndicate Bomb")</f>
        <v>[PRO] Orion Syndicate Bomb</v>
      </c>
      <c r="F189" s="303">
        <f>IFERROR(__xludf.DUMMYFUNCTION("""COMPUTED_VALUE"""),4.0)</f>
        <v>4</v>
      </c>
      <c r="G189" s="281" t="str">
        <f>IFERROR(__xludf.DUMMYFUNCTION("""COMPUTED_VALUE"""),"FT")</f>
        <v>FT</v>
      </c>
      <c r="H189" s="281" t="str">
        <f>IFERROR(__xludf.DUMMYFUNCTION("""COMPUTED_VALUE"""),"➖")</f>
        <v>➖</v>
      </c>
      <c r="I189" s="281" t="str">
        <f>IFERROR(__xludf.DUMMYFUNCTION("""COMPUTED_VALUE"""),"➖")</f>
        <v>➖</v>
      </c>
      <c r="J189" s="281" t="str">
        <f>IFERROR(__xludf.DUMMYFUNCTION("""COMPUTED_VALUE"""),"✅")</f>
        <v>✅</v>
      </c>
      <c r="K189" s="282" t="str">
        <f>IFERROR(__xludf.DUMMYFUNCTION("""COMPUTED_VALUE"""),"➖")</f>
        <v>➖</v>
      </c>
      <c r="L189" s="282" t="str">
        <f>IFERROR(__xludf.DUMMYFUNCTION("""COMPUTED_VALUE"""),"➖")</f>
        <v>➖</v>
      </c>
      <c r="M189" s="282" t="str">
        <f>IFERROR(__xludf.DUMMYFUNCTION("""COMPUTED_VALUE"""),"➖")</f>
        <v>➖</v>
      </c>
      <c r="N189" s="282" t="str">
        <f>IFERROR(__xludf.DUMMYFUNCTION("""COMPUTED_VALUE"""),"➖")</f>
        <v>➖</v>
      </c>
      <c r="O189" s="282" t="str">
        <f>IFERROR(__xludf.DUMMYFUNCTION("""COMPUTED_VALUE"""),"➖")</f>
        <v>➖</v>
      </c>
      <c r="P189" s="282" t="str">
        <f>IFERROR(__xludf.DUMMYFUNCTION("""COMPUTED_VALUE"""),"➖")</f>
        <v>➖</v>
      </c>
      <c r="Q189" s="282" t="str">
        <f>IFERROR(__xludf.DUMMYFUNCTION("""COMPUTED_VALUE"""),"➖")</f>
        <v>➖</v>
      </c>
      <c r="R189" s="304" t="str">
        <f>IFERROR(__xludf.DUMMYFUNCTION("""COMPUTED_VALUE"""),"   ➖")</f>
        <v>➖</v>
      </c>
      <c r="S189" s="305" t="str">
        <f>IFERROR(__xludf.DUMMYFUNCTION("""COMPUTED_VALUE"""),"➖")</f>
        <v>➖</v>
      </c>
      <c r="T189" s="282"/>
      <c r="U189" s="282" t="str">
        <f>IFERROR(__xludf.DUMMYFUNCTION("""COMPUTED_VALUE"""),"✅")</f>
        <v>✅</v>
      </c>
      <c r="V189" s="282" t="str">
        <f>IFERROR(__xludf.DUMMYFUNCTION("""COMPUTED_VALUE"""),"➖")</f>
        <v>➖</v>
      </c>
      <c r="W189" s="306"/>
      <c r="X189" s="306"/>
      <c r="Y189" s="306"/>
    </row>
    <row r="190">
      <c r="A190" s="227"/>
      <c r="B190" s="307"/>
      <c r="C190" s="227"/>
      <c r="D190" s="308" t="str">
        <f>IFERROR(__xludf.DUMMYFUNCTION("""COMPUTED_VALUE"""),"   E")</f>
        <v>E</v>
      </c>
      <c r="E190" s="309" t="str">
        <f>IFERROR(__xludf.DUMMYFUNCTION("""COMPUTED_VALUE"""),"Bio-mimetic Gel")</f>
        <v>Bio-mimetic Gel</v>
      </c>
      <c r="F190" s="310">
        <f>IFERROR(__xludf.DUMMYFUNCTION("""COMPUTED_VALUE"""),1.0)</f>
        <v>1</v>
      </c>
      <c r="G190" s="231" t="str">
        <f>IFERROR(__xludf.DUMMYFUNCTION("""COMPUTED_VALUE"""),"CT")</f>
        <v>CT</v>
      </c>
      <c r="H190" s="231" t="str">
        <f>IFERROR(__xludf.DUMMYFUNCTION("""COMPUTED_VALUE"""),"✅")</f>
        <v>✅</v>
      </c>
      <c r="I190" s="231" t="str">
        <f>IFERROR(__xludf.DUMMYFUNCTION("""COMPUTED_VALUE"""),"✅")</f>
        <v>✅</v>
      </c>
      <c r="J190" s="231" t="str">
        <f>IFERROR(__xludf.DUMMYFUNCTION("""COMPUTED_VALUE"""),"➖")</f>
        <v>➖</v>
      </c>
      <c r="K190" s="288" t="str">
        <f>IFERROR(__xludf.DUMMYFUNCTION("""COMPUTED_VALUE"""),"➖")</f>
        <v>➖</v>
      </c>
      <c r="L190" s="288" t="str">
        <f>IFERROR(__xludf.DUMMYFUNCTION("""COMPUTED_VALUE"""),"➖")</f>
        <v>➖</v>
      </c>
      <c r="M190" s="288" t="str">
        <f>IFERROR(__xludf.DUMMYFUNCTION("""COMPUTED_VALUE"""),"➖")</f>
        <v>➖</v>
      </c>
      <c r="N190" s="288" t="str">
        <f>IFERROR(__xludf.DUMMYFUNCTION("""COMPUTED_VALUE"""),"➖")</f>
        <v>➖</v>
      </c>
      <c r="O190" s="288" t="str">
        <f>IFERROR(__xludf.DUMMYFUNCTION("""COMPUTED_VALUE"""),"➖")</f>
        <v>➖</v>
      </c>
      <c r="P190" s="288" t="str">
        <f>IFERROR(__xludf.DUMMYFUNCTION("""COMPUTED_VALUE"""),"➖")</f>
        <v>➖</v>
      </c>
      <c r="Q190" s="288" t="str">
        <f>IFERROR(__xludf.DUMMYFUNCTION("""COMPUTED_VALUE"""),"➖")</f>
        <v>➖</v>
      </c>
      <c r="R190" s="311" t="str">
        <f>IFERROR(__xludf.DUMMYFUNCTION("""COMPUTED_VALUE"""),"   ➖")</f>
        <v>➖</v>
      </c>
      <c r="S190" s="312" t="str">
        <f>IFERROR(__xludf.DUMMYFUNCTION("""COMPUTED_VALUE"""),"➖")</f>
        <v>➖</v>
      </c>
      <c r="T190" s="288"/>
      <c r="U190" s="288" t="str">
        <f>IFERROR(__xludf.DUMMYFUNCTION("""COMPUTED_VALUE"""),"➖")</f>
        <v>➖</v>
      </c>
      <c r="V190" s="288" t="str">
        <f>IFERROR(__xludf.DUMMYFUNCTION("""COMPUTED_VALUE"""),"➖")</f>
        <v>➖</v>
      </c>
      <c r="W190" s="306"/>
      <c r="X190" s="306"/>
      <c r="Y190" s="306"/>
    </row>
    <row r="191">
      <c r="A191" s="227"/>
      <c r="B191" s="128"/>
      <c r="C191" s="227"/>
      <c r="D191" s="301" t="str">
        <f>IFERROR(__xludf.DUMMYFUNCTION("""COMPUTED_VALUE"""),"   E")</f>
        <v>E</v>
      </c>
      <c r="E191" s="313" t="str">
        <f>IFERROR(__xludf.DUMMYFUNCTION("""COMPUTED_VALUE"""),"Bio-mimetic Gel")</f>
        <v>Bio-mimetic Gel</v>
      </c>
      <c r="F191" s="303">
        <f>IFERROR(__xludf.DUMMYFUNCTION("""COMPUTED_VALUE"""),2.0)</f>
        <v>2</v>
      </c>
      <c r="G191" s="281" t="str">
        <f>IFERROR(__xludf.DUMMYFUNCTION("""COMPUTED_VALUE"""),"CT")</f>
        <v>CT</v>
      </c>
      <c r="H191" s="281" t="str">
        <f>IFERROR(__xludf.DUMMYFUNCTION("""COMPUTED_VALUE"""),"✅")</f>
        <v>✅</v>
      </c>
      <c r="I191" s="281" t="str">
        <f>IFERROR(__xludf.DUMMYFUNCTION("""COMPUTED_VALUE"""),"✅")</f>
        <v>✅</v>
      </c>
      <c r="J191" s="281" t="str">
        <f>IFERROR(__xludf.DUMMYFUNCTION("""COMPUTED_VALUE"""),"➖")</f>
        <v>➖</v>
      </c>
      <c r="K191" s="282" t="str">
        <f>IFERROR(__xludf.DUMMYFUNCTION("""COMPUTED_VALUE"""),"➖")</f>
        <v>➖</v>
      </c>
      <c r="L191" s="282" t="str">
        <f>IFERROR(__xludf.DUMMYFUNCTION("""COMPUTED_VALUE"""),"➖")</f>
        <v>➖</v>
      </c>
      <c r="M191" s="282" t="str">
        <f>IFERROR(__xludf.DUMMYFUNCTION("""COMPUTED_VALUE"""),"➖")</f>
        <v>➖</v>
      </c>
      <c r="N191" s="282" t="str">
        <f>IFERROR(__xludf.DUMMYFUNCTION("""COMPUTED_VALUE"""),"➖")</f>
        <v>➖</v>
      </c>
      <c r="O191" s="282" t="str">
        <f>IFERROR(__xludf.DUMMYFUNCTION("""COMPUTED_VALUE"""),"➖")</f>
        <v>➖</v>
      </c>
      <c r="P191" s="282" t="str">
        <f>IFERROR(__xludf.DUMMYFUNCTION("""COMPUTED_VALUE"""),"➖")</f>
        <v>➖</v>
      </c>
      <c r="Q191" s="282" t="str">
        <f>IFERROR(__xludf.DUMMYFUNCTION("""COMPUTED_VALUE"""),"➖")</f>
        <v>➖</v>
      </c>
      <c r="R191" s="304" t="str">
        <f>IFERROR(__xludf.DUMMYFUNCTION("""COMPUTED_VALUE"""),"   ➖")</f>
        <v>➖</v>
      </c>
      <c r="S191" s="305" t="str">
        <f>IFERROR(__xludf.DUMMYFUNCTION("""COMPUTED_VALUE"""),"➖")</f>
        <v>➖</v>
      </c>
      <c r="T191" s="282"/>
      <c r="U191" s="282" t="str">
        <f>IFERROR(__xludf.DUMMYFUNCTION("""COMPUTED_VALUE"""),"➖")</f>
        <v>➖</v>
      </c>
      <c r="V191" s="282" t="str">
        <f>IFERROR(__xludf.DUMMYFUNCTION("""COMPUTED_VALUE"""),"➖")</f>
        <v>➖</v>
      </c>
      <c r="W191" s="306"/>
      <c r="X191" s="306"/>
      <c r="Y191" s="306"/>
    </row>
    <row r="192">
      <c r="A192" s="227"/>
      <c r="B192" s="307"/>
      <c r="C192" s="227"/>
      <c r="D192" s="308" t="str">
        <f>IFERROR(__xludf.DUMMYFUNCTION("""COMPUTED_VALUE"""),"   E")</f>
        <v>E</v>
      </c>
      <c r="E192" s="309" t="str">
        <f>IFERROR(__xludf.DUMMYFUNCTION("""COMPUTED_VALUE"""),"Bio-mimetic Gel")</f>
        <v>Bio-mimetic Gel</v>
      </c>
      <c r="F192" s="310">
        <f>IFERROR(__xludf.DUMMYFUNCTION("""COMPUTED_VALUE"""),3.0)</f>
        <v>3</v>
      </c>
      <c r="G192" s="231" t="str">
        <f>IFERROR(__xludf.DUMMYFUNCTION("""COMPUTED_VALUE"""),"CT")</f>
        <v>CT</v>
      </c>
      <c r="H192" s="231" t="str">
        <f>IFERROR(__xludf.DUMMYFUNCTION("""COMPUTED_VALUE"""),"✴️")</f>
        <v>✴️</v>
      </c>
      <c r="I192" s="231" t="str">
        <f>IFERROR(__xludf.DUMMYFUNCTION("""COMPUTED_VALUE"""),"✴️")</f>
        <v>✴️</v>
      </c>
      <c r="J192" s="231" t="str">
        <f>IFERROR(__xludf.DUMMYFUNCTION("""COMPUTED_VALUE"""),"➖")</f>
        <v>➖</v>
      </c>
      <c r="K192" s="288" t="str">
        <f>IFERROR(__xludf.DUMMYFUNCTION("""COMPUTED_VALUE"""),"➖")</f>
        <v>➖</v>
      </c>
      <c r="L192" s="288" t="str">
        <f>IFERROR(__xludf.DUMMYFUNCTION("""COMPUTED_VALUE"""),"➖")</f>
        <v>➖</v>
      </c>
      <c r="M192" s="288" t="str">
        <f>IFERROR(__xludf.DUMMYFUNCTION("""COMPUTED_VALUE"""),"➖")</f>
        <v>➖</v>
      </c>
      <c r="N192" s="288" t="str">
        <f>IFERROR(__xludf.DUMMYFUNCTION("""COMPUTED_VALUE"""),"➖")</f>
        <v>➖</v>
      </c>
      <c r="O192" s="288" t="str">
        <f>IFERROR(__xludf.DUMMYFUNCTION("""COMPUTED_VALUE"""),"➖")</f>
        <v>➖</v>
      </c>
      <c r="P192" s="288" t="str">
        <f>IFERROR(__xludf.DUMMYFUNCTION("""COMPUTED_VALUE"""),"➖")</f>
        <v>➖</v>
      </c>
      <c r="Q192" s="288" t="str">
        <f>IFERROR(__xludf.DUMMYFUNCTION("""COMPUTED_VALUE"""),"➖")</f>
        <v>➖</v>
      </c>
      <c r="R192" s="311" t="str">
        <f>IFERROR(__xludf.DUMMYFUNCTION("""COMPUTED_VALUE"""),"   ➖")</f>
        <v>➖</v>
      </c>
      <c r="S192" s="312" t="str">
        <f>IFERROR(__xludf.DUMMYFUNCTION("""COMPUTED_VALUE"""),"➖")</f>
        <v>➖</v>
      </c>
      <c r="T192" s="288" t="str">
        <f>IFERROR(__xludf.DUMMYFUNCTION("""COMPUTED_VALUE"""),"SelfOfficerTalNotOnBridge")</f>
        <v>SelfOfficerTalNotOnBridge</v>
      </c>
      <c r="U192" s="288" t="str">
        <f>IFERROR(__xludf.DUMMYFUNCTION("""COMPUTED_VALUE"""),"➖")</f>
        <v>➖</v>
      </c>
      <c r="V192" s="288" t="str">
        <f>IFERROR(__xludf.DUMMYFUNCTION("""COMPUTED_VALUE"""),"➖")</f>
        <v>➖</v>
      </c>
      <c r="W192" s="306"/>
      <c r="X192" s="306"/>
      <c r="Y192" s="306"/>
    </row>
    <row r="193">
      <c r="A193" s="227"/>
      <c r="B193" s="128"/>
      <c r="C193" s="227"/>
      <c r="D193" s="301" t="str">
        <f>IFERROR(__xludf.DUMMYFUNCTION("""COMPUTED_VALUE"""),"   R")</f>
        <v>R</v>
      </c>
      <c r="E193" s="313" t="str">
        <f>IFERROR(__xludf.DUMMYFUNCTION("""COMPUTED_VALUE"""),"Particle Synthesis")</f>
        <v>Particle Synthesis</v>
      </c>
      <c r="F193" s="303">
        <f>IFERROR(__xludf.DUMMYFUNCTION("""COMPUTED_VALUE"""),1.0)</f>
        <v>1</v>
      </c>
      <c r="G193" s="281" t="str">
        <f>IFERROR(__xludf.DUMMYFUNCTION("""COMPUTED_VALUE"""),"CT")</f>
        <v>CT</v>
      </c>
      <c r="H193" s="281" t="str">
        <f>IFERROR(__xludf.DUMMYFUNCTION("""COMPUTED_VALUE"""),"➖")</f>
        <v>➖</v>
      </c>
      <c r="I193" s="281" t="str">
        <f>IFERROR(__xludf.DUMMYFUNCTION("""COMPUTED_VALUE"""),"➖")</f>
        <v>➖</v>
      </c>
      <c r="J193" s="281" t="str">
        <f>IFERROR(__xludf.DUMMYFUNCTION("""COMPUTED_VALUE"""),"➖")</f>
        <v>➖</v>
      </c>
      <c r="K193" s="282" t="str">
        <f>IFERROR(__xludf.DUMMYFUNCTION("""COMPUTED_VALUE"""),"➖")</f>
        <v>➖</v>
      </c>
      <c r="L193" s="282" t="str">
        <f>IFERROR(__xludf.DUMMYFUNCTION("""COMPUTED_VALUE"""),"➖")</f>
        <v>➖</v>
      </c>
      <c r="M193" s="282" t="str">
        <f>IFERROR(__xludf.DUMMYFUNCTION("""COMPUTED_VALUE"""),"➖")</f>
        <v>➖</v>
      </c>
      <c r="N193" s="282" t="str">
        <f>IFERROR(__xludf.DUMMYFUNCTION("""COMPUTED_VALUE"""),"➖")</f>
        <v>➖</v>
      </c>
      <c r="O193" s="282" t="str">
        <f>IFERROR(__xludf.DUMMYFUNCTION("""COMPUTED_VALUE"""),"➖")</f>
        <v>➖</v>
      </c>
      <c r="P193" s="282" t="str">
        <f>IFERROR(__xludf.DUMMYFUNCTION("""COMPUTED_VALUE"""),"➖")</f>
        <v>➖</v>
      </c>
      <c r="Q193" s="282" t="str">
        <f>IFERROR(__xludf.DUMMYFUNCTION("""COMPUTED_VALUE"""),"➖")</f>
        <v>➖</v>
      </c>
      <c r="R193" s="304" t="str">
        <f>IFERROR(__xludf.DUMMYFUNCTION("""COMPUTED_VALUE"""),"   ➖")</f>
        <v>➖</v>
      </c>
      <c r="S193" s="305" t="str">
        <f>IFERROR(__xludf.DUMMYFUNCTION("""COMPUTED_VALUE"""),"➖")</f>
        <v>➖</v>
      </c>
      <c r="T193" s="282"/>
      <c r="U193" s="282" t="str">
        <f>IFERROR(__xludf.DUMMYFUNCTION("""COMPUTED_VALUE"""),"➖")</f>
        <v>➖</v>
      </c>
      <c r="V193" s="282" t="str">
        <f>IFERROR(__xludf.DUMMYFUNCTION("""COMPUTED_VALUE"""),"✅")</f>
        <v>✅</v>
      </c>
      <c r="W193" s="306"/>
      <c r="X193" s="306"/>
      <c r="Y193" s="306"/>
    </row>
    <row r="194">
      <c r="A194" s="227"/>
      <c r="B194" s="307"/>
      <c r="C194" s="227"/>
      <c r="D194" s="308" t="str">
        <f>IFERROR(__xludf.DUMMYFUNCTION("""COMPUTED_VALUE"""),"   R")</f>
        <v>R</v>
      </c>
      <c r="E194" s="309" t="str">
        <f>IFERROR(__xludf.DUMMYFUNCTION("""COMPUTED_VALUE"""),"Particle Synthesis")</f>
        <v>Particle Synthesis</v>
      </c>
      <c r="F194" s="310">
        <f>IFERROR(__xludf.DUMMYFUNCTION("""COMPUTED_VALUE"""),2.0)</f>
        <v>2</v>
      </c>
      <c r="G194" s="231" t="str">
        <f>IFERROR(__xludf.DUMMYFUNCTION("""COMPUTED_VALUE"""),"CT")</f>
        <v>CT</v>
      </c>
      <c r="H194" s="231" t="str">
        <f>IFERROR(__xludf.DUMMYFUNCTION("""COMPUTED_VALUE"""),"➖")</f>
        <v>➖</v>
      </c>
      <c r="I194" s="231" t="str">
        <f>IFERROR(__xludf.DUMMYFUNCTION("""COMPUTED_VALUE"""),"➖")</f>
        <v>➖</v>
      </c>
      <c r="J194" s="231" t="str">
        <f>IFERROR(__xludf.DUMMYFUNCTION("""COMPUTED_VALUE"""),"✴️")</f>
        <v>✴️</v>
      </c>
      <c r="K194" s="288" t="str">
        <f>IFERROR(__xludf.DUMMYFUNCTION("""COMPUTED_VALUE"""),"➖")</f>
        <v>➖</v>
      </c>
      <c r="L194" s="288" t="str">
        <f>IFERROR(__xludf.DUMMYFUNCTION("""COMPUTED_VALUE"""),"➖")</f>
        <v>➖</v>
      </c>
      <c r="M194" s="288" t="str">
        <f>IFERROR(__xludf.DUMMYFUNCTION("""COMPUTED_VALUE"""),"➖")</f>
        <v>➖</v>
      </c>
      <c r="N194" s="288" t="str">
        <f>IFERROR(__xludf.DUMMYFUNCTION("""COMPUTED_VALUE"""),"✴️")</f>
        <v>✴️</v>
      </c>
      <c r="O194" s="288" t="str">
        <f>IFERROR(__xludf.DUMMYFUNCTION("""COMPUTED_VALUE"""),"✴️")</f>
        <v>✴️</v>
      </c>
      <c r="P194" s="288" t="str">
        <f>IFERROR(__xludf.DUMMYFUNCTION("""COMPUTED_VALUE"""),"✴️")</f>
        <v>✴️</v>
      </c>
      <c r="Q194" s="288" t="str">
        <f>IFERROR(__xludf.DUMMYFUNCTION("""COMPUTED_VALUE"""),"➖")</f>
        <v>➖</v>
      </c>
      <c r="R194" s="311" t="str">
        <f>IFERROR(__xludf.DUMMYFUNCTION("""COMPUTED_VALUE"""),"   ✴️")</f>
        <v>✴️</v>
      </c>
      <c r="S194" s="312" t="str">
        <f>IFERROR(__xludf.DUMMYFUNCTION("""COMPUTED_VALUE"""),"✴️")</f>
        <v>✴️</v>
      </c>
      <c r="T194" s="288" t="str">
        <f>IFERROR(__xludf.DUMMYFUNCTION("""COMPUTED_VALUE"""),"CombatPveRewards (on Serene Squall)")</f>
        <v>CombatPveRewards (on Serene Squall)</v>
      </c>
      <c r="U194" s="288" t="str">
        <f>IFERROR(__xludf.DUMMYFUNCTION("""COMPUTED_VALUE"""),"✅")</f>
        <v>✅</v>
      </c>
      <c r="V194" s="288" t="str">
        <f>IFERROR(__xludf.DUMMYFUNCTION("""COMPUTED_VALUE"""),"➖")</f>
        <v>➖</v>
      </c>
      <c r="W194" s="306"/>
      <c r="X194" s="306"/>
      <c r="Y194" s="306"/>
    </row>
    <row r="195">
      <c r="A195" s="227"/>
      <c r="B195" s="128"/>
      <c r="C195" s="227"/>
      <c r="D195" s="301" t="str">
        <f>IFERROR(__xludf.DUMMYFUNCTION("""COMPUTED_VALUE"""),"   R")</f>
        <v>R</v>
      </c>
      <c r="E195" s="313" t="str">
        <f>IFERROR(__xludf.DUMMYFUNCTION("""COMPUTED_VALUE"""),"Particle Synthesis")</f>
        <v>Particle Synthesis</v>
      </c>
      <c r="F195" s="303">
        <f>IFERROR(__xludf.DUMMYFUNCTION("""COMPUTED_VALUE"""),3.0)</f>
        <v>3</v>
      </c>
      <c r="G195" s="281" t="str">
        <f>IFERROR(__xludf.DUMMYFUNCTION("""COMPUTED_VALUE"""),"CT")</f>
        <v>CT</v>
      </c>
      <c r="H195" s="281" t="str">
        <f>IFERROR(__xludf.DUMMYFUNCTION("""COMPUTED_VALUE"""),"➖")</f>
        <v>➖</v>
      </c>
      <c r="I195" s="281" t="str">
        <f>IFERROR(__xludf.DUMMYFUNCTION("""COMPUTED_VALUE"""),"➖")</f>
        <v>➖</v>
      </c>
      <c r="J195" s="281" t="str">
        <f>IFERROR(__xludf.DUMMYFUNCTION("""COMPUTED_VALUE"""),"➖")</f>
        <v>➖</v>
      </c>
      <c r="K195" s="282" t="str">
        <f>IFERROR(__xludf.DUMMYFUNCTION("""COMPUTED_VALUE"""),"➖")</f>
        <v>➖</v>
      </c>
      <c r="L195" s="282" t="str">
        <f>IFERROR(__xludf.DUMMYFUNCTION("""COMPUTED_VALUE"""),"➖")</f>
        <v>➖</v>
      </c>
      <c r="M195" s="282" t="str">
        <f>IFERROR(__xludf.DUMMYFUNCTION("""COMPUTED_VALUE"""),"➖")</f>
        <v>➖</v>
      </c>
      <c r="N195" s="282" t="str">
        <f>IFERROR(__xludf.DUMMYFUNCTION("""COMPUTED_VALUE"""),"➖")</f>
        <v>➖</v>
      </c>
      <c r="O195" s="282" t="str">
        <f>IFERROR(__xludf.DUMMYFUNCTION("""COMPUTED_VALUE"""),"➖")</f>
        <v>➖</v>
      </c>
      <c r="P195" s="282" t="str">
        <f>IFERROR(__xludf.DUMMYFUNCTION("""COMPUTED_VALUE"""),"➖")</f>
        <v>➖</v>
      </c>
      <c r="Q195" s="282" t="str">
        <f>IFERROR(__xludf.DUMMYFUNCTION("""COMPUTED_VALUE"""),"➖")</f>
        <v>➖</v>
      </c>
      <c r="R195" s="304" t="str">
        <f>IFERROR(__xludf.DUMMYFUNCTION("""COMPUTED_VALUE"""),"   ➖")</f>
        <v>➖</v>
      </c>
      <c r="S195" s="305" t="str">
        <f>IFERROR(__xludf.DUMMYFUNCTION("""COMPUTED_VALUE"""),"➖")</f>
        <v>➖</v>
      </c>
      <c r="T195" s="282"/>
      <c r="U195" s="282" t="str">
        <f>IFERROR(__xludf.DUMMYFUNCTION("""COMPUTED_VALUE"""),"➖")</f>
        <v>➖</v>
      </c>
      <c r="V195" s="282" t="str">
        <f>IFERROR(__xludf.DUMMYFUNCTION("""COMPUTED_VALUE"""),"✅")</f>
        <v>✅</v>
      </c>
      <c r="W195" s="306"/>
      <c r="X195" s="306"/>
      <c r="Y195" s="306"/>
    </row>
    <row r="196">
      <c r="A196" s="227"/>
      <c r="B196" s="307"/>
      <c r="C196" s="227"/>
      <c r="D196" s="308" t="str">
        <f>IFERROR(__xludf.DUMMYFUNCTION("""COMPUTED_VALUE"""),"   R")</f>
        <v>R</v>
      </c>
      <c r="E196" s="309" t="str">
        <f>IFERROR(__xludf.DUMMYFUNCTION("""COMPUTED_VALUE"""),"Mark VI Photon Torpedo")</f>
        <v>Mark VI Photon Torpedo</v>
      </c>
      <c r="F196" s="310">
        <f>IFERROR(__xludf.DUMMYFUNCTION("""COMPUTED_VALUE"""),1.0)</f>
        <v>1</v>
      </c>
      <c r="G196" s="231" t="str">
        <f>IFERROR(__xludf.DUMMYFUNCTION("""COMPUTED_VALUE"""),"CT")</f>
        <v>CT</v>
      </c>
      <c r="H196" s="231" t="str">
        <f>IFERROR(__xludf.DUMMYFUNCTION("""COMPUTED_VALUE"""),"➖")</f>
        <v>➖</v>
      </c>
      <c r="I196" s="231" t="str">
        <f>IFERROR(__xludf.DUMMYFUNCTION("""COMPUTED_VALUE"""),"➖")</f>
        <v>➖</v>
      </c>
      <c r="J196" s="231" t="str">
        <f>IFERROR(__xludf.DUMMYFUNCTION("""COMPUTED_VALUE"""),"➖")</f>
        <v>➖</v>
      </c>
      <c r="K196" s="288" t="str">
        <f>IFERROR(__xludf.DUMMYFUNCTION("""COMPUTED_VALUE"""),"➖")</f>
        <v>➖</v>
      </c>
      <c r="L196" s="288" t="str">
        <f>IFERROR(__xludf.DUMMYFUNCTION("""COMPUTED_VALUE"""),"➖")</f>
        <v>➖</v>
      </c>
      <c r="M196" s="288" t="str">
        <f>IFERROR(__xludf.DUMMYFUNCTION("""COMPUTED_VALUE"""),"➖")</f>
        <v>➖</v>
      </c>
      <c r="N196" s="288" t="str">
        <f>IFERROR(__xludf.DUMMYFUNCTION("""COMPUTED_VALUE"""),"➖")</f>
        <v>➖</v>
      </c>
      <c r="O196" s="288" t="str">
        <f>IFERROR(__xludf.DUMMYFUNCTION("""COMPUTED_VALUE"""),"➖")</f>
        <v>➖</v>
      </c>
      <c r="P196" s="288" t="str">
        <f>IFERROR(__xludf.DUMMYFUNCTION("""COMPUTED_VALUE"""),"➖")</f>
        <v>➖</v>
      </c>
      <c r="Q196" s="288" t="str">
        <f>IFERROR(__xludf.DUMMYFUNCTION("""COMPUTED_VALUE"""),"➖")</f>
        <v>➖</v>
      </c>
      <c r="R196" s="311" t="str">
        <f>IFERROR(__xludf.DUMMYFUNCTION("""COMPUTED_VALUE"""),"   ➖")</f>
        <v>➖</v>
      </c>
      <c r="S196" s="312" t="str">
        <f>IFERROR(__xludf.DUMMYFUNCTION("""COMPUTED_VALUE"""),"➖")</f>
        <v>➖</v>
      </c>
      <c r="T196" s="288"/>
      <c r="U196" s="288" t="str">
        <f>IFERROR(__xludf.DUMMYFUNCTION("""COMPUTED_VALUE"""),"➖")</f>
        <v>➖</v>
      </c>
      <c r="V196" s="288" t="str">
        <f>IFERROR(__xludf.DUMMYFUNCTION("""COMPUTED_VALUE"""),"➖")</f>
        <v>➖</v>
      </c>
      <c r="W196" s="306"/>
      <c r="X196" s="306"/>
      <c r="Y196" s="306"/>
    </row>
    <row r="197">
      <c r="A197" s="227"/>
      <c r="B197" s="128"/>
      <c r="C197" s="227"/>
      <c r="D197" s="301" t="str">
        <f>IFERROR(__xludf.DUMMYFUNCTION("""COMPUTED_VALUE"""),"   R")</f>
        <v>R</v>
      </c>
      <c r="E197" s="313" t="str">
        <f>IFERROR(__xludf.DUMMYFUNCTION("""COMPUTED_VALUE"""),"Mark VI Photon Torpedo")</f>
        <v>Mark VI Photon Torpedo</v>
      </c>
      <c r="F197" s="303">
        <f>IFERROR(__xludf.DUMMYFUNCTION("""COMPUTED_VALUE"""),2.0)</f>
        <v>2</v>
      </c>
      <c r="G197" s="281" t="str">
        <f>IFERROR(__xludf.DUMMYFUNCTION("""COMPUTED_VALUE"""),"CT")</f>
        <v>CT</v>
      </c>
      <c r="H197" s="281" t="str">
        <f>IFERROR(__xludf.DUMMYFUNCTION("""COMPUTED_VALUE"""),"➖")</f>
        <v>➖</v>
      </c>
      <c r="I197" s="281" t="str">
        <f>IFERROR(__xludf.DUMMYFUNCTION("""COMPUTED_VALUE"""),"➖")</f>
        <v>➖</v>
      </c>
      <c r="J197" s="281" t="str">
        <f>IFERROR(__xludf.DUMMYFUNCTION("""COMPUTED_VALUE"""),"➖")</f>
        <v>➖</v>
      </c>
      <c r="K197" s="282" t="str">
        <f>IFERROR(__xludf.DUMMYFUNCTION("""COMPUTED_VALUE"""),"➖")</f>
        <v>➖</v>
      </c>
      <c r="L197" s="282" t="str">
        <f>IFERROR(__xludf.DUMMYFUNCTION("""COMPUTED_VALUE"""),"➖")</f>
        <v>➖</v>
      </c>
      <c r="M197" s="282" t="str">
        <f>IFERROR(__xludf.DUMMYFUNCTION("""COMPUTED_VALUE"""),"➖")</f>
        <v>➖</v>
      </c>
      <c r="N197" s="282" t="str">
        <f>IFERROR(__xludf.DUMMYFUNCTION("""COMPUTED_VALUE"""),"➖")</f>
        <v>➖</v>
      </c>
      <c r="O197" s="282" t="str">
        <f>IFERROR(__xludf.DUMMYFUNCTION("""COMPUTED_VALUE"""),"➖")</f>
        <v>➖</v>
      </c>
      <c r="P197" s="282" t="str">
        <f>IFERROR(__xludf.DUMMYFUNCTION("""COMPUTED_VALUE"""),"➖")</f>
        <v>➖</v>
      </c>
      <c r="Q197" s="282" t="str">
        <f>IFERROR(__xludf.DUMMYFUNCTION("""COMPUTED_VALUE"""),"➖")</f>
        <v>➖</v>
      </c>
      <c r="R197" s="304" t="str">
        <f>IFERROR(__xludf.DUMMYFUNCTION("""COMPUTED_VALUE"""),"   ➖")</f>
        <v>➖</v>
      </c>
      <c r="S197" s="305" t="str">
        <f>IFERROR(__xludf.DUMMYFUNCTION("""COMPUTED_VALUE"""),"➖")</f>
        <v>➖</v>
      </c>
      <c r="T197" s="282"/>
      <c r="U197" s="282" t="str">
        <f>IFERROR(__xludf.DUMMYFUNCTION("""COMPUTED_VALUE"""),"➖")</f>
        <v>➖</v>
      </c>
      <c r="V197" s="282" t="str">
        <f>IFERROR(__xludf.DUMMYFUNCTION("""COMPUTED_VALUE"""),"➖")</f>
        <v>➖</v>
      </c>
      <c r="W197" s="306"/>
      <c r="X197" s="306"/>
      <c r="Y197" s="306"/>
    </row>
    <row r="198">
      <c r="A198" s="227"/>
      <c r="B198" s="307"/>
      <c r="C198" s="227"/>
      <c r="D198" s="308" t="str">
        <f>IFERROR(__xludf.DUMMYFUNCTION("""COMPUTED_VALUE"""),"   R")</f>
        <v>R</v>
      </c>
      <c r="E198" s="309" t="str">
        <f>IFERROR(__xludf.DUMMYFUNCTION("""COMPUTED_VALUE"""),"Mark VI Photon Torpedo")</f>
        <v>Mark VI Photon Torpedo</v>
      </c>
      <c r="F198" s="310">
        <f>IFERROR(__xludf.DUMMYFUNCTION("""COMPUTED_VALUE"""),3.0)</f>
        <v>3</v>
      </c>
      <c r="G198" s="231" t="str">
        <f>IFERROR(__xludf.DUMMYFUNCTION("""COMPUTED_VALUE"""),"CT")</f>
        <v>CT</v>
      </c>
      <c r="H198" s="231" t="str">
        <f>IFERROR(__xludf.DUMMYFUNCTION("""COMPUTED_VALUE"""),"✅")</f>
        <v>✅</v>
      </c>
      <c r="I198" s="231" t="str">
        <f>IFERROR(__xludf.DUMMYFUNCTION("""COMPUTED_VALUE"""),"✅")</f>
        <v>✅</v>
      </c>
      <c r="J198" s="231" t="str">
        <f>IFERROR(__xludf.DUMMYFUNCTION("""COMPUTED_VALUE"""),"✅")</f>
        <v>✅</v>
      </c>
      <c r="K198" s="288" t="str">
        <f>IFERROR(__xludf.DUMMYFUNCTION("""COMPUTED_VALUE"""),"✅")</f>
        <v>✅</v>
      </c>
      <c r="L198" s="288" t="str">
        <f>IFERROR(__xludf.DUMMYFUNCTION("""COMPUTED_VALUE"""),"✅")</f>
        <v>✅</v>
      </c>
      <c r="M198" s="288" t="str">
        <f>IFERROR(__xludf.DUMMYFUNCTION("""COMPUTED_VALUE"""),"✅")</f>
        <v>✅</v>
      </c>
      <c r="N198" s="288" t="str">
        <f>IFERROR(__xludf.DUMMYFUNCTION("""COMPUTED_VALUE"""),"✅")</f>
        <v>✅</v>
      </c>
      <c r="O198" s="288" t="str">
        <f>IFERROR(__xludf.DUMMYFUNCTION("""COMPUTED_VALUE"""),"✅")</f>
        <v>✅</v>
      </c>
      <c r="P198" s="288" t="str">
        <f>IFERROR(__xludf.DUMMYFUNCTION("""COMPUTED_VALUE"""),"✅")</f>
        <v>✅</v>
      </c>
      <c r="Q198" s="288" t="str">
        <f>IFERROR(__xludf.DUMMYFUNCTION("""COMPUTED_VALUE"""),"✅")</f>
        <v>✅</v>
      </c>
      <c r="R198" s="311" t="str">
        <f>IFERROR(__xludf.DUMMYFUNCTION("""COMPUTED_VALUE"""),"   ✅")</f>
        <v>✅</v>
      </c>
      <c r="S198" s="312" t="str">
        <f>IFERROR(__xludf.DUMMYFUNCTION("""COMPUTED_VALUE"""),"✅")</f>
        <v>✅</v>
      </c>
      <c r="T198" s="288"/>
      <c r="U198" s="288" t="str">
        <f>IFERROR(__xludf.DUMMYFUNCTION("""COMPUTED_VALUE"""),"➖")</f>
        <v>➖</v>
      </c>
      <c r="V198" s="288" t="str">
        <f>IFERROR(__xludf.DUMMYFUNCTION("""COMPUTED_VALUE"""),"➖")</f>
        <v>➖</v>
      </c>
      <c r="W198" s="306"/>
      <c r="X198" s="306"/>
      <c r="Y198" s="306"/>
    </row>
    <row r="199">
      <c r="A199" s="227"/>
      <c r="B199" s="128"/>
      <c r="C199" s="227"/>
      <c r="D199" s="301" t="str">
        <f>IFERROR(__xludf.DUMMYFUNCTION("""COMPUTED_VALUE"""),"   E")</f>
        <v>E</v>
      </c>
      <c r="E199" s="313" t="str">
        <f>IFERROR(__xludf.DUMMYFUNCTION("""COMPUTED_VALUE"""),"Portable Transwarp Beaming Device")</f>
        <v>Portable Transwarp Beaming Device</v>
      </c>
      <c r="F199" s="303">
        <f>IFERROR(__xludf.DUMMYFUNCTION("""COMPUTED_VALUE"""),1.0)</f>
        <v>1</v>
      </c>
      <c r="G199" s="281" t="str">
        <f>IFERROR(__xludf.DUMMYFUNCTION("""COMPUTED_VALUE"""),"CT")</f>
        <v>CT</v>
      </c>
      <c r="H199" s="281" t="str">
        <f>IFERROR(__xludf.DUMMYFUNCTION("""COMPUTED_VALUE"""),"➖")</f>
        <v>➖</v>
      </c>
      <c r="I199" s="281" t="str">
        <f>IFERROR(__xludf.DUMMYFUNCTION("""COMPUTED_VALUE"""),"➖")</f>
        <v>➖</v>
      </c>
      <c r="J199" s="281" t="str">
        <f>IFERROR(__xludf.DUMMYFUNCTION("""COMPUTED_VALUE"""),"➖")</f>
        <v>➖</v>
      </c>
      <c r="K199" s="282" t="str">
        <f>IFERROR(__xludf.DUMMYFUNCTION("""COMPUTED_VALUE"""),"➖")</f>
        <v>➖</v>
      </c>
      <c r="L199" s="282" t="str">
        <f>IFERROR(__xludf.DUMMYFUNCTION("""COMPUTED_VALUE"""),"➖")</f>
        <v>➖</v>
      </c>
      <c r="M199" s="282" t="str">
        <f>IFERROR(__xludf.DUMMYFUNCTION("""COMPUTED_VALUE"""),"➖")</f>
        <v>➖</v>
      </c>
      <c r="N199" s="282" t="str">
        <f>IFERROR(__xludf.DUMMYFUNCTION("""COMPUTED_VALUE"""),"➖")</f>
        <v>➖</v>
      </c>
      <c r="O199" s="282" t="str">
        <f>IFERROR(__xludf.DUMMYFUNCTION("""COMPUTED_VALUE"""),"➖")</f>
        <v>➖</v>
      </c>
      <c r="P199" s="282" t="str">
        <f>IFERROR(__xludf.DUMMYFUNCTION("""COMPUTED_VALUE"""),"➖")</f>
        <v>➖</v>
      </c>
      <c r="Q199" s="282" t="str">
        <f>IFERROR(__xludf.DUMMYFUNCTION("""COMPUTED_VALUE"""),"➖")</f>
        <v>➖</v>
      </c>
      <c r="R199" s="304" t="str">
        <f>IFERROR(__xludf.DUMMYFUNCTION("""COMPUTED_VALUE"""),"   ➖")</f>
        <v>➖</v>
      </c>
      <c r="S199" s="305" t="str">
        <f>IFERROR(__xludf.DUMMYFUNCTION("""COMPUTED_VALUE"""),"➖")</f>
        <v>➖</v>
      </c>
      <c r="T199" s="282"/>
      <c r="U199" s="282" t="str">
        <f>IFERROR(__xludf.DUMMYFUNCTION("""COMPUTED_VALUE"""),"➖")</f>
        <v>➖</v>
      </c>
      <c r="V199" s="282" t="str">
        <f>IFERROR(__xludf.DUMMYFUNCTION("""COMPUTED_VALUE"""),"➖")</f>
        <v>➖</v>
      </c>
      <c r="W199" s="306"/>
      <c r="X199" s="306"/>
      <c r="Y199" s="306"/>
    </row>
    <row r="200">
      <c r="A200" s="227"/>
      <c r="B200" s="307"/>
      <c r="C200" s="227"/>
      <c r="D200" s="308" t="str">
        <f>IFERROR(__xludf.DUMMYFUNCTION("""COMPUTED_VALUE"""),"   E")</f>
        <v>E</v>
      </c>
      <c r="E200" s="309" t="str">
        <f>IFERROR(__xludf.DUMMYFUNCTION("""COMPUTED_VALUE"""),"Portable Transwarp Beaming Device")</f>
        <v>Portable Transwarp Beaming Device</v>
      </c>
      <c r="F200" s="310">
        <f>IFERROR(__xludf.DUMMYFUNCTION("""COMPUTED_VALUE"""),2.0)</f>
        <v>2</v>
      </c>
      <c r="G200" s="231" t="str">
        <f>IFERROR(__xludf.DUMMYFUNCTION("""COMPUTED_VALUE"""),"CT")</f>
        <v>CT</v>
      </c>
      <c r="H200" s="231" t="str">
        <f>IFERROR(__xludf.DUMMYFUNCTION("""COMPUTED_VALUE"""),"➖")</f>
        <v>➖</v>
      </c>
      <c r="I200" s="231" t="str">
        <f>IFERROR(__xludf.DUMMYFUNCTION("""COMPUTED_VALUE"""),"➖")</f>
        <v>➖</v>
      </c>
      <c r="J200" s="231" t="str">
        <f>IFERROR(__xludf.DUMMYFUNCTION("""COMPUTED_VALUE"""),"➖")</f>
        <v>➖</v>
      </c>
      <c r="K200" s="288" t="str">
        <f>IFERROR(__xludf.DUMMYFUNCTION("""COMPUTED_VALUE"""),"➖")</f>
        <v>➖</v>
      </c>
      <c r="L200" s="288" t="str">
        <f>IFERROR(__xludf.DUMMYFUNCTION("""COMPUTED_VALUE"""),"➖")</f>
        <v>➖</v>
      </c>
      <c r="M200" s="288" t="str">
        <f>IFERROR(__xludf.DUMMYFUNCTION("""COMPUTED_VALUE"""),"➖")</f>
        <v>➖</v>
      </c>
      <c r="N200" s="288" t="str">
        <f>IFERROR(__xludf.DUMMYFUNCTION("""COMPUTED_VALUE"""),"➖")</f>
        <v>➖</v>
      </c>
      <c r="O200" s="288" t="str">
        <f>IFERROR(__xludf.DUMMYFUNCTION("""COMPUTED_VALUE"""),"➖")</f>
        <v>➖</v>
      </c>
      <c r="P200" s="288" t="str">
        <f>IFERROR(__xludf.DUMMYFUNCTION("""COMPUTED_VALUE"""),"➖")</f>
        <v>➖</v>
      </c>
      <c r="Q200" s="288" t="str">
        <f>IFERROR(__xludf.DUMMYFUNCTION("""COMPUTED_VALUE"""),"➖")</f>
        <v>➖</v>
      </c>
      <c r="R200" s="311" t="str">
        <f>IFERROR(__xludf.DUMMYFUNCTION("""COMPUTED_VALUE"""),"   ➖")</f>
        <v>➖</v>
      </c>
      <c r="S200" s="312" t="str">
        <f>IFERROR(__xludf.DUMMYFUNCTION("""COMPUTED_VALUE"""),"➖")</f>
        <v>➖</v>
      </c>
      <c r="T200" s="288"/>
      <c r="U200" s="288" t="str">
        <f>IFERROR(__xludf.DUMMYFUNCTION("""COMPUTED_VALUE"""),"➖")</f>
        <v>➖</v>
      </c>
      <c r="V200" s="288" t="str">
        <f>IFERROR(__xludf.DUMMYFUNCTION("""COMPUTED_VALUE"""),"➖")</f>
        <v>➖</v>
      </c>
      <c r="W200" s="306"/>
      <c r="X200" s="306"/>
      <c r="Y200" s="306"/>
    </row>
    <row r="201">
      <c r="A201" s="227"/>
      <c r="B201" s="128"/>
      <c r="C201" s="227"/>
      <c r="D201" s="301" t="str">
        <f>IFERROR(__xludf.DUMMYFUNCTION("""COMPUTED_VALUE"""),"   E")</f>
        <v>E</v>
      </c>
      <c r="E201" s="313" t="str">
        <f>IFERROR(__xludf.DUMMYFUNCTION("""COMPUTED_VALUE"""),"Portable Transwarp Beaming Device")</f>
        <v>Portable Transwarp Beaming Device</v>
      </c>
      <c r="F201" s="303">
        <f>IFERROR(__xludf.DUMMYFUNCTION("""COMPUTED_VALUE"""),3.0)</f>
        <v>3</v>
      </c>
      <c r="G201" s="281" t="str">
        <f>IFERROR(__xludf.DUMMYFUNCTION("""COMPUTED_VALUE"""),"CT")</f>
        <v>CT</v>
      </c>
      <c r="H201" s="281" t="str">
        <f>IFERROR(__xludf.DUMMYFUNCTION("""COMPUTED_VALUE"""),"➖")</f>
        <v>➖</v>
      </c>
      <c r="I201" s="281" t="str">
        <f>IFERROR(__xludf.DUMMYFUNCTION("""COMPUTED_VALUE"""),"➖")</f>
        <v>➖</v>
      </c>
      <c r="J201" s="281" t="str">
        <f>IFERROR(__xludf.DUMMYFUNCTION("""COMPUTED_VALUE"""),"➖")</f>
        <v>➖</v>
      </c>
      <c r="K201" s="282" t="str">
        <f>IFERROR(__xludf.DUMMYFUNCTION("""COMPUTED_VALUE"""),"➖")</f>
        <v>➖</v>
      </c>
      <c r="L201" s="282" t="str">
        <f>IFERROR(__xludf.DUMMYFUNCTION("""COMPUTED_VALUE"""),"➖")</f>
        <v>➖</v>
      </c>
      <c r="M201" s="282" t="str">
        <f>IFERROR(__xludf.DUMMYFUNCTION("""COMPUTED_VALUE"""),"➖")</f>
        <v>➖</v>
      </c>
      <c r="N201" s="282" t="str">
        <f>IFERROR(__xludf.DUMMYFUNCTION("""COMPUTED_VALUE"""),"➖")</f>
        <v>➖</v>
      </c>
      <c r="O201" s="282" t="str">
        <f>IFERROR(__xludf.DUMMYFUNCTION("""COMPUTED_VALUE"""),"➖")</f>
        <v>➖</v>
      </c>
      <c r="P201" s="282" t="str">
        <f>IFERROR(__xludf.DUMMYFUNCTION("""COMPUTED_VALUE"""),"➖")</f>
        <v>➖</v>
      </c>
      <c r="Q201" s="282" t="str">
        <f>IFERROR(__xludf.DUMMYFUNCTION("""COMPUTED_VALUE"""),"➖")</f>
        <v>➖</v>
      </c>
      <c r="R201" s="304" t="str">
        <f>IFERROR(__xludf.DUMMYFUNCTION("""COMPUTED_VALUE"""),"   ➖")</f>
        <v>➖</v>
      </c>
      <c r="S201" s="305" t="str">
        <f>IFERROR(__xludf.DUMMYFUNCTION("""COMPUTED_VALUE"""),"➖")</f>
        <v>➖</v>
      </c>
      <c r="T201" s="282"/>
      <c r="U201" s="282" t="str">
        <f>IFERROR(__xludf.DUMMYFUNCTION("""COMPUTED_VALUE"""),"➖")</f>
        <v>➖</v>
      </c>
      <c r="V201" s="282" t="str">
        <f>IFERROR(__xludf.DUMMYFUNCTION("""COMPUTED_VALUE"""),"➖")</f>
        <v>➖</v>
      </c>
      <c r="W201" s="306"/>
      <c r="X201" s="306"/>
      <c r="Y201" s="306"/>
    </row>
    <row r="202">
      <c r="A202" s="227"/>
      <c r="B202" s="307"/>
      <c r="C202" s="227"/>
      <c r="D202" s="308" t="str">
        <f>IFERROR(__xludf.DUMMYFUNCTION("""COMPUTED_VALUE"""),"   E")</f>
        <v>E</v>
      </c>
      <c r="E202" s="309" t="str">
        <f>IFERROR(__xludf.DUMMYFUNCTION("""COMPUTED_VALUE"""),"[PRO] M-5 Multitronic Unit")</f>
        <v>[PRO] M-5 Multitronic Unit</v>
      </c>
      <c r="F202" s="310">
        <f>IFERROR(__xludf.DUMMYFUNCTION("""COMPUTED_VALUE"""),1.0)</f>
        <v>1</v>
      </c>
      <c r="G202" s="231" t="str">
        <f>IFERROR(__xludf.DUMMYFUNCTION("""COMPUTED_VALUE"""),"FT")</f>
        <v>FT</v>
      </c>
      <c r="H202" s="231" t="str">
        <f>IFERROR(__xludf.DUMMYFUNCTION("""COMPUTED_VALUE"""),"➖")</f>
        <v>➖</v>
      </c>
      <c r="I202" s="231" t="str">
        <f>IFERROR(__xludf.DUMMYFUNCTION("""COMPUTED_VALUE"""),"➖")</f>
        <v>➖</v>
      </c>
      <c r="J202" s="231" t="str">
        <f>IFERROR(__xludf.DUMMYFUNCTION("""COMPUTED_VALUE"""),"➖")</f>
        <v>➖</v>
      </c>
      <c r="K202" s="288" t="str">
        <f>IFERROR(__xludf.DUMMYFUNCTION("""COMPUTED_VALUE"""),"➖")</f>
        <v>➖</v>
      </c>
      <c r="L202" s="288" t="str">
        <f>IFERROR(__xludf.DUMMYFUNCTION("""COMPUTED_VALUE"""),"➖")</f>
        <v>➖</v>
      </c>
      <c r="M202" s="288" t="str">
        <f>IFERROR(__xludf.DUMMYFUNCTION("""COMPUTED_VALUE"""),"➖")</f>
        <v>➖</v>
      </c>
      <c r="N202" s="288" t="str">
        <f>IFERROR(__xludf.DUMMYFUNCTION("""COMPUTED_VALUE"""),"➖")</f>
        <v>➖</v>
      </c>
      <c r="O202" s="288" t="str">
        <f>IFERROR(__xludf.DUMMYFUNCTION("""COMPUTED_VALUE"""),"➖")</f>
        <v>➖</v>
      </c>
      <c r="P202" s="288" t="str">
        <f>IFERROR(__xludf.DUMMYFUNCTION("""COMPUTED_VALUE"""),"➖")</f>
        <v>➖</v>
      </c>
      <c r="Q202" s="288" t="str">
        <f>IFERROR(__xludf.DUMMYFUNCTION("""COMPUTED_VALUE"""),"➖")</f>
        <v>➖</v>
      </c>
      <c r="R202" s="311" t="str">
        <f>IFERROR(__xludf.DUMMYFUNCTION("""COMPUTED_VALUE"""),"   ✅")</f>
        <v>✅</v>
      </c>
      <c r="S202" s="312" t="str">
        <f>IFERROR(__xludf.DUMMYFUNCTION("""COMPUTED_VALUE"""),"➖")</f>
        <v>➖</v>
      </c>
      <c r="T202" s="288"/>
      <c r="U202" s="288" t="str">
        <f>IFERROR(__xludf.DUMMYFUNCTION("""COMPUTED_VALUE"""),"➖")</f>
        <v>➖</v>
      </c>
      <c r="V202" s="288" t="str">
        <f>IFERROR(__xludf.DUMMYFUNCTION("""COMPUTED_VALUE"""),"➖")</f>
        <v>➖</v>
      </c>
      <c r="W202" s="306"/>
      <c r="X202" s="306"/>
      <c r="Y202" s="306"/>
    </row>
    <row r="203">
      <c r="A203" s="227"/>
      <c r="B203" s="128"/>
      <c r="C203" s="227"/>
      <c r="D203" s="301" t="str">
        <f>IFERROR(__xludf.DUMMYFUNCTION("""COMPUTED_VALUE"""),"   E")</f>
        <v>E</v>
      </c>
      <c r="E203" s="313" t="str">
        <f>IFERROR(__xludf.DUMMYFUNCTION("""COMPUTED_VALUE"""),"[PRO] M-5 Multitronic Unit")</f>
        <v>[PRO] M-5 Multitronic Unit</v>
      </c>
      <c r="F203" s="303">
        <f>IFERROR(__xludf.DUMMYFUNCTION("""COMPUTED_VALUE"""),2.0)</f>
        <v>2</v>
      </c>
      <c r="G203" s="281" t="str">
        <f>IFERROR(__xludf.DUMMYFUNCTION("""COMPUTED_VALUE"""),"FT")</f>
        <v>FT</v>
      </c>
      <c r="H203" s="281" t="str">
        <f>IFERROR(__xludf.DUMMYFUNCTION("""COMPUTED_VALUE"""),"➖")</f>
        <v>➖</v>
      </c>
      <c r="I203" s="281" t="str">
        <f>IFERROR(__xludf.DUMMYFUNCTION("""COMPUTED_VALUE"""),"➖")</f>
        <v>➖</v>
      </c>
      <c r="J203" s="281" t="str">
        <f>IFERROR(__xludf.DUMMYFUNCTION("""COMPUTED_VALUE"""),"➖")</f>
        <v>➖</v>
      </c>
      <c r="K203" s="282" t="str">
        <f>IFERROR(__xludf.DUMMYFUNCTION("""COMPUTED_VALUE"""),"➖")</f>
        <v>➖</v>
      </c>
      <c r="L203" s="282" t="str">
        <f>IFERROR(__xludf.DUMMYFUNCTION("""COMPUTED_VALUE"""),"➖")</f>
        <v>➖</v>
      </c>
      <c r="M203" s="282" t="str">
        <f>IFERROR(__xludf.DUMMYFUNCTION("""COMPUTED_VALUE"""),"➖")</f>
        <v>➖</v>
      </c>
      <c r="N203" s="282" t="str">
        <f>IFERROR(__xludf.DUMMYFUNCTION("""COMPUTED_VALUE"""),"➖")</f>
        <v>➖</v>
      </c>
      <c r="O203" s="282" t="str">
        <f>IFERROR(__xludf.DUMMYFUNCTION("""COMPUTED_VALUE"""),"➖")</f>
        <v>➖</v>
      </c>
      <c r="P203" s="282" t="str">
        <f>IFERROR(__xludf.DUMMYFUNCTION("""COMPUTED_VALUE"""),"➖")</f>
        <v>➖</v>
      </c>
      <c r="Q203" s="282" t="str">
        <f>IFERROR(__xludf.DUMMYFUNCTION("""COMPUTED_VALUE"""),"➖")</f>
        <v>➖</v>
      </c>
      <c r="R203" s="304" t="str">
        <f>IFERROR(__xludf.DUMMYFUNCTION("""COMPUTED_VALUE"""),"   ✅")</f>
        <v>✅</v>
      </c>
      <c r="S203" s="305" t="str">
        <f>IFERROR(__xludf.DUMMYFUNCTION("""COMPUTED_VALUE"""),"✅")</f>
        <v>✅</v>
      </c>
      <c r="T203" s="282"/>
      <c r="U203" s="282" t="str">
        <f>IFERROR(__xludf.DUMMYFUNCTION("""COMPUTED_VALUE"""),"➖")</f>
        <v>➖</v>
      </c>
      <c r="V203" s="282" t="str">
        <f>IFERROR(__xludf.DUMMYFUNCTION("""COMPUTED_VALUE"""),"➖")</f>
        <v>➖</v>
      </c>
      <c r="W203" s="306"/>
      <c r="X203" s="306"/>
      <c r="Y203" s="306"/>
    </row>
    <row r="204">
      <c r="A204" s="227"/>
      <c r="B204" s="307"/>
      <c r="C204" s="227"/>
      <c r="D204" s="308" t="str">
        <f>IFERROR(__xludf.DUMMYFUNCTION("""COMPUTED_VALUE"""),"   E")</f>
        <v>E</v>
      </c>
      <c r="E204" s="309" t="str">
        <f>IFERROR(__xludf.DUMMYFUNCTION("""COMPUTED_VALUE"""),"[PRO] M-5 Multitronic Unit")</f>
        <v>[PRO] M-5 Multitronic Unit</v>
      </c>
      <c r="F204" s="310">
        <f>IFERROR(__xludf.DUMMYFUNCTION("""COMPUTED_VALUE"""),3.0)</f>
        <v>3</v>
      </c>
      <c r="G204" s="231" t="str">
        <f>IFERROR(__xludf.DUMMYFUNCTION("""COMPUTED_VALUE"""),"FT")</f>
        <v>FT</v>
      </c>
      <c r="H204" s="231" t="str">
        <f>IFERROR(__xludf.DUMMYFUNCTION("""COMPUTED_VALUE"""),"➖")</f>
        <v>➖</v>
      </c>
      <c r="I204" s="231" t="str">
        <f>IFERROR(__xludf.DUMMYFUNCTION("""COMPUTED_VALUE"""),"➖")</f>
        <v>➖</v>
      </c>
      <c r="J204" s="231" t="str">
        <f>IFERROR(__xludf.DUMMYFUNCTION("""COMPUTED_VALUE"""),"➖")</f>
        <v>➖</v>
      </c>
      <c r="K204" s="288" t="str">
        <f>IFERROR(__xludf.DUMMYFUNCTION("""COMPUTED_VALUE"""),"➖")</f>
        <v>➖</v>
      </c>
      <c r="L204" s="288" t="str">
        <f>IFERROR(__xludf.DUMMYFUNCTION("""COMPUTED_VALUE"""),"➖")</f>
        <v>➖</v>
      </c>
      <c r="M204" s="288" t="str">
        <f>IFERROR(__xludf.DUMMYFUNCTION("""COMPUTED_VALUE"""),"➖")</f>
        <v>➖</v>
      </c>
      <c r="N204" s="288" t="str">
        <f>IFERROR(__xludf.DUMMYFUNCTION("""COMPUTED_VALUE"""),"➖")</f>
        <v>➖</v>
      </c>
      <c r="O204" s="288" t="str">
        <f>IFERROR(__xludf.DUMMYFUNCTION("""COMPUTED_VALUE"""),"➖")</f>
        <v>➖</v>
      </c>
      <c r="P204" s="288" t="str">
        <f>IFERROR(__xludf.DUMMYFUNCTION("""COMPUTED_VALUE"""),"➖")</f>
        <v>➖</v>
      </c>
      <c r="Q204" s="288" t="str">
        <f>IFERROR(__xludf.DUMMYFUNCTION("""COMPUTED_VALUE"""),"➖")</f>
        <v>➖</v>
      </c>
      <c r="R204" s="311" t="str">
        <f>IFERROR(__xludf.DUMMYFUNCTION("""COMPUTED_VALUE"""),"   ➖")</f>
        <v>➖</v>
      </c>
      <c r="S204" s="312" t="str">
        <f>IFERROR(__xludf.DUMMYFUNCTION("""COMPUTED_VALUE"""),"✴️")</f>
        <v>✴️</v>
      </c>
      <c r="T204" s="288" t="str">
        <f>IFERROR(__xludf.DUMMYFUNCTION("""COMPUTED_VALUE"""),"TheBorgOutpost")</f>
        <v>TheBorgOutpost</v>
      </c>
      <c r="U204" s="288" t="str">
        <f>IFERROR(__xludf.DUMMYFUNCTION("""COMPUTED_VALUE"""),"➖")</f>
        <v>➖</v>
      </c>
      <c r="V204" s="288" t="str">
        <f>IFERROR(__xludf.DUMMYFUNCTION("""COMPUTED_VALUE"""),"➖")</f>
        <v>➖</v>
      </c>
      <c r="W204" s="306"/>
      <c r="X204" s="306"/>
      <c r="Y204" s="306"/>
    </row>
    <row r="205">
      <c r="A205" s="227"/>
      <c r="B205" s="128"/>
      <c r="C205" s="227"/>
      <c r="D205" s="301" t="str">
        <f>IFERROR(__xludf.DUMMYFUNCTION("""COMPUTED_VALUE"""),"   E")</f>
        <v>E</v>
      </c>
      <c r="E205" s="313" t="str">
        <f>IFERROR(__xludf.DUMMYFUNCTION("""COMPUTED_VALUE"""),"[PRO] M-5 Multitronic Unit")</f>
        <v>[PRO] M-5 Multitronic Unit</v>
      </c>
      <c r="F205" s="303">
        <f>IFERROR(__xludf.DUMMYFUNCTION("""COMPUTED_VALUE"""),4.0)</f>
        <v>4</v>
      </c>
      <c r="G205" s="281" t="str">
        <f>IFERROR(__xludf.DUMMYFUNCTION("""COMPUTED_VALUE"""),"FT")</f>
        <v>FT</v>
      </c>
      <c r="H205" s="281" t="str">
        <f>IFERROR(__xludf.DUMMYFUNCTION("""COMPUTED_VALUE"""),"➖")</f>
        <v>➖</v>
      </c>
      <c r="I205" s="281" t="str">
        <f>IFERROR(__xludf.DUMMYFUNCTION("""COMPUTED_VALUE"""),"➖")</f>
        <v>➖</v>
      </c>
      <c r="J205" s="281" t="str">
        <f>IFERROR(__xludf.DUMMYFUNCTION("""COMPUTED_VALUE"""),"➖")</f>
        <v>➖</v>
      </c>
      <c r="K205" s="282" t="str">
        <f>IFERROR(__xludf.DUMMYFUNCTION("""COMPUTED_VALUE"""),"➖")</f>
        <v>➖</v>
      </c>
      <c r="L205" s="282" t="str">
        <f>IFERROR(__xludf.DUMMYFUNCTION("""COMPUTED_VALUE"""),"➖")</f>
        <v>➖</v>
      </c>
      <c r="M205" s="282" t="str">
        <f>IFERROR(__xludf.DUMMYFUNCTION("""COMPUTED_VALUE"""),"➖")</f>
        <v>➖</v>
      </c>
      <c r="N205" s="282" t="str">
        <f>IFERROR(__xludf.DUMMYFUNCTION("""COMPUTED_VALUE"""),"➖")</f>
        <v>➖</v>
      </c>
      <c r="O205" s="282" t="str">
        <f>IFERROR(__xludf.DUMMYFUNCTION("""COMPUTED_VALUE"""),"➖")</f>
        <v>➖</v>
      </c>
      <c r="P205" s="282" t="str">
        <f>IFERROR(__xludf.DUMMYFUNCTION("""COMPUTED_VALUE"""),"➖")</f>
        <v>➖</v>
      </c>
      <c r="Q205" s="282" t="str">
        <f>IFERROR(__xludf.DUMMYFUNCTION("""COMPUTED_VALUE"""),"➖")</f>
        <v>➖</v>
      </c>
      <c r="R205" s="304" t="str">
        <f>IFERROR(__xludf.DUMMYFUNCTION("""COMPUTED_VALUE"""),"   ✴️")</f>
        <v>✴️</v>
      </c>
      <c r="S205" s="305" t="str">
        <f>IFERROR(__xludf.DUMMYFUNCTION("""COMPUTED_VALUE"""),"✴️")</f>
        <v>✴️</v>
      </c>
      <c r="T205" s="282" t="str">
        <f>IFERROR(__xludf.DUMMYFUNCTION("""COMPUTED_VALUE"""),"EnemyHullFaction, SelfOfficerTalNotOnBridge")</f>
        <v>EnemyHullFaction, SelfOfficerTalNotOnBridge</v>
      </c>
      <c r="U205" s="282" t="str">
        <f>IFERROR(__xludf.DUMMYFUNCTION("""COMPUTED_VALUE"""),"➖")</f>
        <v>➖</v>
      </c>
      <c r="V205" s="282" t="str">
        <f>IFERROR(__xludf.DUMMYFUNCTION("""COMPUTED_VALUE"""),"➖")</f>
        <v>➖</v>
      </c>
      <c r="W205" s="306"/>
      <c r="X205" s="306"/>
      <c r="Y205" s="306"/>
    </row>
    <row r="206">
      <c r="A206" s="227"/>
      <c r="B206" s="307"/>
      <c r="C206" s="227"/>
      <c r="D206" s="308" t="str">
        <f>IFERROR(__xludf.DUMMYFUNCTION("""COMPUTED_VALUE"""),"   E")</f>
        <v>E</v>
      </c>
      <c r="E206" s="309" t="str">
        <f>IFERROR(__xludf.DUMMYFUNCTION("""COMPUTED_VALUE"""),"[PRO] Stasis Field Generator")</f>
        <v>[PRO] Stasis Field Generator</v>
      </c>
      <c r="F206" s="310">
        <f>IFERROR(__xludf.DUMMYFUNCTION("""COMPUTED_VALUE"""),1.0)</f>
        <v>1</v>
      </c>
      <c r="G206" s="231" t="str">
        <f>IFERROR(__xludf.DUMMYFUNCTION("""COMPUTED_VALUE"""),"FT")</f>
        <v>FT</v>
      </c>
      <c r="H206" s="231" t="str">
        <f>IFERROR(__xludf.DUMMYFUNCTION("""COMPUTED_VALUE"""),"➖")</f>
        <v>➖</v>
      </c>
      <c r="I206" s="231" t="str">
        <f>IFERROR(__xludf.DUMMYFUNCTION("""COMPUTED_VALUE"""),"➖")</f>
        <v>➖</v>
      </c>
      <c r="J206" s="231" t="str">
        <f>IFERROR(__xludf.DUMMYFUNCTION("""COMPUTED_VALUE"""),"➖")</f>
        <v>➖</v>
      </c>
      <c r="K206" s="288" t="str">
        <f>IFERROR(__xludf.DUMMYFUNCTION("""COMPUTED_VALUE"""),"➖")</f>
        <v>➖</v>
      </c>
      <c r="L206" s="288" t="str">
        <f>IFERROR(__xludf.DUMMYFUNCTION("""COMPUTED_VALUE"""),"➖")</f>
        <v>➖</v>
      </c>
      <c r="M206" s="288" t="str">
        <f>IFERROR(__xludf.DUMMYFUNCTION("""COMPUTED_VALUE"""),"➖")</f>
        <v>➖</v>
      </c>
      <c r="N206" s="288" t="str">
        <f>IFERROR(__xludf.DUMMYFUNCTION("""COMPUTED_VALUE"""),"➖")</f>
        <v>➖</v>
      </c>
      <c r="O206" s="288" t="str">
        <f>IFERROR(__xludf.DUMMYFUNCTION("""COMPUTED_VALUE"""),"➖")</f>
        <v>➖</v>
      </c>
      <c r="P206" s="288" t="str">
        <f>IFERROR(__xludf.DUMMYFUNCTION("""COMPUTED_VALUE"""),"➖")</f>
        <v>➖</v>
      </c>
      <c r="Q206" s="288" t="str">
        <f>IFERROR(__xludf.DUMMYFUNCTION("""COMPUTED_VALUE"""),"➖")</f>
        <v>➖</v>
      </c>
      <c r="R206" s="311" t="str">
        <f>IFERROR(__xludf.DUMMYFUNCTION("""COMPUTED_VALUE"""),"   ✅")</f>
        <v>✅</v>
      </c>
      <c r="S206" s="312" t="str">
        <f>IFERROR(__xludf.DUMMYFUNCTION("""COMPUTED_VALUE"""),"➖")</f>
        <v>➖</v>
      </c>
      <c r="T206" s="288"/>
      <c r="U206" s="288" t="str">
        <f>IFERROR(__xludf.DUMMYFUNCTION("""COMPUTED_VALUE"""),"➖")</f>
        <v>➖</v>
      </c>
      <c r="V206" s="288" t="str">
        <f>IFERROR(__xludf.DUMMYFUNCTION("""COMPUTED_VALUE"""),"➖")</f>
        <v>➖</v>
      </c>
      <c r="W206" s="306"/>
      <c r="X206" s="306"/>
      <c r="Y206" s="306"/>
    </row>
    <row r="207">
      <c r="A207" s="227"/>
      <c r="B207" s="128"/>
      <c r="C207" s="227"/>
      <c r="D207" s="301" t="str">
        <f>IFERROR(__xludf.DUMMYFUNCTION("""COMPUTED_VALUE"""),"   E")</f>
        <v>E</v>
      </c>
      <c r="E207" s="313" t="str">
        <f>IFERROR(__xludf.DUMMYFUNCTION("""COMPUTED_VALUE"""),"[PRO] Stasis Field Generator")</f>
        <v>[PRO] Stasis Field Generator</v>
      </c>
      <c r="F207" s="303">
        <f>IFERROR(__xludf.DUMMYFUNCTION("""COMPUTED_VALUE"""),2.0)</f>
        <v>2</v>
      </c>
      <c r="G207" s="281" t="str">
        <f>IFERROR(__xludf.DUMMYFUNCTION("""COMPUTED_VALUE"""),"FT")</f>
        <v>FT</v>
      </c>
      <c r="H207" s="281" t="str">
        <f>IFERROR(__xludf.DUMMYFUNCTION("""COMPUTED_VALUE"""),"➖")</f>
        <v>➖</v>
      </c>
      <c r="I207" s="281" t="str">
        <f>IFERROR(__xludf.DUMMYFUNCTION("""COMPUTED_VALUE"""),"➖")</f>
        <v>➖</v>
      </c>
      <c r="J207" s="281" t="str">
        <f>IFERROR(__xludf.DUMMYFUNCTION("""COMPUTED_VALUE"""),"➖")</f>
        <v>➖</v>
      </c>
      <c r="K207" s="282" t="str">
        <f>IFERROR(__xludf.DUMMYFUNCTION("""COMPUTED_VALUE"""),"➖")</f>
        <v>➖</v>
      </c>
      <c r="L207" s="282" t="str">
        <f>IFERROR(__xludf.DUMMYFUNCTION("""COMPUTED_VALUE"""),"➖")</f>
        <v>➖</v>
      </c>
      <c r="M207" s="282" t="str">
        <f>IFERROR(__xludf.DUMMYFUNCTION("""COMPUTED_VALUE"""),"➖")</f>
        <v>➖</v>
      </c>
      <c r="N207" s="282" t="str">
        <f>IFERROR(__xludf.DUMMYFUNCTION("""COMPUTED_VALUE"""),"➖")</f>
        <v>➖</v>
      </c>
      <c r="O207" s="282" t="str">
        <f>IFERROR(__xludf.DUMMYFUNCTION("""COMPUTED_VALUE"""),"➖")</f>
        <v>➖</v>
      </c>
      <c r="P207" s="282" t="str">
        <f>IFERROR(__xludf.DUMMYFUNCTION("""COMPUTED_VALUE"""),"➖")</f>
        <v>➖</v>
      </c>
      <c r="Q207" s="282" t="str">
        <f>IFERROR(__xludf.DUMMYFUNCTION("""COMPUTED_VALUE"""),"➖")</f>
        <v>➖</v>
      </c>
      <c r="R207" s="304" t="str">
        <f>IFERROR(__xludf.DUMMYFUNCTION("""COMPUTED_VALUE"""),"   ✅")</f>
        <v>✅</v>
      </c>
      <c r="S207" s="305" t="str">
        <f>IFERROR(__xludf.DUMMYFUNCTION("""COMPUTED_VALUE"""),"✅")</f>
        <v>✅</v>
      </c>
      <c r="T207" s="282"/>
      <c r="U207" s="282" t="str">
        <f>IFERROR(__xludf.DUMMYFUNCTION("""COMPUTED_VALUE"""),"➖")</f>
        <v>➖</v>
      </c>
      <c r="V207" s="282" t="str">
        <f>IFERROR(__xludf.DUMMYFUNCTION("""COMPUTED_VALUE"""),"➖")</f>
        <v>➖</v>
      </c>
      <c r="W207" s="306"/>
      <c r="X207" s="306"/>
      <c r="Y207" s="306"/>
    </row>
    <row r="208">
      <c r="A208" s="227"/>
      <c r="B208" s="307"/>
      <c r="C208" s="227"/>
      <c r="D208" s="308" t="str">
        <f>IFERROR(__xludf.DUMMYFUNCTION("""COMPUTED_VALUE"""),"   E")</f>
        <v>E</v>
      </c>
      <c r="E208" s="309" t="str">
        <f>IFERROR(__xludf.DUMMYFUNCTION("""COMPUTED_VALUE"""),"[PRO] Stasis Field Generator")</f>
        <v>[PRO] Stasis Field Generator</v>
      </c>
      <c r="F208" s="310">
        <f>IFERROR(__xludf.DUMMYFUNCTION("""COMPUTED_VALUE"""),3.0)</f>
        <v>3</v>
      </c>
      <c r="G208" s="231" t="str">
        <f>IFERROR(__xludf.DUMMYFUNCTION("""COMPUTED_VALUE"""),"FT")</f>
        <v>FT</v>
      </c>
      <c r="H208" s="231" t="str">
        <f>IFERROR(__xludf.DUMMYFUNCTION("""COMPUTED_VALUE"""),"➖")</f>
        <v>➖</v>
      </c>
      <c r="I208" s="231" t="str">
        <f>IFERROR(__xludf.DUMMYFUNCTION("""COMPUTED_VALUE"""),"➖")</f>
        <v>➖</v>
      </c>
      <c r="J208" s="231" t="str">
        <f>IFERROR(__xludf.DUMMYFUNCTION("""COMPUTED_VALUE"""),"➖")</f>
        <v>➖</v>
      </c>
      <c r="K208" s="288" t="str">
        <f>IFERROR(__xludf.DUMMYFUNCTION("""COMPUTED_VALUE"""),"➖")</f>
        <v>➖</v>
      </c>
      <c r="L208" s="288" t="str">
        <f>IFERROR(__xludf.DUMMYFUNCTION("""COMPUTED_VALUE"""),"➖")</f>
        <v>➖</v>
      </c>
      <c r="M208" s="288" t="str">
        <f>IFERROR(__xludf.DUMMYFUNCTION("""COMPUTED_VALUE"""),"➖")</f>
        <v>➖</v>
      </c>
      <c r="N208" s="288" t="str">
        <f>IFERROR(__xludf.DUMMYFUNCTION("""COMPUTED_VALUE"""),"➖")</f>
        <v>➖</v>
      </c>
      <c r="O208" s="288" t="str">
        <f>IFERROR(__xludf.DUMMYFUNCTION("""COMPUTED_VALUE"""),"➖")</f>
        <v>➖</v>
      </c>
      <c r="P208" s="288" t="str">
        <f>IFERROR(__xludf.DUMMYFUNCTION("""COMPUTED_VALUE"""),"➖")</f>
        <v>➖</v>
      </c>
      <c r="Q208" s="288" t="str">
        <f>IFERROR(__xludf.DUMMYFUNCTION("""COMPUTED_VALUE"""),"➖")</f>
        <v>➖</v>
      </c>
      <c r="R208" s="311" t="str">
        <f>IFERROR(__xludf.DUMMYFUNCTION("""COMPUTED_VALUE"""),"   ➖")</f>
        <v>➖</v>
      </c>
      <c r="S208" s="312" t="str">
        <f>IFERROR(__xludf.DUMMYFUNCTION("""COMPUTED_VALUE"""),"✴️")</f>
        <v>✴️</v>
      </c>
      <c r="T208" s="288" t="str">
        <f>IFERROR(__xludf.DUMMYFUNCTION("""COMPUTED_VALUE"""),"CardassianOutpost")</f>
        <v>CardassianOutpost</v>
      </c>
      <c r="U208" s="288" t="str">
        <f>IFERROR(__xludf.DUMMYFUNCTION("""COMPUTED_VALUE"""),"➖")</f>
        <v>➖</v>
      </c>
      <c r="V208" s="288" t="str">
        <f>IFERROR(__xludf.DUMMYFUNCTION("""COMPUTED_VALUE"""),"➖")</f>
        <v>➖</v>
      </c>
      <c r="W208" s="306"/>
      <c r="X208" s="306"/>
      <c r="Y208" s="306"/>
    </row>
    <row r="209">
      <c r="A209" s="227"/>
      <c r="B209" s="128"/>
      <c r="C209" s="227"/>
      <c r="D209" s="301" t="str">
        <f>IFERROR(__xludf.DUMMYFUNCTION("""COMPUTED_VALUE"""),"   E")</f>
        <v>E</v>
      </c>
      <c r="E209" s="313" t="str">
        <f>IFERROR(__xludf.DUMMYFUNCTION("""COMPUTED_VALUE"""),"[PRO] Stasis Field Generator")</f>
        <v>[PRO] Stasis Field Generator</v>
      </c>
      <c r="F209" s="303">
        <f>IFERROR(__xludf.DUMMYFUNCTION("""COMPUTED_VALUE"""),4.0)</f>
        <v>4</v>
      </c>
      <c r="G209" s="281" t="str">
        <f>IFERROR(__xludf.DUMMYFUNCTION("""COMPUTED_VALUE"""),"FT")</f>
        <v>FT</v>
      </c>
      <c r="H209" s="281" t="str">
        <f>IFERROR(__xludf.DUMMYFUNCTION("""COMPUTED_VALUE"""),"➖")</f>
        <v>➖</v>
      </c>
      <c r="I209" s="281" t="str">
        <f>IFERROR(__xludf.DUMMYFUNCTION("""COMPUTED_VALUE"""),"➖")</f>
        <v>➖</v>
      </c>
      <c r="J209" s="281" t="str">
        <f>IFERROR(__xludf.DUMMYFUNCTION("""COMPUTED_VALUE"""),"➖")</f>
        <v>➖</v>
      </c>
      <c r="K209" s="282" t="str">
        <f>IFERROR(__xludf.DUMMYFUNCTION("""COMPUTED_VALUE"""),"➖")</f>
        <v>➖</v>
      </c>
      <c r="L209" s="282" t="str">
        <f>IFERROR(__xludf.DUMMYFUNCTION("""COMPUTED_VALUE"""),"➖")</f>
        <v>➖</v>
      </c>
      <c r="M209" s="282" t="str">
        <f>IFERROR(__xludf.DUMMYFUNCTION("""COMPUTED_VALUE"""),"➖")</f>
        <v>➖</v>
      </c>
      <c r="N209" s="282" t="str">
        <f>IFERROR(__xludf.DUMMYFUNCTION("""COMPUTED_VALUE"""),"➖")</f>
        <v>➖</v>
      </c>
      <c r="O209" s="282" t="str">
        <f>IFERROR(__xludf.DUMMYFUNCTION("""COMPUTED_VALUE"""),"➖")</f>
        <v>➖</v>
      </c>
      <c r="P209" s="282" t="str">
        <f>IFERROR(__xludf.DUMMYFUNCTION("""COMPUTED_VALUE"""),"➖")</f>
        <v>➖</v>
      </c>
      <c r="Q209" s="282" t="str">
        <f>IFERROR(__xludf.DUMMYFUNCTION("""COMPUTED_VALUE"""),"➖")</f>
        <v>➖</v>
      </c>
      <c r="R209" s="304" t="str">
        <f>IFERROR(__xludf.DUMMYFUNCTION("""COMPUTED_VALUE"""),"   ✴️")</f>
        <v>✴️</v>
      </c>
      <c r="S209" s="305" t="str">
        <f>IFERROR(__xludf.DUMMYFUNCTION("""COMPUTED_VALUE"""),"✴️")</f>
        <v>✴️</v>
      </c>
      <c r="T209" s="282" t="str">
        <f>IFERROR(__xludf.DUMMYFUNCTION("""COMPUTED_VALUE"""),"EnemyHullFaction, SelfOfficerTalNotOnBridge")</f>
        <v>EnemyHullFaction, SelfOfficerTalNotOnBridge</v>
      </c>
      <c r="U209" s="282" t="str">
        <f>IFERROR(__xludf.DUMMYFUNCTION("""COMPUTED_VALUE"""),"➖")</f>
        <v>➖</v>
      </c>
      <c r="V209" s="282" t="str">
        <f>IFERROR(__xludf.DUMMYFUNCTION("""COMPUTED_VALUE"""),"➖")</f>
        <v>➖</v>
      </c>
      <c r="W209" s="306"/>
      <c r="X209" s="306"/>
      <c r="Y209" s="306"/>
    </row>
    <row r="210">
      <c r="A210" s="227"/>
      <c r="B210" s="307"/>
      <c r="C210" s="227"/>
      <c r="D210" s="308" t="str">
        <f>IFERROR(__xludf.DUMMYFUNCTION("""COMPUTED_VALUE"""),"   E")</f>
        <v>E</v>
      </c>
      <c r="E210" s="309" t="str">
        <f>IFERROR(__xludf.DUMMYFUNCTION("""COMPUTED_VALUE"""),"[PRO] Transwarp Computer")</f>
        <v>[PRO] Transwarp Computer</v>
      </c>
      <c r="F210" s="310">
        <f>IFERROR(__xludf.DUMMYFUNCTION("""COMPUTED_VALUE"""),1.0)</f>
        <v>1</v>
      </c>
      <c r="G210" s="231" t="str">
        <f>IFERROR(__xludf.DUMMYFUNCTION("""COMPUTED_VALUE"""),"FT")</f>
        <v>FT</v>
      </c>
      <c r="H210" s="231" t="str">
        <f>IFERROR(__xludf.DUMMYFUNCTION("""COMPUTED_VALUE"""),"➖")</f>
        <v>➖</v>
      </c>
      <c r="I210" s="231" t="str">
        <f>IFERROR(__xludf.DUMMYFUNCTION("""COMPUTED_VALUE"""),"➖")</f>
        <v>➖</v>
      </c>
      <c r="J210" s="231" t="str">
        <f>IFERROR(__xludf.DUMMYFUNCTION("""COMPUTED_VALUE"""),"✴️")</f>
        <v>✴️</v>
      </c>
      <c r="K210" s="288" t="str">
        <f>IFERROR(__xludf.DUMMYFUNCTION("""COMPUTED_VALUE"""),"✴️")</f>
        <v>✴️</v>
      </c>
      <c r="L210" s="288" t="str">
        <f>IFERROR(__xludf.DUMMYFUNCTION("""COMPUTED_VALUE"""),"✴️")</f>
        <v>✴️</v>
      </c>
      <c r="M210" s="288" t="str">
        <f>IFERROR(__xludf.DUMMYFUNCTION("""COMPUTED_VALUE"""),"➖")</f>
        <v>➖</v>
      </c>
      <c r="N210" s="288" t="str">
        <f>IFERROR(__xludf.DUMMYFUNCTION("""COMPUTED_VALUE"""),"✴️")</f>
        <v>✴️</v>
      </c>
      <c r="O210" s="288" t="str">
        <f>IFERROR(__xludf.DUMMYFUNCTION("""COMPUTED_VALUE"""),"✴️")</f>
        <v>✴️</v>
      </c>
      <c r="P210" s="288" t="str">
        <f>IFERROR(__xludf.DUMMYFUNCTION("""COMPUTED_VALUE"""),"✴️")</f>
        <v>✴️</v>
      </c>
      <c r="Q210" s="288" t="str">
        <f>IFERROR(__xludf.DUMMYFUNCTION("""COMPUTED_VALUE"""),"➖")</f>
        <v>➖</v>
      </c>
      <c r="R210" s="311" t="str">
        <f>IFERROR(__xludf.DUMMYFUNCTION("""COMPUTED_VALUE"""),"   ➖")</f>
        <v>➖</v>
      </c>
      <c r="S210" s="312" t="str">
        <f>IFERROR(__xludf.DUMMYFUNCTION("""COMPUTED_VALUE"""),"➖")</f>
        <v>➖</v>
      </c>
      <c r="T210" s="288" t="str">
        <f>IFERROR(__xludf.DUMMYFUNCTION("""COMPUTED_VALUE"""),"SelfIsFedKlingRom, SelfShipGrade5")</f>
        <v>SelfIsFedKlingRom, SelfShipGrade5</v>
      </c>
      <c r="U210" s="288" t="str">
        <f>IFERROR(__xludf.DUMMYFUNCTION("""COMPUTED_VALUE"""),"➖")</f>
        <v>➖</v>
      </c>
      <c r="V210" s="288" t="str">
        <f>IFERROR(__xludf.DUMMYFUNCTION("""COMPUTED_VALUE"""),"➖")</f>
        <v>➖</v>
      </c>
      <c r="W210" s="306"/>
      <c r="X210" s="306"/>
      <c r="Y210" s="306"/>
    </row>
    <row r="211">
      <c r="A211" s="227"/>
      <c r="B211" s="128"/>
      <c r="C211" s="227"/>
      <c r="D211" s="301" t="str">
        <f>IFERROR(__xludf.DUMMYFUNCTION("""COMPUTED_VALUE"""),"   E")</f>
        <v>E</v>
      </c>
      <c r="E211" s="313" t="str">
        <f>IFERROR(__xludf.DUMMYFUNCTION("""COMPUTED_VALUE"""),"[PRO] Transwarp Computer")</f>
        <v>[PRO] Transwarp Computer</v>
      </c>
      <c r="F211" s="303">
        <f>IFERROR(__xludf.DUMMYFUNCTION("""COMPUTED_VALUE"""),2.0)</f>
        <v>2</v>
      </c>
      <c r="G211" s="281" t="str">
        <f>IFERROR(__xludf.DUMMYFUNCTION("""COMPUTED_VALUE"""),"FT")</f>
        <v>FT</v>
      </c>
      <c r="H211" s="281" t="str">
        <f>IFERROR(__xludf.DUMMYFUNCTION("""COMPUTED_VALUE"""),"✴️")</f>
        <v>✴️</v>
      </c>
      <c r="I211" s="281" t="str">
        <f>IFERROR(__xludf.DUMMYFUNCTION("""COMPUTED_VALUE"""),"✴️")</f>
        <v>✴️</v>
      </c>
      <c r="J211" s="281" t="str">
        <f>IFERROR(__xludf.DUMMYFUNCTION("""COMPUTED_VALUE"""),"✴️")</f>
        <v>✴️</v>
      </c>
      <c r="K211" s="282" t="str">
        <f>IFERROR(__xludf.DUMMYFUNCTION("""COMPUTED_VALUE"""),"✴️")</f>
        <v>✴️</v>
      </c>
      <c r="L211" s="282" t="str">
        <f>IFERROR(__xludf.DUMMYFUNCTION("""COMPUTED_VALUE"""),"✴️")</f>
        <v>✴️</v>
      </c>
      <c r="M211" s="282" t="str">
        <f>IFERROR(__xludf.DUMMYFUNCTION("""COMPUTED_VALUE"""),"✴️")</f>
        <v>✴️</v>
      </c>
      <c r="N211" s="282" t="str">
        <f>IFERROR(__xludf.DUMMYFUNCTION("""COMPUTED_VALUE"""),"✴️")</f>
        <v>✴️</v>
      </c>
      <c r="O211" s="282" t="str">
        <f>IFERROR(__xludf.DUMMYFUNCTION("""COMPUTED_VALUE"""),"✴️")</f>
        <v>✴️</v>
      </c>
      <c r="P211" s="282" t="str">
        <f>IFERROR(__xludf.DUMMYFUNCTION("""COMPUTED_VALUE"""),"✴️")</f>
        <v>✴️</v>
      </c>
      <c r="Q211" s="282" t="str">
        <f>IFERROR(__xludf.DUMMYFUNCTION("""COMPUTED_VALUE"""),"✴️")</f>
        <v>✴️</v>
      </c>
      <c r="R211" s="304" t="str">
        <f>IFERROR(__xludf.DUMMYFUNCTION("""COMPUTED_VALUE"""),"   ✴️")</f>
        <v>✴️</v>
      </c>
      <c r="S211" s="305" t="str">
        <f>IFERROR(__xludf.DUMMYFUNCTION("""COMPUTED_VALUE"""),"✴️")</f>
        <v>✴️</v>
      </c>
      <c r="T211" s="282" t="str">
        <f>IFERROR(__xludf.DUMMYFUNCTION("""COMPUTED_VALUE"""),"SelfIsFedKlingRom, SelfShipGrade5")</f>
        <v>SelfIsFedKlingRom, SelfShipGrade5</v>
      </c>
      <c r="U211" s="282" t="str">
        <f>IFERROR(__xludf.DUMMYFUNCTION("""COMPUTED_VALUE"""),"➖")</f>
        <v>➖</v>
      </c>
      <c r="V211" s="282" t="str">
        <f>IFERROR(__xludf.DUMMYFUNCTION("""COMPUTED_VALUE"""),"➖")</f>
        <v>➖</v>
      </c>
      <c r="W211" s="306"/>
      <c r="X211" s="306"/>
      <c r="Y211" s="306"/>
    </row>
    <row r="212">
      <c r="A212" s="227"/>
      <c r="B212" s="307"/>
      <c r="C212" s="227"/>
      <c r="D212" s="308" t="str">
        <f>IFERROR(__xludf.DUMMYFUNCTION("""COMPUTED_VALUE"""),"   E")</f>
        <v>E</v>
      </c>
      <c r="E212" s="309" t="str">
        <f>IFERROR(__xludf.DUMMYFUNCTION("""COMPUTED_VALUE"""),"[PRO] Transwarp Computer")</f>
        <v>[PRO] Transwarp Computer</v>
      </c>
      <c r="F212" s="310">
        <f>IFERROR(__xludf.DUMMYFUNCTION("""COMPUTED_VALUE"""),3.0)</f>
        <v>3</v>
      </c>
      <c r="G212" s="231" t="str">
        <f>IFERROR(__xludf.DUMMYFUNCTION("""COMPUTED_VALUE"""),"FT")</f>
        <v>FT</v>
      </c>
      <c r="H212" s="231" t="str">
        <f>IFERROR(__xludf.DUMMYFUNCTION("""COMPUTED_VALUE"""),"➖")</f>
        <v>➖</v>
      </c>
      <c r="I212" s="231" t="str">
        <f>IFERROR(__xludf.DUMMYFUNCTION("""COMPUTED_VALUE"""),"➖")</f>
        <v>➖</v>
      </c>
      <c r="J212" s="231" t="str">
        <f>IFERROR(__xludf.DUMMYFUNCTION("""COMPUTED_VALUE"""),"✴️")</f>
        <v>✴️</v>
      </c>
      <c r="K212" s="288" t="str">
        <f>IFERROR(__xludf.DUMMYFUNCTION("""COMPUTED_VALUE"""),"✴️")</f>
        <v>✴️</v>
      </c>
      <c r="L212" s="288" t="str">
        <f>IFERROR(__xludf.DUMMYFUNCTION("""COMPUTED_VALUE"""),"✴️")</f>
        <v>✴️</v>
      </c>
      <c r="M212" s="288" t="str">
        <f>IFERROR(__xludf.DUMMYFUNCTION("""COMPUTED_VALUE"""),"➖")</f>
        <v>➖</v>
      </c>
      <c r="N212" s="288" t="str">
        <f>IFERROR(__xludf.DUMMYFUNCTION("""COMPUTED_VALUE"""),"➖")</f>
        <v>➖</v>
      </c>
      <c r="O212" s="288" t="str">
        <f>IFERROR(__xludf.DUMMYFUNCTION("""COMPUTED_VALUE"""),"➖")</f>
        <v>➖</v>
      </c>
      <c r="P212" s="288" t="str">
        <f>IFERROR(__xludf.DUMMYFUNCTION("""COMPUTED_VALUE"""),"➖")</f>
        <v>➖</v>
      </c>
      <c r="Q212" s="288" t="str">
        <f>IFERROR(__xludf.DUMMYFUNCTION("""COMPUTED_VALUE"""),"➖")</f>
        <v>➖</v>
      </c>
      <c r="R212" s="311" t="str">
        <f>IFERROR(__xludf.DUMMYFUNCTION("""COMPUTED_VALUE"""),"   ➖")</f>
        <v>➖</v>
      </c>
      <c r="S212" s="312" t="str">
        <f>IFERROR(__xludf.DUMMYFUNCTION("""COMPUTED_VALUE"""),"➖")</f>
        <v>➖</v>
      </c>
      <c r="T212" s="288" t="str">
        <f>IFERROR(__xludf.DUMMYFUNCTION("""COMPUTED_VALUE"""),"SelfIsFedKlingRom, SelfShipGrade5, SelfOfficerTalNotOnBridge")</f>
        <v>SelfIsFedKlingRom, SelfShipGrade5, SelfOfficerTalNotOnBridge</v>
      </c>
      <c r="U212" s="288" t="str">
        <f>IFERROR(__xludf.DUMMYFUNCTION("""COMPUTED_VALUE"""),"➖")</f>
        <v>➖</v>
      </c>
      <c r="V212" s="288" t="str">
        <f>IFERROR(__xludf.DUMMYFUNCTION("""COMPUTED_VALUE"""),"➖")</f>
        <v>➖</v>
      </c>
      <c r="W212" s="306"/>
      <c r="X212" s="306"/>
      <c r="Y212" s="306"/>
    </row>
    <row r="213">
      <c r="A213" s="227"/>
      <c r="B213" s="128"/>
      <c r="C213" s="227"/>
      <c r="D213" s="301" t="str">
        <f>IFERROR(__xludf.DUMMYFUNCTION("""COMPUTED_VALUE"""),"   E")</f>
        <v>E</v>
      </c>
      <c r="E213" s="313" t="str">
        <f>IFERROR(__xludf.DUMMYFUNCTION("""COMPUTED_VALUE"""),"[PRO] Transwarp Computer")</f>
        <v>[PRO] Transwarp Computer</v>
      </c>
      <c r="F213" s="303">
        <f>IFERROR(__xludf.DUMMYFUNCTION("""COMPUTED_VALUE"""),4.0)</f>
        <v>4</v>
      </c>
      <c r="G213" s="281" t="str">
        <f>IFERROR(__xludf.DUMMYFUNCTION("""COMPUTED_VALUE"""),"FT")</f>
        <v>FT</v>
      </c>
      <c r="H213" s="281" t="str">
        <f>IFERROR(__xludf.DUMMYFUNCTION("""COMPUTED_VALUE"""),"➖")</f>
        <v>➖</v>
      </c>
      <c r="I213" s="281" t="str">
        <f>IFERROR(__xludf.DUMMYFUNCTION("""COMPUTED_VALUE"""),"➖")</f>
        <v>➖</v>
      </c>
      <c r="J213" s="281" t="str">
        <f>IFERROR(__xludf.DUMMYFUNCTION("""COMPUTED_VALUE"""),"✴️")</f>
        <v>✴️</v>
      </c>
      <c r="K213" s="282" t="str">
        <f>IFERROR(__xludf.DUMMYFUNCTION("""COMPUTED_VALUE"""),"✴️")</f>
        <v>✴️</v>
      </c>
      <c r="L213" s="282" t="str">
        <f>IFERROR(__xludf.DUMMYFUNCTION("""COMPUTED_VALUE"""),"✴️")</f>
        <v>✴️</v>
      </c>
      <c r="M213" s="282" t="str">
        <f>IFERROR(__xludf.DUMMYFUNCTION("""COMPUTED_VALUE"""),"➖")</f>
        <v>➖</v>
      </c>
      <c r="N213" s="282" t="str">
        <f>IFERROR(__xludf.DUMMYFUNCTION("""COMPUTED_VALUE"""),"✴️")</f>
        <v>✴️</v>
      </c>
      <c r="O213" s="282" t="str">
        <f>IFERROR(__xludf.DUMMYFUNCTION("""COMPUTED_VALUE"""),"✴️")</f>
        <v>✴️</v>
      </c>
      <c r="P213" s="282" t="str">
        <f>IFERROR(__xludf.DUMMYFUNCTION("""COMPUTED_VALUE"""),"✴️")</f>
        <v>✴️</v>
      </c>
      <c r="Q213" s="282" t="str">
        <f>IFERROR(__xludf.DUMMYFUNCTION("""COMPUTED_VALUE"""),"➖")</f>
        <v>➖</v>
      </c>
      <c r="R213" s="304" t="str">
        <f>IFERROR(__xludf.DUMMYFUNCTION("""COMPUTED_VALUE"""),"   ➖")</f>
        <v>➖</v>
      </c>
      <c r="S213" s="305" t="str">
        <f>IFERROR(__xludf.DUMMYFUNCTION("""COMPUTED_VALUE"""),"➖")</f>
        <v>➖</v>
      </c>
      <c r="T213" s="282" t="str">
        <f>IFERROR(__xludf.DUMMYFUNCTION("""COMPUTED_VALUE"""),"SelfIsFedKlingRom, SelfShipGrade5")</f>
        <v>SelfIsFedKlingRom, SelfShipGrade5</v>
      </c>
      <c r="U213" s="282" t="str">
        <f>IFERROR(__xludf.DUMMYFUNCTION("""COMPUTED_VALUE"""),"➖")</f>
        <v>➖</v>
      </c>
      <c r="V213" s="282" t="str">
        <f>IFERROR(__xludf.DUMMYFUNCTION("""COMPUTED_VALUE"""),"➖")</f>
        <v>➖</v>
      </c>
      <c r="W213" s="306"/>
      <c r="X213" s="306"/>
      <c r="Y213" s="306"/>
    </row>
    <row r="214">
      <c r="A214" s="227"/>
      <c r="B214" s="314"/>
      <c r="C214" s="227"/>
      <c r="D214" s="308"/>
      <c r="E214" s="315"/>
      <c r="F214" s="310"/>
      <c r="G214" s="231"/>
      <c r="H214" s="231"/>
      <c r="I214" s="231"/>
      <c r="J214" s="231"/>
      <c r="K214" s="288"/>
      <c r="L214" s="288"/>
      <c r="M214" s="288"/>
      <c r="N214" s="288"/>
      <c r="O214" s="288"/>
      <c r="P214" s="288"/>
      <c r="Q214" s="288"/>
      <c r="R214" s="311"/>
      <c r="S214" s="312"/>
      <c r="T214" s="288"/>
      <c r="U214" s="288"/>
      <c r="V214" s="288"/>
      <c r="W214" s="306"/>
      <c r="X214" s="306"/>
      <c r="Y214" s="306"/>
    </row>
    <row r="215">
      <c r="A215" s="227"/>
      <c r="B215" s="314"/>
      <c r="C215" s="227"/>
      <c r="D215" s="301"/>
      <c r="E215" s="302"/>
      <c r="F215" s="303"/>
      <c r="G215" s="281"/>
      <c r="H215" s="281"/>
      <c r="I215" s="281"/>
      <c r="J215" s="281"/>
      <c r="K215" s="282"/>
      <c r="L215" s="282"/>
      <c r="M215" s="282"/>
      <c r="N215" s="282"/>
      <c r="O215" s="282"/>
      <c r="P215" s="282"/>
      <c r="Q215" s="282"/>
      <c r="R215" s="304"/>
      <c r="S215" s="305"/>
      <c r="T215" s="282"/>
      <c r="U215" s="282"/>
      <c r="V215" s="282"/>
      <c r="W215" s="306"/>
      <c r="X215" s="306"/>
      <c r="Y215" s="306"/>
    </row>
    <row r="216">
      <c r="A216" s="227"/>
      <c r="B216" s="314"/>
      <c r="C216" s="227"/>
      <c r="D216" s="308"/>
      <c r="E216" s="315"/>
      <c r="F216" s="310"/>
      <c r="G216" s="231"/>
      <c r="H216" s="231"/>
      <c r="I216" s="231"/>
      <c r="J216" s="231"/>
      <c r="K216" s="288"/>
      <c r="L216" s="288"/>
      <c r="M216" s="288"/>
      <c r="N216" s="288"/>
      <c r="O216" s="288"/>
      <c r="P216" s="288"/>
      <c r="Q216" s="288"/>
      <c r="R216" s="311"/>
      <c r="S216" s="312"/>
      <c r="T216" s="288"/>
      <c r="U216" s="288"/>
      <c r="V216" s="288"/>
      <c r="W216" s="306"/>
      <c r="X216" s="306"/>
      <c r="Y216" s="306"/>
    </row>
    <row r="217">
      <c r="A217" s="227"/>
      <c r="B217" s="314"/>
      <c r="C217" s="227"/>
      <c r="D217" s="301"/>
      <c r="E217" s="302"/>
      <c r="F217" s="303"/>
      <c r="G217" s="281"/>
      <c r="H217" s="281"/>
      <c r="I217" s="281"/>
      <c r="J217" s="281"/>
      <c r="K217" s="282"/>
      <c r="L217" s="282"/>
      <c r="M217" s="282"/>
      <c r="N217" s="282"/>
      <c r="O217" s="282"/>
      <c r="P217" s="282"/>
      <c r="Q217" s="282"/>
      <c r="R217" s="304"/>
      <c r="S217" s="305"/>
      <c r="T217" s="282"/>
      <c r="U217" s="282"/>
      <c r="V217" s="282"/>
      <c r="W217" s="306"/>
      <c r="X217" s="306"/>
      <c r="Y217" s="306"/>
    </row>
    <row r="218">
      <c r="A218" s="227"/>
      <c r="B218" s="314"/>
      <c r="C218" s="227"/>
      <c r="D218" s="308"/>
      <c r="E218" s="315"/>
      <c r="F218" s="310"/>
      <c r="G218" s="231"/>
      <c r="H218" s="231"/>
      <c r="I218" s="231"/>
      <c r="J218" s="231"/>
      <c r="K218" s="288"/>
      <c r="L218" s="288"/>
      <c r="M218" s="288"/>
      <c r="N218" s="288"/>
      <c r="O218" s="288"/>
      <c r="P218" s="288"/>
      <c r="Q218" s="288"/>
      <c r="R218" s="311"/>
      <c r="S218" s="312"/>
      <c r="T218" s="288"/>
      <c r="U218" s="288"/>
      <c r="V218" s="288"/>
      <c r="W218" s="306"/>
      <c r="X218" s="306"/>
      <c r="Y218" s="306"/>
    </row>
    <row r="219">
      <c r="A219" s="227"/>
      <c r="B219" s="314"/>
      <c r="C219" s="227"/>
      <c r="D219" s="301"/>
      <c r="E219" s="302"/>
      <c r="F219" s="303"/>
      <c r="G219" s="281"/>
      <c r="H219" s="281"/>
      <c r="I219" s="281"/>
      <c r="J219" s="281"/>
      <c r="K219" s="282"/>
      <c r="L219" s="282"/>
      <c r="M219" s="282"/>
      <c r="N219" s="282"/>
      <c r="O219" s="282"/>
      <c r="P219" s="282"/>
      <c r="Q219" s="282"/>
      <c r="R219" s="304"/>
      <c r="S219" s="305"/>
      <c r="T219" s="282"/>
      <c r="U219" s="282"/>
      <c r="V219" s="282"/>
      <c r="W219" s="306"/>
      <c r="X219" s="306"/>
      <c r="Y219" s="306"/>
    </row>
    <row r="220">
      <c r="A220" s="227"/>
      <c r="B220" s="314"/>
      <c r="C220" s="227"/>
      <c r="D220" s="308"/>
      <c r="E220" s="315"/>
      <c r="F220" s="310"/>
      <c r="G220" s="231"/>
      <c r="H220" s="231"/>
      <c r="I220" s="231"/>
      <c r="J220" s="231"/>
      <c r="K220" s="288"/>
      <c r="L220" s="288"/>
      <c r="M220" s="288"/>
      <c r="N220" s="288"/>
      <c r="O220" s="288"/>
      <c r="P220" s="288"/>
      <c r="Q220" s="288"/>
      <c r="R220" s="311"/>
      <c r="S220" s="312"/>
      <c r="T220" s="288"/>
      <c r="U220" s="288"/>
      <c r="V220" s="288"/>
      <c r="W220" s="306"/>
      <c r="X220" s="306"/>
      <c r="Y220" s="306"/>
    </row>
    <row r="221">
      <c r="A221" s="227"/>
      <c r="B221" s="314"/>
      <c r="C221" s="227"/>
      <c r="D221" s="301"/>
      <c r="E221" s="302"/>
      <c r="F221" s="303"/>
      <c r="G221" s="281"/>
      <c r="H221" s="281"/>
      <c r="I221" s="281"/>
      <c r="J221" s="281"/>
      <c r="K221" s="282"/>
      <c r="L221" s="282"/>
      <c r="M221" s="282"/>
      <c r="N221" s="282"/>
      <c r="O221" s="282"/>
      <c r="P221" s="282"/>
      <c r="Q221" s="282"/>
      <c r="R221" s="304"/>
      <c r="S221" s="305"/>
      <c r="T221" s="282"/>
      <c r="U221" s="282"/>
      <c r="V221" s="282"/>
      <c r="W221" s="306"/>
      <c r="X221" s="306"/>
      <c r="Y221" s="306"/>
    </row>
    <row r="222">
      <c r="A222" s="227"/>
      <c r="B222" s="314"/>
      <c r="C222" s="227"/>
      <c r="D222" s="308"/>
      <c r="E222" s="315"/>
      <c r="F222" s="310"/>
      <c r="G222" s="231"/>
      <c r="H222" s="231"/>
      <c r="I222" s="231"/>
      <c r="J222" s="231"/>
      <c r="K222" s="288"/>
      <c r="L222" s="288"/>
      <c r="M222" s="288"/>
      <c r="N222" s="288"/>
      <c r="O222" s="288"/>
      <c r="P222" s="288"/>
      <c r="Q222" s="288"/>
      <c r="R222" s="311"/>
      <c r="S222" s="312"/>
      <c r="T222" s="288"/>
      <c r="U222" s="288"/>
      <c r="V222" s="288"/>
      <c r="W222" s="306"/>
      <c r="X222" s="306"/>
      <c r="Y222" s="306"/>
    </row>
    <row r="223">
      <c r="A223" s="227"/>
      <c r="B223" s="314"/>
      <c r="C223" s="227"/>
      <c r="D223" s="301"/>
      <c r="E223" s="302"/>
      <c r="F223" s="303"/>
      <c r="G223" s="281"/>
      <c r="H223" s="281"/>
      <c r="I223" s="281"/>
      <c r="J223" s="281"/>
      <c r="K223" s="282"/>
      <c r="L223" s="282"/>
      <c r="M223" s="282"/>
      <c r="N223" s="282"/>
      <c r="O223" s="282"/>
      <c r="P223" s="282"/>
      <c r="Q223" s="282"/>
      <c r="R223" s="304"/>
      <c r="S223" s="305"/>
      <c r="T223" s="282"/>
      <c r="U223" s="282"/>
      <c r="V223" s="282"/>
      <c r="W223" s="306"/>
      <c r="X223" s="306"/>
      <c r="Y223" s="306"/>
    </row>
    <row r="224">
      <c r="A224" s="227"/>
      <c r="B224" s="314"/>
      <c r="C224" s="227"/>
      <c r="D224" s="308"/>
      <c r="E224" s="315"/>
      <c r="F224" s="310"/>
      <c r="G224" s="231"/>
      <c r="H224" s="231"/>
      <c r="I224" s="231"/>
      <c r="J224" s="231"/>
      <c r="K224" s="288"/>
      <c r="L224" s="288"/>
      <c r="M224" s="288"/>
      <c r="N224" s="288"/>
      <c r="O224" s="288"/>
      <c r="P224" s="288"/>
      <c r="Q224" s="288"/>
      <c r="R224" s="311"/>
      <c r="S224" s="312"/>
      <c r="T224" s="288"/>
      <c r="U224" s="288"/>
      <c r="V224" s="288"/>
      <c r="W224" s="306"/>
      <c r="X224" s="306"/>
      <c r="Y224" s="306"/>
    </row>
    <row r="225">
      <c r="A225" s="227"/>
      <c r="B225" s="314"/>
      <c r="C225" s="227"/>
      <c r="D225" s="301"/>
      <c r="E225" s="302"/>
      <c r="F225" s="303"/>
      <c r="G225" s="281"/>
      <c r="H225" s="281"/>
      <c r="I225" s="281"/>
      <c r="J225" s="281"/>
      <c r="K225" s="282"/>
      <c r="L225" s="282"/>
      <c r="M225" s="282"/>
      <c r="N225" s="282"/>
      <c r="O225" s="282"/>
      <c r="P225" s="282"/>
      <c r="Q225" s="282"/>
      <c r="R225" s="304"/>
      <c r="S225" s="305"/>
      <c r="T225" s="282"/>
      <c r="U225" s="282"/>
      <c r="V225" s="282"/>
      <c r="W225" s="306"/>
      <c r="X225" s="306"/>
      <c r="Y225" s="306"/>
    </row>
    <row r="226">
      <c r="A226" s="227"/>
      <c r="B226" s="314"/>
      <c r="C226" s="227"/>
      <c r="D226" s="308"/>
      <c r="E226" s="315"/>
      <c r="F226" s="310"/>
      <c r="G226" s="231"/>
      <c r="H226" s="231"/>
      <c r="I226" s="231"/>
      <c r="J226" s="231"/>
      <c r="K226" s="288"/>
      <c r="L226" s="288"/>
      <c r="M226" s="288"/>
      <c r="N226" s="288"/>
      <c r="O226" s="288"/>
      <c r="P226" s="288"/>
      <c r="Q226" s="288"/>
      <c r="R226" s="311"/>
      <c r="S226" s="312"/>
      <c r="T226" s="288"/>
      <c r="U226" s="288"/>
      <c r="V226" s="288"/>
      <c r="W226" s="306"/>
      <c r="X226" s="306"/>
      <c r="Y226" s="306"/>
    </row>
    <row r="227">
      <c r="A227" s="227"/>
      <c r="B227" s="314"/>
      <c r="C227" s="227"/>
      <c r="D227" s="301"/>
      <c r="E227" s="302"/>
      <c r="F227" s="303"/>
      <c r="G227" s="281"/>
      <c r="H227" s="281"/>
      <c r="I227" s="281"/>
      <c r="J227" s="281"/>
      <c r="K227" s="282"/>
      <c r="L227" s="282"/>
      <c r="M227" s="282"/>
      <c r="N227" s="282"/>
      <c r="O227" s="282"/>
      <c r="P227" s="282"/>
      <c r="Q227" s="282"/>
      <c r="R227" s="304"/>
      <c r="S227" s="305"/>
      <c r="T227" s="282"/>
      <c r="U227" s="282"/>
      <c r="V227" s="282"/>
      <c r="W227" s="306"/>
      <c r="X227" s="306"/>
      <c r="Y227" s="306"/>
    </row>
    <row r="228">
      <c r="A228" s="227"/>
      <c r="B228" s="314"/>
      <c r="C228" s="227"/>
      <c r="D228" s="308"/>
      <c r="E228" s="315"/>
      <c r="F228" s="310"/>
      <c r="G228" s="231"/>
      <c r="H228" s="231"/>
      <c r="I228" s="231"/>
      <c r="J228" s="231"/>
      <c r="K228" s="288"/>
      <c r="L228" s="288"/>
      <c r="M228" s="288"/>
      <c r="N228" s="288"/>
      <c r="O228" s="288"/>
      <c r="P228" s="288"/>
      <c r="Q228" s="288"/>
      <c r="R228" s="311"/>
      <c r="S228" s="312"/>
      <c r="T228" s="288"/>
      <c r="U228" s="288"/>
      <c r="V228" s="288"/>
      <c r="W228" s="306"/>
      <c r="X228" s="306"/>
      <c r="Y228" s="306"/>
    </row>
    <row r="229">
      <c r="A229" s="227"/>
      <c r="B229" s="314"/>
      <c r="C229" s="227"/>
      <c r="D229" s="301"/>
      <c r="E229" s="302"/>
      <c r="F229" s="303"/>
      <c r="G229" s="281"/>
      <c r="H229" s="281"/>
      <c r="I229" s="281"/>
      <c r="J229" s="281"/>
      <c r="K229" s="282"/>
      <c r="L229" s="282"/>
      <c r="M229" s="282"/>
      <c r="N229" s="282"/>
      <c r="O229" s="282"/>
      <c r="P229" s="282"/>
      <c r="Q229" s="282"/>
      <c r="R229" s="304"/>
      <c r="S229" s="305"/>
      <c r="T229" s="282"/>
      <c r="U229" s="282"/>
      <c r="V229" s="282"/>
      <c r="W229" s="306"/>
      <c r="X229" s="306"/>
      <c r="Y229" s="306"/>
    </row>
    <row r="230">
      <c r="A230" s="227"/>
      <c r="B230" s="314"/>
      <c r="C230" s="227"/>
      <c r="D230" s="308"/>
      <c r="E230" s="315"/>
      <c r="F230" s="310"/>
      <c r="G230" s="231"/>
      <c r="H230" s="231"/>
      <c r="I230" s="231"/>
      <c r="J230" s="231"/>
      <c r="K230" s="288"/>
      <c r="L230" s="288"/>
      <c r="M230" s="288"/>
      <c r="N230" s="288"/>
      <c r="O230" s="288"/>
      <c r="P230" s="288"/>
      <c r="Q230" s="288"/>
      <c r="R230" s="311"/>
      <c r="S230" s="312"/>
      <c r="T230" s="288"/>
      <c r="U230" s="288"/>
      <c r="V230" s="288"/>
      <c r="W230" s="306"/>
      <c r="X230" s="306"/>
      <c r="Y230" s="306"/>
    </row>
    <row r="231">
      <c r="A231" s="227"/>
      <c r="B231" s="314"/>
      <c r="C231" s="227"/>
      <c r="D231" s="301"/>
      <c r="E231" s="302"/>
      <c r="F231" s="303"/>
      <c r="G231" s="281"/>
      <c r="H231" s="281"/>
      <c r="I231" s="281"/>
      <c r="J231" s="281"/>
      <c r="K231" s="282"/>
      <c r="L231" s="282"/>
      <c r="M231" s="282"/>
      <c r="N231" s="282"/>
      <c r="O231" s="282"/>
      <c r="P231" s="282"/>
      <c r="Q231" s="282"/>
      <c r="R231" s="304"/>
      <c r="S231" s="305"/>
      <c r="T231" s="282"/>
      <c r="U231" s="282"/>
      <c r="V231" s="282"/>
      <c r="W231" s="306"/>
      <c r="X231" s="306"/>
      <c r="Y231" s="306"/>
    </row>
    <row r="232">
      <c r="A232" s="227"/>
      <c r="B232" s="314"/>
      <c r="C232" s="227"/>
      <c r="D232" s="308"/>
      <c r="E232" s="315"/>
      <c r="F232" s="310"/>
      <c r="G232" s="231"/>
      <c r="H232" s="231"/>
      <c r="I232" s="231"/>
      <c r="J232" s="231"/>
      <c r="K232" s="288"/>
      <c r="L232" s="288"/>
      <c r="M232" s="288"/>
      <c r="N232" s="288"/>
      <c r="O232" s="288"/>
      <c r="P232" s="288"/>
      <c r="Q232" s="288"/>
      <c r="R232" s="311"/>
      <c r="S232" s="312"/>
      <c r="T232" s="288"/>
      <c r="U232" s="288"/>
      <c r="V232" s="288"/>
      <c r="W232" s="306"/>
      <c r="X232" s="306"/>
      <c r="Y232" s="306"/>
    </row>
    <row r="233">
      <c r="A233" s="227"/>
      <c r="B233" s="314"/>
      <c r="C233" s="227"/>
      <c r="D233" s="301"/>
      <c r="E233" s="302"/>
      <c r="F233" s="303"/>
      <c r="G233" s="281"/>
      <c r="H233" s="281"/>
      <c r="I233" s="281"/>
      <c r="J233" s="281"/>
      <c r="K233" s="282"/>
      <c r="L233" s="282"/>
      <c r="M233" s="282"/>
      <c r="N233" s="282"/>
      <c r="O233" s="282"/>
      <c r="P233" s="282"/>
      <c r="Q233" s="282"/>
      <c r="R233" s="304"/>
      <c r="S233" s="305"/>
      <c r="T233" s="282"/>
      <c r="U233" s="282"/>
      <c r="V233" s="282"/>
      <c r="W233" s="306"/>
      <c r="X233" s="306"/>
      <c r="Y233" s="306"/>
    </row>
    <row r="234">
      <c r="A234" s="227"/>
      <c r="B234" s="314"/>
      <c r="C234" s="227"/>
      <c r="D234" s="308"/>
      <c r="E234" s="315"/>
      <c r="F234" s="310"/>
      <c r="G234" s="231"/>
      <c r="H234" s="231"/>
      <c r="I234" s="231"/>
      <c r="J234" s="231"/>
      <c r="K234" s="288"/>
      <c r="L234" s="288"/>
      <c r="M234" s="288"/>
      <c r="N234" s="288"/>
      <c r="O234" s="288"/>
      <c r="P234" s="288"/>
      <c r="Q234" s="288"/>
      <c r="R234" s="311"/>
      <c r="S234" s="312"/>
      <c r="T234" s="288"/>
      <c r="U234" s="288"/>
      <c r="V234" s="288"/>
      <c r="W234" s="306"/>
      <c r="X234" s="306"/>
      <c r="Y234" s="306"/>
    </row>
    <row r="235">
      <c r="A235" s="227"/>
      <c r="B235" s="314"/>
      <c r="C235" s="227"/>
      <c r="D235" s="301"/>
      <c r="E235" s="302"/>
      <c r="F235" s="303"/>
      <c r="G235" s="281"/>
      <c r="H235" s="281"/>
      <c r="I235" s="281"/>
      <c r="J235" s="281"/>
      <c r="K235" s="282"/>
      <c r="L235" s="282"/>
      <c r="M235" s="282"/>
      <c r="N235" s="282"/>
      <c r="O235" s="282"/>
      <c r="P235" s="282"/>
      <c r="Q235" s="282"/>
      <c r="R235" s="304"/>
      <c r="S235" s="305"/>
      <c r="T235" s="282"/>
      <c r="U235" s="282"/>
      <c r="V235" s="282"/>
      <c r="W235" s="306"/>
      <c r="X235" s="306"/>
      <c r="Y235" s="306"/>
    </row>
    <row r="236">
      <c r="A236" s="227"/>
      <c r="B236" s="314"/>
      <c r="C236" s="227"/>
      <c r="D236" s="308"/>
      <c r="E236" s="315"/>
      <c r="F236" s="310"/>
      <c r="G236" s="231"/>
      <c r="H236" s="231"/>
      <c r="I236" s="231"/>
      <c r="J236" s="231"/>
      <c r="K236" s="288"/>
      <c r="L236" s="288"/>
      <c r="M236" s="288"/>
      <c r="N236" s="288"/>
      <c r="O236" s="288"/>
      <c r="P236" s="288"/>
      <c r="Q236" s="288"/>
      <c r="R236" s="311"/>
      <c r="S236" s="312"/>
      <c r="T236" s="288"/>
      <c r="U236" s="288"/>
      <c r="V236" s="288"/>
      <c r="W236" s="306"/>
      <c r="X236" s="306"/>
      <c r="Y236" s="306"/>
    </row>
    <row r="237">
      <c r="A237" s="227"/>
      <c r="B237" s="314"/>
      <c r="C237" s="227"/>
      <c r="D237" s="301"/>
      <c r="E237" s="302"/>
      <c r="F237" s="303"/>
      <c r="G237" s="281"/>
      <c r="H237" s="281"/>
      <c r="I237" s="281"/>
      <c r="J237" s="281"/>
      <c r="K237" s="282"/>
      <c r="L237" s="282"/>
      <c r="M237" s="282"/>
      <c r="N237" s="282"/>
      <c r="O237" s="282"/>
      <c r="P237" s="282"/>
      <c r="Q237" s="282"/>
      <c r="R237" s="304"/>
      <c r="S237" s="305"/>
      <c r="T237" s="282"/>
      <c r="U237" s="282"/>
      <c r="V237" s="282"/>
      <c r="W237" s="306"/>
      <c r="X237" s="306"/>
      <c r="Y237" s="306"/>
    </row>
    <row r="238">
      <c r="A238" s="227"/>
      <c r="B238" s="314"/>
      <c r="C238" s="227"/>
      <c r="D238" s="308"/>
      <c r="E238" s="315"/>
      <c r="F238" s="310"/>
      <c r="G238" s="231"/>
      <c r="H238" s="231"/>
      <c r="I238" s="231"/>
      <c r="J238" s="231"/>
      <c r="K238" s="288"/>
      <c r="L238" s="288"/>
      <c r="M238" s="288"/>
      <c r="N238" s="288"/>
      <c r="O238" s="288"/>
      <c r="P238" s="288"/>
      <c r="Q238" s="288"/>
      <c r="R238" s="311"/>
      <c r="S238" s="312"/>
      <c r="T238" s="288"/>
      <c r="U238" s="288"/>
      <c r="V238" s="288"/>
      <c r="W238" s="306"/>
      <c r="X238" s="306"/>
      <c r="Y238" s="306"/>
    </row>
    <row r="239">
      <c r="A239" s="227"/>
      <c r="B239" s="314"/>
      <c r="C239" s="227"/>
      <c r="D239" s="301"/>
      <c r="E239" s="302"/>
      <c r="F239" s="303"/>
      <c r="G239" s="281"/>
      <c r="H239" s="281"/>
      <c r="I239" s="281"/>
      <c r="J239" s="281"/>
      <c r="K239" s="282"/>
      <c r="L239" s="282"/>
      <c r="M239" s="282"/>
      <c r="N239" s="282"/>
      <c r="O239" s="282"/>
      <c r="P239" s="282"/>
      <c r="Q239" s="282"/>
      <c r="R239" s="304"/>
      <c r="S239" s="305"/>
      <c r="T239" s="282"/>
      <c r="U239" s="282"/>
      <c r="V239" s="282"/>
      <c r="W239" s="306"/>
      <c r="X239" s="306"/>
      <c r="Y239" s="306"/>
    </row>
    <row r="240">
      <c r="A240" s="227"/>
      <c r="B240" s="314"/>
      <c r="C240" s="227"/>
      <c r="D240" s="308"/>
      <c r="E240" s="315"/>
      <c r="F240" s="310"/>
      <c r="G240" s="231"/>
      <c r="H240" s="231"/>
      <c r="I240" s="231"/>
      <c r="J240" s="231"/>
      <c r="K240" s="288"/>
      <c r="L240" s="288"/>
      <c r="M240" s="288"/>
      <c r="N240" s="288"/>
      <c r="O240" s="288"/>
      <c r="P240" s="288"/>
      <c r="Q240" s="288"/>
      <c r="R240" s="311"/>
      <c r="S240" s="312"/>
      <c r="T240" s="288"/>
      <c r="U240" s="288"/>
      <c r="V240" s="288"/>
      <c r="W240" s="306"/>
      <c r="X240" s="306"/>
      <c r="Y240" s="306"/>
    </row>
    <row r="241">
      <c r="A241" s="227"/>
      <c r="B241" s="314"/>
      <c r="C241" s="227"/>
      <c r="D241" s="301"/>
      <c r="E241" s="302"/>
      <c r="F241" s="303"/>
      <c r="G241" s="281"/>
      <c r="H241" s="281"/>
      <c r="I241" s="281"/>
      <c r="J241" s="281"/>
      <c r="K241" s="282"/>
      <c r="L241" s="282"/>
      <c r="M241" s="282"/>
      <c r="N241" s="282"/>
      <c r="O241" s="282"/>
      <c r="P241" s="282"/>
      <c r="Q241" s="282"/>
      <c r="R241" s="304"/>
      <c r="S241" s="305"/>
      <c r="T241" s="282"/>
      <c r="U241" s="282"/>
      <c r="V241" s="282"/>
      <c r="W241" s="306"/>
      <c r="X241" s="306"/>
      <c r="Y241" s="306"/>
    </row>
    <row r="242">
      <c r="A242" s="227"/>
      <c r="B242" s="314"/>
      <c r="C242" s="227"/>
      <c r="D242" s="308"/>
      <c r="E242" s="315"/>
      <c r="F242" s="310"/>
      <c r="G242" s="231"/>
      <c r="H242" s="231"/>
      <c r="I242" s="231"/>
      <c r="J242" s="231"/>
      <c r="K242" s="288"/>
      <c r="L242" s="288"/>
      <c r="M242" s="288"/>
      <c r="N242" s="288"/>
      <c r="O242" s="288"/>
      <c r="P242" s="288"/>
      <c r="Q242" s="288"/>
      <c r="R242" s="311"/>
      <c r="S242" s="312"/>
      <c r="T242" s="288"/>
      <c r="U242" s="288"/>
      <c r="V242" s="288"/>
      <c r="W242" s="306"/>
      <c r="X242" s="306"/>
      <c r="Y242" s="306"/>
    </row>
    <row r="243">
      <c r="A243" s="227"/>
      <c r="B243" s="314"/>
      <c r="C243" s="227"/>
      <c r="D243" s="301"/>
      <c r="E243" s="302"/>
      <c r="F243" s="303"/>
      <c r="G243" s="281"/>
      <c r="H243" s="281"/>
      <c r="I243" s="281"/>
      <c r="J243" s="281"/>
      <c r="K243" s="282"/>
      <c r="L243" s="282"/>
      <c r="M243" s="282"/>
      <c r="N243" s="282"/>
      <c r="O243" s="282"/>
      <c r="P243" s="282"/>
      <c r="Q243" s="282"/>
      <c r="R243" s="304"/>
      <c r="S243" s="305"/>
      <c r="T243" s="282"/>
      <c r="U243" s="282"/>
      <c r="V243" s="282"/>
      <c r="W243" s="306"/>
      <c r="X243" s="306"/>
      <c r="Y243" s="306"/>
    </row>
    <row r="244">
      <c r="A244" s="227"/>
      <c r="B244" s="314"/>
      <c r="C244" s="227"/>
      <c r="D244" s="308"/>
      <c r="E244" s="315"/>
      <c r="F244" s="310"/>
      <c r="G244" s="231"/>
      <c r="H244" s="231"/>
      <c r="I244" s="231"/>
      <c r="J244" s="231"/>
      <c r="K244" s="288"/>
      <c r="L244" s="288"/>
      <c r="M244" s="288"/>
      <c r="N244" s="288"/>
      <c r="O244" s="288"/>
      <c r="P244" s="288"/>
      <c r="Q244" s="288"/>
      <c r="R244" s="311"/>
      <c r="S244" s="312"/>
      <c r="T244" s="288"/>
      <c r="U244" s="288"/>
      <c r="V244" s="288"/>
      <c r="W244" s="306"/>
      <c r="X244" s="306"/>
      <c r="Y244" s="306"/>
    </row>
    <row r="245">
      <c r="A245" s="227"/>
      <c r="B245" s="314"/>
      <c r="C245" s="227"/>
      <c r="D245" s="301"/>
      <c r="E245" s="302"/>
      <c r="F245" s="303"/>
      <c r="G245" s="281"/>
      <c r="H245" s="281"/>
      <c r="I245" s="281"/>
      <c r="J245" s="281"/>
      <c r="K245" s="282"/>
      <c r="L245" s="282"/>
      <c r="M245" s="282"/>
      <c r="N245" s="282"/>
      <c r="O245" s="282"/>
      <c r="P245" s="282"/>
      <c r="Q245" s="282"/>
      <c r="R245" s="304"/>
      <c r="S245" s="305"/>
      <c r="T245" s="282"/>
      <c r="U245" s="282"/>
      <c r="V245" s="282"/>
      <c r="W245" s="306"/>
      <c r="X245" s="306"/>
      <c r="Y245" s="306"/>
    </row>
    <row r="246">
      <c r="A246" s="227"/>
      <c r="B246" s="314"/>
      <c r="C246" s="227"/>
      <c r="D246" s="308"/>
      <c r="E246" s="315"/>
      <c r="F246" s="310"/>
      <c r="G246" s="231"/>
      <c r="H246" s="231"/>
      <c r="I246" s="231"/>
      <c r="J246" s="231"/>
      <c r="K246" s="288"/>
      <c r="L246" s="288"/>
      <c r="M246" s="288"/>
      <c r="N246" s="288"/>
      <c r="O246" s="288"/>
      <c r="P246" s="288"/>
      <c r="Q246" s="288"/>
      <c r="R246" s="311"/>
      <c r="S246" s="312"/>
      <c r="T246" s="288"/>
      <c r="U246" s="288"/>
      <c r="V246" s="288"/>
      <c r="W246" s="306"/>
      <c r="X246" s="306"/>
      <c r="Y246" s="306"/>
    </row>
    <row r="247">
      <c r="A247" s="227"/>
      <c r="B247" s="314"/>
      <c r="C247" s="227"/>
      <c r="D247" s="301"/>
      <c r="E247" s="302"/>
      <c r="F247" s="303"/>
      <c r="G247" s="281"/>
      <c r="H247" s="281"/>
      <c r="I247" s="281"/>
      <c r="J247" s="281"/>
      <c r="K247" s="282"/>
      <c r="L247" s="282"/>
      <c r="M247" s="282"/>
      <c r="N247" s="282"/>
      <c r="O247" s="282"/>
      <c r="P247" s="282"/>
      <c r="Q247" s="282"/>
      <c r="R247" s="304"/>
      <c r="S247" s="305"/>
      <c r="T247" s="282"/>
      <c r="U247" s="282"/>
      <c r="V247" s="282"/>
      <c r="W247" s="306"/>
      <c r="X247" s="306"/>
      <c r="Y247" s="306"/>
    </row>
    <row r="248">
      <c r="A248" s="227"/>
      <c r="B248" s="314"/>
      <c r="C248" s="227"/>
      <c r="D248" s="308"/>
      <c r="E248" s="315"/>
      <c r="F248" s="310"/>
      <c r="G248" s="231"/>
      <c r="H248" s="231"/>
      <c r="I248" s="231"/>
      <c r="J248" s="231"/>
      <c r="K248" s="288"/>
      <c r="L248" s="288"/>
      <c r="M248" s="288"/>
      <c r="N248" s="288"/>
      <c r="O248" s="288"/>
      <c r="P248" s="288"/>
      <c r="Q248" s="288"/>
      <c r="R248" s="311"/>
      <c r="S248" s="312"/>
      <c r="T248" s="288"/>
      <c r="U248" s="288"/>
      <c r="V248" s="288"/>
      <c r="W248" s="306"/>
      <c r="X248" s="306"/>
      <c r="Y248" s="306"/>
    </row>
    <row r="249">
      <c r="A249" s="227"/>
      <c r="B249" s="314"/>
      <c r="C249" s="227"/>
      <c r="D249" s="301"/>
      <c r="E249" s="302"/>
      <c r="F249" s="303"/>
      <c r="G249" s="281"/>
      <c r="H249" s="281"/>
      <c r="I249" s="281"/>
      <c r="J249" s="281"/>
      <c r="K249" s="282"/>
      <c r="L249" s="282"/>
      <c r="M249" s="282"/>
      <c r="N249" s="282"/>
      <c r="O249" s="282"/>
      <c r="P249" s="282"/>
      <c r="Q249" s="282"/>
      <c r="R249" s="304"/>
      <c r="S249" s="305"/>
      <c r="T249" s="282"/>
      <c r="U249" s="282"/>
      <c r="V249" s="282"/>
      <c r="W249" s="306"/>
      <c r="X249" s="306"/>
      <c r="Y249" s="306"/>
    </row>
    <row r="250">
      <c r="A250" s="227"/>
      <c r="B250" s="314"/>
      <c r="C250" s="227"/>
      <c r="D250" s="308"/>
      <c r="E250" s="315"/>
      <c r="F250" s="310"/>
      <c r="G250" s="231"/>
      <c r="H250" s="231"/>
      <c r="I250" s="231"/>
      <c r="J250" s="231"/>
      <c r="K250" s="288"/>
      <c r="L250" s="288"/>
      <c r="M250" s="288"/>
      <c r="N250" s="288"/>
      <c r="O250" s="288"/>
      <c r="P250" s="288"/>
      <c r="Q250" s="288"/>
      <c r="R250" s="311"/>
      <c r="S250" s="312"/>
      <c r="T250" s="288"/>
      <c r="U250" s="288"/>
      <c r="V250" s="288"/>
      <c r="W250" s="306"/>
      <c r="X250" s="306"/>
      <c r="Y250" s="306"/>
    </row>
    <row r="251">
      <c r="A251" s="227"/>
      <c r="B251" s="314"/>
      <c r="C251" s="227"/>
      <c r="D251" s="301"/>
      <c r="E251" s="302"/>
      <c r="F251" s="303"/>
      <c r="G251" s="281"/>
      <c r="H251" s="281"/>
      <c r="I251" s="281"/>
      <c r="J251" s="281"/>
      <c r="K251" s="282"/>
      <c r="L251" s="282"/>
      <c r="M251" s="282"/>
      <c r="N251" s="282"/>
      <c r="O251" s="282"/>
      <c r="P251" s="282"/>
      <c r="Q251" s="282"/>
      <c r="R251" s="304"/>
      <c r="S251" s="305"/>
      <c r="T251" s="282"/>
      <c r="U251" s="282"/>
      <c r="V251" s="282"/>
      <c r="W251" s="306"/>
      <c r="X251" s="306"/>
      <c r="Y251" s="306"/>
    </row>
    <row r="252">
      <c r="A252" s="227"/>
      <c r="B252" s="314"/>
      <c r="C252" s="227"/>
      <c r="D252" s="308"/>
      <c r="E252" s="315"/>
      <c r="F252" s="310"/>
      <c r="G252" s="231"/>
      <c r="H252" s="231"/>
      <c r="I252" s="231"/>
      <c r="J252" s="231"/>
      <c r="K252" s="288"/>
      <c r="L252" s="288"/>
      <c r="M252" s="288"/>
      <c r="N252" s="288"/>
      <c r="O252" s="288"/>
      <c r="P252" s="288"/>
      <c r="Q252" s="288"/>
      <c r="R252" s="311"/>
      <c r="S252" s="312"/>
      <c r="T252" s="288"/>
      <c r="U252" s="288"/>
      <c r="V252" s="288"/>
      <c r="W252" s="306"/>
      <c r="X252" s="306"/>
      <c r="Y252" s="306"/>
    </row>
    <row r="253">
      <c r="A253" s="227"/>
      <c r="B253" s="314"/>
      <c r="C253" s="227"/>
      <c r="D253" s="301"/>
      <c r="E253" s="302"/>
      <c r="F253" s="303"/>
      <c r="G253" s="281"/>
      <c r="H253" s="281"/>
      <c r="I253" s="281"/>
      <c r="J253" s="281"/>
      <c r="K253" s="282"/>
      <c r="L253" s="282"/>
      <c r="M253" s="282"/>
      <c r="N253" s="282"/>
      <c r="O253" s="282"/>
      <c r="P253" s="282"/>
      <c r="Q253" s="282"/>
      <c r="R253" s="304"/>
      <c r="S253" s="305"/>
      <c r="T253" s="282"/>
      <c r="U253" s="282"/>
      <c r="V253" s="282"/>
      <c r="W253" s="306"/>
      <c r="X253" s="306"/>
      <c r="Y253" s="306"/>
    </row>
    <row r="254">
      <c r="A254" s="227"/>
      <c r="B254" s="314"/>
      <c r="C254" s="227"/>
      <c r="D254" s="308"/>
      <c r="E254" s="315"/>
      <c r="F254" s="310"/>
      <c r="G254" s="231"/>
      <c r="H254" s="231"/>
      <c r="I254" s="231"/>
      <c r="J254" s="231"/>
      <c r="K254" s="288"/>
      <c r="L254" s="288"/>
      <c r="M254" s="288"/>
      <c r="N254" s="288"/>
      <c r="O254" s="288"/>
      <c r="P254" s="288"/>
      <c r="Q254" s="288"/>
      <c r="R254" s="311"/>
      <c r="S254" s="312"/>
      <c r="T254" s="288"/>
      <c r="U254" s="288"/>
      <c r="V254" s="288"/>
      <c r="W254" s="306"/>
      <c r="X254" s="306"/>
      <c r="Y254" s="306"/>
    </row>
    <row r="255">
      <c r="A255" s="227"/>
      <c r="B255" s="314"/>
      <c r="C255" s="227"/>
      <c r="D255" s="301"/>
      <c r="E255" s="302"/>
      <c r="F255" s="303"/>
      <c r="G255" s="281"/>
      <c r="H255" s="281"/>
      <c r="I255" s="281"/>
      <c r="J255" s="281"/>
      <c r="K255" s="282"/>
      <c r="L255" s="282"/>
      <c r="M255" s="282"/>
      <c r="N255" s="282"/>
      <c r="O255" s="282"/>
      <c r="P255" s="282"/>
      <c r="Q255" s="282"/>
      <c r="R255" s="304"/>
      <c r="S255" s="305"/>
      <c r="T255" s="282"/>
      <c r="U255" s="282"/>
      <c r="V255" s="282"/>
      <c r="W255" s="306"/>
      <c r="X255" s="306"/>
      <c r="Y255" s="306"/>
    </row>
    <row r="256">
      <c r="A256" s="227"/>
      <c r="B256" s="314"/>
      <c r="C256" s="227"/>
      <c r="D256" s="308"/>
      <c r="E256" s="315"/>
      <c r="F256" s="310"/>
      <c r="G256" s="231"/>
      <c r="H256" s="231"/>
      <c r="I256" s="231"/>
      <c r="J256" s="231"/>
      <c r="K256" s="288"/>
      <c r="L256" s="288"/>
      <c r="M256" s="288"/>
      <c r="N256" s="288"/>
      <c r="O256" s="288"/>
      <c r="P256" s="288"/>
      <c r="Q256" s="288"/>
      <c r="R256" s="311"/>
      <c r="S256" s="312"/>
      <c r="T256" s="288"/>
      <c r="U256" s="288"/>
      <c r="V256" s="288"/>
      <c r="W256" s="306"/>
      <c r="X256" s="306"/>
      <c r="Y256" s="306"/>
    </row>
    <row r="257">
      <c r="A257" s="227"/>
      <c r="B257" s="314"/>
      <c r="C257" s="227"/>
      <c r="D257" s="301"/>
      <c r="E257" s="302"/>
      <c r="F257" s="303"/>
      <c r="G257" s="281"/>
      <c r="H257" s="281"/>
      <c r="I257" s="281"/>
      <c r="J257" s="281"/>
      <c r="K257" s="282"/>
      <c r="L257" s="282"/>
      <c r="M257" s="282"/>
      <c r="N257" s="282"/>
      <c r="O257" s="282"/>
      <c r="P257" s="282"/>
      <c r="Q257" s="282"/>
      <c r="R257" s="304"/>
      <c r="S257" s="305"/>
      <c r="T257" s="282"/>
      <c r="U257" s="282"/>
      <c r="V257" s="282"/>
      <c r="W257" s="306"/>
      <c r="X257" s="306"/>
      <c r="Y257" s="306"/>
    </row>
    <row r="258">
      <c r="A258" s="227"/>
      <c r="B258" s="314"/>
      <c r="C258" s="227"/>
      <c r="D258" s="308"/>
      <c r="E258" s="315"/>
      <c r="F258" s="310"/>
      <c r="G258" s="231"/>
      <c r="H258" s="231"/>
      <c r="I258" s="231"/>
      <c r="J258" s="231"/>
      <c r="K258" s="288"/>
      <c r="L258" s="288"/>
      <c r="M258" s="288"/>
      <c r="N258" s="288"/>
      <c r="O258" s="288"/>
      <c r="P258" s="288"/>
      <c r="Q258" s="288"/>
      <c r="R258" s="311"/>
      <c r="S258" s="312"/>
      <c r="T258" s="288"/>
      <c r="U258" s="288"/>
      <c r="V258" s="288"/>
      <c r="W258" s="306"/>
      <c r="X258" s="306"/>
      <c r="Y258" s="306"/>
    </row>
    <row r="259">
      <c r="A259" s="227"/>
      <c r="B259" s="314"/>
      <c r="C259" s="227"/>
      <c r="D259" s="301"/>
      <c r="E259" s="302"/>
      <c r="F259" s="303"/>
      <c r="G259" s="281"/>
      <c r="H259" s="281"/>
      <c r="I259" s="281"/>
      <c r="J259" s="281"/>
      <c r="K259" s="282"/>
      <c r="L259" s="282"/>
      <c r="M259" s="282"/>
      <c r="N259" s="282"/>
      <c r="O259" s="282"/>
      <c r="P259" s="282"/>
      <c r="Q259" s="282"/>
      <c r="R259" s="304"/>
      <c r="S259" s="305"/>
      <c r="T259" s="282"/>
      <c r="U259" s="282"/>
      <c r="V259" s="282"/>
      <c r="W259" s="306"/>
      <c r="X259" s="306"/>
      <c r="Y259" s="306"/>
    </row>
    <row r="260">
      <c r="A260" s="227"/>
      <c r="B260" s="314"/>
      <c r="C260" s="227"/>
      <c r="D260" s="308"/>
      <c r="E260" s="315"/>
      <c r="F260" s="310"/>
      <c r="G260" s="231"/>
      <c r="H260" s="231"/>
      <c r="I260" s="231"/>
      <c r="J260" s="231"/>
      <c r="K260" s="288"/>
      <c r="L260" s="288"/>
      <c r="M260" s="288"/>
      <c r="N260" s="288"/>
      <c r="O260" s="288"/>
      <c r="P260" s="288"/>
      <c r="Q260" s="288"/>
      <c r="R260" s="311"/>
      <c r="S260" s="312"/>
      <c r="T260" s="288"/>
      <c r="U260" s="288"/>
      <c r="V260" s="288"/>
      <c r="W260" s="306"/>
      <c r="X260" s="306"/>
      <c r="Y260" s="306"/>
    </row>
    <row r="261">
      <c r="A261" s="227"/>
      <c r="B261" s="314"/>
      <c r="C261" s="227"/>
      <c r="D261" s="301"/>
      <c r="E261" s="302"/>
      <c r="F261" s="303"/>
      <c r="G261" s="281"/>
      <c r="H261" s="281"/>
      <c r="I261" s="281"/>
      <c r="J261" s="281"/>
      <c r="K261" s="282"/>
      <c r="L261" s="282"/>
      <c r="M261" s="282"/>
      <c r="N261" s="282"/>
      <c r="O261" s="282"/>
      <c r="P261" s="282"/>
      <c r="Q261" s="282"/>
      <c r="R261" s="304"/>
      <c r="S261" s="305"/>
      <c r="T261" s="282"/>
      <c r="U261" s="282"/>
      <c r="V261" s="282"/>
      <c r="W261" s="306"/>
      <c r="X261" s="306"/>
      <c r="Y261" s="306"/>
    </row>
    <row r="262">
      <c r="A262" s="227"/>
      <c r="B262" s="314"/>
      <c r="C262" s="227"/>
      <c r="D262" s="308"/>
      <c r="E262" s="315"/>
      <c r="F262" s="310"/>
      <c r="G262" s="231"/>
      <c r="H262" s="231"/>
      <c r="I262" s="231"/>
      <c r="J262" s="231"/>
      <c r="K262" s="288"/>
      <c r="L262" s="288"/>
      <c r="M262" s="288"/>
      <c r="N262" s="288"/>
      <c r="O262" s="288"/>
      <c r="P262" s="288"/>
      <c r="Q262" s="288"/>
      <c r="R262" s="311"/>
      <c r="S262" s="312"/>
      <c r="T262" s="288"/>
      <c r="U262" s="288"/>
      <c r="V262" s="288"/>
      <c r="W262" s="306"/>
      <c r="X262" s="306"/>
      <c r="Y262" s="306"/>
    </row>
    <row r="263">
      <c r="A263" s="227"/>
      <c r="B263" s="314"/>
      <c r="C263" s="227"/>
      <c r="D263" s="301"/>
      <c r="E263" s="302"/>
      <c r="F263" s="303"/>
      <c r="G263" s="281"/>
      <c r="H263" s="281"/>
      <c r="I263" s="281"/>
      <c r="J263" s="281"/>
      <c r="K263" s="282"/>
      <c r="L263" s="282"/>
      <c r="M263" s="282"/>
      <c r="N263" s="282"/>
      <c r="O263" s="282"/>
      <c r="P263" s="282"/>
      <c r="Q263" s="282"/>
      <c r="R263" s="304"/>
      <c r="S263" s="305"/>
      <c r="T263" s="282"/>
      <c r="U263" s="282"/>
      <c r="V263" s="282"/>
      <c r="W263" s="306"/>
      <c r="X263" s="306"/>
      <c r="Y263" s="306"/>
    </row>
  </sheetData>
  <customSheetViews>
    <customSheetView guid="{CA8E02A4-DCF3-4B76-92B6-B7CC83783927}" filter="1" showAutoFilter="1">
      <autoFilter ref="$D$2:$L$8"/>
    </customSheetView>
    <customSheetView guid="{65CC8D0F-A12D-4FB2-8C14-C0DB53EBE7F6}" filter="1" showAutoFilter="1">
      <autoFilter ref="$D$2:$L$8"/>
    </customSheetView>
  </customSheetViews>
  <mergeCells count="1">
    <mergeCell ref="E2:G2"/>
  </mergeCells>
  <conditionalFormatting sqref="D3:E263">
    <cfRule type="expression" dxfId="12" priority="1">
      <formula>$D3="e"</formula>
    </cfRule>
  </conditionalFormatting>
  <conditionalFormatting sqref="D3:E263">
    <cfRule type="expression" dxfId="13" priority="2">
      <formula>$D3="r"</formula>
    </cfRule>
  </conditionalFormatting>
  <conditionalFormatting sqref="D3:E263">
    <cfRule type="expression" dxfId="14" priority="3">
      <formula>$D3="u"</formula>
    </cfRule>
  </conditionalFormatting>
  <conditionalFormatting sqref="F3:F263">
    <cfRule type="expression" dxfId="15" priority="4">
      <formula>$F3="CM"</formula>
    </cfRule>
  </conditionalFormatting>
  <conditionalFormatting sqref="D3:F263">
    <cfRule type="expression" dxfId="18" priority="5">
      <formula>#REF!="c"</formula>
    </cfRule>
  </conditionalFormatting>
  <conditionalFormatting sqref="F3:F263">
    <cfRule type="expression" dxfId="16" priority="6">
      <formula>$F3="OA"</formula>
    </cfRule>
  </conditionalFormatting>
  <conditionalFormatting sqref="F3:F263">
    <cfRule type="expression" dxfId="17" priority="7">
      <formula>$F3="BDA"</formula>
    </cfRule>
  </conditionalFormatting>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5"/>
    <hyperlink r:id="rId53" ref="E56"/>
    <hyperlink r:id="rId54" ref="E57"/>
    <hyperlink r:id="rId55" ref="E58"/>
    <hyperlink r:id="rId56" ref="E59"/>
    <hyperlink r:id="rId57" ref="E60"/>
    <hyperlink r:id="rId58" ref="E61"/>
    <hyperlink r:id="rId59" ref="E62"/>
    <hyperlink r:id="rId60" ref="E63"/>
    <hyperlink r:id="rId61" ref="E64"/>
    <hyperlink r:id="rId62" ref="E65"/>
    <hyperlink r:id="rId63" ref="E66"/>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ref="E83"/>
    <hyperlink r:id="rId81" ref="E84"/>
    <hyperlink r:id="rId82" ref="E85"/>
    <hyperlink r:id="rId83" ref="E86"/>
    <hyperlink r:id="rId84" ref="E87"/>
    <hyperlink r:id="rId85" ref="E88"/>
    <hyperlink r:id="rId86" ref="E89"/>
    <hyperlink r:id="rId87" ref="E90"/>
    <hyperlink r:id="rId88" ref="E91"/>
    <hyperlink r:id="rId89" ref="E92"/>
    <hyperlink r:id="rId90" ref="E93"/>
    <hyperlink r:id="rId91" ref="E94"/>
    <hyperlink r:id="rId92" ref="E95"/>
    <hyperlink r:id="rId93" ref="E96"/>
    <hyperlink r:id="rId94" ref="E97"/>
    <hyperlink r:id="rId95" ref="E98"/>
    <hyperlink r:id="rId96" ref="E99"/>
    <hyperlink r:id="rId97" ref="E100"/>
    <hyperlink r:id="rId98" ref="E101"/>
    <hyperlink r:id="rId99" ref="E102"/>
    <hyperlink r:id="rId100" ref="E103"/>
    <hyperlink r:id="rId101" ref="E104"/>
    <hyperlink r:id="rId102" ref="E105"/>
    <hyperlink r:id="rId103" ref="E106"/>
    <hyperlink r:id="rId104" ref="E107"/>
    <hyperlink r:id="rId105" ref="E108"/>
    <hyperlink r:id="rId106" ref="E109"/>
    <hyperlink r:id="rId107" ref="E110"/>
    <hyperlink r:id="rId108" ref="E111"/>
    <hyperlink r:id="rId109" ref="E112"/>
    <hyperlink r:id="rId110" ref="E113"/>
    <hyperlink r:id="rId111" ref="E114"/>
    <hyperlink r:id="rId112" ref="E115"/>
    <hyperlink r:id="rId113" ref="E116"/>
    <hyperlink r:id="rId114" ref="E117"/>
    <hyperlink r:id="rId115" ref="E118"/>
    <hyperlink r:id="rId116" ref="E119"/>
    <hyperlink r:id="rId117" ref="E120"/>
    <hyperlink r:id="rId118" ref="E121"/>
    <hyperlink r:id="rId119" ref="E122"/>
    <hyperlink r:id="rId120" ref="E123"/>
    <hyperlink r:id="rId121" ref="E124"/>
    <hyperlink r:id="rId122" ref="E125"/>
    <hyperlink r:id="rId123" ref="E126"/>
    <hyperlink r:id="rId124" ref="E127"/>
    <hyperlink r:id="rId125" ref="E128"/>
    <hyperlink r:id="rId126" ref="E129"/>
    <hyperlink r:id="rId127" ref="E130"/>
    <hyperlink r:id="rId128" ref="E131"/>
    <hyperlink r:id="rId129" ref="E132"/>
    <hyperlink r:id="rId130" ref="E133"/>
    <hyperlink r:id="rId131" ref="E134"/>
    <hyperlink r:id="rId132" ref="E135"/>
    <hyperlink r:id="rId133" ref="E136"/>
    <hyperlink r:id="rId134" ref="E137"/>
    <hyperlink r:id="rId135" ref="E138"/>
    <hyperlink r:id="rId136" ref="E139"/>
    <hyperlink r:id="rId137" ref="E140"/>
    <hyperlink r:id="rId138" ref="E141"/>
    <hyperlink r:id="rId139" ref="E142"/>
    <hyperlink r:id="rId140" ref="E143"/>
    <hyperlink r:id="rId141" ref="E144"/>
    <hyperlink r:id="rId142" ref="E145"/>
    <hyperlink r:id="rId143" ref="E146"/>
    <hyperlink r:id="rId144" ref="E147"/>
    <hyperlink r:id="rId145" ref="E148"/>
    <hyperlink r:id="rId146" ref="E149"/>
    <hyperlink r:id="rId147" ref="E150"/>
    <hyperlink r:id="rId148" ref="E151"/>
    <hyperlink r:id="rId149" ref="E152"/>
    <hyperlink r:id="rId150" ref="E153"/>
    <hyperlink r:id="rId151" ref="E154"/>
    <hyperlink r:id="rId152" ref="E155"/>
    <hyperlink r:id="rId153" ref="E156"/>
    <hyperlink r:id="rId154" ref="E157"/>
    <hyperlink r:id="rId155" ref="E158"/>
    <hyperlink r:id="rId156" ref="E159"/>
    <hyperlink r:id="rId157" ref="E160"/>
    <hyperlink r:id="rId158" ref="E161"/>
    <hyperlink r:id="rId159" ref="E162"/>
    <hyperlink r:id="rId160" ref="E163"/>
    <hyperlink r:id="rId161" ref="E164"/>
    <hyperlink r:id="rId162" ref="E165"/>
    <hyperlink r:id="rId163" ref="E166"/>
    <hyperlink r:id="rId164" ref="E167"/>
    <hyperlink r:id="rId165" ref="E168"/>
    <hyperlink r:id="rId166" ref="E169"/>
    <hyperlink r:id="rId167" ref="E170"/>
    <hyperlink r:id="rId168" ref="E171"/>
    <hyperlink r:id="rId169" ref="E172"/>
    <hyperlink r:id="rId170" ref="E173"/>
    <hyperlink r:id="rId171" ref="E174"/>
    <hyperlink r:id="rId172" ref="E175"/>
    <hyperlink r:id="rId173" ref="E176"/>
    <hyperlink r:id="rId174" ref="E177"/>
    <hyperlink r:id="rId175" ref="E178"/>
    <hyperlink r:id="rId176" ref="E179"/>
    <hyperlink r:id="rId177" ref="E180"/>
    <hyperlink r:id="rId178" ref="E181"/>
    <hyperlink r:id="rId179" ref="E182"/>
    <hyperlink r:id="rId180" ref="E183"/>
    <hyperlink r:id="rId181" ref="E184"/>
    <hyperlink r:id="rId182" ref="E185"/>
    <hyperlink r:id="rId183" ref="E186"/>
    <hyperlink r:id="rId184" ref="E187"/>
    <hyperlink r:id="rId185" ref="E188"/>
    <hyperlink r:id="rId186" ref="E189"/>
    <hyperlink r:id="rId187" ref="E190"/>
    <hyperlink r:id="rId188" ref="E191"/>
    <hyperlink r:id="rId189" ref="E192"/>
    <hyperlink r:id="rId190" ref="E193"/>
    <hyperlink r:id="rId191" ref="E194"/>
    <hyperlink r:id="rId192" ref="E195"/>
    <hyperlink r:id="rId193" ref="E196"/>
    <hyperlink r:id="rId194" ref="E197"/>
    <hyperlink r:id="rId195" ref="E198"/>
    <hyperlink r:id="rId196" ref="E199"/>
    <hyperlink r:id="rId197" ref="E200"/>
    <hyperlink r:id="rId198" ref="E201"/>
    <hyperlink r:id="rId199" ref="E202"/>
    <hyperlink r:id="rId200" ref="E203"/>
    <hyperlink r:id="rId201" ref="E204"/>
    <hyperlink r:id="rId202" ref="E205"/>
    <hyperlink r:id="rId203" ref="E206"/>
    <hyperlink r:id="rId204" ref="E207"/>
    <hyperlink r:id="rId205" ref="E208"/>
    <hyperlink r:id="rId206" ref="E209"/>
    <hyperlink r:id="rId207" ref="E210"/>
    <hyperlink r:id="rId208" ref="E211"/>
    <hyperlink r:id="rId209" ref="E212"/>
    <hyperlink r:id="rId210" ref="E213"/>
  </hyperlinks>
  <drawing r:id="rId2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pageSetUpPr fitToPage="1"/>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11.63"/>
    <col customWidth="1" min="5" max="5" width="18.88"/>
    <col customWidth="1" min="6" max="6" width="21.75"/>
    <col customWidth="1" min="7" max="7" width="18.88"/>
    <col customWidth="1" min="8" max="8" width="31.25"/>
    <col customWidth="1" min="9" max="9" width="18.88"/>
    <col customWidth="1" min="10" max="10" width="26.63"/>
    <col customWidth="1" min="11" max="11" width="18.88"/>
    <col customWidth="1" min="12" max="12" width="26.63"/>
    <col customWidth="1" min="13" max="13" width="18.88"/>
    <col customWidth="1" min="14" max="14" width="26.63"/>
    <col customWidth="1" min="15" max="15" width="22.38"/>
    <col customWidth="1" min="16" max="16" width="32.13"/>
  </cols>
  <sheetData>
    <row r="1" ht="54.75" customHeight="1">
      <c r="A1" s="2"/>
      <c r="B1" s="2"/>
      <c r="C1" s="2"/>
      <c r="D1" s="2"/>
      <c r="E1" s="2"/>
      <c r="F1" s="2"/>
      <c r="G1" s="2"/>
      <c r="H1" s="2"/>
      <c r="I1" s="2"/>
      <c r="J1" s="2"/>
      <c r="K1" s="2"/>
      <c r="L1" s="2"/>
      <c r="M1" s="2"/>
      <c r="N1" s="2"/>
      <c r="O1" s="2"/>
      <c r="P1" s="2"/>
    </row>
    <row r="2" ht="15.75" customHeight="1">
      <c r="A2" s="2"/>
      <c r="B2" s="3"/>
      <c r="C2" s="3"/>
      <c r="D2" s="3"/>
      <c r="E2" s="3"/>
      <c r="F2" s="3"/>
      <c r="G2" s="316"/>
      <c r="H2" s="101"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7"/>
      <c r="J2" s="7"/>
      <c r="K2" s="7"/>
      <c r="L2" s="7"/>
      <c r="M2" s="7"/>
      <c r="N2" s="7"/>
      <c r="O2" s="7"/>
      <c r="P2" s="7"/>
    </row>
    <row r="3" ht="16.5" customHeight="1">
      <c r="A3" s="2"/>
      <c r="B3" s="317"/>
      <c r="C3" s="318"/>
      <c r="D3" s="318"/>
      <c r="E3" s="318"/>
      <c r="F3" s="318"/>
      <c r="G3" s="319"/>
      <c r="H3" s="2"/>
      <c r="I3" s="2"/>
      <c r="J3" s="2"/>
      <c r="K3" s="2"/>
      <c r="L3" s="2"/>
      <c r="M3" s="2"/>
      <c r="N3" s="2"/>
      <c r="O3" s="2"/>
      <c r="P3" s="2"/>
    </row>
    <row r="4">
      <c r="A4" s="103"/>
      <c r="B4" s="320"/>
      <c r="C4" s="105"/>
      <c r="D4" s="321" t="s">
        <v>103</v>
      </c>
      <c r="E4" s="107"/>
      <c r="F4" s="107"/>
      <c r="G4" s="322" t="s">
        <v>50</v>
      </c>
      <c r="H4" s="2"/>
      <c r="I4" s="109"/>
      <c r="J4" s="110"/>
      <c r="L4" s="2"/>
      <c r="M4" s="323"/>
      <c r="N4" s="323"/>
      <c r="O4" s="323"/>
      <c r="P4" s="323"/>
    </row>
    <row r="5" ht="14.25" customHeight="1">
      <c r="A5" s="2"/>
      <c r="B5" s="324"/>
      <c r="C5" s="318"/>
      <c r="D5" s="323"/>
      <c r="E5" s="323"/>
      <c r="F5" s="323"/>
      <c r="G5" s="323"/>
      <c r="H5" s="323"/>
      <c r="I5" s="323"/>
      <c r="J5" s="323"/>
      <c r="K5" s="323"/>
      <c r="L5" s="323"/>
      <c r="M5" s="323"/>
      <c r="N5" s="323"/>
      <c r="O5" s="323"/>
      <c r="P5" s="323"/>
    </row>
    <row r="6">
      <c r="A6" s="2"/>
      <c r="B6" s="324"/>
      <c r="C6" s="318"/>
      <c r="D6" s="325"/>
      <c r="E6" s="326" t="s">
        <v>104</v>
      </c>
      <c r="F6" s="74"/>
      <c r="G6" s="327" t="s">
        <v>105</v>
      </c>
      <c r="H6" s="74"/>
      <c r="I6" s="327" t="s">
        <v>106</v>
      </c>
      <c r="J6" s="74"/>
      <c r="K6" s="327" t="s">
        <v>107</v>
      </c>
      <c r="L6" s="74"/>
      <c r="M6" s="327" t="s">
        <v>108</v>
      </c>
      <c r="N6" s="74"/>
      <c r="O6" s="327" t="s">
        <v>109</v>
      </c>
      <c r="P6" s="74"/>
    </row>
    <row r="7">
      <c r="A7" s="2"/>
      <c r="B7" s="324"/>
      <c r="C7" s="318"/>
      <c r="D7" s="328"/>
      <c r="E7" s="329"/>
      <c r="F7" s="330"/>
      <c r="G7" s="329"/>
      <c r="H7" s="330"/>
      <c r="I7" s="329"/>
      <c r="J7" s="330"/>
      <c r="K7" s="329"/>
      <c r="L7" s="330"/>
      <c r="M7" s="329"/>
      <c r="N7" s="330"/>
      <c r="O7" s="329"/>
      <c r="P7" s="330"/>
    </row>
    <row r="8" ht="26.25" customHeight="1">
      <c r="A8" s="2"/>
      <c r="B8" s="324"/>
      <c r="C8" s="50"/>
      <c r="D8" s="80"/>
      <c r="E8" s="77"/>
      <c r="F8" s="79"/>
      <c r="G8" s="77"/>
      <c r="H8" s="79"/>
      <c r="I8" s="77"/>
      <c r="J8" s="79"/>
      <c r="K8" s="77"/>
      <c r="L8" s="79"/>
      <c r="M8" s="77"/>
      <c r="N8" s="79"/>
      <c r="O8" s="77"/>
      <c r="P8" s="79"/>
    </row>
    <row r="9">
      <c r="A9" s="2"/>
      <c r="B9" s="324"/>
      <c r="C9" s="2"/>
      <c r="D9" s="331" t="s">
        <v>110</v>
      </c>
      <c r="E9" s="332" t="s">
        <v>111</v>
      </c>
      <c r="F9" s="333" t="s">
        <v>112</v>
      </c>
      <c r="G9" s="332" t="s">
        <v>113</v>
      </c>
      <c r="H9" s="333" t="s">
        <v>114</v>
      </c>
      <c r="I9" s="334" t="s">
        <v>115</v>
      </c>
      <c r="J9" s="335" t="s">
        <v>116</v>
      </c>
      <c r="K9" s="332" t="s">
        <v>117</v>
      </c>
      <c r="L9" s="333" t="s">
        <v>118</v>
      </c>
      <c r="M9" s="336" t="s">
        <v>119</v>
      </c>
      <c r="N9" s="337" t="s">
        <v>120</v>
      </c>
      <c r="O9" s="336" t="s">
        <v>121</v>
      </c>
      <c r="P9" s="337" t="s">
        <v>122</v>
      </c>
    </row>
    <row r="10">
      <c r="A10" s="2"/>
      <c r="B10" s="126"/>
      <c r="C10" s="2"/>
      <c r="D10" s="338" t="s">
        <v>83</v>
      </c>
      <c r="E10" s="332"/>
      <c r="F10" s="332"/>
      <c r="G10" s="332"/>
      <c r="H10" s="332"/>
      <c r="I10" s="334" t="s">
        <v>123</v>
      </c>
      <c r="J10" s="333" t="s">
        <v>124</v>
      </c>
      <c r="K10" s="332"/>
      <c r="L10" s="332"/>
      <c r="M10" s="332"/>
      <c r="N10" s="332"/>
      <c r="O10" s="332"/>
      <c r="P10" s="332"/>
    </row>
    <row r="11">
      <c r="A11" s="2"/>
      <c r="B11" s="128"/>
      <c r="C11" s="2"/>
      <c r="D11" s="339" t="s">
        <v>125</v>
      </c>
      <c r="E11" s="332"/>
      <c r="F11" s="332"/>
      <c r="G11" s="332"/>
      <c r="H11" s="332"/>
      <c r="I11" s="334" t="s">
        <v>126</v>
      </c>
      <c r="J11" s="333" t="s">
        <v>127</v>
      </c>
      <c r="K11" s="332"/>
      <c r="L11" s="332"/>
      <c r="M11" s="340" t="s">
        <v>128</v>
      </c>
      <c r="N11" s="332"/>
      <c r="O11" s="332"/>
      <c r="P11" s="332"/>
    </row>
    <row r="12">
      <c r="A12" s="2"/>
      <c r="B12" s="132"/>
      <c r="C12" s="2"/>
      <c r="D12" s="80"/>
      <c r="E12" s="332"/>
      <c r="F12" s="332"/>
      <c r="G12" s="332"/>
      <c r="H12" s="332"/>
      <c r="I12" s="332"/>
      <c r="J12" s="332"/>
      <c r="K12" s="332"/>
      <c r="L12" s="332"/>
      <c r="M12" s="332"/>
      <c r="N12" s="332"/>
      <c r="O12" s="332"/>
      <c r="P12" s="332"/>
    </row>
    <row r="13">
      <c r="A13" s="2"/>
      <c r="B13" s="128"/>
      <c r="C13" s="2"/>
      <c r="D13" s="341"/>
      <c r="E13" s="341"/>
      <c r="F13" s="341"/>
      <c r="G13" s="341"/>
      <c r="H13" s="341"/>
      <c r="I13" s="341"/>
      <c r="J13" s="341"/>
      <c r="K13" s="341"/>
      <c r="L13" s="341"/>
      <c r="M13" s="341"/>
      <c r="N13" s="341"/>
      <c r="O13" s="341"/>
      <c r="P13" s="341"/>
    </row>
    <row r="14">
      <c r="A14" s="2"/>
      <c r="B14" s="128"/>
      <c r="C14" s="2"/>
      <c r="D14" s="342" t="s">
        <v>129</v>
      </c>
      <c r="E14" s="343" t="s">
        <v>130</v>
      </c>
      <c r="F14" s="344"/>
      <c r="G14" s="343" t="s">
        <v>131</v>
      </c>
      <c r="H14" s="344"/>
      <c r="I14" s="343" t="s">
        <v>132</v>
      </c>
      <c r="J14" s="344"/>
      <c r="K14" s="343" t="s">
        <v>133</v>
      </c>
      <c r="L14" s="344"/>
      <c r="M14" s="343" t="s">
        <v>134</v>
      </c>
      <c r="N14" s="344"/>
      <c r="O14" s="343" t="s">
        <v>135</v>
      </c>
      <c r="P14" s="344"/>
    </row>
    <row r="15">
      <c r="A15" s="2"/>
      <c r="B15" s="128"/>
      <c r="C15" s="2"/>
      <c r="D15" s="328"/>
      <c r="E15" s="326" t="s">
        <v>136</v>
      </c>
      <c r="F15" s="74"/>
      <c r="G15" s="326" t="s">
        <v>137</v>
      </c>
      <c r="H15" s="74"/>
      <c r="I15" s="326" t="s">
        <v>138</v>
      </c>
      <c r="J15" s="74"/>
      <c r="K15" s="326" t="s">
        <v>139</v>
      </c>
      <c r="L15" s="74"/>
      <c r="M15" s="326" t="s">
        <v>140</v>
      </c>
      <c r="N15" s="74"/>
      <c r="O15" s="326" t="s">
        <v>141</v>
      </c>
      <c r="P15" s="74"/>
    </row>
    <row r="16">
      <c r="A16" s="2"/>
      <c r="B16" s="128"/>
      <c r="C16" s="2"/>
      <c r="D16" s="328"/>
      <c r="E16" s="329"/>
      <c r="F16" s="330"/>
      <c r="G16" s="329"/>
      <c r="H16" s="330"/>
      <c r="I16" s="329"/>
      <c r="J16" s="330"/>
      <c r="K16" s="329"/>
      <c r="L16" s="330"/>
      <c r="M16" s="329"/>
      <c r="N16" s="330"/>
      <c r="O16" s="329"/>
      <c r="P16" s="330"/>
    </row>
    <row r="17">
      <c r="A17" s="2"/>
      <c r="B17" s="128"/>
      <c r="C17" s="2"/>
      <c r="D17" s="328"/>
      <c r="E17" s="329"/>
      <c r="F17" s="330"/>
      <c r="G17" s="329"/>
      <c r="H17" s="330"/>
      <c r="I17" s="329"/>
      <c r="J17" s="330"/>
      <c r="K17" s="329"/>
      <c r="L17" s="330"/>
      <c r="M17" s="329"/>
      <c r="N17" s="330"/>
      <c r="O17" s="329"/>
      <c r="P17" s="330"/>
    </row>
    <row r="18">
      <c r="A18" s="345"/>
      <c r="B18" s="128"/>
      <c r="C18" s="345"/>
      <c r="D18" s="328"/>
      <c r="E18" s="77"/>
      <c r="F18" s="79"/>
      <c r="G18" s="77"/>
      <c r="H18" s="79"/>
      <c r="I18" s="77"/>
      <c r="J18" s="79"/>
      <c r="K18" s="77"/>
      <c r="L18" s="79"/>
      <c r="M18" s="77"/>
      <c r="N18" s="79"/>
      <c r="O18" s="77"/>
      <c r="P18" s="79"/>
    </row>
    <row r="19">
      <c r="A19" s="345"/>
      <c r="B19" s="132"/>
      <c r="C19" s="345"/>
      <c r="D19" s="328"/>
      <c r="E19" s="346" t="s">
        <v>142</v>
      </c>
      <c r="F19" s="344"/>
      <c r="G19" s="346" t="s">
        <v>142</v>
      </c>
      <c r="H19" s="344"/>
      <c r="I19" s="346" t="s">
        <v>142</v>
      </c>
      <c r="J19" s="344"/>
      <c r="K19" s="346" t="s">
        <v>142</v>
      </c>
      <c r="L19" s="344"/>
      <c r="M19" s="346" t="s">
        <v>142</v>
      </c>
      <c r="N19" s="344"/>
      <c r="O19" s="346" t="s">
        <v>142</v>
      </c>
      <c r="P19" s="344"/>
    </row>
    <row r="20">
      <c r="A20" s="345"/>
      <c r="B20" s="147"/>
      <c r="C20" s="345"/>
      <c r="D20" s="328"/>
      <c r="E20" s="347" t="s">
        <v>143</v>
      </c>
      <c r="F20" s="347" t="s">
        <v>144</v>
      </c>
      <c r="G20" s="347" t="s">
        <v>143</v>
      </c>
      <c r="H20" s="347" t="s">
        <v>144</v>
      </c>
      <c r="I20" s="347" t="s">
        <v>143</v>
      </c>
      <c r="J20" s="347" t="s">
        <v>144</v>
      </c>
      <c r="K20" s="347" t="s">
        <v>143</v>
      </c>
      <c r="L20" s="347" t="s">
        <v>144</v>
      </c>
      <c r="M20" s="347" t="s">
        <v>143</v>
      </c>
      <c r="N20" s="347" t="s">
        <v>144</v>
      </c>
      <c r="O20" s="347" t="s">
        <v>143</v>
      </c>
      <c r="P20" s="347" t="s">
        <v>144</v>
      </c>
    </row>
    <row r="21">
      <c r="A21" s="345"/>
      <c r="B21" s="147"/>
      <c r="C21" s="345"/>
      <c r="D21" s="328"/>
      <c r="E21" s="348" t="s">
        <v>145</v>
      </c>
      <c r="F21" s="348" t="s">
        <v>146</v>
      </c>
      <c r="G21" s="348" t="s">
        <v>147</v>
      </c>
      <c r="H21" s="348" t="s">
        <v>148</v>
      </c>
      <c r="I21" s="349" t="s">
        <v>149</v>
      </c>
      <c r="J21" s="348" t="s">
        <v>150</v>
      </c>
      <c r="K21" s="349" t="s">
        <v>151</v>
      </c>
      <c r="L21" s="348" t="s">
        <v>152</v>
      </c>
      <c r="M21" s="349" t="s">
        <v>153</v>
      </c>
      <c r="N21" s="348" t="s">
        <v>154</v>
      </c>
      <c r="O21" s="349" t="s">
        <v>155</v>
      </c>
      <c r="P21" s="348" t="s">
        <v>156</v>
      </c>
    </row>
    <row r="22">
      <c r="A22" s="345"/>
      <c r="B22" s="147"/>
      <c r="C22" s="345"/>
      <c r="D22" s="328"/>
      <c r="E22" s="348" t="s">
        <v>157</v>
      </c>
      <c r="F22" s="348" t="s">
        <v>158</v>
      </c>
      <c r="G22" s="348" t="s">
        <v>159</v>
      </c>
      <c r="H22" s="348" t="s">
        <v>160</v>
      </c>
      <c r="I22" s="349" t="s">
        <v>161</v>
      </c>
      <c r="J22" s="348" t="s">
        <v>162</v>
      </c>
      <c r="K22" s="349" t="s">
        <v>163</v>
      </c>
      <c r="L22" s="348" t="s">
        <v>164</v>
      </c>
      <c r="M22" s="349" t="s">
        <v>165</v>
      </c>
      <c r="N22" s="348" t="s">
        <v>166</v>
      </c>
      <c r="O22" s="349" t="s">
        <v>122</v>
      </c>
      <c r="P22" s="348" t="s">
        <v>167</v>
      </c>
    </row>
    <row r="23">
      <c r="A23" s="345"/>
      <c r="B23" s="184"/>
      <c r="C23" s="345"/>
      <c r="D23" s="328"/>
      <c r="E23" s="350"/>
      <c r="F23" s="350"/>
      <c r="G23" s="348" t="s">
        <v>168</v>
      </c>
      <c r="H23" s="348" t="s">
        <v>169</v>
      </c>
      <c r="I23" s="348" t="s">
        <v>170</v>
      </c>
      <c r="J23" s="348" t="s">
        <v>171</v>
      </c>
      <c r="K23" s="351" t="s">
        <v>172</v>
      </c>
      <c r="L23" s="351" t="s">
        <v>173</v>
      </c>
      <c r="M23" s="348" t="s">
        <v>174</v>
      </c>
      <c r="N23" s="348" t="s">
        <v>175</v>
      </c>
      <c r="O23" s="348" t="s">
        <v>176</v>
      </c>
      <c r="P23" s="348" t="s">
        <v>177</v>
      </c>
    </row>
    <row r="24">
      <c r="A24" s="345"/>
      <c r="B24" s="184"/>
      <c r="C24" s="345"/>
      <c r="D24" s="328"/>
      <c r="E24" s="350"/>
      <c r="F24" s="350"/>
      <c r="G24" s="348" t="s">
        <v>178</v>
      </c>
      <c r="H24" s="348" t="s">
        <v>179</v>
      </c>
      <c r="I24" s="348" t="s">
        <v>180</v>
      </c>
      <c r="J24" s="348" t="s">
        <v>181</v>
      </c>
      <c r="K24" s="328"/>
      <c r="L24" s="328"/>
      <c r="M24" s="348" t="s">
        <v>182</v>
      </c>
      <c r="N24" s="348" t="s">
        <v>175</v>
      </c>
      <c r="O24" s="348" t="s">
        <v>183</v>
      </c>
      <c r="P24" s="348" t="s">
        <v>184</v>
      </c>
    </row>
    <row r="25">
      <c r="A25" s="345"/>
      <c r="B25" s="184"/>
      <c r="C25" s="345"/>
      <c r="D25" s="328"/>
      <c r="E25" s="350"/>
      <c r="F25" s="350"/>
      <c r="G25" s="348" t="s">
        <v>185</v>
      </c>
      <c r="H25" s="348" t="s">
        <v>186</v>
      </c>
      <c r="I25" s="348" t="s">
        <v>187</v>
      </c>
      <c r="J25" s="348" t="s">
        <v>188</v>
      </c>
      <c r="K25" s="80"/>
      <c r="L25" s="80"/>
      <c r="M25" s="348"/>
      <c r="N25" s="348"/>
      <c r="O25" s="348" t="s">
        <v>189</v>
      </c>
      <c r="P25" s="348" t="s">
        <v>190</v>
      </c>
    </row>
    <row r="26">
      <c r="A26" s="345"/>
      <c r="B26" s="184"/>
      <c r="C26" s="345"/>
      <c r="D26" s="328"/>
      <c r="E26" s="350"/>
      <c r="F26" s="350"/>
      <c r="G26" s="348" t="s">
        <v>191</v>
      </c>
      <c r="H26" s="348" t="s">
        <v>192</v>
      </c>
      <c r="I26" s="348" t="s">
        <v>193</v>
      </c>
      <c r="J26" s="348" t="s">
        <v>194</v>
      </c>
      <c r="K26" s="348" t="s">
        <v>195</v>
      </c>
      <c r="L26" s="348" t="s">
        <v>196</v>
      </c>
      <c r="M26" s="348"/>
      <c r="N26" s="348"/>
      <c r="O26" s="348" t="s">
        <v>197</v>
      </c>
      <c r="P26" s="348" t="s">
        <v>198</v>
      </c>
    </row>
    <row r="27">
      <c r="A27" s="345"/>
      <c r="B27" s="184"/>
      <c r="C27" s="345"/>
      <c r="D27" s="80"/>
      <c r="E27" s="350"/>
      <c r="F27" s="350"/>
      <c r="G27" s="350" t="s">
        <v>199</v>
      </c>
      <c r="H27" s="350" t="s">
        <v>200</v>
      </c>
      <c r="I27" s="350"/>
      <c r="J27" s="350"/>
      <c r="K27" s="350"/>
      <c r="L27" s="350"/>
      <c r="M27" s="350"/>
      <c r="N27" s="350"/>
      <c r="O27" s="350" t="s">
        <v>201</v>
      </c>
      <c r="P27" s="350" t="s">
        <v>202</v>
      </c>
    </row>
    <row r="28">
      <c r="A28" s="345"/>
      <c r="B28" s="184"/>
      <c r="C28" s="345"/>
      <c r="D28" s="352"/>
      <c r="E28" s="352"/>
      <c r="F28" s="352"/>
      <c r="G28" s="352"/>
      <c r="H28" s="352"/>
      <c r="I28" s="352"/>
      <c r="J28" s="352"/>
      <c r="K28" s="352"/>
      <c r="L28" s="352"/>
      <c r="M28" s="352"/>
      <c r="N28" s="352"/>
      <c r="O28" s="352"/>
      <c r="P28" s="352"/>
    </row>
    <row r="29">
      <c r="A29" s="345"/>
      <c r="B29" s="184"/>
      <c r="C29" s="105"/>
      <c r="D29" s="321" t="s">
        <v>203</v>
      </c>
      <c r="E29" s="107"/>
      <c r="F29" s="107"/>
      <c r="G29" s="352"/>
      <c r="H29" s="352"/>
      <c r="I29" s="352"/>
      <c r="J29" s="352"/>
      <c r="K29" s="352"/>
      <c r="L29" s="352"/>
      <c r="M29" s="352"/>
      <c r="N29" s="352"/>
      <c r="O29" s="352"/>
      <c r="P29" s="352"/>
    </row>
    <row r="30">
      <c r="A30" s="345"/>
      <c r="B30" s="184"/>
      <c r="C30" s="345"/>
      <c r="D30" s="353"/>
      <c r="E30" s="354"/>
      <c r="F30" s="354"/>
      <c r="G30" s="354"/>
      <c r="H30" s="354"/>
      <c r="I30" s="354"/>
      <c r="J30" s="354"/>
      <c r="K30" s="354"/>
      <c r="L30" s="354"/>
      <c r="M30" s="354"/>
      <c r="N30" s="354"/>
      <c r="O30" s="354"/>
      <c r="P30" s="355"/>
    </row>
    <row r="31">
      <c r="A31" s="345"/>
      <c r="B31" s="184"/>
      <c r="C31" s="345"/>
      <c r="D31" s="356"/>
      <c r="E31" s="343" t="s">
        <v>130</v>
      </c>
      <c r="F31" s="344"/>
      <c r="G31" s="343" t="s">
        <v>131</v>
      </c>
      <c r="H31" s="344"/>
      <c r="I31" s="343" t="s">
        <v>132</v>
      </c>
      <c r="J31" s="344"/>
      <c r="K31" s="343" t="s">
        <v>133</v>
      </c>
      <c r="L31" s="344"/>
      <c r="M31" s="343" t="s">
        <v>134</v>
      </c>
      <c r="N31" s="344"/>
      <c r="O31" s="343" t="s">
        <v>135</v>
      </c>
      <c r="P31" s="344"/>
    </row>
    <row r="32">
      <c r="A32" s="345"/>
      <c r="B32" s="128"/>
      <c r="C32" s="345"/>
      <c r="D32" s="329"/>
      <c r="E32" s="347" t="s">
        <v>143</v>
      </c>
      <c r="F32" s="347" t="s">
        <v>144</v>
      </c>
      <c r="G32" s="347" t="s">
        <v>143</v>
      </c>
      <c r="H32" s="347" t="s">
        <v>144</v>
      </c>
      <c r="I32" s="347" t="s">
        <v>143</v>
      </c>
      <c r="J32" s="347" t="s">
        <v>144</v>
      </c>
      <c r="K32" s="347" t="s">
        <v>143</v>
      </c>
      <c r="L32" s="347" t="s">
        <v>144</v>
      </c>
      <c r="M32" s="347" t="s">
        <v>143</v>
      </c>
      <c r="N32" s="347" t="s">
        <v>144</v>
      </c>
      <c r="O32" s="347" t="s">
        <v>143</v>
      </c>
      <c r="P32" s="347" t="s">
        <v>144</v>
      </c>
    </row>
    <row r="33">
      <c r="A33" s="345"/>
      <c r="B33" s="132"/>
      <c r="C33" s="345"/>
      <c r="D33" s="329"/>
      <c r="E33" s="348" t="s">
        <v>204</v>
      </c>
      <c r="F33" s="348"/>
      <c r="G33" s="348" t="s">
        <v>205</v>
      </c>
      <c r="H33" s="348"/>
      <c r="I33" s="348" t="s">
        <v>206</v>
      </c>
      <c r="J33" s="348"/>
      <c r="K33" s="348" t="s">
        <v>195</v>
      </c>
      <c r="L33" s="348"/>
      <c r="M33" s="348" t="s">
        <v>174</v>
      </c>
      <c r="N33" s="348"/>
      <c r="O33" s="348" t="s">
        <v>155</v>
      </c>
      <c r="P33" s="348"/>
    </row>
    <row r="34">
      <c r="A34" s="345"/>
      <c r="B34" s="128"/>
      <c r="C34" s="345"/>
      <c r="D34" s="329"/>
      <c r="E34" s="348" t="s">
        <v>207</v>
      </c>
      <c r="F34" s="348"/>
      <c r="G34" s="348" t="s">
        <v>208</v>
      </c>
      <c r="H34" s="348"/>
      <c r="I34" s="348" t="s">
        <v>209</v>
      </c>
      <c r="J34" s="348"/>
      <c r="K34" s="348" t="s">
        <v>163</v>
      </c>
      <c r="L34" s="348"/>
      <c r="M34" s="348" t="s">
        <v>153</v>
      </c>
      <c r="N34" s="348"/>
      <c r="O34" s="348" t="s">
        <v>122</v>
      </c>
      <c r="P34" s="348"/>
    </row>
    <row r="35">
      <c r="A35" s="345"/>
      <c r="B35" s="128"/>
      <c r="C35" s="345"/>
      <c r="D35" s="329"/>
      <c r="E35" s="348" t="s">
        <v>210</v>
      </c>
      <c r="F35" s="348"/>
      <c r="G35" s="348" t="s">
        <v>211</v>
      </c>
      <c r="H35" s="348"/>
      <c r="I35" s="348" t="s">
        <v>149</v>
      </c>
      <c r="J35" s="348"/>
      <c r="K35" s="348" t="s">
        <v>212</v>
      </c>
      <c r="L35" s="348"/>
      <c r="M35" s="348" t="s">
        <v>213</v>
      </c>
      <c r="N35" s="348"/>
      <c r="O35" s="348" t="s">
        <v>176</v>
      </c>
      <c r="P35" s="348"/>
    </row>
    <row r="36">
      <c r="A36" s="345"/>
      <c r="B36" s="128"/>
      <c r="C36" s="345"/>
      <c r="D36" s="329"/>
      <c r="E36" s="348" t="s">
        <v>214</v>
      </c>
      <c r="F36" s="348"/>
      <c r="G36" s="348" t="s">
        <v>215</v>
      </c>
      <c r="H36" s="348"/>
      <c r="I36" s="348" t="s">
        <v>161</v>
      </c>
      <c r="J36" s="348"/>
      <c r="K36" s="348" t="s">
        <v>216</v>
      </c>
      <c r="L36" s="348"/>
      <c r="M36" s="348" t="s">
        <v>217</v>
      </c>
      <c r="N36" s="348"/>
      <c r="O36" s="348" t="s">
        <v>183</v>
      </c>
      <c r="P36" s="348"/>
    </row>
    <row r="37">
      <c r="A37" s="345"/>
      <c r="B37" s="128"/>
      <c r="C37" s="345"/>
      <c r="D37" s="329"/>
      <c r="E37" s="348" t="s">
        <v>218</v>
      </c>
      <c r="F37" s="348"/>
      <c r="G37" s="348" t="s">
        <v>219</v>
      </c>
      <c r="H37" s="348"/>
      <c r="I37" s="348" t="s">
        <v>220</v>
      </c>
      <c r="J37" s="348"/>
      <c r="K37" s="348" t="s">
        <v>221</v>
      </c>
      <c r="L37" s="348"/>
      <c r="M37" s="348" t="s">
        <v>222</v>
      </c>
      <c r="N37" s="348"/>
      <c r="O37" s="348" t="s">
        <v>189</v>
      </c>
      <c r="P37" s="348"/>
    </row>
    <row r="38">
      <c r="A38" s="345"/>
      <c r="B38" s="128"/>
      <c r="C38" s="345"/>
      <c r="D38" s="329"/>
      <c r="E38" s="348" t="s">
        <v>223</v>
      </c>
      <c r="F38" s="348"/>
      <c r="G38" s="348" t="s">
        <v>224</v>
      </c>
      <c r="H38" s="348"/>
      <c r="I38" s="348" t="s">
        <v>225</v>
      </c>
      <c r="J38" s="348"/>
      <c r="K38" s="348" t="s">
        <v>118</v>
      </c>
      <c r="L38" s="348"/>
      <c r="M38" s="348" t="s">
        <v>182</v>
      </c>
      <c r="N38" s="348"/>
      <c r="O38" s="348" t="s">
        <v>197</v>
      </c>
      <c r="P38" s="348"/>
    </row>
    <row r="39">
      <c r="A39" s="345"/>
      <c r="B39" s="128"/>
      <c r="C39" s="345"/>
      <c r="D39" s="329"/>
      <c r="E39" s="348" t="s">
        <v>226</v>
      </c>
      <c r="F39" s="348"/>
      <c r="G39" s="348" t="s">
        <v>227</v>
      </c>
      <c r="H39" s="348"/>
      <c r="I39" s="348" t="s">
        <v>228</v>
      </c>
      <c r="J39" s="348" t="s">
        <v>229</v>
      </c>
      <c r="K39" s="348" t="s">
        <v>230</v>
      </c>
      <c r="L39" s="348"/>
      <c r="M39" s="348" t="s">
        <v>165</v>
      </c>
      <c r="N39" s="348"/>
      <c r="O39" s="348" t="s">
        <v>201</v>
      </c>
      <c r="P39" s="348"/>
    </row>
    <row r="40">
      <c r="A40" s="345"/>
      <c r="B40" s="132"/>
      <c r="C40" s="345"/>
      <c r="D40" s="329"/>
      <c r="E40" s="348" t="s">
        <v>231</v>
      </c>
      <c r="F40" s="348"/>
      <c r="G40" s="348" t="s">
        <v>232</v>
      </c>
      <c r="H40" s="348"/>
      <c r="I40" s="348" t="s">
        <v>233</v>
      </c>
      <c r="J40" s="348"/>
      <c r="K40" s="348" t="s">
        <v>234</v>
      </c>
      <c r="L40" s="348"/>
      <c r="M40" s="348" t="s">
        <v>235</v>
      </c>
      <c r="N40" s="348"/>
      <c r="O40" s="348"/>
      <c r="P40" s="348"/>
    </row>
    <row r="41">
      <c r="A41" s="345"/>
      <c r="B41" s="147"/>
      <c r="C41" s="345"/>
      <c r="D41" s="329"/>
      <c r="E41" s="348" t="s">
        <v>236</v>
      </c>
      <c r="F41" s="348"/>
      <c r="G41" s="348" t="s">
        <v>237</v>
      </c>
      <c r="H41" s="348"/>
      <c r="I41" s="348" t="s">
        <v>238</v>
      </c>
      <c r="J41" s="348"/>
      <c r="K41" s="348" t="s">
        <v>239</v>
      </c>
      <c r="L41" s="348"/>
      <c r="M41" s="348" t="s">
        <v>240</v>
      </c>
      <c r="N41" s="348"/>
      <c r="O41" s="348"/>
      <c r="P41" s="348"/>
    </row>
    <row r="42">
      <c r="A42" s="345"/>
      <c r="B42" s="147"/>
      <c r="C42" s="345"/>
      <c r="D42" s="329"/>
      <c r="E42" s="348" t="s">
        <v>241</v>
      </c>
      <c r="F42" s="348"/>
      <c r="G42" s="348" t="s">
        <v>242</v>
      </c>
      <c r="H42" s="348"/>
      <c r="I42" s="348" t="s">
        <v>243</v>
      </c>
      <c r="J42" s="348"/>
      <c r="K42" s="348" t="s">
        <v>244</v>
      </c>
      <c r="L42" s="348"/>
      <c r="M42" s="348" t="s">
        <v>245</v>
      </c>
      <c r="N42" s="348"/>
      <c r="O42" s="348"/>
      <c r="P42" s="348"/>
    </row>
    <row r="43">
      <c r="A43" s="345"/>
      <c r="B43" s="147"/>
      <c r="C43" s="345"/>
      <c r="D43" s="329"/>
      <c r="E43" s="348" t="s">
        <v>246</v>
      </c>
      <c r="F43" s="348"/>
      <c r="G43" s="348" t="s">
        <v>247</v>
      </c>
      <c r="H43" s="348"/>
      <c r="I43" s="348" t="s">
        <v>248</v>
      </c>
      <c r="J43" s="348"/>
      <c r="K43" s="348" t="s">
        <v>249</v>
      </c>
      <c r="L43" s="348"/>
      <c r="M43" s="348" t="s">
        <v>250</v>
      </c>
      <c r="N43" s="348"/>
      <c r="O43" s="348"/>
      <c r="P43" s="348"/>
    </row>
    <row r="44">
      <c r="A44" s="345"/>
      <c r="B44" s="357"/>
      <c r="C44" s="345"/>
      <c r="D44" s="329"/>
      <c r="E44" s="348" t="s">
        <v>251</v>
      </c>
      <c r="F44" s="348"/>
      <c r="G44" s="348" t="s">
        <v>252</v>
      </c>
      <c r="H44" s="348"/>
      <c r="I44" s="348" t="s">
        <v>253</v>
      </c>
      <c r="J44" s="348"/>
      <c r="K44" s="348" t="s">
        <v>151</v>
      </c>
      <c r="L44" s="348"/>
      <c r="M44" s="348"/>
      <c r="N44" s="348"/>
      <c r="O44" s="348"/>
      <c r="P44" s="348"/>
    </row>
    <row r="45">
      <c r="A45" s="345"/>
      <c r="B45" s="164"/>
      <c r="C45" s="345"/>
      <c r="D45" s="329"/>
      <c r="E45" s="348" t="s">
        <v>254</v>
      </c>
      <c r="F45" s="348"/>
      <c r="G45" s="348" t="s">
        <v>255</v>
      </c>
      <c r="H45" s="348"/>
      <c r="I45" s="348" t="s">
        <v>256</v>
      </c>
      <c r="J45" s="348"/>
      <c r="K45" s="348" t="s">
        <v>257</v>
      </c>
      <c r="L45" s="348"/>
      <c r="M45" s="348"/>
      <c r="N45" s="348"/>
      <c r="O45" s="348"/>
      <c r="P45" s="348"/>
    </row>
    <row r="46">
      <c r="A46" s="345"/>
      <c r="B46" s="164"/>
      <c r="C46" s="345"/>
      <c r="D46" s="329"/>
      <c r="E46" s="348" t="s">
        <v>258</v>
      </c>
      <c r="F46" s="348"/>
      <c r="G46" s="348" t="s">
        <v>259</v>
      </c>
      <c r="H46" s="348"/>
      <c r="I46" s="348" t="s">
        <v>260</v>
      </c>
      <c r="J46" s="348"/>
      <c r="K46" s="348" t="s">
        <v>261</v>
      </c>
      <c r="L46" s="348"/>
      <c r="M46" s="348"/>
      <c r="N46" s="348"/>
      <c r="O46" s="348"/>
      <c r="P46" s="348"/>
    </row>
    <row r="47">
      <c r="A47" s="345"/>
      <c r="B47" s="164"/>
      <c r="C47" s="345"/>
      <c r="D47" s="329"/>
      <c r="E47" s="348" t="s">
        <v>262</v>
      </c>
      <c r="F47" s="348"/>
      <c r="G47" s="348" t="s">
        <v>263</v>
      </c>
      <c r="H47" s="348"/>
      <c r="I47" s="348" t="s">
        <v>264</v>
      </c>
      <c r="J47" s="348"/>
      <c r="K47" s="348"/>
      <c r="L47" s="348"/>
      <c r="M47" s="348"/>
      <c r="N47" s="348"/>
      <c r="O47" s="348"/>
      <c r="P47" s="348"/>
    </row>
    <row r="48">
      <c r="A48" s="345"/>
      <c r="B48" s="164"/>
      <c r="C48" s="345"/>
      <c r="D48" s="329"/>
      <c r="E48" s="348" t="s">
        <v>265</v>
      </c>
      <c r="F48" s="348"/>
      <c r="G48" s="348" t="s">
        <v>266</v>
      </c>
      <c r="H48" s="348"/>
      <c r="I48" s="348" t="s">
        <v>267</v>
      </c>
      <c r="J48" s="348"/>
      <c r="K48" s="348"/>
      <c r="L48" s="348"/>
      <c r="M48" s="348"/>
      <c r="N48" s="348"/>
      <c r="O48" s="348"/>
      <c r="P48" s="348"/>
    </row>
    <row r="49">
      <c r="A49" s="345"/>
      <c r="B49" s="164"/>
      <c r="C49" s="345"/>
      <c r="D49" s="329"/>
      <c r="E49" s="348" t="s">
        <v>268</v>
      </c>
      <c r="F49" s="348"/>
      <c r="G49" s="348" t="s">
        <v>269</v>
      </c>
      <c r="H49" s="348"/>
      <c r="I49" s="348" t="s">
        <v>270</v>
      </c>
      <c r="J49" s="348"/>
      <c r="K49" s="348"/>
      <c r="L49" s="348"/>
      <c r="M49" s="348"/>
      <c r="N49" s="348"/>
      <c r="O49" s="348"/>
      <c r="P49" s="348"/>
    </row>
    <row r="50">
      <c r="A50" s="345"/>
      <c r="B50" s="164"/>
      <c r="C50" s="345"/>
      <c r="D50" s="329"/>
      <c r="E50" s="348" t="s">
        <v>271</v>
      </c>
      <c r="F50" s="348"/>
      <c r="G50" s="348" t="s">
        <v>272</v>
      </c>
      <c r="H50" s="348"/>
      <c r="I50" s="348" t="s">
        <v>273</v>
      </c>
      <c r="J50" s="348"/>
      <c r="K50" s="348"/>
      <c r="L50" s="348"/>
      <c r="M50" s="348"/>
      <c r="N50" s="348"/>
      <c r="O50" s="348"/>
      <c r="P50" s="348"/>
    </row>
    <row r="51">
      <c r="A51" s="345"/>
      <c r="B51" s="358"/>
      <c r="C51" s="345"/>
      <c r="D51" s="329"/>
      <c r="E51" s="348" t="s">
        <v>274</v>
      </c>
      <c r="F51" s="348"/>
      <c r="G51" s="348" t="s">
        <v>275</v>
      </c>
      <c r="H51" s="348"/>
      <c r="I51" s="348" t="s">
        <v>276</v>
      </c>
      <c r="J51" s="348"/>
      <c r="K51" s="348"/>
      <c r="L51" s="348"/>
      <c r="M51" s="348"/>
      <c r="N51" s="348"/>
      <c r="O51" s="348"/>
      <c r="P51" s="348"/>
    </row>
    <row r="52">
      <c r="A52" s="345"/>
      <c r="B52" s="359"/>
      <c r="C52" s="345"/>
      <c r="D52" s="329"/>
      <c r="E52" s="348" t="s">
        <v>277</v>
      </c>
      <c r="F52" s="348"/>
      <c r="G52" s="348" t="s">
        <v>278</v>
      </c>
      <c r="H52" s="348"/>
      <c r="I52" s="348" t="s">
        <v>279</v>
      </c>
      <c r="J52" s="348"/>
      <c r="K52" s="348"/>
      <c r="L52" s="348"/>
      <c r="M52" s="348"/>
      <c r="N52" s="348"/>
      <c r="O52" s="348"/>
      <c r="P52" s="348"/>
    </row>
    <row r="53">
      <c r="A53" s="345"/>
      <c r="B53" s="358"/>
      <c r="C53" s="345"/>
      <c r="D53" s="329"/>
      <c r="E53" s="348" t="s">
        <v>280</v>
      </c>
      <c r="F53" s="348"/>
      <c r="G53" s="348" t="s">
        <v>281</v>
      </c>
      <c r="H53" s="348"/>
      <c r="I53" s="348" t="s">
        <v>282</v>
      </c>
      <c r="J53" s="348"/>
      <c r="K53" s="348"/>
      <c r="L53" s="348"/>
      <c r="M53" s="348"/>
      <c r="N53" s="348"/>
      <c r="O53" s="348"/>
      <c r="P53" s="348"/>
    </row>
    <row r="54">
      <c r="A54" s="345"/>
      <c r="B54" s="358"/>
      <c r="C54" s="345"/>
      <c r="D54" s="329"/>
      <c r="E54" s="348" t="s">
        <v>283</v>
      </c>
      <c r="F54" s="348"/>
      <c r="G54" s="348" t="s">
        <v>284</v>
      </c>
      <c r="H54" s="348"/>
      <c r="I54" s="348" t="s">
        <v>285</v>
      </c>
      <c r="J54" s="348"/>
      <c r="K54" s="348"/>
      <c r="L54" s="348"/>
      <c r="M54" s="348"/>
      <c r="N54" s="348"/>
      <c r="O54" s="348"/>
      <c r="P54" s="348"/>
    </row>
    <row r="55">
      <c r="A55" s="345"/>
      <c r="B55" s="358"/>
      <c r="C55" s="345"/>
      <c r="D55" s="329"/>
      <c r="E55" s="348" t="s">
        <v>286</v>
      </c>
      <c r="F55" s="348"/>
      <c r="G55" s="348" t="s">
        <v>287</v>
      </c>
      <c r="H55" s="348"/>
      <c r="I55" s="348" t="s">
        <v>288</v>
      </c>
      <c r="J55" s="348"/>
      <c r="K55" s="348"/>
      <c r="L55" s="348"/>
      <c r="M55" s="348"/>
      <c r="N55" s="348"/>
      <c r="O55" s="348"/>
      <c r="P55" s="348"/>
    </row>
    <row r="56">
      <c r="A56" s="345"/>
      <c r="B56" s="358"/>
      <c r="C56" s="345"/>
      <c r="D56" s="329"/>
      <c r="E56" s="348" t="s">
        <v>289</v>
      </c>
      <c r="F56" s="348"/>
      <c r="G56" s="348" t="s">
        <v>290</v>
      </c>
      <c r="H56" s="348"/>
      <c r="I56" s="348" t="s">
        <v>291</v>
      </c>
      <c r="J56" s="348"/>
      <c r="K56" s="348"/>
      <c r="L56" s="348"/>
      <c r="M56" s="348"/>
      <c r="N56" s="348"/>
      <c r="O56" s="348"/>
      <c r="P56" s="348"/>
    </row>
    <row r="57">
      <c r="A57" s="345"/>
      <c r="B57" s="358"/>
      <c r="C57" s="345"/>
      <c r="D57" s="329"/>
      <c r="E57" s="348" t="s">
        <v>292</v>
      </c>
      <c r="F57" s="348"/>
      <c r="G57" s="348" t="s">
        <v>293</v>
      </c>
      <c r="H57" s="348"/>
      <c r="I57" s="348" t="s">
        <v>294</v>
      </c>
      <c r="J57" s="348"/>
      <c r="K57" s="348"/>
      <c r="L57" s="348"/>
      <c r="M57" s="348"/>
      <c r="N57" s="348"/>
      <c r="O57" s="348"/>
      <c r="P57" s="348"/>
    </row>
    <row r="58">
      <c r="A58" s="345"/>
      <c r="B58" s="360"/>
      <c r="C58" s="345"/>
      <c r="D58" s="329"/>
      <c r="E58" s="348" t="s">
        <v>295</v>
      </c>
      <c r="F58" s="348"/>
      <c r="G58" s="348" t="s">
        <v>296</v>
      </c>
      <c r="H58" s="348"/>
      <c r="I58" s="348" t="s">
        <v>297</v>
      </c>
      <c r="J58" s="348"/>
      <c r="K58" s="348"/>
      <c r="L58" s="348"/>
      <c r="M58" s="348"/>
      <c r="N58" s="348"/>
      <c r="O58" s="348"/>
      <c r="P58" s="348"/>
    </row>
    <row r="59">
      <c r="A59" s="345"/>
      <c r="B59" s="132"/>
      <c r="C59" s="345"/>
      <c r="D59" s="329"/>
      <c r="E59" s="348" t="s">
        <v>298</v>
      </c>
      <c r="F59" s="348"/>
      <c r="G59" s="348" t="s">
        <v>299</v>
      </c>
      <c r="H59" s="348"/>
      <c r="I59" s="348" t="s">
        <v>300</v>
      </c>
      <c r="J59" s="348"/>
      <c r="K59" s="348"/>
      <c r="L59" s="348"/>
      <c r="M59" s="348"/>
      <c r="N59" s="348"/>
      <c r="O59" s="348"/>
      <c r="P59" s="348"/>
    </row>
    <row r="60">
      <c r="A60" s="345"/>
      <c r="B60" s="147"/>
      <c r="C60" s="345"/>
      <c r="D60" s="329"/>
      <c r="E60" s="348" t="s">
        <v>301</v>
      </c>
      <c r="F60" s="348"/>
      <c r="G60" s="348" t="s">
        <v>302</v>
      </c>
      <c r="H60" s="348"/>
      <c r="I60" s="348" t="s">
        <v>303</v>
      </c>
      <c r="J60" s="348"/>
      <c r="K60" s="348"/>
      <c r="L60" s="348"/>
      <c r="M60" s="348"/>
      <c r="N60" s="348"/>
      <c r="O60" s="348"/>
      <c r="P60" s="348"/>
    </row>
    <row r="61">
      <c r="A61" s="345"/>
      <c r="B61" s="147"/>
      <c r="C61" s="345"/>
      <c r="D61" s="329"/>
      <c r="E61" s="348" t="s">
        <v>304</v>
      </c>
      <c r="F61" s="348"/>
      <c r="G61" s="348" t="s">
        <v>305</v>
      </c>
      <c r="H61" s="348"/>
      <c r="I61" s="348" t="s">
        <v>306</v>
      </c>
      <c r="J61" s="348"/>
      <c r="K61" s="348"/>
      <c r="L61" s="348"/>
      <c r="M61" s="348"/>
      <c r="N61" s="348"/>
      <c r="O61" s="348"/>
      <c r="P61" s="348"/>
    </row>
    <row r="62">
      <c r="A62" s="345"/>
      <c r="B62" s="147"/>
      <c r="C62" s="345"/>
      <c r="D62" s="329"/>
      <c r="E62" s="348" t="s">
        <v>307</v>
      </c>
      <c r="F62" s="348"/>
      <c r="G62" s="348" t="s">
        <v>308</v>
      </c>
      <c r="H62" s="348"/>
      <c r="I62" s="348" t="s">
        <v>309</v>
      </c>
      <c r="J62" s="348"/>
      <c r="K62" s="348"/>
      <c r="L62" s="348"/>
      <c r="M62" s="348"/>
      <c r="N62" s="348"/>
      <c r="O62" s="348"/>
      <c r="P62" s="348"/>
    </row>
    <row r="63">
      <c r="A63" s="345"/>
      <c r="B63" s="184"/>
      <c r="C63" s="345"/>
      <c r="D63" s="329"/>
      <c r="E63" s="348" t="s">
        <v>310</v>
      </c>
      <c r="F63" s="348"/>
      <c r="G63" s="348" t="s">
        <v>311</v>
      </c>
      <c r="H63" s="348"/>
      <c r="I63" s="348" t="s">
        <v>312</v>
      </c>
      <c r="J63" s="348"/>
      <c r="K63" s="348"/>
      <c r="L63" s="348"/>
      <c r="M63" s="348"/>
      <c r="N63" s="348"/>
      <c r="O63" s="348"/>
      <c r="P63" s="348"/>
    </row>
    <row r="64">
      <c r="A64" s="345"/>
      <c r="B64" s="184"/>
      <c r="C64" s="345"/>
      <c r="D64" s="329"/>
      <c r="E64" s="348" t="s">
        <v>313</v>
      </c>
      <c r="F64" s="348"/>
      <c r="G64" s="348" t="s">
        <v>314</v>
      </c>
      <c r="H64" s="348"/>
      <c r="I64" s="348" t="s">
        <v>315</v>
      </c>
      <c r="J64" s="348"/>
      <c r="K64" s="348"/>
      <c r="L64" s="348"/>
      <c r="M64" s="348"/>
      <c r="N64" s="348"/>
      <c r="O64" s="348"/>
      <c r="P64" s="348"/>
    </row>
    <row r="65">
      <c r="A65" s="345"/>
      <c r="B65" s="184"/>
      <c r="C65" s="345"/>
      <c r="D65" s="329"/>
      <c r="E65" s="348" t="s">
        <v>316</v>
      </c>
      <c r="F65" s="348"/>
      <c r="G65" s="348" t="s">
        <v>317</v>
      </c>
      <c r="H65" s="348"/>
      <c r="I65" s="348" t="s">
        <v>318</v>
      </c>
      <c r="J65" s="348"/>
      <c r="K65" s="348"/>
      <c r="L65" s="348"/>
      <c r="M65" s="348"/>
      <c r="N65" s="348"/>
      <c r="O65" s="348"/>
      <c r="P65" s="348"/>
    </row>
    <row r="66">
      <c r="A66" s="345"/>
      <c r="B66" s="184"/>
      <c r="C66" s="345"/>
      <c r="D66" s="329"/>
      <c r="E66" s="348" t="s">
        <v>319</v>
      </c>
      <c r="F66" s="348"/>
      <c r="G66" s="348" t="s">
        <v>320</v>
      </c>
      <c r="H66" s="348"/>
      <c r="I66" s="348" t="s">
        <v>321</v>
      </c>
      <c r="J66" s="348"/>
      <c r="K66" s="348"/>
      <c r="L66" s="348"/>
      <c r="M66" s="348"/>
      <c r="N66" s="348"/>
      <c r="O66" s="348"/>
      <c r="P66" s="348"/>
    </row>
    <row r="67">
      <c r="A67" s="345"/>
      <c r="B67" s="184"/>
      <c r="C67" s="345"/>
      <c r="D67" s="329"/>
      <c r="E67" s="348" t="s">
        <v>322</v>
      </c>
      <c r="F67" s="348"/>
      <c r="G67" s="348" t="s">
        <v>323</v>
      </c>
      <c r="H67" s="348"/>
      <c r="I67" s="348" t="s">
        <v>324</v>
      </c>
      <c r="J67" s="348"/>
      <c r="K67" s="348"/>
      <c r="L67" s="348"/>
      <c r="M67" s="348"/>
      <c r="N67" s="348"/>
      <c r="O67" s="348"/>
      <c r="P67" s="348"/>
    </row>
    <row r="68">
      <c r="A68" s="345"/>
      <c r="B68" s="184"/>
      <c r="C68" s="345"/>
      <c r="D68" s="329"/>
      <c r="E68" s="348" t="s">
        <v>325</v>
      </c>
      <c r="F68" s="348"/>
      <c r="G68" s="348" t="s">
        <v>326</v>
      </c>
      <c r="H68" s="348"/>
      <c r="I68" s="348" t="s">
        <v>327</v>
      </c>
      <c r="J68" s="348"/>
      <c r="K68" s="348"/>
      <c r="L68" s="348"/>
      <c r="M68" s="348"/>
      <c r="N68" s="348"/>
      <c r="O68" s="348"/>
      <c r="P68" s="348"/>
    </row>
    <row r="69">
      <c r="A69" s="345"/>
      <c r="B69" s="184"/>
      <c r="C69" s="345"/>
      <c r="D69" s="329"/>
      <c r="E69" s="348" t="s">
        <v>328</v>
      </c>
      <c r="F69" s="348"/>
      <c r="G69" s="348" t="s">
        <v>329</v>
      </c>
      <c r="H69" s="348"/>
      <c r="I69" s="348" t="s">
        <v>330</v>
      </c>
      <c r="J69" s="348"/>
      <c r="K69" s="348"/>
      <c r="L69" s="348"/>
      <c r="M69" s="348"/>
      <c r="N69" s="348"/>
      <c r="O69" s="348"/>
      <c r="P69" s="348"/>
    </row>
    <row r="70">
      <c r="A70" s="345"/>
      <c r="B70" s="184"/>
      <c r="C70" s="345"/>
      <c r="D70" s="329"/>
      <c r="E70" s="348" t="s">
        <v>331</v>
      </c>
      <c r="F70" s="348"/>
      <c r="G70" s="348" t="s">
        <v>332</v>
      </c>
      <c r="H70" s="348"/>
      <c r="I70" s="348" t="s">
        <v>333</v>
      </c>
      <c r="J70" s="348"/>
      <c r="K70" s="348"/>
      <c r="L70" s="348"/>
      <c r="M70" s="348"/>
      <c r="N70" s="348"/>
      <c r="O70" s="348"/>
      <c r="P70" s="348"/>
    </row>
    <row r="71">
      <c r="A71" s="345"/>
      <c r="B71" s="184"/>
      <c r="C71" s="345"/>
      <c r="D71" s="329"/>
      <c r="E71" s="348" t="s">
        <v>334</v>
      </c>
      <c r="F71" s="348"/>
      <c r="G71" s="348" t="s">
        <v>335</v>
      </c>
      <c r="H71" s="348"/>
      <c r="I71" s="348" t="s">
        <v>336</v>
      </c>
      <c r="J71" s="348"/>
      <c r="K71" s="348"/>
      <c r="L71" s="348"/>
      <c r="M71" s="348"/>
      <c r="N71" s="348"/>
      <c r="O71" s="348"/>
      <c r="P71" s="348"/>
    </row>
    <row r="72">
      <c r="A72" s="345"/>
      <c r="B72" s="184"/>
      <c r="C72" s="345"/>
      <c r="D72" s="329"/>
      <c r="E72" s="348" t="s">
        <v>337</v>
      </c>
      <c r="F72" s="348"/>
      <c r="G72" s="348" t="s">
        <v>338</v>
      </c>
      <c r="H72" s="348"/>
      <c r="I72" s="348" t="s">
        <v>339</v>
      </c>
      <c r="J72" s="348"/>
      <c r="K72" s="348"/>
      <c r="L72" s="348"/>
      <c r="M72" s="348"/>
      <c r="N72" s="348"/>
      <c r="O72" s="348"/>
      <c r="P72" s="348"/>
    </row>
    <row r="73">
      <c r="A73" s="345"/>
      <c r="B73" s="184"/>
      <c r="C73" s="345"/>
      <c r="D73" s="329"/>
      <c r="E73" s="348" t="s">
        <v>340</v>
      </c>
      <c r="F73" s="348"/>
      <c r="G73" s="348" t="s">
        <v>341</v>
      </c>
      <c r="H73" s="348"/>
      <c r="I73" s="348" t="s">
        <v>342</v>
      </c>
      <c r="J73" s="348"/>
      <c r="K73" s="348"/>
      <c r="L73" s="348"/>
      <c r="M73" s="348"/>
      <c r="N73" s="348"/>
      <c r="O73" s="348"/>
      <c r="P73" s="348"/>
    </row>
    <row r="74">
      <c r="A74" s="345"/>
      <c r="B74" s="184"/>
      <c r="C74" s="345"/>
      <c r="D74" s="329"/>
      <c r="E74" s="348" t="s">
        <v>343</v>
      </c>
      <c r="F74" s="348"/>
      <c r="G74" s="348" t="s">
        <v>344</v>
      </c>
      <c r="H74" s="348"/>
      <c r="I74" s="348" t="s">
        <v>345</v>
      </c>
      <c r="J74" s="348"/>
      <c r="K74" s="348"/>
      <c r="L74" s="348"/>
      <c r="M74" s="348"/>
      <c r="N74" s="348"/>
      <c r="O74" s="348"/>
      <c r="P74" s="348"/>
    </row>
    <row r="75">
      <c r="A75" s="345"/>
      <c r="B75" s="184"/>
      <c r="C75" s="345"/>
      <c r="D75" s="329"/>
      <c r="E75" s="348" t="s">
        <v>346</v>
      </c>
      <c r="F75" s="348"/>
      <c r="G75" s="348" t="s">
        <v>347</v>
      </c>
      <c r="H75" s="348"/>
      <c r="I75" s="348" t="s">
        <v>348</v>
      </c>
      <c r="J75" s="348"/>
      <c r="K75" s="348"/>
      <c r="L75" s="348"/>
      <c r="M75" s="348"/>
      <c r="N75" s="348"/>
      <c r="O75" s="348"/>
      <c r="P75" s="348"/>
    </row>
    <row r="76">
      <c r="A76" s="345"/>
      <c r="B76" s="184"/>
      <c r="C76" s="345"/>
      <c r="D76" s="329"/>
      <c r="E76" s="348" t="s">
        <v>349</v>
      </c>
      <c r="F76" s="348"/>
      <c r="G76" s="348" t="s">
        <v>350</v>
      </c>
      <c r="H76" s="348"/>
      <c r="I76" s="348" t="s">
        <v>351</v>
      </c>
      <c r="J76" s="348"/>
      <c r="K76" s="348"/>
      <c r="L76" s="348"/>
      <c r="M76" s="348"/>
      <c r="N76" s="348"/>
      <c r="O76" s="348"/>
      <c r="P76" s="348"/>
    </row>
    <row r="77">
      <c r="A77" s="345"/>
      <c r="B77" s="184"/>
      <c r="C77" s="345"/>
      <c r="D77" s="329"/>
      <c r="E77" s="348" t="s">
        <v>352</v>
      </c>
      <c r="F77" s="348"/>
      <c r="G77" s="348" t="s">
        <v>353</v>
      </c>
      <c r="H77" s="348"/>
      <c r="I77" s="348" t="s">
        <v>354</v>
      </c>
      <c r="J77" s="348"/>
      <c r="K77" s="348"/>
      <c r="L77" s="348"/>
      <c r="M77" s="348"/>
      <c r="N77" s="348"/>
      <c r="O77" s="348"/>
      <c r="P77" s="348"/>
    </row>
    <row r="78">
      <c r="A78" s="345"/>
      <c r="B78" s="184"/>
      <c r="C78" s="345"/>
      <c r="D78" s="329"/>
      <c r="E78" s="348" t="s">
        <v>355</v>
      </c>
      <c r="F78" s="348"/>
      <c r="G78" s="348" t="s">
        <v>356</v>
      </c>
      <c r="H78" s="348"/>
      <c r="I78" s="348" t="s">
        <v>357</v>
      </c>
      <c r="J78" s="348"/>
      <c r="K78" s="348"/>
      <c r="L78" s="348"/>
      <c r="M78" s="348"/>
      <c r="N78" s="348"/>
      <c r="O78" s="348"/>
      <c r="P78" s="348"/>
    </row>
    <row r="79">
      <c r="A79" s="345"/>
      <c r="B79" s="184"/>
      <c r="C79" s="345"/>
      <c r="D79" s="329"/>
      <c r="E79" s="348" t="s">
        <v>358</v>
      </c>
      <c r="F79" s="348"/>
      <c r="G79" s="348" t="s">
        <v>359</v>
      </c>
      <c r="H79" s="348"/>
      <c r="I79" s="348" t="s">
        <v>360</v>
      </c>
      <c r="J79" s="348"/>
      <c r="K79" s="348"/>
      <c r="L79" s="348"/>
      <c r="M79" s="348"/>
      <c r="N79" s="348"/>
      <c r="O79" s="348"/>
      <c r="P79" s="348"/>
    </row>
    <row r="80">
      <c r="A80" s="345"/>
      <c r="B80" s="184"/>
      <c r="C80" s="345"/>
      <c r="D80" s="329"/>
      <c r="E80" s="348" t="s">
        <v>361</v>
      </c>
      <c r="F80" s="348"/>
      <c r="G80" s="348" t="s">
        <v>362</v>
      </c>
      <c r="H80" s="348"/>
      <c r="I80" s="348" t="s">
        <v>127</v>
      </c>
      <c r="J80" s="348"/>
      <c r="K80" s="348"/>
      <c r="L80" s="348"/>
      <c r="M80" s="348"/>
      <c r="N80" s="348"/>
      <c r="O80" s="348"/>
      <c r="P80" s="348"/>
    </row>
    <row r="81">
      <c r="A81" s="345"/>
      <c r="B81" s="184"/>
      <c r="C81" s="345"/>
      <c r="D81" s="329"/>
      <c r="E81" s="348" t="s">
        <v>363</v>
      </c>
      <c r="F81" s="348"/>
      <c r="G81" s="348" t="s">
        <v>364</v>
      </c>
      <c r="H81" s="348"/>
      <c r="I81" s="348" t="s">
        <v>365</v>
      </c>
      <c r="J81" s="348"/>
      <c r="K81" s="348"/>
      <c r="L81" s="348"/>
      <c r="M81" s="348"/>
      <c r="N81" s="348"/>
      <c r="O81" s="348"/>
      <c r="P81" s="348"/>
    </row>
    <row r="82">
      <c r="A82" s="345"/>
      <c r="B82" s="184"/>
      <c r="C82" s="345"/>
      <c r="D82" s="329"/>
      <c r="E82" s="348" t="s">
        <v>366</v>
      </c>
      <c r="F82" s="348"/>
      <c r="G82" s="348" t="s">
        <v>367</v>
      </c>
      <c r="H82" s="348"/>
      <c r="I82" s="348" t="s">
        <v>368</v>
      </c>
      <c r="J82" s="348"/>
      <c r="K82" s="348"/>
      <c r="L82" s="348"/>
      <c r="M82" s="348"/>
      <c r="N82" s="348"/>
      <c r="O82" s="348"/>
      <c r="P82" s="348"/>
    </row>
    <row r="83">
      <c r="A83" s="345"/>
      <c r="B83" s="184"/>
      <c r="C83" s="345"/>
      <c r="D83" s="329"/>
      <c r="E83" s="348" t="s">
        <v>369</v>
      </c>
      <c r="F83" s="348"/>
      <c r="G83" s="348" t="s">
        <v>370</v>
      </c>
      <c r="H83" s="348"/>
      <c r="I83" s="348" t="s">
        <v>371</v>
      </c>
      <c r="J83" s="348"/>
      <c r="K83" s="348"/>
      <c r="L83" s="348"/>
      <c r="M83" s="348"/>
      <c r="N83" s="348"/>
      <c r="O83" s="348"/>
      <c r="P83" s="348"/>
    </row>
    <row r="84">
      <c r="A84" s="345"/>
      <c r="B84" s="184"/>
      <c r="C84" s="345"/>
      <c r="D84" s="329"/>
      <c r="E84" s="348" t="s">
        <v>372</v>
      </c>
      <c r="F84" s="348"/>
      <c r="G84" s="348" t="s">
        <v>373</v>
      </c>
      <c r="H84" s="348"/>
      <c r="I84" s="348" t="s">
        <v>374</v>
      </c>
      <c r="J84" s="348"/>
      <c r="K84" s="348"/>
      <c r="L84" s="348"/>
      <c r="M84" s="348"/>
      <c r="N84" s="348"/>
      <c r="O84" s="348"/>
      <c r="P84" s="348"/>
    </row>
    <row r="85">
      <c r="A85" s="345"/>
      <c r="B85" s="184"/>
      <c r="C85" s="345"/>
      <c r="D85" s="329"/>
      <c r="E85" s="348" t="s">
        <v>375</v>
      </c>
      <c r="F85" s="348"/>
      <c r="G85" s="348" t="s">
        <v>376</v>
      </c>
      <c r="H85" s="348"/>
      <c r="I85" s="348" t="s">
        <v>377</v>
      </c>
      <c r="J85" s="348"/>
      <c r="K85" s="348"/>
      <c r="L85" s="348"/>
      <c r="M85" s="348"/>
      <c r="N85" s="348"/>
      <c r="O85" s="348"/>
      <c r="P85" s="348"/>
    </row>
    <row r="86">
      <c r="A86" s="345"/>
      <c r="B86" s="184"/>
      <c r="C86" s="345"/>
      <c r="D86" s="329"/>
      <c r="E86" s="348" t="s">
        <v>378</v>
      </c>
      <c r="F86" s="348"/>
      <c r="G86" s="348" t="s">
        <v>379</v>
      </c>
      <c r="H86" s="348"/>
      <c r="I86" s="348" t="s">
        <v>380</v>
      </c>
      <c r="J86" s="348"/>
      <c r="K86" s="348"/>
      <c r="L86" s="348"/>
      <c r="M86" s="348"/>
      <c r="N86" s="348"/>
      <c r="O86" s="348"/>
      <c r="P86" s="348"/>
    </row>
    <row r="87">
      <c r="A87" s="345"/>
      <c r="B87" s="184"/>
      <c r="C87" s="345"/>
      <c r="D87" s="329"/>
      <c r="E87" s="348" t="s">
        <v>381</v>
      </c>
      <c r="F87" s="348"/>
      <c r="G87" s="348" t="s">
        <v>382</v>
      </c>
      <c r="H87" s="348"/>
      <c r="I87" s="348" t="s">
        <v>383</v>
      </c>
      <c r="J87" s="348"/>
      <c r="K87" s="348"/>
      <c r="L87" s="348"/>
      <c r="M87" s="348"/>
      <c r="N87" s="348"/>
      <c r="O87" s="348"/>
      <c r="P87" s="348"/>
    </row>
    <row r="88">
      <c r="A88" s="345"/>
      <c r="B88" s="184"/>
      <c r="C88" s="345"/>
      <c r="D88" s="329"/>
      <c r="E88" s="348" t="s">
        <v>112</v>
      </c>
      <c r="F88" s="348"/>
      <c r="G88" s="348" t="s">
        <v>384</v>
      </c>
      <c r="H88" s="348"/>
      <c r="I88" s="348" t="s">
        <v>385</v>
      </c>
      <c r="J88" s="348"/>
      <c r="K88" s="348"/>
      <c r="L88" s="348"/>
      <c r="M88" s="348"/>
      <c r="N88" s="348"/>
      <c r="O88" s="348"/>
      <c r="P88" s="348"/>
    </row>
    <row r="89">
      <c r="A89" s="345"/>
      <c r="B89" s="184"/>
      <c r="C89" s="345"/>
      <c r="D89" s="329"/>
      <c r="E89" s="348" t="s">
        <v>386</v>
      </c>
      <c r="F89" s="348"/>
      <c r="G89" s="348" t="s">
        <v>387</v>
      </c>
      <c r="H89" s="348"/>
      <c r="I89" s="348" t="s">
        <v>388</v>
      </c>
      <c r="J89" s="348"/>
      <c r="K89" s="348"/>
      <c r="L89" s="348"/>
      <c r="M89" s="348"/>
      <c r="N89" s="348"/>
      <c r="O89" s="348"/>
      <c r="P89" s="348"/>
    </row>
    <row r="90">
      <c r="A90" s="345"/>
      <c r="B90" s="184"/>
      <c r="C90" s="345"/>
      <c r="D90" s="329"/>
      <c r="E90" s="348" t="s">
        <v>389</v>
      </c>
      <c r="F90" s="348"/>
      <c r="G90" s="348" t="s">
        <v>114</v>
      </c>
      <c r="H90" s="348"/>
      <c r="I90" s="348"/>
      <c r="J90" s="348"/>
      <c r="K90" s="348"/>
      <c r="L90" s="348"/>
      <c r="M90" s="348"/>
      <c r="N90" s="348"/>
      <c r="O90" s="348"/>
      <c r="P90" s="348"/>
    </row>
    <row r="91">
      <c r="A91" s="345"/>
      <c r="B91" s="184"/>
      <c r="C91" s="345"/>
      <c r="D91" s="329"/>
      <c r="E91" s="348" t="s">
        <v>390</v>
      </c>
      <c r="F91" s="348"/>
      <c r="G91" s="348" t="s">
        <v>391</v>
      </c>
      <c r="H91" s="348"/>
      <c r="I91" s="348"/>
      <c r="J91" s="348"/>
      <c r="K91" s="348"/>
      <c r="L91" s="348"/>
      <c r="M91" s="348"/>
      <c r="N91" s="348"/>
      <c r="O91" s="348"/>
      <c r="P91" s="348"/>
    </row>
    <row r="92">
      <c r="A92" s="345"/>
      <c r="B92" s="184"/>
      <c r="C92" s="345"/>
      <c r="D92" s="329"/>
      <c r="E92" s="348" t="s">
        <v>392</v>
      </c>
      <c r="F92" s="348"/>
      <c r="G92" s="348" t="s">
        <v>393</v>
      </c>
      <c r="H92" s="348"/>
      <c r="I92" s="348"/>
      <c r="J92" s="348"/>
      <c r="K92" s="348"/>
      <c r="L92" s="348"/>
      <c r="M92" s="348"/>
      <c r="N92" s="348"/>
      <c r="O92" s="348"/>
      <c r="P92" s="348"/>
    </row>
    <row r="93">
      <c r="A93" s="345"/>
      <c r="B93" s="184"/>
      <c r="C93" s="345"/>
      <c r="D93" s="329"/>
      <c r="E93" s="348" t="s">
        <v>394</v>
      </c>
      <c r="F93" s="348"/>
      <c r="G93" s="348" t="s">
        <v>395</v>
      </c>
      <c r="H93" s="348"/>
      <c r="I93" s="348"/>
      <c r="J93" s="348"/>
      <c r="K93" s="348"/>
      <c r="L93" s="348"/>
      <c r="M93" s="348"/>
      <c r="N93" s="348"/>
      <c r="O93" s="348"/>
      <c r="P93" s="348"/>
    </row>
    <row r="94">
      <c r="A94" s="345"/>
      <c r="B94" s="184"/>
      <c r="C94" s="345"/>
      <c r="D94" s="329"/>
      <c r="E94" s="348" t="s">
        <v>396</v>
      </c>
      <c r="F94" s="348"/>
      <c r="G94" s="348" t="s">
        <v>397</v>
      </c>
      <c r="H94" s="348"/>
      <c r="I94" s="348"/>
      <c r="J94" s="348"/>
      <c r="K94" s="348"/>
      <c r="L94" s="348"/>
      <c r="M94" s="348"/>
      <c r="N94" s="348"/>
      <c r="O94" s="348"/>
      <c r="P94" s="348"/>
    </row>
    <row r="95">
      <c r="A95" s="345"/>
      <c r="B95" s="184"/>
      <c r="C95" s="345"/>
      <c r="D95" s="329"/>
      <c r="E95" s="348" t="s">
        <v>398</v>
      </c>
      <c r="F95" s="348"/>
      <c r="G95" s="348" t="s">
        <v>399</v>
      </c>
      <c r="H95" s="348"/>
      <c r="I95" s="348"/>
      <c r="J95" s="348"/>
      <c r="K95" s="348"/>
      <c r="L95" s="348"/>
      <c r="M95" s="348"/>
      <c r="N95" s="348"/>
      <c r="O95" s="348"/>
      <c r="P95" s="348"/>
    </row>
    <row r="96">
      <c r="A96" s="345"/>
      <c r="B96" s="184"/>
      <c r="C96" s="345"/>
      <c r="D96" s="329"/>
      <c r="E96" s="348" t="s">
        <v>400</v>
      </c>
      <c r="F96" s="348"/>
      <c r="G96" s="348" t="s">
        <v>401</v>
      </c>
      <c r="H96" s="348"/>
      <c r="I96" s="348"/>
      <c r="J96" s="348"/>
      <c r="K96" s="348"/>
      <c r="L96" s="348"/>
      <c r="M96" s="348"/>
      <c r="N96" s="348"/>
      <c r="O96" s="348"/>
      <c r="P96" s="348"/>
    </row>
    <row r="97">
      <c r="A97" s="345"/>
      <c r="B97" s="184"/>
      <c r="C97" s="345"/>
      <c r="D97" s="329"/>
      <c r="E97" s="348" t="s">
        <v>402</v>
      </c>
      <c r="F97" s="348"/>
      <c r="G97" s="348" t="s">
        <v>403</v>
      </c>
      <c r="H97" s="348"/>
      <c r="I97" s="348"/>
      <c r="J97" s="348"/>
      <c r="K97" s="348"/>
      <c r="L97" s="348"/>
      <c r="M97" s="348"/>
      <c r="N97" s="348"/>
      <c r="O97" s="348"/>
      <c r="P97" s="348"/>
    </row>
    <row r="98">
      <c r="A98" s="345"/>
      <c r="B98" s="357"/>
      <c r="C98" s="345"/>
      <c r="D98" s="329"/>
      <c r="E98" s="348" t="s">
        <v>404</v>
      </c>
      <c r="F98" s="348"/>
      <c r="G98" s="348" t="s">
        <v>405</v>
      </c>
      <c r="H98" s="348"/>
      <c r="I98" s="348"/>
      <c r="J98" s="348"/>
      <c r="K98" s="348"/>
      <c r="L98" s="348"/>
      <c r="M98" s="348"/>
      <c r="N98" s="348"/>
      <c r="O98" s="348"/>
      <c r="P98" s="348"/>
    </row>
    <row r="99">
      <c r="A99" s="345"/>
      <c r="B99" s="361"/>
      <c r="C99" s="345"/>
      <c r="D99" s="329"/>
      <c r="E99" s="348"/>
      <c r="F99" s="348"/>
      <c r="G99" s="348" t="s">
        <v>406</v>
      </c>
      <c r="H99" s="348"/>
      <c r="I99" s="348"/>
      <c r="J99" s="348"/>
      <c r="K99" s="348"/>
      <c r="L99" s="348"/>
      <c r="M99" s="348"/>
      <c r="N99" s="348"/>
      <c r="O99" s="348"/>
      <c r="P99" s="348"/>
    </row>
    <row r="100">
      <c r="A100" s="345"/>
      <c r="B100" s="361"/>
      <c r="C100" s="345"/>
      <c r="D100" s="329"/>
      <c r="E100" s="348"/>
      <c r="F100" s="348"/>
      <c r="G100" s="348" t="s">
        <v>407</v>
      </c>
      <c r="H100" s="348"/>
      <c r="I100" s="348"/>
      <c r="J100" s="348"/>
      <c r="K100" s="348"/>
      <c r="L100" s="348"/>
      <c r="M100" s="348"/>
      <c r="N100" s="348"/>
      <c r="O100" s="348"/>
      <c r="P100" s="348"/>
    </row>
    <row r="101">
      <c r="A101" s="345"/>
      <c r="B101" s="361"/>
      <c r="C101" s="345"/>
      <c r="D101" s="329"/>
      <c r="E101" s="348"/>
      <c r="F101" s="348"/>
      <c r="G101" s="348" t="s">
        <v>408</v>
      </c>
      <c r="H101" s="348"/>
      <c r="I101" s="348"/>
      <c r="J101" s="348"/>
      <c r="K101" s="348"/>
      <c r="L101" s="348"/>
      <c r="M101" s="348"/>
      <c r="N101" s="348"/>
      <c r="O101" s="348"/>
      <c r="P101" s="348"/>
    </row>
    <row r="102">
      <c r="A102" s="345"/>
      <c r="B102" s="361"/>
      <c r="C102" s="345"/>
      <c r="D102" s="329"/>
      <c r="E102" s="348"/>
      <c r="F102" s="348"/>
      <c r="G102" s="348" t="s">
        <v>409</v>
      </c>
      <c r="H102" s="348"/>
      <c r="I102" s="348"/>
      <c r="J102" s="348"/>
      <c r="K102" s="348"/>
      <c r="L102" s="348"/>
      <c r="M102" s="348"/>
      <c r="N102" s="348"/>
      <c r="O102" s="348"/>
      <c r="P102" s="348"/>
    </row>
    <row r="103">
      <c r="A103" s="345"/>
      <c r="B103" s="361"/>
      <c r="C103" s="345"/>
      <c r="D103" s="329"/>
      <c r="E103" s="348"/>
      <c r="F103" s="348"/>
      <c r="G103" s="348" t="s">
        <v>410</v>
      </c>
      <c r="H103" s="348"/>
      <c r="I103" s="348"/>
      <c r="J103" s="348"/>
      <c r="K103" s="348"/>
      <c r="L103" s="348"/>
      <c r="M103" s="348"/>
      <c r="N103" s="348"/>
      <c r="O103" s="348"/>
      <c r="P103" s="348"/>
    </row>
    <row r="104">
      <c r="A104" s="345"/>
      <c r="B104" s="361"/>
      <c r="C104" s="345"/>
      <c r="D104" s="329"/>
      <c r="E104" s="348"/>
      <c r="F104" s="348"/>
      <c r="G104" s="348" t="s">
        <v>411</v>
      </c>
      <c r="H104" s="348"/>
      <c r="I104" s="348"/>
      <c r="J104" s="348"/>
      <c r="K104" s="348"/>
      <c r="L104" s="348"/>
      <c r="M104" s="348"/>
      <c r="N104" s="348"/>
      <c r="O104" s="348"/>
      <c r="P104" s="348"/>
    </row>
    <row r="105">
      <c r="A105" s="345"/>
      <c r="B105" s="361"/>
      <c r="C105" s="345"/>
      <c r="D105" s="329"/>
      <c r="E105" s="348"/>
      <c r="F105" s="348"/>
      <c r="G105" s="348" t="s">
        <v>412</v>
      </c>
      <c r="H105" s="348"/>
      <c r="I105" s="348"/>
      <c r="J105" s="348"/>
      <c r="K105" s="348"/>
      <c r="L105" s="348"/>
      <c r="M105" s="348"/>
      <c r="N105" s="348"/>
      <c r="O105" s="348"/>
      <c r="P105" s="348"/>
    </row>
    <row r="106">
      <c r="A106" s="345"/>
      <c r="B106" s="361"/>
      <c r="C106" s="345"/>
      <c r="D106" s="329"/>
      <c r="E106" s="348"/>
      <c r="F106" s="348"/>
      <c r="G106" s="348" t="s">
        <v>413</v>
      </c>
      <c r="H106" s="348"/>
      <c r="I106" s="348"/>
      <c r="J106" s="348"/>
      <c r="K106" s="348"/>
      <c r="L106" s="348"/>
      <c r="M106" s="348"/>
      <c r="N106" s="348"/>
      <c r="O106" s="348"/>
      <c r="P106" s="348"/>
    </row>
    <row r="107">
      <c r="A107" s="345"/>
      <c r="B107" s="361"/>
      <c r="C107" s="345"/>
      <c r="D107" s="329"/>
      <c r="E107" s="348"/>
      <c r="F107" s="348"/>
      <c r="G107" s="348" t="s">
        <v>414</v>
      </c>
      <c r="H107" s="348"/>
      <c r="I107" s="348"/>
      <c r="J107" s="348"/>
      <c r="K107" s="348"/>
      <c r="L107" s="348"/>
      <c r="M107" s="348"/>
      <c r="N107" s="348"/>
      <c r="O107" s="348"/>
      <c r="P107" s="348"/>
    </row>
    <row r="108">
      <c r="A108" s="345"/>
      <c r="B108" s="361"/>
      <c r="C108" s="345"/>
      <c r="D108" s="329"/>
      <c r="E108" s="348"/>
      <c r="F108" s="348"/>
      <c r="G108" s="348" t="s">
        <v>415</v>
      </c>
      <c r="H108" s="348"/>
      <c r="I108" s="348"/>
      <c r="J108" s="348"/>
      <c r="K108" s="348"/>
      <c r="L108" s="348"/>
      <c r="M108" s="348"/>
      <c r="N108" s="348"/>
      <c r="O108" s="348"/>
      <c r="P108" s="348"/>
    </row>
    <row r="109">
      <c r="A109" s="345"/>
      <c r="B109" s="361"/>
      <c r="C109" s="345"/>
      <c r="D109" s="329"/>
      <c r="E109" s="348"/>
      <c r="F109" s="348"/>
      <c r="G109" s="348" t="s">
        <v>416</v>
      </c>
      <c r="H109" s="348"/>
      <c r="I109" s="348"/>
      <c r="J109" s="348"/>
      <c r="K109" s="348"/>
      <c r="L109" s="348"/>
      <c r="M109" s="348"/>
      <c r="N109" s="348"/>
      <c r="O109" s="348"/>
      <c r="P109" s="348"/>
    </row>
    <row r="110">
      <c r="A110" s="345"/>
      <c r="B110" s="361"/>
      <c r="C110" s="345"/>
      <c r="D110" s="329"/>
      <c r="E110" s="348"/>
      <c r="F110" s="348"/>
      <c r="G110" s="348" t="s">
        <v>417</v>
      </c>
      <c r="H110" s="348"/>
      <c r="I110" s="348"/>
      <c r="J110" s="348"/>
      <c r="K110" s="348"/>
      <c r="L110" s="348"/>
      <c r="M110" s="348"/>
      <c r="N110" s="348"/>
      <c r="O110" s="348"/>
      <c r="P110" s="348"/>
    </row>
    <row r="111">
      <c r="A111" s="345"/>
      <c r="B111" s="361"/>
      <c r="C111" s="345"/>
      <c r="D111" s="329"/>
      <c r="E111" s="348"/>
      <c r="F111" s="348"/>
      <c r="G111" s="348" t="s">
        <v>418</v>
      </c>
      <c r="H111" s="348"/>
      <c r="I111" s="348"/>
      <c r="J111" s="348"/>
      <c r="K111" s="348"/>
      <c r="L111" s="348"/>
      <c r="M111" s="348"/>
      <c r="N111" s="348"/>
      <c r="O111" s="348"/>
      <c r="P111" s="348"/>
    </row>
    <row r="112">
      <c r="A112" s="345"/>
      <c r="B112" s="361"/>
      <c r="C112" s="345"/>
      <c r="D112" s="329"/>
      <c r="E112" s="348"/>
      <c r="F112" s="348"/>
      <c r="G112" s="348" t="s">
        <v>419</v>
      </c>
      <c r="H112" s="348"/>
      <c r="I112" s="348"/>
      <c r="J112" s="348"/>
      <c r="K112" s="348"/>
      <c r="L112" s="348"/>
      <c r="M112" s="348"/>
      <c r="N112" s="348"/>
      <c r="O112" s="348"/>
      <c r="P112" s="348"/>
    </row>
    <row r="113">
      <c r="A113" s="345"/>
      <c r="B113" s="361"/>
      <c r="C113" s="345"/>
      <c r="D113" s="329"/>
      <c r="E113" s="348"/>
      <c r="F113" s="348"/>
      <c r="G113" s="348"/>
      <c r="H113" s="348"/>
      <c r="I113" s="348"/>
      <c r="J113" s="348"/>
      <c r="K113" s="348"/>
      <c r="L113" s="348"/>
      <c r="M113" s="348"/>
      <c r="N113" s="348"/>
      <c r="O113" s="348"/>
      <c r="P113" s="348"/>
    </row>
    <row r="114">
      <c r="A114" s="345"/>
      <c r="B114" s="361"/>
      <c r="C114" s="345"/>
      <c r="D114" s="329"/>
      <c r="E114" s="348"/>
      <c r="F114" s="348"/>
      <c r="G114" s="348"/>
      <c r="H114" s="348"/>
      <c r="I114" s="348"/>
      <c r="J114" s="348"/>
      <c r="K114" s="348"/>
      <c r="L114" s="348"/>
      <c r="M114" s="348"/>
      <c r="N114" s="348"/>
      <c r="O114" s="348"/>
      <c r="P114" s="348"/>
    </row>
    <row r="115">
      <c r="A115" s="345"/>
      <c r="B115" s="361"/>
      <c r="C115" s="345"/>
      <c r="D115" s="329"/>
      <c r="E115" s="348"/>
      <c r="F115" s="348"/>
      <c r="G115" s="348"/>
      <c r="H115" s="348"/>
      <c r="I115" s="348"/>
      <c r="J115" s="348"/>
      <c r="K115" s="348"/>
      <c r="L115" s="348"/>
      <c r="M115" s="348"/>
      <c r="N115" s="348"/>
      <c r="O115" s="348"/>
      <c r="P115" s="348"/>
    </row>
    <row r="116">
      <c r="A116" s="345"/>
      <c r="B116" s="361"/>
      <c r="C116" s="345"/>
      <c r="D116" s="77"/>
      <c r="E116" s="348"/>
      <c r="F116" s="348"/>
      <c r="G116" s="348"/>
      <c r="H116" s="348"/>
      <c r="I116" s="348"/>
      <c r="J116" s="348"/>
      <c r="K116" s="348"/>
      <c r="L116" s="348"/>
      <c r="M116" s="348"/>
      <c r="N116" s="348"/>
      <c r="O116" s="348"/>
      <c r="P116" s="348"/>
    </row>
    <row r="117">
      <c r="A117" s="345"/>
      <c r="B117" s="361"/>
      <c r="C117" s="345"/>
      <c r="D117" s="352"/>
      <c r="E117" s="352"/>
      <c r="F117" s="352"/>
      <c r="G117" s="352"/>
      <c r="H117" s="352"/>
      <c r="I117" s="352"/>
      <c r="J117" s="352"/>
      <c r="K117" s="352"/>
      <c r="L117" s="352"/>
      <c r="M117" s="352"/>
      <c r="N117" s="352"/>
      <c r="O117" s="352"/>
      <c r="P117" s="362"/>
    </row>
    <row r="118">
      <c r="A118" s="345"/>
      <c r="B118" s="361"/>
      <c r="C118" s="105"/>
      <c r="D118" s="321" t="s">
        <v>420</v>
      </c>
      <c r="E118" s="107"/>
      <c r="F118" s="107"/>
      <c r="G118" s="352"/>
      <c r="H118" s="352"/>
      <c r="I118" s="352"/>
      <c r="J118" s="352"/>
      <c r="K118" s="352"/>
      <c r="L118" s="352"/>
      <c r="M118" s="352"/>
      <c r="N118" s="352"/>
      <c r="O118" s="352"/>
      <c r="P118" s="352"/>
    </row>
    <row r="119">
      <c r="A119" s="345"/>
      <c r="B119" s="361"/>
      <c r="C119" s="345"/>
      <c r="D119" s="352"/>
      <c r="F119" s="352"/>
      <c r="H119" s="352"/>
      <c r="J119" s="352"/>
      <c r="L119" s="352"/>
      <c r="N119" s="352"/>
      <c r="P119" s="352"/>
    </row>
    <row r="120">
      <c r="A120" s="345"/>
      <c r="B120" s="361"/>
      <c r="C120" s="345"/>
      <c r="D120" s="343" t="s">
        <v>421</v>
      </c>
      <c r="E120" s="344"/>
      <c r="F120" s="343" t="s">
        <v>422</v>
      </c>
      <c r="G120" s="344"/>
      <c r="H120" s="343" t="s">
        <v>168</v>
      </c>
      <c r="I120" s="363"/>
      <c r="J120" s="343" t="s">
        <v>423</v>
      </c>
      <c r="K120" s="344"/>
      <c r="L120" s="343" t="s">
        <v>424</v>
      </c>
      <c r="M120" s="344"/>
      <c r="N120" s="343"/>
      <c r="O120" s="344"/>
      <c r="P120" s="364"/>
    </row>
    <row r="121">
      <c r="A121" s="345"/>
      <c r="B121" s="361"/>
      <c r="C121" s="345"/>
      <c r="D121" s="365" t="s">
        <v>425</v>
      </c>
      <c r="E121" s="344"/>
      <c r="F121" s="348" t="s">
        <v>426</v>
      </c>
      <c r="G121" s="348"/>
      <c r="H121" s="348">
        <v>2.0</v>
      </c>
      <c r="I121" s="348" t="s">
        <v>427</v>
      </c>
      <c r="J121" s="348">
        <v>0.0</v>
      </c>
      <c r="K121" s="348" t="s">
        <v>428</v>
      </c>
      <c r="L121" s="348">
        <v>1.0</v>
      </c>
      <c r="M121" s="348" t="s">
        <v>429</v>
      </c>
      <c r="N121" s="348"/>
      <c r="O121" s="348"/>
      <c r="P121" s="348"/>
    </row>
    <row r="122">
      <c r="A122" s="345"/>
      <c r="B122" s="361"/>
      <c r="C122" s="345"/>
      <c r="D122" s="348" t="s">
        <v>430</v>
      </c>
      <c r="E122" s="348"/>
      <c r="F122" s="348" t="s">
        <v>431</v>
      </c>
      <c r="G122" s="348"/>
      <c r="H122" s="348">
        <v>8.0</v>
      </c>
      <c r="I122" s="348" t="s">
        <v>432</v>
      </c>
      <c r="J122" s="348">
        <v>1.0</v>
      </c>
      <c r="K122" s="348" t="s">
        <v>433</v>
      </c>
      <c r="L122" s="348">
        <v>2.0</v>
      </c>
      <c r="M122" s="348" t="s">
        <v>434</v>
      </c>
      <c r="N122" s="348"/>
      <c r="O122" s="348"/>
      <c r="P122" s="348"/>
    </row>
    <row r="123">
      <c r="A123" s="345"/>
      <c r="B123" s="361"/>
      <c r="C123" s="345"/>
      <c r="D123" s="348" t="s">
        <v>435</v>
      </c>
      <c r="E123" s="348"/>
      <c r="F123" s="365" t="s">
        <v>436</v>
      </c>
      <c r="G123" s="344"/>
      <c r="H123" s="348">
        <v>4.0</v>
      </c>
      <c r="I123" s="348" t="s">
        <v>437</v>
      </c>
      <c r="J123" s="348">
        <v>2.0</v>
      </c>
      <c r="K123" s="348" t="s">
        <v>438</v>
      </c>
      <c r="L123" s="348">
        <v>3.0</v>
      </c>
      <c r="M123" s="348" t="s">
        <v>439</v>
      </c>
      <c r="N123" s="348"/>
      <c r="O123" s="348"/>
      <c r="P123" s="348"/>
    </row>
    <row r="124">
      <c r="A124" s="345"/>
      <c r="B124" s="361"/>
      <c r="C124" s="345"/>
      <c r="D124" s="348" t="s">
        <v>440</v>
      </c>
      <c r="E124" s="348"/>
      <c r="F124" s="348" t="s">
        <v>441</v>
      </c>
      <c r="G124" s="348"/>
      <c r="H124" s="348">
        <v>64.0</v>
      </c>
      <c r="I124" s="348" t="s">
        <v>442</v>
      </c>
      <c r="J124" s="348">
        <v>3.0</v>
      </c>
      <c r="K124" s="348" t="s">
        <v>443</v>
      </c>
      <c r="L124" s="348"/>
      <c r="M124" s="348"/>
      <c r="N124" s="348"/>
      <c r="O124" s="348"/>
      <c r="P124" s="348"/>
    </row>
    <row r="125">
      <c r="A125" s="345"/>
      <c r="B125" s="361"/>
      <c r="C125" s="345"/>
      <c r="D125" s="348" t="s">
        <v>444</v>
      </c>
      <c r="E125" s="348"/>
      <c r="F125" s="348" t="s">
        <v>445</v>
      </c>
      <c r="G125" s="348"/>
      <c r="H125" s="348"/>
      <c r="I125" s="348"/>
      <c r="J125" s="348">
        <v>4.0</v>
      </c>
      <c r="K125" s="348" t="s">
        <v>446</v>
      </c>
      <c r="L125" s="348"/>
      <c r="M125" s="348"/>
      <c r="N125" s="348"/>
      <c r="O125" s="348"/>
      <c r="P125" s="348"/>
    </row>
    <row r="126">
      <c r="A126" s="345"/>
      <c r="B126" s="361"/>
      <c r="C126" s="345"/>
      <c r="D126" s="365" t="s">
        <v>447</v>
      </c>
      <c r="E126" s="344"/>
      <c r="F126" s="348" t="s">
        <v>448</v>
      </c>
      <c r="G126" s="348"/>
      <c r="H126" s="348"/>
      <c r="I126" s="348"/>
      <c r="J126" s="348">
        <v>5.0</v>
      </c>
      <c r="K126" s="348" t="s">
        <v>449</v>
      </c>
      <c r="L126" s="348"/>
      <c r="M126" s="348"/>
      <c r="N126" s="348"/>
      <c r="O126" s="348"/>
      <c r="P126" s="348"/>
    </row>
    <row r="127">
      <c r="A127" s="345"/>
      <c r="B127" s="361"/>
      <c r="C127" s="345"/>
      <c r="D127" s="348" t="s">
        <v>450</v>
      </c>
      <c r="E127" s="348"/>
      <c r="F127" s="348" t="s">
        <v>451</v>
      </c>
      <c r="G127" s="348"/>
      <c r="H127" s="348"/>
      <c r="I127" s="348"/>
      <c r="J127" s="348">
        <v>6.0</v>
      </c>
      <c r="K127" s="348" t="s">
        <v>452</v>
      </c>
      <c r="L127" s="348"/>
      <c r="M127" s="348"/>
      <c r="N127" s="348"/>
      <c r="O127" s="348"/>
      <c r="P127" s="348"/>
    </row>
    <row r="128">
      <c r="A128" s="345"/>
      <c r="B128" s="361"/>
      <c r="C128" s="345"/>
      <c r="D128" s="348" t="s">
        <v>453</v>
      </c>
      <c r="E128" s="348"/>
      <c r="F128" s="348" t="s">
        <v>454</v>
      </c>
      <c r="G128" s="348"/>
      <c r="H128" s="348"/>
      <c r="I128" s="348"/>
      <c r="J128" s="348">
        <v>7.0</v>
      </c>
      <c r="K128" s="348" t="s">
        <v>455</v>
      </c>
      <c r="L128" s="348"/>
      <c r="M128" s="348"/>
      <c r="N128" s="348"/>
      <c r="O128" s="348"/>
      <c r="P128" s="348"/>
    </row>
    <row r="129">
      <c r="A129" s="345"/>
      <c r="B129" s="361"/>
      <c r="C129" s="345"/>
      <c r="D129" s="348" t="s">
        <v>456</v>
      </c>
      <c r="E129" s="348"/>
      <c r="F129" s="348" t="s">
        <v>457</v>
      </c>
      <c r="G129" s="348"/>
      <c r="H129" s="348"/>
      <c r="I129" s="348"/>
      <c r="J129" s="348">
        <v>8.0</v>
      </c>
      <c r="K129" s="348" t="s">
        <v>458</v>
      </c>
      <c r="L129" s="348"/>
      <c r="M129" s="348"/>
      <c r="N129" s="348"/>
      <c r="O129" s="348"/>
      <c r="P129" s="348"/>
    </row>
    <row r="130">
      <c r="A130" s="345"/>
      <c r="B130" s="361"/>
      <c r="C130" s="345"/>
      <c r="D130" s="348" t="s">
        <v>459</v>
      </c>
      <c r="E130" s="348"/>
      <c r="F130" s="348" t="s">
        <v>460</v>
      </c>
      <c r="G130" s="348"/>
      <c r="H130" s="348"/>
      <c r="I130" s="348"/>
      <c r="J130" s="348">
        <v>9.0</v>
      </c>
      <c r="K130" s="348" t="s">
        <v>461</v>
      </c>
      <c r="L130" s="348"/>
      <c r="M130" s="348"/>
      <c r="N130" s="348"/>
      <c r="O130" s="348"/>
      <c r="P130" s="348"/>
    </row>
    <row r="131">
      <c r="A131" s="345"/>
      <c r="B131" s="361"/>
      <c r="C131" s="345"/>
      <c r="D131" s="348" t="s">
        <v>462</v>
      </c>
      <c r="E131" s="348"/>
      <c r="F131" s="348" t="s">
        <v>463</v>
      </c>
      <c r="G131" s="348"/>
      <c r="H131" s="348"/>
      <c r="I131" s="348"/>
      <c r="J131" s="348">
        <v>10.0</v>
      </c>
      <c r="K131" s="348" t="s">
        <v>464</v>
      </c>
      <c r="L131" s="348"/>
      <c r="M131" s="348"/>
      <c r="N131" s="348"/>
      <c r="O131" s="348"/>
      <c r="P131" s="348"/>
    </row>
    <row r="132">
      <c r="A132" s="345"/>
      <c r="B132" s="361"/>
      <c r="C132" s="345"/>
      <c r="D132" s="348" t="s">
        <v>465</v>
      </c>
      <c r="E132" s="348"/>
      <c r="F132" s="348" t="s">
        <v>466</v>
      </c>
      <c r="G132" s="348"/>
      <c r="H132" s="348"/>
      <c r="I132" s="348"/>
      <c r="J132" s="348">
        <v>11.0</v>
      </c>
      <c r="K132" s="348" t="s">
        <v>467</v>
      </c>
      <c r="L132" s="348"/>
      <c r="M132" s="348"/>
      <c r="N132" s="348"/>
      <c r="O132" s="348"/>
      <c r="P132" s="348"/>
    </row>
    <row r="133">
      <c r="A133" s="345"/>
      <c r="B133" s="361"/>
      <c r="C133" s="345"/>
      <c r="D133" s="348" t="s">
        <v>468</v>
      </c>
      <c r="E133" s="348"/>
      <c r="F133" s="348" t="s">
        <v>469</v>
      </c>
      <c r="G133" s="348"/>
      <c r="H133" s="348"/>
      <c r="I133" s="348"/>
      <c r="J133" s="348">
        <v>12.0</v>
      </c>
      <c r="K133" s="348" t="s">
        <v>470</v>
      </c>
      <c r="L133" s="348"/>
      <c r="M133" s="348"/>
      <c r="N133" s="348"/>
      <c r="O133" s="348"/>
      <c r="P133" s="348"/>
    </row>
    <row r="134">
      <c r="A134" s="345"/>
      <c r="B134" s="361"/>
      <c r="C134" s="345"/>
      <c r="D134" s="348" t="s">
        <v>471</v>
      </c>
      <c r="E134" s="348"/>
      <c r="F134" s="348" t="s">
        <v>472</v>
      </c>
      <c r="G134" s="348"/>
      <c r="H134" s="348"/>
      <c r="I134" s="348"/>
      <c r="J134" s="348">
        <v>13.0</v>
      </c>
      <c r="K134" s="348" t="s">
        <v>473</v>
      </c>
      <c r="L134" s="348"/>
      <c r="M134" s="348"/>
      <c r="N134" s="348"/>
      <c r="O134" s="348"/>
      <c r="P134" s="348"/>
    </row>
    <row r="135">
      <c r="A135" s="345"/>
      <c r="B135" s="361"/>
      <c r="C135" s="345"/>
      <c r="D135" s="348" t="s">
        <v>474</v>
      </c>
      <c r="E135" s="348"/>
      <c r="F135" s="348" t="s">
        <v>475</v>
      </c>
      <c r="G135" s="348"/>
      <c r="H135" s="348"/>
      <c r="I135" s="348"/>
      <c r="J135" s="348">
        <v>14.0</v>
      </c>
      <c r="K135" s="348" t="s">
        <v>476</v>
      </c>
      <c r="L135" s="348"/>
      <c r="M135" s="348"/>
      <c r="N135" s="348"/>
      <c r="O135" s="348"/>
      <c r="P135" s="348"/>
    </row>
    <row r="136">
      <c r="A136" s="345"/>
      <c r="B136" s="361"/>
      <c r="C136" s="345"/>
      <c r="D136" s="348" t="s">
        <v>477</v>
      </c>
      <c r="E136" s="348"/>
      <c r="F136" s="348" t="s">
        <v>478</v>
      </c>
      <c r="G136" s="348"/>
      <c r="H136" s="348"/>
      <c r="I136" s="348"/>
      <c r="J136" s="348">
        <v>15.0</v>
      </c>
      <c r="K136" s="348" t="s">
        <v>479</v>
      </c>
      <c r="L136" s="348"/>
      <c r="M136" s="348"/>
      <c r="N136" s="348"/>
      <c r="O136" s="348"/>
      <c r="P136" s="348"/>
    </row>
    <row r="137">
      <c r="A137" s="345"/>
      <c r="B137" s="361"/>
      <c r="C137" s="345"/>
      <c r="D137" s="348" t="s">
        <v>480</v>
      </c>
      <c r="E137" s="348"/>
      <c r="F137" s="348" t="s">
        <v>481</v>
      </c>
      <c r="G137" s="348"/>
      <c r="H137" s="348"/>
      <c r="I137" s="348"/>
      <c r="J137" s="348">
        <v>16.0</v>
      </c>
      <c r="K137" s="348" t="s">
        <v>482</v>
      </c>
      <c r="L137" s="348"/>
      <c r="M137" s="348"/>
      <c r="N137" s="348"/>
      <c r="O137" s="348"/>
      <c r="P137" s="348"/>
    </row>
    <row r="138">
      <c r="A138" s="345"/>
      <c r="B138" s="361"/>
      <c r="C138" s="345"/>
      <c r="D138" s="348" t="s">
        <v>483</v>
      </c>
      <c r="E138" s="348"/>
      <c r="F138" s="348" t="s">
        <v>484</v>
      </c>
      <c r="G138" s="348"/>
      <c r="H138" s="348"/>
      <c r="I138" s="348"/>
      <c r="J138" s="348">
        <v>17.0</v>
      </c>
      <c r="K138" s="348" t="s">
        <v>485</v>
      </c>
      <c r="L138" s="348"/>
      <c r="M138" s="348"/>
      <c r="N138" s="348"/>
      <c r="O138" s="348"/>
      <c r="P138" s="348"/>
    </row>
    <row r="139">
      <c r="A139" s="345"/>
      <c r="B139" s="361"/>
      <c r="C139" s="345"/>
      <c r="D139" s="348" t="s">
        <v>486</v>
      </c>
      <c r="E139" s="348"/>
      <c r="F139" s="348" t="s">
        <v>487</v>
      </c>
      <c r="G139" s="348"/>
      <c r="H139" s="348"/>
      <c r="I139" s="348"/>
      <c r="J139" s="348">
        <v>18.0</v>
      </c>
      <c r="K139" s="348" t="s">
        <v>488</v>
      </c>
      <c r="L139" s="348"/>
      <c r="M139" s="348"/>
      <c r="N139" s="348"/>
      <c r="O139" s="348"/>
      <c r="P139" s="348"/>
    </row>
    <row r="140">
      <c r="A140" s="345"/>
      <c r="B140" s="366"/>
      <c r="C140" s="345"/>
      <c r="D140" s="348" t="s">
        <v>489</v>
      </c>
      <c r="E140" s="348"/>
      <c r="F140" s="348" t="s">
        <v>490</v>
      </c>
      <c r="G140" s="348"/>
      <c r="H140" s="348"/>
      <c r="I140" s="348"/>
      <c r="J140" s="348"/>
      <c r="K140" s="348"/>
      <c r="L140" s="348"/>
      <c r="M140" s="348"/>
      <c r="N140" s="348"/>
      <c r="O140" s="348"/>
      <c r="P140" s="348"/>
    </row>
    <row r="141">
      <c r="A141" s="345"/>
      <c r="B141" s="184"/>
      <c r="C141" s="345"/>
      <c r="D141" s="348" t="s">
        <v>491</v>
      </c>
      <c r="E141" s="348"/>
      <c r="F141" s="348" t="s">
        <v>492</v>
      </c>
      <c r="G141" s="348"/>
      <c r="H141" s="348"/>
      <c r="I141" s="348"/>
      <c r="J141" s="348"/>
      <c r="K141" s="348"/>
      <c r="L141" s="348"/>
      <c r="M141" s="348"/>
      <c r="N141" s="348"/>
      <c r="O141" s="348"/>
      <c r="P141" s="348"/>
    </row>
    <row r="142">
      <c r="A142" s="345"/>
      <c r="B142" s="184"/>
      <c r="C142" s="345"/>
      <c r="D142" s="348" t="s">
        <v>493</v>
      </c>
      <c r="E142" s="348"/>
      <c r="F142" s="348" t="s">
        <v>494</v>
      </c>
      <c r="G142" s="348"/>
      <c r="H142" s="348"/>
      <c r="I142" s="348"/>
      <c r="J142" s="348"/>
      <c r="K142" s="348"/>
      <c r="L142" s="348"/>
      <c r="M142" s="348"/>
      <c r="N142" s="348"/>
      <c r="O142" s="348"/>
      <c r="P142" s="348"/>
    </row>
    <row r="143">
      <c r="A143" s="345"/>
      <c r="B143" s="184"/>
      <c r="C143" s="345"/>
      <c r="D143" s="348"/>
      <c r="E143" s="348"/>
      <c r="F143" s="348" t="s">
        <v>495</v>
      </c>
      <c r="G143" s="348"/>
      <c r="H143" s="348"/>
      <c r="I143" s="348"/>
      <c r="J143" s="348"/>
      <c r="K143" s="348"/>
      <c r="L143" s="348"/>
      <c r="M143" s="348"/>
      <c r="N143" s="348"/>
      <c r="O143" s="348"/>
      <c r="P143" s="348"/>
    </row>
    <row r="144">
      <c r="A144" s="345"/>
      <c r="B144" s="184"/>
      <c r="C144" s="345"/>
      <c r="D144" s="348"/>
      <c r="E144" s="348"/>
      <c r="F144" s="348" t="s">
        <v>496</v>
      </c>
      <c r="G144" s="348"/>
      <c r="H144" s="348"/>
      <c r="I144" s="348"/>
      <c r="J144" s="348"/>
      <c r="K144" s="348"/>
      <c r="L144" s="348"/>
      <c r="M144" s="348"/>
      <c r="N144" s="348"/>
      <c r="O144" s="348"/>
      <c r="P144" s="348"/>
    </row>
    <row r="145">
      <c r="A145" s="345"/>
      <c r="B145" s="184"/>
      <c r="C145" s="345"/>
      <c r="D145" s="348"/>
      <c r="E145" s="348"/>
      <c r="F145" s="348" t="s">
        <v>497</v>
      </c>
      <c r="G145" s="348"/>
      <c r="H145" s="348"/>
      <c r="I145" s="348"/>
      <c r="J145" s="348"/>
      <c r="K145" s="348"/>
      <c r="L145" s="348"/>
      <c r="M145" s="348"/>
      <c r="N145" s="348"/>
      <c r="O145" s="348"/>
      <c r="P145" s="348"/>
    </row>
    <row r="146">
      <c r="A146" s="345"/>
      <c r="B146" s="184"/>
      <c r="C146" s="345"/>
      <c r="D146" s="348"/>
      <c r="E146" s="348"/>
      <c r="F146" s="348" t="s">
        <v>498</v>
      </c>
      <c r="G146" s="348"/>
      <c r="H146" s="348"/>
      <c r="I146" s="348"/>
      <c r="J146" s="348"/>
      <c r="K146" s="348"/>
      <c r="L146" s="348"/>
      <c r="M146" s="348"/>
      <c r="N146" s="348"/>
      <c r="O146" s="348"/>
      <c r="P146" s="348"/>
    </row>
    <row r="147">
      <c r="A147" s="345"/>
      <c r="B147" s="184"/>
      <c r="C147" s="345"/>
      <c r="D147" s="348"/>
      <c r="E147" s="348"/>
      <c r="F147" s="348" t="s">
        <v>499</v>
      </c>
      <c r="G147" s="348"/>
      <c r="H147" s="348"/>
      <c r="I147" s="348"/>
      <c r="J147" s="348"/>
      <c r="K147" s="348"/>
      <c r="L147" s="348"/>
      <c r="M147" s="348"/>
      <c r="N147" s="348"/>
      <c r="O147" s="348"/>
      <c r="P147" s="348"/>
    </row>
    <row r="148">
      <c r="A148" s="345"/>
      <c r="B148" s="184"/>
      <c r="C148" s="345"/>
      <c r="D148" s="348"/>
      <c r="E148" s="348"/>
      <c r="F148" s="348" t="s">
        <v>500</v>
      </c>
      <c r="G148" s="348"/>
      <c r="H148" s="348"/>
      <c r="I148" s="348"/>
      <c r="J148" s="348"/>
      <c r="K148" s="348"/>
      <c r="L148" s="348"/>
      <c r="M148" s="348"/>
      <c r="N148" s="348"/>
      <c r="O148" s="348"/>
      <c r="P148" s="348"/>
    </row>
    <row r="149">
      <c r="A149" s="345"/>
      <c r="B149" s="184"/>
      <c r="C149" s="345"/>
      <c r="D149" s="348"/>
      <c r="E149" s="348"/>
      <c r="F149" s="348" t="s">
        <v>501</v>
      </c>
      <c r="G149" s="348"/>
      <c r="H149" s="348"/>
      <c r="I149" s="348"/>
      <c r="J149" s="348"/>
      <c r="K149" s="348"/>
      <c r="L149" s="348"/>
      <c r="M149" s="348"/>
      <c r="N149" s="348"/>
      <c r="O149" s="348"/>
      <c r="P149" s="348"/>
    </row>
    <row r="150">
      <c r="A150" s="345"/>
      <c r="B150" s="184"/>
      <c r="C150" s="345"/>
      <c r="D150" s="348"/>
      <c r="E150" s="348"/>
      <c r="F150" s="348" t="s">
        <v>502</v>
      </c>
      <c r="G150" s="348"/>
      <c r="H150" s="348"/>
      <c r="I150" s="348"/>
      <c r="J150" s="348"/>
      <c r="K150" s="348"/>
      <c r="L150" s="348"/>
      <c r="M150" s="348"/>
      <c r="N150" s="348"/>
      <c r="O150" s="348"/>
      <c r="P150" s="348"/>
    </row>
    <row r="151">
      <c r="A151" s="345"/>
      <c r="B151" s="184"/>
      <c r="C151" s="345"/>
      <c r="D151" s="348"/>
      <c r="E151" s="348"/>
      <c r="F151" s="348" t="s">
        <v>503</v>
      </c>
      <c r="G151" s="348"/>
      <c r="H151" s="348"/>
      <c r="I151" s="348"/>
      <c r="J151" s="348"/>
      <c r="K151" s="348"/>
      <c r="L151" s="348"/>
      <c r="M151" s="348"/>
      <c r="N151" s="348"/>
      <c r="O151" s="348"/>
      <c r="P151" s="348"/>
    </row>
    <row r="152">
      <c r="A152" s="345"/>
      <c r="B152" s="184"/>
      <c r="C152" s="345"/>
      <c r="D152" s="348"/>
      <c r="E152" s="348"/>
      <c r="F152" s="348" t="s">
        <v>504</v>
      </c>
      <c r="G152" s="348"/>
      <c r="H152" s="348"/>
      <c r="I152" s="348"/>
      <c r="J152" s="348"/>
      <c r="K152" s="348"/>
      <c r="L152" s="348"/>
      <c r="M152" s="348"/>
      <c r="N152" s="348"/>
      <c r="O152" s="348"/>
      <c r="P152" s="348"/>
    </row>
    <row r="153">
      <c r="A153" s="345"/>
      <c r="B153" s="184"/>
      <c r="C153" s="345"/>
      <c r="D153" s="348"/>
      <c r="E153" s="348"/>
      <c r="F153" s="348" t="s">
        <v>505</v>
      </c>
      <c r="G153" s="348"/>
      <c r="H153" s="348"/>
      <c r="I153" s="348"/>
      <c r="J153" s="348"/>
      <c r="K153" s="348"/>
      <c r="L153" s="348"/>
      <c r="M153" s="348"/>
      <c r="N153" s="348"/>
      <c r="O153" s="348"/>
      <c r="P153" s="348"/>
    </row>
    <row r="154">
      <c r="A154" s="345"/>
      <c r="B154" s="184"/>
      <c r="C154" s="345"/>
      <c r="D154" s="348"/>
      <c r="E154" s="348"/>
      <c r="F154" s="348" t="s">
        <v>506</v>
      </c>
      <c r="G154" s="348"/>
      <c r="H154" s="348"/>
      <c r="I154" s="348"/>
      <c r="J154" s="348"/>
      <c r="K154" s="348"/>
      <c r="L154" s="348"/>
      <c r="M154" s="348"/>
      <c r="N154" s="348"/>
      <c r="O154" s="348"/>
      <c r="P154" s="348"/>
    </row>
    <row r="155">
      <c r="A155" s="345"/>
      <c r="B155" s="184"/>
      <c r="C155" s="345"/>
      <c r="D155" s="348"/>
      <c r="E155" s="348"/>
      <c r="F155" s="348" t="s">
        <v>507</v>
      </c>
      <c r="G155" s="348"/>
      <c r="H155" s="348"/>
      <c r="I155" s="348"/>
      <c r="J155" s="348"/>
      <c r="K155" s="348"/>
      <c r="L155" s="348"/>
      <c r="M155" s="348"/>
      <c r="N155" s="348"/>
      <c r="O155" s="348"/>
      <c r="P155" s="348"/>
    </row>
    <row r="156">
      <c r="A156" s="345"/>
      <c r="B156" s="184"/>
      <c r="C156" s="345"/>
      <c r="D156" s="348"/>
      <c r="E156" s="348"/>
      <c r="F156" s="348" t="s">
        <v>508</v>
      </c>
      <c r="G156" s="348"/>
      <c r="H156" s="348"/>
      <c r="I156" s="348"/>
      <c r="J156" s="348"/>
      <c r="K156" s="348"/>
      <c r="L156" s="348"/>
      <c r="M156" s="348"/>
      <c r="N156" s="348"/>
      <c r="O156" s="348"/>
      <c r="P156" s="348"/>
    </row>
    <row r="157">
      <c r="A157" s="345"/>
      <c r="B157" s="184"/>
      <c r="C157" s="345"/>
      <c r="D157" s="348"/>
      <c r="E157" s="348"/>
      <c r="F157" s="348" t="s">
        <v>509</v>
      </c>
      <c r="G157" s="348"/>
      <c r="H157" s="348"/>
      <c r="I157" s="348"/>
      <c r="J157" s="348"/>
      <c r="K157" s="348"/>
      <c r="L157" s="348"/>
      <c r="M157" s="348"/>
      <c r="N157" s="348"/>
      <c r="O157" s="348"/>
      <c r="P157" s="348"/>
    </row>
    <row r="158">
      <c r="A158" s="345"/>
      <c r="B158" s="184"/>
      <c r="C158" s="345"/>
      <c r="D158" s="348"/>
      <c r="E158" s="348"/>
      <c r="F158" s="348" t="s">
        <v>510</v>
      </c>
      <c r="G158" s="348"/>
      <c r="H158" s="348"/>
      <c r="I158" s="348"/>
      <c r="J158" s="348"/>
      <c r="K158" s="348"/>
      <c r="L158" s="348"/>
      <c r="M158" s="348"/>
      <c r="N158" s="348"/>
      <c r="O158" s="348"/>
      <c r="P158" s="348"/>
    </row>
    <row r="159">
      <c r="A159" s="345"/>
      <c r="B159" s="184"/>
      <c r="C159" s="345"/>
      <c r="D159" s="348"/>
      <c r="E159" s="348"/>
      <c r="F159" s="348" t="s">
        <v>511</v>
      </c>
      <c r="G159" s="348"/>
      <c r="H159" s="348"/>
      <c r="I159" s="348"/>
      <c r="J159" s="348"/>
      <c r="K159" s="348"/>
      <c r="L159" s="348"/>
      <c r="M159" s="348"/>
      <c r="N159" s="348"/>
      <c r="O159" s="348"/>
      <c r="P159" s="348"/>
    </row>
    <row r="160">
      <c r="A160" s="345"/>
      <c r="B160" s="184"/>
      <c r="C160" s="345"/>
      <c r="D160" s="348"/>
      <c r="E160" s="348"/>
      <c r="F160" s="348" t="s">
        <v>512</v>
      </c>
      <c r="G160" s="348"/>
      <c r="H160" s="348"/>
      <c r="I160" s="348"/>
      <c r="J160" s="348"/>
      <c r="K160" s="348"/>
      <c r="L160" s="348"/>
      <c r="M160" s="348"/>
      <c r="N160" s="348"/>
      <c r="O160" s="348"/>
      <c r="P160" s="348"/>
    </row>
    <row r="161">
      <c r="A161" s="345"/>
      <c r="B161" s="184"/>
      <c r="C161" s="345"/>
      <c r="D161" s="367"/>
      <c r="E161" s="367"/>
      <c r="F161" s="367"/>
      <c r="G161" s="367"/>
      <c r="H161" s="367"/>
      <c r="I161" s="367"/>
      <c r="J161" s="367"/>
      <c r="K161" s="367"/>
      <c r="L161" s="367"/>
      <c r="M161" s="367"/>
      <c r="N161" s="367"/>
      <c r="O161" s="367"/>
      <c r="P161" s="367"/>
    </row>
    <row r="162">
      <c r="A162" s="345"/>
      <c r="B162" s="184"/>
      <c r="C162" s="345"/>
      <c r="D162" s="367"/>
      <c r="E162" s="367"/>
      <c r="F162" s="367"/>
      <c r="G162" s="367"/>
      <c r="H162" s="367"/>
      <c r="I162" s="367"/>
      <c r="J162" s="367"/>
      <c r="K162" s="367"/>
      <c r="L162" s="367"/>
      <c r="M162" s="367"/>
      <c r="N162" s="367"/>
      <c r="O162" s="367"/>
      <c r="P162" s="367"/>
    </row>
  </sheetData>
  <mergeCells count="52">
    <mergeCell ref="E15:F18"/>
    <mergeCell ref="G15:H18"/>
    <mergeCell ref="D120:E120"/>
    <mergeCell ref="F120:G120"/>
    <mergeCell ref="D121:E121"/>
    <mergeCell ref="F123:G123"/>
    <mergeCell ref="D126:E126"/>
    <mergeCell ref="E19:F19"/>
    <mergeCell ref="G19:H19"/>
    <mergeCell ref="D31:D116"/>
    <mergeCell ref="E31:F31"/>
    <mergeCell ref="G31:H31"/>
    <mergeCell ref="D119:E119"/>
    <mergeCell ref="F119:G119"/>
    <mergeCell ref="J4:K4"/>
    <mergeCell ref="E6:F8"/>
    <mergeCell ref="G6:H8"/>
    <mergeCell ref="I6:J8"/>
    <mergeCell ref="K6:L8"/>
    <mergeCell ref="M6:N8"/>
    <mergeCell ref="O6:P8"/>
    <mergeCell ref="M14:N14"/>
    <mergeCell ref="O14:P14"/>
    <mergeCell ref="I15:J18"/>
    <mergeCell ref="K15:L18"/>
    <mergeCell ref="M15:N18"/>
    <mergeCell ref="O15:P18"/>
    <mergeCell ref="I19:J19"/>
    <mergeCell ref="K19:L19"/>
    <mergeCell ref="M19:N19"/>
    <mergeCell ref="O19:P19"/>
    <mergeCell ref="K23:K25"/>
    <mergeCell ref="L23:L25"/>
    <mergeCell ref="I31:J31"/>
    <mergeCell ref="K31:L31"/>
    <mergeCell ref="M31:N31"/>
    <mergeCell ref="O31:P31"/>
    <mergeCell ref="D6:D8"/>
    <mergeCell ref="D11:D12"/>
    <mergeCell ref="D14:D27"/>
    <mergeCell ref="E14:F14"/>
    <mergeCell ref="G14:H14"/>
    <mergeCell ref="I14:J14"/>
    <mergeCell ref="K14:L14"/>
    <mergeCell ref="H119:I119"/>
    <mergeCell ref="J119:K119"/>
    <mergeCell ref="L119:M119"/>
    <mergeCell ref="N119:O119"/>
    <mergeCell ref="H120:I120"/>
    <mergeCell ref="J120:K120"/>
    <mergeCell ref="L120:M120"/>
    <mergeCell ref="N120:O120"/>
  </mergeCells>
  <conditionalFormatting sqref="I4:J4">
    <cfRule type="expression" dxfId="3" priority="1">
      <formula>$C4="Epic"</formula>
    </cfRule>
  </conditionalFormatting>
  <conditionalFormatting sqref="I4:J4">
    <cfRule type="expression" dxfId="4" priority="2">
      <formula>$C4="Rare"</formula>
    </cfRule>
  </conditionalFormatting>
  <conditionalFormatting sqref="I4:J4">
    <cfRule type="expression" dxfId="5" priority="3">
      <formula>$C4="Uncommon"</formula>
    </cfRule>
  </conditionalFormatting>
  <conditionalFormatting sqref="I4:J4">
    <cfRule type="expression" dxfId="6" priority="4">
      <formula>$C4="Common"</formula>
    </cfRule>
  </conditionalFormatting>
  <conditionalFormatting sqref="C4 B11:B19 C29 B32:B40 B51:B59 C118">
    <cfRule type="expression" dxfId="7" priority="5">
      <formula>$H4="CM"</formula>
    </cfRule>
  </conditionalFormatting>
  <conditionalFormatting sqref="C4 B11:B19 C29 B32:B40 B51:B59 C118">
    <cfRule type="expression" dxfId="8" priority="6">
      <formula>$H4="OA"</formula>
    </cfRule>
  </conditionalFormatting>
  <conditionalFormatting sqref="C4 B11:B19 C29 B32:B40 B51:B59 C118">
    <cfRule type="expression" dxfId="9" priority="7">
      <formula>$H4="BDA"</formula>
    </cfRule>
  </conditionalFormatting>
  <conditionalFormatting sqref="D4 F4 J4 B11:B19 D29 F29 B32:B40 B51:B59 D118 F118">
    <cfRule type="expression" dxfId="3" priority="8">
      <formula>#REF!="Epic"</formula>
    </cfRule>
  </conditionalFormatting>
  <conditionalFormatting sqref="D4 F4 J4 B11:B19 D29 F29 B32:B40 B51:B59 D118 F118">
    <cfRule type="expression" dxfId="4" priority="9">
      <formula>#REF!="Rare"</formula>
    </cfRule>
  </conditionalFormatting>
  <conditionalFormatting sqref="D4 F4 J4 B11:B19 D29 F29 B32:B40 B51:B59 D118 F118">
    <cfRule type="expression" dxfId="5" priority="10">
      <formula>#REF!="Uncommon"</formula>
    </cfRule>
  </conditionalFormatting>
  <conditionalFormatting sqref="D4 F4 J4 B11:B19 D29 F29 B32:B40 B51:B59 D118 F118">
    <cfRule type="expression" dxfId="6" priority="11">
      <formula>#REF!="Common"</formula>
    </cfRule>
  </conditionalFormatting>
  <conditionalFormatting sqref="D4 D29 D118">
    <cfRule type="expression" dxfId="7" priority="12">
      <formula>$I4="CM"</formula>
    </cfRule>
  </conditionalFormatting>
  <conditionalFormatting sqref="D4 D29 D118">
    <cfRule type="expression" dxfId="8" priority="13">
      <formula>$I4="OA"</formula>
    </cfRule>
  </conditionalFormatting>
  <conditionalFormatting sqref="D4 D29 D118">
    <cfRule type="expression" dxfId="9" priority="14">
      <formula>$I4="BDA"</formula>
    </cfRule>
  </conditionalFormatting>
  <hyperlinks>
    <hyperlink r:id="rId1" ref="G4"/>
  </hyperlinks>
  <printOptions gridLines="1" horizontalCentered="1"/>
  <pageMargins bottom="0.75" footer="0.0" header="0.0" left="0.7" right="0.7" top="0.75"/>
  <pageSetup fitToHeight="0" paperSize="3" cellComments="atEnd" orientation="landscape" pageOrder="overThenDown"/>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20.75"/>
    <col customWidth="1" min="5" max="5" width="11.63"/>
    <col customWidth="1" min="6" max="6" width="13.5"/>
    <col customWidth="1" min="7" max="7" width="9.88"/>
    <col customWidth="1" min="8" max="8" width="104.13"/>
    <col customWidth="1" min="9" max="9" width="17.88"/>
  </cols>
  <sheetData>
    <row r="1" ht="54.75" customHeight="1">
      <c r="A1" s="2"/>
      <c r="B1" s="2"/>
      <c r="C1" s="2"/>
      <c r="D1" s="2"/>
      <c r="E1" s="2"/>
      <c r="F1" s="2"/>
      <c r="G1" s="2"/>
      <c r="H1" s="2"/>
      <c r="I1" s="2"/>
      <c r="J1" s="2"/>
      <c r="K1" s="2"/>
    </row>
    <row r="2" ht="15.75" customHeight="1">
      <c r="A2" s="2"/>
      <c r="B2" s="3"/>
      <c r="C2" s="3"/>
      <c r="D2" s="3"/>
      <c r="E2" s="3"/>
      <c r="F2" s="3"/>
      <c r="G2" s="3"/>
      <c r="H2" s="7"/>
      <c r="I2" s="7"/>
      <c r="J2" s="7"/>
      <c r="K2" s="7"/>
    </row>
    <row r="3" ht="16.5" customHeight="1">
      <c r="A3" s="2"/>
      <c r="B3" s="317"/>
      <c r="C3" s="318"/>
      <c r="D3" s="318"/>
      <c r="E3" s="318"/>
      <c r="F3" s="318"/>
      <c r="G3" s="318"/>
      <c r="H3" s="319"/>
      <c r="I3" s="2"/>
      <c r="J3" s="2"/>
      <c r="K3" s="2"/>
    </row>
    <row r="4">
      <c r="A4" s="2"/>
      <c r="B4" s="368"/>
      <c r="C4" s="105"/>
      <c r="D4" s="321" t="s">
        <v>513</v>
      </c>
      <c r="E4" s="107"/>
      <c r="F4" s="107"/>
      <c r="G4" s="369" t="s">
        <v>514</v>
      </c>
      <c r="H4" s="2"/>
      <c r="I4" s="2"/>
      <c r="J4" s="2"/>
      <c r="K4" s="2"/>
    </row>
    <row r="5">
      <c r="A5" s="2"/>
      <c r="B5" s="370"/>
      <c r="C5" s="318"/>
      <c r="D5" s="371" t="str">
        <f>IFERROR(__xludf.DUMMYFUNCTION("IMPORTRANGE(""https://docs.google.com/spreadsheets/d/1QjZ9x30Kr7HxhDpzcFsVYvbXGwq1Pc3JOdW7VKJxCck/edit?usp=sharing"",""Officer Sourcing!A2:F300"")"),"in alphabetical order, input your ops for most accurate methods list")</f>
        <v>in alphabetical order, input your ops for most accurate methods list</v>
      </c>
      <c r="E5" s="372"/>
      <c r="F5" s="372"/>
      <c r="G5" s="372"/>
      <c r="H5" s="372"/>
      <c r="I5" s="372"/>
      <c r="J5" s="2"/>
      <c r="K5" s="2"/>
    </row>
    <row r="6">
      <c r="A6" s="2"/>
      <c r="B6" s="370"/>
      <c r="C6" s="318"/>
      <c r="D6" s="373">
        <f>IFERROR(__xludf.DUMMYFUNCTION("""COMPUTED_VALUE"""),80.0)</f>
        <v>80</v>
      </c>
      <c r="E6" s="374" t="str">
        <f>IFERROR(__xludf.DUMMYFUNCTION("""COMPUTED_VALUE"""),"&lt;--- Ops Level")</f>
        <v>&lt;--- Ops Level</v>
      </c>
      <c r="J6" s="2"/>
      <c r="K6" s="2"/>
    </row>
    <row r="7">
      <c r="A7" s="2"/>
      <c r="B7" s="370"/>
      <c r="C7" s="50"/>
      <c r="D7" s="375" t="str">
        <f>IFERROR(__xludf.DUMMYFUNCTION("""COMPUTED_VALUE"""),"Officer Name")</f>
        <v>Officer Name</v>
      </c>
      <c r="E7" s="376" t="str">
        <f>IFERROR(__xludf.DUMMYFUNCTION("""COMPUTED_VALUE"""),"Rarity")</f>
        <v>Rarity</v>
      </c>
      <c r="F7" s="376" t="str">
        <f>IFERROR(__xludf.DUMMYFUNCTION("""COMPUTED_VALUE"""),"Faction")</f>
        <v>Faction</v>
      </c>
      <c r="G7" s="376" t="str">
        <f>IFERROR(__xludf.DUMMYFUNCTION("""COMPUTED_VALUE"""),"Badge Type")</f>
        <v>Badge Type</v>
      </c>
      <c r="H7" s="375" t="str">
        <f>IFERROR(__xludf.DUMMYFUNCTION("""COMPUTED_VALUE"""),"Sourcing Methods")</f>
        <v>Sourcing Methods</v>
      </c>
      <c r="I7" s="375" t="str">
        <f>IFERROR(__xludf.DUMMYFUNCTION("""COMPUTED_VALUE"""),"# of Sourcing Methods")</f>
        <v># of Sourcing Methods</v>
      </c>
      <c r="J7" s="2"/>
      <c r="K7" s="2"/>
    </row>
    <row r="8">
      <c r="A8" s="2"/>
      <c r="B8" s="370"/>
      <c r="C8" s="2"/>
      <c r="D8" s="377" t="str">
        <f>IFERROR(__xludf.DUMMYFUNCTION("""COMPUTED_VALUE"""),"Ahvix")</f>
        <v>Ahvix</v>
      </c>
      <c r="E8" s="378" t="str">
        <f>IFERROR(__xludf.DUMMYFUNCTION("""COMPUTED_VALUE"""),"Rare")</f>
        <v>Rare</v>
      </c>
      <c r="F8" s="378" t="str">
        <f>IFERROR(__xludf.DUMMYFUNCTION("""COMPUTED_VALUE"""),"Independent")</f>
        <v>Independent</v>
      </c>
      <c r="G8" s="378" t="str">
        <f>IFERROR(__xludf.DUMMYFUNCTION("""COMPUTED_VALUE"""),"Engineering")</f>
        <v>Engineering</v>
      </c>
      <c r="H8" s="379" t="str">
        <f>IFERROR(__xludf.DUMMYFUNCTION("""COMPUTED_VALUE"""),"Ultra Recruit, Apex Event Store, Outlaw Recruit")</f>
        <v>Ultra Recruit, Apex Event Store, Outlaw Recruit</v>
      </c>
      <c r="I8" s="378">
        <f>IFERROR(__xludf.DUMMYFUNCTION("""COMPUTED_VALUE"""),3.0)</f>
        <v>3</v>
      </c>
      <c r="J8" s="2"/>
      <c r="K8" s="2"/>
    </row>
    <row r="9">
      <c r="A9" s="2"/>
      <c r="B9" s="370"/>
      <c r="C9" s="2"/>
      <c r="D9" s="377" t="str">
        <f>IFERROR(__xludf.DUMMYFUNCTION("""COMPUTED_VALUE"""),"Airiam")</f>
        <v>Airiam</v>
      </c>
      <c r="E9" s="378" t="str">
        <f>IFERROR(__xludf.DUMMYFUNCTION("""COMPUTED_VALUE"""),"Uncommon")</f>
        <v>Uncommon</v>
      </c>
      <c r="F9" s="378" t="str">
        <f>IFERROR(__xludf.DUMMYFUNCTION("""COMPUTED_VALUE"""),"Federation")</f>
        <v>Federation</v>
      </c>
      <c r="G9" s="378" t="str">
        <f>IFERROR(__xludf.DUMMYFUNCTION("""COMPUTED_VALUE"""),"Command")</f>
        <v>Command</v>
      </c>
      <c r="H9" s="379" t="str">
        <f>IFERROR(__xludf.DUMMYFUNCTION("""COMPUTED_VALUE"""),"Discovery Recruit, Crucible of War")</f>
        <v>Discovery Recruit, Crucible of War</v>
      </c>
      <c r="I9" s="378">
        <f>IFERROR(__xludf.DUMMYFUNCTION("""COMPUTED_VALUE"""),2.0)</f>
        <v>2</v>
      </c>
      <c r="J9" s="2"/>
      <c r="K9" s="2"/>
    </row>
    <row r="10">
      <c r="A10" s="2"/>
      <c r="B10" s="370"/>
      <c r="C10" s="2"/>
      <c r="D10" s="377" t="str">
        <f>IFERROR(__xludf.DUMMYFUNCTION("""COMPUTED_VALUE"""),"Alok Sahar")</f>
        <v>Alok Sahar</v>
      </c>
      <c r="E10" s="378" t="str">
        <f>IFERROR(__xludf.DUMMYFUNCTION("""COMPUTED_VALUE"""),"Rare")</f>
        <v>Rare</v>
      </c>
      <c r="F10" s="378" t="str">
        <f>IFERROR(__xludf.DUMMYFUNCTION("""COMPUTED_VALUE"""),"Section 31")</f>
        <v>Section 31</v>
      </c>
      <c r="G10" s="378" t="str">
        <f>IFERROR(__xludf.DUMMYFUNCTION("""COMPUTED_VALUE"""),"Command")</f>
        <v>Command</v>
      </c>
      <c r="H10" s="377" t="str">
        <f>IFERROR(__xludf.DUMMYFUNCTION("""COMPUTED_VALUE"""),"Officer Depot Tokens")</f>
        <v>Officer Depot Tokens</v>
      </c>
      <c r="I10" s="378">
        <f>IFERROR(__xludf.DUMMYFUNCTION("""COMPUTED_VALUE"""),1.0)</f>
        <v>1</v>
      </c>
      <c r="J10" s="2"/>
      <c r="K10" s="2"/>
    </row>
    <row r="11">
      <c r="A11" s="2"/>
      <c r="B11" s="380"/>
      <c r="C11" s="2"/>
      <c r="D11" s="377" t="str">
        <f>IFERROR(__xludf.DUMMYFUNCTION("""COMPUTED_VALUE"""),"Alonzo Freeman")</f>
        <v>Alonzo Freeman</v>
      </c>
      <c r="E11" s="378" t="str">
        <f>IFERROR(__xludf.DUMMYFUNCTION("""COMPUTED_VALUE"""),"Rare")</f>
        <v>Rare</v>
      </c>
      <c r="F11" s="378" t="str">
        <f>IFERROR(__xludf.DUMMYFUNCTION("""COMPUTED_VALUE"""),"Federation")</f>
        <v>Federation</v>
      </c>
      <c r="G11" s="378" t="str">
        <f>IFERROR(__xludf.DUMMYFUNCTION("""COMPUTED_VALUE"""),"Command")</f>
        <v>Command</v>
      </c>
      <c r="H11" s="379" t="str">
        <f>IFERROR(__xludf.DUMMYFUNCTION("""COMPUTED_VALUE"""),"Incursions, Uncommon Wrath Recruit, Officer Depot Tokens")</f>
        <v>Incursions, Uncommon Wrath Recruit, Officer Depot Tokens</v>
      </c>
      <c r="I11" s="378">
        <f>IFERROR(__xludf.DUMMYFUNCTION("""COMPUTED_VALUE"""),3.0)</f>
        <v>3</v>
      </c>
      <c r="J11" s="2"/>
      <c r="K11" s="2"/>
    </row>
    <row r="12">
      <c r="A12" s="2"/>
      <c r="B12" s="381"/>
      <c r="C12" s="2"/>
      <c r="D12" s="377" t="str">
        <f>IFERROR(__xludf.DUMMYFUNCTION("""COMPUTED_VALUE"""),"Andy Billups")</f>
        <v>Andy Billups</v>
      </c>
      <c r="E12" s="378" t="str">
        <f>IFERROR(__xludf.DUMMYFUNCTION("""COMPUTED_VALUE"""),"Epic")</f>
        <v>Epic</v>
      </c>
      <c r="F12" s="378" t="str">
        <f>IFERROR(__xludf.DUMMYFUNCTION("""COMPUTED_VALUE"""),"Federation")</f>
        <v>Federation</v>
      </c>
      <c r="G12" s="378" t="str">
        <f>IFERROR(__xludf.DUMMYFUNCTION("""COMPUTED_VALUE"""),"Engineering")</f>
        <v>Engineering</v>
      </c>
      <c r="H12" s="379" t="str">
        <f>IFERROR(__xludf.DUMMYFUNCTION("""COMPUTED_VALUE"""),"Incursions, Monaveen Field Training, Alliance Tournament Store, Uncommon Wrath Recruit, Officer Depot Tokens")</f>
        <v>Incursions, Monaveen Field Training, Alliance Tournament Store, Uncommon Wrath Recruit, Officer Depot Tokens</v>
      </c>
      <c r="I12" s="378">
        <f>IFERROR(__xludf.DUMMYFUNCTION("""COMPUTED_VALUE"""),5.0)</f>
        <v>5</v>
      </c>
      <c r="J12" s="2"/>
      <c r="K12" s="2"/>
    </row>
    <row r="13">
      <c r="A13" s="2"/>
      <c r="B13" s="381"/>
      <c r="C13" s="2"/>
      <c r="D13" s="377" t="str">
        <f>IFERROR(__xludf.DUMMYFUNCTION("""COMPUTED_VALUE"""),"Annorax")</f>
        <v>Annorax</v>
      </c>
      <c r="E13" s="378" t="str">
        <f>IFERROR(__xludf.DUMMYFUNCTION("""COMPUTED_VALUE"""),"Epic")</f>
        <v>Epic</v>
      </c>
      <c r="F13" s="378" t="str">
        <f>IFERROR(__xludf.DUMMYFUNCTION("""COMPUTED_VALUE"""),"Neutral")</f>
        <v>Neutral</v>
      </c>
      <c r="G13" s="378" t="str">
        <f>IFERROR(__xludf.DUMMYFUNCTION("""COMPUTED_VALUE"""),"Command")</f>
        <v>Command</v>
      </c>
      <c r="H13" s="379" t="str">
        <f>IFERROR(__xludf.DUMMYFUNCTION("""COMPUTED_VALUE"""),"Epic Wrath Recruit, Augment Faction Store, Officer Depot Tokens")</f>
        <v>Epic Wrath Recruit, Augment Faction Store, Officer Depot Tokens</v>
      </c>
      <c r="I13" s="378">
        <f>IFERROR(__xludf.DUMMYFUNCTION("""COMPUTED_VALUE"""),3.0)</f>
        <v>3</v>
      </c>
      <c r="J13" s="2"/>
      <c r="K13" s="2"/>
    </row>
    <row r="14">
      <c r="A14" s="2"/>
      <c r="B14" s="381"/>
      <c r="C14" s="2"/>
      <c r="D14" s="377" t="str">
        <f>IFERROR(__xludf.DUMMYFUNCTION("""COMPUTED_VALUE"""),"Arix")</f>
        <v>Arix</v>
      </c>
      <c r="E14" s="378" t="str">
        <f>IFERROR(__xludf.DUMMYFUNCTION("""COMPUTED_VALUE"""),"Uncommon")</f>
        <v>Uncommon</v>
      </c>
      <c r="F14" s="378" t="str">
        <f>IFERROR(__xludf.DUMMYFUNCTION("""COMPUTED_VALUE"""),"Romulan")</f>
        <v>Romulan</v>
      </c>
      <c r="G14" s="378" t="str">
        <f>IFERROR(__xludf.DUMMYFUNCTION("""COMPUTED_VALUE"""),"Science")</f>
        <v>Science</v>
      </c>
      <c r="H14" s="379" t="str">
        <f>IFERROR(__xludf.DUMMYFUNCTION("""COMPUTED_VALUE"""),"Standard Recruit, Premium Recruit, Romulan Recruit, Crucible of War, Crucible of War, Elite Romulan Recruit")</f>
        <v>Standard Recruit, Premium Recruit, Romulan Recruit, Crucible of War, Crucible of War, Elite Romulan Recruit</v>
      </c>
      <c r="I14" s="378">
        <f>IFERROR(__xludf.DUMMYFUNCTION("""COMPUTED_VALUE"""),5.0)</f>
        <v>5</v>
      </c>
      <c r="J14" s="2"/>
      <c r="K14" s="2"/>
    </row>
    <row r="15">
      <c r="A15" s="2"/>
      <c r="B15" s="381"/>
      <c r="C15" s="2"/>
      <c r="D15" s="377" t="str">
        <f>IFERROR(__xludf.DUMMYFUNCTION("""COMPUTED_VALUE"""),"Arkady")</f>
        <v>Arkady</v>
      </c>
      <c r="E15" s="378" t="str">
        <f>IFERROR(__xludf.DUMMYFUNCTION("""COMPUTED_VALUE"""),"Rare")</f>
        <v>Rare</v>
      </c>
      <c r="F15" s="378" t="str">
        <f>IFERROR(__xludf.DUMMYFUNCTION("""COMPUTED_VALUE"""),"Federation")</f>
        <v>Federation</v>
      </c>
      <c r="G15" s="378" t="str">
        <f>IFERROR(__xludf.DUMMYFUNCTION("""COMPUTED_VALUE"""),"Command")</f>
        <v>Command</v>
      </c>
      <c r="H15" s="379" t="str">
        <f>IFERROR(__xludf.DUMMYFUNCTION("""COMPUTED_VALUE"""),"Standard Recruit, Premium Recruit, Federation Recruit, Crucible of War, Crucible of War, Elite Federation Recruit")</f>
        <v>Standard Recruit, Premium Recruit, Federation Recruit, Crucible of War, Crucible of War, Elite Federation Recruit</v>
      </c>
      <c r="I15" s="378">
        <f>IFERROR(__xludf.DUMMYFUNCTION("""COMPUTED_VALUE"""),5.0)</f>
        <v>5</v>
      </c>
      <c r="J15" s="2"/>
      <c r="K15" s="2"/>
    </row>
    <row r="16">
      <c r="A16" s="2"/>
      <c r="B16" s="381"/>
      <c r="C16" s="2"/>
      <c r="D16" s="377" t="str">
        <f>IFERROR(__xludf.DUMMYFUNCTION("""COMPUTED_VALUE"""),"Arrock")</f>
        <v>Arrock</v>
      </c>
      <c r="E16" s="378" t="str">
        <f>IFERROR(__xludf.DUMMYFUNCTION("""COMPUTED_VALUE"""),"Rare")</f>
        <v>Rare</v>
      </c>
      <c r="F16" s="378" t="str">
        <f>IFERROR(__xludf.DUMMYFUNCTION("""COMPUTED_VALUE"""),"Independent")</f>
        <v>Independent</v>
      </c>
      <c r="G16" s="378" t="str">
        <f>IFERROR(__xludf.DUMMYFUNCTION("""COMPUTED_VALUE"""),"Science")</f>
        <v>Science</v>
      </c>
      <c r="H16" s="379" t="str">
        <f>IFERROR(__xludf.DUMMYFUNCTION("""COMPUTED_VALUE"""),"Ultra Recruit, Awoken Augment Recruit, Augment Faction Store")</f>
        <v>Ultra Recruit, Awoken Augment Recruit, Augment Faction Store</v>
      </c>
      <c r="I16" s="378">
        <f>IFERROR(__xludf.DUMMYFUNCTION("""COMPUTED_VALUE"""),3.0)</f>
        <v>3</v>
      </c>
      <c r="J16" s="2"/>
      <c r="K16" s="2"/>
    </row>
    <row r="17">
      <c r="A17" s="345"/>
      <c r="B17" s="381"/>
      <c r="C17" s="345"/>
      <c r="D17" s="377" t="str">
        <f>IFERROR(__xludf.DUMMYFUNCTION("""COMPUTED_VALUE"""),"Azetbur")</f>
        <v>Azetbur</v>
      </c>
      <c r="E17" s="378" t="str">
        <f>IFERROR(__xludf.DUMMYFUNCTION("""COMPUTED_VALUE"""),"Rare")</f>
        <v>Rare</v>
      </c>
      <c r="F17" s="378" t="str">
        <f>IFERROR(__xludf.DUMMYFUNCTION("""COMPUTED_VALUE"""),"Klingon")</f>
        <v>Klingon</v>
      </c>
      <c r="G17" s="378" t="str">
        <f>IFERROR(__xludf.DUMMYFUNCTION("""COMPUTED_VALUE"""),"Science")</f>
        <v>Science</v>
      </c>
      <c r="H17" s="379" t="str">
        <f>IFERROR(__xludf.DUMMYFUNCTION("""COMPUTED_VALUE"""),"Premium Recruit, Ultra Recruit, Klingon Recruit, Crucible of War, ATAs, Crucible of War, Elite Klingon Recruit")</f>
        <v>Premium Recruit, Ultra Recruit, Klingon Recruit, Crucible of War, ATAs, Crucible of War, Elite Klingon Recruit</v>
      </c>
      <c r="I17" s="378">
        <f>IFERROR(__xludf.DUMMYFUNCTION("""COMPUTED_VALUE"""),6.0)</f>
        <v>6</v>
      </c>
      <c r="J17" s="2"/>
      <c r="K17" s="2"/>
    </row>
    <row r="18">
      <c r="A18" s="345"/>
      <c r="B18" s="382"/>
      <c r="C18" s="345"/>
      <c r="D18" s="377" t="str">
        <f>IFERROR(__xludf.DUMMYFUNCTION("""COMPUTED_VALUE"""),"B'Elanna Torres")</f>
        <v>B'Elanna Torres</v>
      </c>
      <c r="E18" s="378" t="str">
        <f>IFERROR(__xludf.DUMMYFUNCTION("""COMPUTED_VALUE"""),"Rare")</f>
        <v>Rare</v>
      </c>
      <c r="F18" s="378" t="str">
        <f>IFERROR(__xludf.DUMMYFUNCTION("""COMPUTED_VALUE"""),"Federation")</f>
        <v>Federation</v>
      </c>
      <c r="G18" s="378" t="str">
        <f>IFERROR(__xludf.DUMMYFUNCTION("""COMPUTED_VALUE"""),"Engineering")</f>
        <v>Engineering</v>
      </c>
      <c r="H18" s="379" t="str">
        <f>IFERROR(__xludf.DUMMYFUNCTION("""COMPUTED_VALUE"""),"Rare Formation Armadas, Isomatter Refinery, Ex-Borg Faction Store, Uncommon Wrath Recruit, Augment Faction Store, Officer Depot Tokens")</f>
        <v>Rare Formation Armadas, Isomatter Refinery, Ex-Borg Faction Store, Uncommon Wrath Recruit, Augment Faction Store, Officer Depot Tokens</v>
      </c>
      <c r="I18" s="378">
        <f>IFERROR(__xludf.DUMMYFUNCTION("""COMPUTED_VALUE"""),6.0)</f>
        <v>6</v>
      </c>
      <c r="J18" s="2"/>
      <c r="K18" s="2"/>
    </row>
    <row r="19">
      <c r="A19" s="345"/>
      <c r="B19" s="383"/>
      <c r="C19" s="345"/>
      <c r="D19" s="377" t="str">
        <f>IFERROR(__xludf.DUMMYFUNCTION("""COMPUTED_VALUE"""),"B'Etor")</f>
        <v>B'Etor</v>
      </c>
      <c r="E19" s="378" t="str">
        <f>IFERROR(__xludf.DUMMYFUNCTION("""COMPUTED_VALUE"""),"Rare")</f>
        <v>Rare</v>
      </c>
      <c r="F19" s="378" t="str">
        <f>IFERROR(__xludf.DUMMYFUNCTION("""COMPUTED_VALUE"""),"Romulan")</f>
        <v>Romulan</v>
      </c>
      <c r="G19" s="378" t="str">
        <f>IFERROR(__xludf.DUMMYFUNCTION("""COMPUTED_VALUE"""),"Science")</f>
        <v>Science</v>
      </c>
      <c r="H19" s="379" t="str">
        <f>IFERROR(__xludf.DUMMYFUNCTION("""COMPUTED_VALUE"""),"Ultra Recruit, Crucible of War, Elite Romulan Recruit")</f>
        <v>Ultra Recruit, Crucible of War, Elite Romulan Recruit</v>
      </c>
      <c r="I19" s="378">
        <f>IFERROR(__xludf.DUMMYFUNCTION("""COMPUTED_VALUE"""),3.0)</f>
        <v>3</v>
      </c>
      <c r="J19" s="2"/>
      <c r="K19" s="2"/>
    </row>
    <row r="20">
      <c r="A20" s="345"/>
      <c r="B20" s="383"/>
      <c r="C20" s="345"/>
      <c r="D20" s="377" t="str">
        <f>IFERROR(__xludf.DUMMYFUNCTION("""COMPUTED_VALUE"""),"Ba'el")</f>
        <v>Ba'el</v>
      </c>
      <c r="E20" s="378" t="str">
        <f>IFERROR(__xludf.DUMMYFUNCTION("""COMPUTED_VALUE"""),"Rare")</f>
        <v>Rare</v>
      </c>
      <c r="F20" s="378" t="str">
        <f>IFERROR(__xludf.DUMMYFUNCTION("""COMPUTED_VALUE"""),"Klingon")</f>
        <v>Klingon</v>
      </c>
      <c r="G20" s="378" t="str">
        <f>IFERROR(__xludf.DUMMYFUNCTION("""COMPUTED_VALUE"""),"Engineering")</f>
        <v>Engineering</v>
      </c>
      <c r="H20" s="379" t="str">
        <f>IFERROR(__xludf.DUMMYFUNCTION("""COMPUTED_VALUE"""),"Ultra Recruit, Crucible of War, Elite Klingon Recruit")</f>
        <v>Ultra Recruit, Crucible of War, Elite Klingon Recruit</v>
      </c>
      <c r="I20" s="378">
        <f>IFERROR(__xludf.DUMMYFUNCTION("""COMPUTED_VALUE"""),3.0)</f>
        <v>3</v>
      </c>
      <c r="J20" s="2"/>
      <c r="K20" s="2"/>
    </row>
    <row r="21">
      <c r="A21" s="345"/>
      <c r="B21" s="383"/>
      <c r="C21" s="345"/>
      <c r="D21" s="377" t="str">
        <f>IFERROR(__xludf.DUMMYFUNCTION("""COMPUTED_VALUE"""),"Badgey")</f>
        <v>Badgey</v>
      </c>
      <c r="E21" s="378" t="str">
        <f>IFERROR(__xludf.DUMMYFUNCTION("""COMPUTED_VALUE"""),"Uncommon")</f>
        <v>Uncommon</v>
      </c>
      <c r="F21" s="378" t="str">
        <f>IFERROR(__xludf.DUMMYFUNCTION("""COMPUTED_VALUE"""),"Federation")</f>
        <v>Federation</v>
      </c>
      <c r="G21" s="378" t="str">
        <f>IFERROR(__xludf.DUMMYFUNCTION("""COMPUTED_VALUE"""),"Science")</f>
        <v>Science</v>
      </c>
      <c r="H21" s="379" t="str">
        <f>IFERROR(__xludf.DUMMYFUNCTION("""COMPUTED_VALUE"""),"Crucible of War, Cerritos Refinery, Uncommon Wrath Recruit, Officer Depot Tokens")</f>
        <v>Crucible of War, Cerritos Refinery, Uncommon Wrath Recruit, Officer Depot Tokens</v>
      </c>
      <c r="I21" s="378">
        <f>IFERROR(__xludf.DUMMYFUNCTION("""COMPUTED_VALUE"""),4.0)</f>
        <v>4</v>
      </c>
      <c r="J21" s="2"/>
      <c r="K21" s="2"/>
    </row>
    <row r="22">
      <c r="A22" s="345"/>
      <c r="B22" s="383"/>
      <c r="C22" s="345"/>
      <c r="D22" s="377" t="str">
        <f>IFERROR(__xludf.DUMMYFUNCTION("""COMPUTED_VALUE"""),"Barot")</f>
        <v>Barot</v>
      </c>
      <c r="E22" s="378" t="str">
        <f>IFERROR(__xludf.DUMMYFUNCTION("""COMPUTED_VALUE"""),"Rare")</f>
        <v>Rare</v>
      </c>
      <c r="F22" s="378" t="str">
        <f>IFERROR(__xludf.DUMMYFUNCTION("""COMPUTED_VALUE"""),"Klingon")</f>
        <v>Klingon</v>
      </c>
      <c r="G22" s="378" t="str">
        <f>IFERROR(__xludf.DUMMYFUNCTION("""COMPUTED_VALUE"""),"Science")</f>
        <v>Science</v>
      </c>
      <c r="H22" s="379" t="str">
        <f>IFERROR(__xludf.DUMMYFUNCTION("""COMPUTED_VALUE"""),"Standard Recruit, Premium Recruit, Ultra Recruit")</f>
        <v>Standard Recruit, Premium Recruit, Ultra Recruit</v>
      </c>
      <c r="I22" s="378">
        <f>IFERROR(__xludf.DUMMYFUNCTION("""COMPUTED_VALUE"""),3.0)</f>
        <v>3</v>
      </c>
      <c r="J22" s="2"/>
      <c r="K22" s="2"/>
    </row>
    <row r="23">
      <c r="A23" s="345"/>
      <c r="B23" s="383"/>
      <c r="C23" s="345"/>
      <c r="D23" s="377" t="str">
        <f>IFERROR(__xludf.DUMMYFUNCTION("""COMPUTED_VALUE"""),"Beckett Mariner")</f>
        <v>Beckett Mariner</v>
      </c>
      <c r="E23" s="378" t="str">
        <f>IFERROR(__xludf.DUMMYFUNCTION("""COMPUTED_VALUE"""),"Epic")</f>
        <v>Epic</v>
      </c>
      <c r="F23" s="378" t="str">
        <f>IFERROR(__xludf.DUMMYFUNCTION("""COMPUTED_VALUE"""),"Federation")</f>
        <v>Federation</v>
      </c>
      <c r="G23" s="378" t="str">
        <f>IFERROR(__xludf.DUMMYFUNCTION("""COMPUTED_VALUE"""),"Command")</f>
        <v>Command</v>
      </c>
      <c r="H23" s="379" t="str">
        <f>IFERROR(__xludf.DUMMYFUNCTION("""COMPUTED_VALUE"""),"Ultra Recruit, Transporter Patterns, Cerritos Refinery, Monaveen Field Training, Uncommon Wrath Recruit, Officer Depot Tokens")</f>
        <v>Ultra Recruit, Transporter Patterns, Cerritos Refinery, Monaveen Field Training, Uncommon Wrath Recruit, Officer Depot Tokens</v>
      </c>
      <c r="I23" s="378">
        <f>IFERROR(__xludf.DUMMYFUNCTION("""COMPUTED_VALUE"""),6.0)</f>
        <v>6</v>
      </c>
      <c r="J23" s="2"/>
      <c r="K23" s="2"/>
    </row>
    <row r="24">
      <c r="A24" s="345"/>
      <c r="B24" s="383"/>
      <c r="C24" s="345"/>
      <c r="D24" s="377" t="str">
        <f>IFERROR(__xludf.DUMMYFUNCTION("""COMPUTED_VALUE"""),"Benjamin Sisko")</f>
        <v>Benjamin Sisko</v>
      </c>
      <c r="E24" s="378" t="str">
        <f>IFERROR(__xludf.DUMMYFUNCTION("""COMPUTED_VALUE"""),"Epic")</f>
        <v>Epic</v>
      </c>
      <c r="F24" s="378" t="str">
        <f>IFERROR(__xludf.DUMMYFUNCTION("""COMPUTED_VALUE"""),"Federation")</f>
        <v>Federation</v>
      </c>
      <c r="G24" s="378" t="str">
        <f>IFERROR(__xludf.DUMMYFUNCTION("""COMPUTED_VALUE"""),"Command")</f>
        <v>Command</v>
      </c>
      <c r="H24" s="379" t="str">
        <f>IFERROR(__xludf.DUMMYFUNCTION("""COMPUTED_VALUE"""),"Ultra Recruit, Transporter Patterns, Incursions, Bajoran Store, Vindicator Refinery, Uncommon P1ATA, AT Research Tree, Officer Depot Tokens")</f>
        <v>Ultra Recruit, Transporter Patterns, Incursions, Bajoran Store, Vindicator Refinery, Uncommon P1ATA, AT Research Tree, Officer Depot Tokens</v>
      </c>
      <c r="I24" s="378">
        <f>IFERROR(__xludf.DUMMYFUNCTION("""COMPUTED_VALUE"""),8.0)</f>
        <v>8</v>
      </c>
      <c r="J24" s="2"/>
      <c r="K24" s="2"/>
    </row>
    <row r="25">
      <c r="A25" s="345"/>
      <c r="B25" s="383"/>
      <c r="C25" s="345"/>
      <c r="D25" s="377" t="str">
        <f>IFERROR(__xludf.DUMMYFUNCTION("""COMPUTED_VALUE"""),"Beverly Crusher")</f>
        <v>Beverly Crusher</v>
      </c>
      <c r="E25" s="378" t="str">
        <f>IFERROR(__xludf.DUMMYFUNCTION("""COMPUTED_VALUE"""),"Rare")</f>
        <v>Rare</v>
      </c>
      <c r="F25" s="378" t="str">
        <f>IFERROR(__xludf.DUMMYFUNCTION("""COMPUTED_VALUE"""),"Federation")</f>
        <v>Federation</v>
      </c>
      <c r="G25" s="378" t="str">
        <f>IFERROR(__xludf.DUMMYFUNCTION("""COMPUTED_VALUE"""),"Science")</f>
        <v>Science</v>
      </c>
      <c r="H25" s="379" t="str">
        <f>IFERROR(__xludf.DUMMYFUNCTION("""COMPUTED_VALUE"""),"Ultra Recruit, Crucible of War, Officer Depot Tokens")</f>
        <v>Ultra Recruit, Crucible of War, Officer Depot Tokens</v>
      </c>
      <c r="I25" s="378">
        <f>IFERROR(__xludf.DUMMYFUNCTION("""COMPUTED_VALUE"""),3.0)</f>
        <v>3</v>
      </c>
      <c r="J25" s="2"/>
      <c r="K25" s="2"/>
    </row>
    <row r="26">
      <c r="A26" s="345"/>
      <c r="B26" s="383"/>
      <c r="C26" s="345"/>
      <c r="D26" s="377" t="str">
        <f>IFERROR(__xludf.DUMMYFUNCTION("""COMPUTED_VALUE"""),"Bones")</f>
        <v>Bones</v>
      </c>
      <c r="E26" s="378" t="str">
        <f>IFERROR(__xludf.DUMMYFUNCTION("""COMPUTED_VALUE"""),"Rare")</f>
        <v>Rare</v>
      </c>
      <c r="F26" s="378" t="str">
        <f>IFERROR(__xludf.DUMMYFUNCTION("""COMPUTED_VALUE"""),"Federation")</f>
        <v>Federation</v>
      </c>
      <c r="G26" s="378" t="str">
        <f>IFERROR(__xludf.DUMMYFUNCTION("""COMPUTED_VALUE"""),"Science")</f>
        <v>Science</v>
      </c>
      <c r="H26" s="379" t="str">
        <f>IFERROR(__xludf.DUMMYFUNCTION("""COMPUTED_VALUE"""),"Premium Recruit, Ultra Recruit, Transporter Patterns, Federation Recruit, Crucible of War, Crucible of War, Elite Federation Recruit")</f>
        <v>Premium Recruit, Ultra Recruit, Transporter Patterns, Federation Recruit, Crucible of War, Crucible of War, Elite Federation Recruit</v>
      </c>
      <c r="I26" s="378">
        <f>IFERROR(__xludf.DUMMYFUNCTION("""COMPUTED_VALUE"""),6.0)</f>
        <v>6</v>
      </c>
      <c r="J26" s="2"/>
      <c r="K26" s="2"/>
    </row>
    <row r="27">
      <c r="A27" s="345"/>
      <c r="B27" s="383"/>
      <c r="C27" s="345"/>
      <c r="D27" s="377" t="str">
        <f>IFERROR(__xludf.DUMMYFUNCTION("""COMPUTED_VALUE"""),"Borg Queen")</f>
        <v>Borg Queen</v>
      </c>
      <c r="E27" s="378" t="str">
        <f>IFERROR(__xludf.DUMMYFUNCTION("""COMPUTED_VALUE"""),"Epic")</f>
        <v>Epic</v>
      </c>
      <c r="F27" s="378" t="str">
        <f>IFERROR(__xludf.DUMMYFUNCTION("""COMPUTED_VALUE"""),"Independent")</f>
        <v>Independent</v>
      </c>
      <c r="G27" s="378" t="str">
        <f>IFERROR(__xludf.DUMMYFUNCTION("""COMPUTED_VALUE"""),"Command")</f>
        <v>Command</v>
      </c>
      <c r="H27" s="379" t="str">
        <f>IFERROR(__xludf.DUMMYFUNCTION("""COMPUTED_VALUE"""),"Ultra Recruit, Expansion Cube Refinery, Vi'Dar Talios Archive, Common Wrath Recruit, Officer Depot Tokens")</f>
        <v>Ultra Recruit, Expansion Cube Refinery, Vi'Dar Talios Archive, Common Wrath Recruit, Officer Depot Tokens</v>
      </c>
      <c r="I27" s="378">
        <f>IFERROR(__xludf.DUMMYFUNCTION("""COMPUTED_VALUE"""),5.0)</f>
        <v>5</v>
      </c>
      <c r="J27" s="2"/>
      <c r="K27" s="2"/>
    </row>
    <row r="28">
      <c r="A28" s="345"/>
      <c r="B28" s="383"/>
      <c r="C28" s="345"/>
      <c r="D28" s="377" t="str">
        <f>IFERROR(__xludf.DUMMYFUNCTION("""COMPUTED_VALUE"""),"Brad Boimler")</f>
        <v>Brad Boimler</v>
      </c>
      <c r="E28" s="378" t="str">
        <f>IFERROR(__xludf.DUMMYFUNCTION("""COMPUTED_VALUE"""),"Rare")</f>
        <v>Rare</v>
      </c>
      <c r="F28" s="378" t="str">
        <f>IFERROR(__xludf.DUMMYFUNCTION("""COMPUTED_VALUE"""),"Federation")</f>
        <v>Federation</v>
      </c>
      <c r="G28" s="378" t="str">
        <f>IFERROR(__xludf.DUMMYFUNCTION("""COMPUTED_VALUE"""),"Command")</f>
        <v>Command</v>
      </c>
      <c r="H28" s="379" t="str">
        <f>IFERROR(__xludf.DUMMYFUNCTION("""COMPUTED_VALUE"""),"Cerritos Refinery, Monaveen Field Training, Uncommon Wrath Recruit, Officer Depot Tokens")</f>
        <v>Cerritos Refinery, Monaveen Field Training, Uncommon Wrath Recruit, Officer Depot Tokens</v>
      </c>
      <c r="I28" s="378">
        <f>IFERROR(__xludf.DUMMYFUNCTION("""COMPUTED_VALUE"""),4.0)</f>
        <v>4</v>
      </c>
      <c r="J28" s="2"/>
      <c r="K28" s="2"/>
    </row>
    <row r="29">
      <c r="A29" s="345"/>
      <c r="B29" s="383"/>
      <c r="C29" s="345"/>
      <c r="D29" s="377" t="str">
        <f>IFERROR(__xludf.DUMMYFUNCTION("""COMPUTED_VALUE"""),"Byr Ch'Kelrer")</f>
        <v>Byr Ch'Kelrer</v>
      </c>
      <c r="E29" s="378" t="str">
        <f>IFERROR(__xludf.DUMMYFUNCTION("""COMPUTED_VALUE"""),"Rare")</f>
        <v>Rare</v>
      </c>
      <c r="F29" s="378" t="str">
        <f>IFERROR(__xludf.DUMMYFUNCTION("""COMPUTED_VALUE"""),"Independent")</f>
        <v>Independent</v>
      </c>
      <c r="G29" s="378" t="str">
        <f>IFERROR(__xludf.DUMMYFUNCTION("""COMPUTED_VALUE"""),"Science")</f>
        <v>Science</v>
      </c>
      <c r="H29" s="379" t="str">
        <f>IFERROR(__xludf.DUMMYFUNCTION("""COMPUTED_VALUE"""),"Galactic Recruit, Vindicator Refinery (with Refit), DTI Faction Store, Epic Wrath Recruit, Officer Depot Tokens")</f>
        <v>Galactic Recruit, Vindicator Refinery (with Refit), DTI Faction Store, Epic Wrath Recruit, Officer Depot Tokens</v>
      </c>
      <c r="I29" s="378">
        <f>IFERROR(__xludf.DUMMYFUNCTION("""COMPUTED_VALUE"""),5.0)</f>
        <v>5</v>
      </c>
      <c r="J29" s="2"/>
      <c r="K29" s="2"/>
    </row>
    <row r="30">
      <c r="A30" s="345"/>
      <c r="B30" s="383"/>
      <c r="C30" s="345"/>
      <c r="D30" s="377" t="str">
        <f>IFERROR(__xludf.DUMMYFUNCTION("""COMPUTED_VALUE"""),"Cadet Kirk")</f>
        <v>Cadet Kirk</v>
      </c>
      <c r="E30" s="378" t="str">
        <f>IFERROR(__xludf.DUMMYFUNCTION("""COMPUTED_VALUE"""),"Common")</f>
        <v>Common</v>
      </c>
      <c r="F30" s="378" t="str">
        <f>IFERROR(__xludf.DUMMYFUNCTION("""COMPUTED_VALUE"""),"Federation")</f>
        <v>Federation</v>
      </c>
      <c r="G30" s="378" t="str">
        <f>IFERROR(__xludf.DUMMYFUNCTION("""COMPUTED_VALUE"""),"N/A")</f>
        <v>N/A</v>
      </c>
      <c r="H30" s="379" t="str">
        <f>IFERROR(__xludf.DUMMYFUNCTION("""COMPUTED_VALUE"""),"Standard Recruit")</f>
        <v>Standard Recruit</v>
      </c>
      <c r="I30" s="378">
        <f>IFERROR(__xludf.DUMMYFUNCTION("""COMPUTED_VALUE"""),1.0)</f>
        <v>1</v>
      </c>
      <c r="J30" s="2"/>
      <c r="K30" s="2"/>
    </row>
    <row r="31">
      <c r="A31" s="345"/>
      <c r="B31" s="383"/>
      <c r="C31" s="345"/>
      <c r="D31" s="377" t="str">
        <f>IFERROR(__xludf.DUMMYFUNCTION("""COMPUTED_VALUE"""),"Cadet McCoy")</f>
        <v>Cadet McCoy</v>
      </c>
      <c r="E31" s="378" t="str">
        <f>IFERROR(__xludf.DUMMYFUNCTION("""COMPUTED_VALUE"""),"Common")</f>
        <v>Common</v>
      </c>
      <c r="F31" s="378" t="str">
        <f>IFERROR(__xludf.DUMMYFUNCTION("""COMPUTED_VALUE"""),"Federation")</f>
        <v>Federation</v>
      </c>
      <c r="G31" s="378" t="str">
        <f>IFERROR(__xludf.DUMMYFUNCTION("""COMPUTED_VALUE"""),"N/A")</f>
        <v>N/A</v>
      </c>
      <c r="H31" s="379" t="str">
        <f>IFERROR(__xludf.DUMMYFUNCTION("""COMPUTED_VALUE"""),"Standard Recruit")</f>
        <v>Standard Recruit</v>
      </c>
      <c r="I31" s="378">
        <f>IFERROR(__xludf.DUMMYFUNCTION("""COMPUTED_VALUE"""),1.0)</f>
        <v>1</v>
      </c>
      <c r="J31" s="2"/>
      <c r="K31" s="2"/>
    </row>
    <row r="32">
      <c r="A32" s="345"/>
      <c r="B32" s="383"/>
      <c r="C32" s="345"/>
      <c r="D32" s="377" t="str">
        <f>IFERROR(__xludf.DUMMYFUNCTION("""COMPUTED_VALUE"""),"Cadet Scotty")</f>
        <v>Cadet Scotty</v>
      </c>
      <c r="E32" s="378" t="str">
        <f>IFERROR(__xludf.DUMMYFUNCTION("""COMPUTED_VALUE"""),"Common")</f>
        <v>Common</v>
      </c>
      <c r="F32" s="378" t="str">
        <f>IFERROR(__xludf.DUMMYFUNCTION("""COMPUTED_VALUE"""),"Federation")</f>
        <v>Federation</v>
      </c>
      <c r="G32" s="378" t="str">
        <f>IFERROR(__xludf.DUMMYFUNCTION("""COMPUTED_VALUE"""),"N/A")</f>
        <v>N/A</v>
      </c>
      <c r="H32" s="379" t="str">
        <f>IFERROR(__xludf.DUMMYFUNCTION("""COMPUTED_VALUE"""),"Standard Recruit, Officer Depot Tokens")</f>
        <v>Standard Recruit, Officer Depot Tokens</v>
      </c>
      <c r="I32" s="378">
        <f>IFERROR(__xludf.DUMMYFUNCTION("""COMPUTED_VALUE"""),2.0)</f>
        <v>2</v>
      </c>
      <c r="J32" s="2"/>
      <c r="K32" s="2"/>
    </row>
    <row r="33">
      <c r="A33" s="345"/>
      <c r="B33" s="383"/>
      <c r="C33" s="345"/>
      <c r="D33" s="377" t="str">
        <f>IFERROR(__xludf.DUMMYFUNCTION("""COMPUTED_VALUE"""),"Cadet Sulu")</f>
        <v>Cadet Sulu</v>
      </c>
      <c r="E33" s="378" t="str">
        <f>IFERROR(__xludf.DUMMYFUNCTION("""COMPUTED_VALUE"""),"Common")</f>
        <v>Common</v>
      </c>
      <c r="F33" s="378" t="str">
        <f>IFERROR(__xludf.DUMMYFUNCTION("""COMPUTED_VALUE"""),"Federation")</f>
        <v>Federation</v>
      </c>
      <c r="G33" s="378" t="str">
        <f>IFERROR(__xludf.DUMMYFUNCTION("""COMPUTED_VALUE"""),"N/A")</f>
        <v>N/A</v>
      </c>
      <c r="H33" s="379" t="str">
        <f>IFERROR(__xludf.DUMMYFUNCTION("""COMPUTED_VALUE"""),"Standard Recruit")</f>
        <v>Standard Recruit</v>
      </c>
      <c r="I33" s="378">
        <f>IFERROR(__xludf.DUMMYFUNCTION("""COMPUTED_VALUE"""),1.0)</f>
        <v>1</v>
      </c>
      <c r="J33" s="2"/>
      <c r="K33" s="2"/>
    </row>
    <row r="34">
      <c r="A34" s="345"/>
      <c r="B34" s="383"/>
      <c r="C34" s="345"/>
      <c r="D34" s="377" t="str">
        <f>IFERROR(__xludf.DUMMYFUNCTION("""COMPUTED_VALUE"""),"Cadet Uhura")</f>
        <v>Cadet Uhura</v>
      </c>
      <c r="E34" s="378" t="str">
        <f>IFERROR(__xludf.DUMMYFUNCTION("""COMPUTED_VALUE"""),"Common")</f>
        <v>Common</v>
      </c>
      <c r="F34" s="378" t="str">
        <f>IFERROR(__xludf.DUMMYFUNCTION("""COMPUTED_VALUE"""),"Federation")</f>
        <v>Federation</v>
      </c>
      <c r="G34" s="378" t="str">
        <f>IFERROR(__xludf.DUMMYFUNCTION("""COMPUTED_VALUE"""),"N/A")</f>
        <v>N/A</v>
      </c>
      <c r="H34" s="379" t="str">
        <f>IFERROR(__xludf.DUMMYFUNCTION("""COMPUTED_VALUE"""),"Standard Recruit")</f>
        <v>Standard Recruit</v>
      </c>
      <c r="I34" s="378">
        <f>IFERROR(__xludf.DUMMYFUNCTION("""COMPUTED_VALUE"""),1.0)</f>
        <v>1</v>
      </c>
      <c r="J34" s="2"/>
      <c r="K34" s="2"/>
    </row>
    <row r="35">
      <c r="A35" s="345"/>
      <c r="B35" s="383"/>
      <c r="C35" s="345"/>
      <c r="D35" s="377" t="str">
        <f>IFERROR(__xludf.DUMMYFUNCTION("""COMPUTED_VALUE"""),"Captain Tilly")</f>
        <v>Captain Tilly</v>
      </c>
      <c r="E35" s="378" t="str">
        <f>IFERROR(__xludf.DUMMYFUNCTION("""COMPUTED_VALUE"""),"Rare")</f>
        <v>Rare</v>
      </c>
      <c r="F35" s="378" t="str">
        <f>IFERROR(__xludf.DUMMYFUNCTION("""COMPUTED_VALUE"""),"Independent")</f>
        <v>Independent</v>
      </c>
      <c r="G35" s="378" t="str">
        <f>IFERROR(__xludf.DUMMYFUNCTION("""COMPUTED_VALUE"""),"Engineering")</f>
        <v>Engineering</v>
      </c>
      <c r="H35" s="379" t="str">
        <f>IFERROR(__xludf.DUMMYFUNCTION("""COMPUTED_VALUE"""),"Ultra Recruit, Discovery Recruit")</f>
        <v>Ultra Recruit, Discovery Recruit</v>
      </c>
      <c r="I35" s="378">
        <f>IFERROR(__xludf.DUMMYFUNCTION("""COMPUTED_VALUE"""),2.0)</f>
        <v>2</v>
      </c>
      <c r="J35" s="2"/>
      <c r="K35" s="2"/>
    </row>
    <row r="36">
      <c r="A36" s="345"/>
      <c r="B36" s="384"/>
      <c r="C36" s="345"/>
      <c r="D36" s="377" t="str">
        <f>IFERROR(__xludf.DUMMYFUNCTION("""COMPUTED_VALUE"""),"Carol Freeman")</f>
        <v>Carol Freeman</v>
      </c>
      <c r="E36" s="378" t="str">
        <f>IFERROR(__xludf.DUMMYFUNCTION("""COMPUTED_VALUE"""),"Epic")</f>
        <v>Epic</v>
      </c>
      <c r="F36" s="378" t="str">
        <f>IFERROR(__xludf.DUMMYFUNCTION("""COMPUTED_VALUE"""),"Federation")</f>
        <v>Federation</v>
      </c>
      <c r="G36" s="378" t="str">
        <f>IFERROR(__xludf.DUMMYFUNCTION("""COMPUTED_VALUE"""),"Command")</f>
        <v>Command</v>
      </c>
      <c r="H36" s="379" t="str">
        <f>IFERROR(__xludf.DUMMYFUNCTION("""COMPUTED_VALUE"""),"Incursions, Section 31 Faction Store, Monaveen Field Training, Alliance Tournament Store, Uncommon Wrath Recruit, Officer Depot Tokens")</f>
        <v>Incursions, Section 31 Faction Store, Monaveen Field Training, Alliance Tournament Store, Uncommon Wrath Recruit, Officer Depot Tokens</v>
      </c>
      <c r="I36" s="378">
        <f>IFERROR(__xludf.DUMMYFUNCTION("""COMPUTED_VALUE"""),6.0)</f>
        <v>6</v>
      </c>
      <c r="J36" s="2"/>
      <c r="K36" s="2"/>
    </row>
    <row r="37">
      <c r="A37" s="345"/>
      <c r="B37" s="368"/>
      <c r="C37" s="345"/>
      <c r="D37" s="377" t="str">
        <f>IFERROR(__xludf.DUMMYFUNCTION("""COMPUTED_VALUE"""),"Carol Marcus")</f>
        <v>Carol Marcus</v>
      </c>
      <c r="E37" s="378" t="str">
        <f>IFERROR(__xludf.DUMMYFUNCTION("""COMPUTED_VALUE"""),"Epic")</f>
        <v>Epic</v>
      </c>
      <c r="F37" s="378" t="str">
        <f>IFERROR(__xludf.DUMMYFUNCTION("""COMPUTED_VALUE"""),"Federation")</f>
        <v>Federation</v>
      </c>
      <c r="G37" s="378" t="str">
        <f>IFERROR(__xludf.DUMMYFUNCTION("""COMPUTED_VALUE"""),"Science")</f>
        <v>Science</v>
      </c>
      <c r="H37" s="379" t="str">
        <f>IFERROR(__xludf.DUMMYFUNCTION("""COMPUTED_VALUE"""),"Premium Recruit, Ultra Recruit, Transporter Patterns, 30-Day Loyalty Chest, Officer Depot Tokens")</f>
        <v>Premium Recruit, Ultra Recruit, Transporter Patterns, 30-Day Loyalty Chest, Officer Depot Tokens</v>
      </c>
      <c r="I37" s="378">
        <f>IFERROR(__xludf.DUMMYFUNCTION("""COMPUTED_VALUE"""),5.0)</f>
        <v>5</v>
      </c>
      <c r="J37" s="2"/>
      <c r="K37" s="2"/>
    </row>
    <row r="38">
      <c r="A38" s="345"/>
      <c r="B38" s="385"/>
      <c r="C38" s="345"/>
      <c r="D38" s="377" t="str">
        <f>IFERROR(__xludf.DUMMYFUNCTION("""COMPUTED_VALUE"""),"Cath")</f>
        <v>Cath</v>
      </c>
      <c r="E38" s="378" t="str">
        <f>IFERROR(__xludf.DUMMYFUNCTION("""COMPUTED_VALUE"""),"Rare")</f>
        <v>Rare</v>
      </c>
      <c r="F38" s="378" t="str">
        <f>IFERROR(__xludf.DUMMYFUNCTION("""COMPUTED_VALUE"""),"Independent")</f>
        <v>Independent</v>
      </c>
      <c r="G38" s="378" t="str">
        <f>IFERROR(__xludf.DUMMYFUNCTION("""COMPUTED_VALUE"""),"Command")</f>
        <v>Command</v>
      </c>
      <c r="H38" s="379" t="str">
        <f>IFERROR(__xludf.DUMMYFUNCTION("""COMPUTED_VALUE"""),"Ultra Recruit, Augment Faction Store")</f>
        <v>Ultra Recruit, Augment Faction Store</v>
      </c>
      <c r="I38" s="378">
        <f>IFERROR(__xludf.DUMMYFUNCTION("""COMPUTED_VALUE"""),2.0)</f>
        <v>2</v>
      </c>
      <c r="J38" s="2"/>
      <c r="K38" s="2"/>
    </row>
    <row r="39">
      <c r="A39" s="345"/>
      <c r="B39" s="385"/>
      <c r="C39" s="345"/>
      <c r="D39" s="377" t="str">
        <f>IFERROR(__xludf.DUMMYFUNCTION("""COMPUTED_VALUE"""),"Chakotay")</f>
        <v>Chakotay</v>
      </c>
      <c r="E39" s="378" t="str">
        <f>IFERROR(__xludf.DUMMYFUNCTION("""COMPUTED_VALUE"""),"Epic")</f>
        <v>Epic</v>
      </c>
      <c r="F39" s="378" t="str">
        <f>IFERROR(__xludf.DUMMYFUNCTION("""COMPUTED_VALUE"""),"Federation")</f>
        <v>Federation</v>
      </c>
      <c r="G39" s="378" t="str">
        <f>IFERROR(__xludf.DUMMYFUNCTION("""COMPUTED_VALUE"""),"Command")</f>
        <v>Command</v>
      </c>
      <c r="H39" s="379" t="str">
        <f>IFERROR(__xludf.DUMMYFUNCTION("""COMPUTED_VALUE"""),"Rare Formation Armadas, Isomatter Refinery, Ex-Borg Faction Store, Rare Wrath Recruit, AT Research Tree, Officer Depot Tokens")</f>
        <v>Rare Formation Armadas, Isomatter Refinery, Ex-Borg Faction Store, Rare Wrath Recruit, AT Research Tree, Officer Depot Tokens</v>
      </c>
      <c r="I39" s="378">
        <f>IFERROR(__xludf.DUMMYFUNCTION("""COMPUTED_VALUE"""),6.0)</f>
        <v>6</v>
      </c>
      <c r="J39" s="2"/>
      <c r="K39" s="2"/>
    </row>
    <row r="40">
      <c r="A40" s="345"/>
      <c r="B40" s="385"/>
      <c r="C40" s="345"/>
      <c r="D40" s="377" t="str">
        <f>IFERROR(__xludf.DUMMYFUNCTION("""COMPUTED_VALUE"""),"Chang")</f>
        <v>Chang</v>
      </c>
      <c r="E40" s="378" t="str">
        <f>IFERROR(__xludf.DUMMYFUNCTION("""COMPUTED_VALUE"""),"Rare")</f>
        <v>Rare</v>
      </c>
      <c r="F40" s="378" t="str">
        <f>IFERROR(__xludf.DUMMYFUNCTION("""COMPUTED_VALUE"""),"Klingon")</f>
        <v>Klingon</v>
      </c>
      <c r="G40" s="378" t="str">
        <f>IFERROR(__xludf.DUMMYFUNCTION("""COMPUTED_VALUE"""),"Command")</f>
        <v>Command</v>
      </c>
      <c r="H40" s="379" t="str">
        <f>IFERROR(__xludf.DUMMYFUNCTION("""COMPUTED_VALUE"""),"Premium Recruit, Ultra Recruit, Klingon Recruit, Crucible of War, Crucible of War, Elite Klingon Recruit")</f>
        <v>Premium Recruit, Ultra Recruit, Klingon Recruit, Crucible of War, Crucible of War, Elite Klingon Recruit</v>
      </c>
      <c r="I40" s="378">
        <f>IFERROR(__xludf.DUMMYFUNCTION("""COMPUTED_VALUE"""),5.0)</f>
        <v>5</v>
      </c>
      <c r="J40" s="2"/>
      <c r="K40" s="2"/>
    </row>
    <row r="41">
      <c r="A41" s="345"/>
      <c r="B41" s="385"/>
      <c r="C41" s="345"/>
      <c r="D41" s="377" t="str">
        <f>IFERROR(__xludf.DUMMYFUNCTION("""COMPUTED_VALUE"""),"Changeling Kira")</f>
        <v>Changeling Kira</v>
      </c>
      <c r="E41" s="378" t="str">
        <f>IFERROR(__xludf.DUMMYFUNCTION("""COMPUTED_VALUE"""),"Rare")</f>
        <v>Rare</v>
      </c>
      <c r="F41" s="378" t="str">
        <f>IFERROR(__xludf.DUMMYFUNCTION("""COMPUTED_VALUE"""),"Federation")</f>
        <v>Federation</v>
      </c>
      <c r="G41" s="378" t="str">
        <f>IFERROR(__xludf.DUMMYFUNCTION("""COMPUTED_VALUE"""),"Science")</f>
        <v>Science</v>
      </c>
      <c r="H41" s="379" t="str">
        <f>IFERROR(__xludf.DUMMYFUNCTION("""COMPUTED_VALUE"""),"Ultra Recruit, Bajoran Store, Vindicator Refinery, Common P1ATA, Uncommon P1ATA, Officer Depot Tokens")</f>
        <v>Ultra Recruit, Bajoran Store, Vindicator Refinery, Common P1ATA, Uncommon P1ATA, Officer Depot Tokens</v>
      </c>
      <c r="I41" s="378">
        <f>IFERROR(__xludf.DUMMYFUNCTION("""COMPUTED_VALUE"""),6.0)</f>
        <v>6</v>
      </c>
      <c r="J41" s="2"/>
      <c r="K41" s="2"/>
    </row>
    <row r="42">
      <c r="A42" s="345"/>
      <c r="B42" s="385"/>
      <c r="C42" s="345"/>
      <c r="D42" s="377" t="str">
        <f>IFERROR(__xludf.DUMMYFUNCTION("""COMPUTED_VALUE"""),"Charvanek")</f>
        <v>Charvanek</v>
      </c>
      <c r="E42" s="378" t="str">
        <f>IFERROR(__xludf.DUMMYFUNCTION("""COMPUTED_VALUE"""),"Epic")</f>
        <v>Epic</v>
      </c>
      <c r="F42" s="378" t="str">
        <f>IFERROR(__xludf.DUMMYFUNCTION("""COMPUTED_VALUE"""),"Romulan")</f>
        <v>Romulan</v>
      </c>
      <c r="G42" s="378" t="str">
        <f>IFERROR(__xludf.DUMMYFUNCTION("""COMPUTED_VALUE"""),"Command")</f>
        <v>Command</v>
      </c>
      <c r="H42" s="379" t="str">
        <f>IFERROR(__xludf.DUMMYFUNCTION("""COMPUTED_VALUE"""),"Premium Recruit, Ultra Recruit, Mission Key Recruit, Transporter Patterns, Crucible of War, Crucible of War, Elite Romulan Recruit")</f>
        <v>Premium Recruit, Ultra Recruit, Mission Key Recruit, Transporter Patterns, Crucible of War, Crucible of War, Elite Romulan Recruit</v>
      </c>
      <c r="I42" s="378">
        <f>IFERROR(__xludf.DUMMYFUNCTION("""COMPUTED_VALUE"""),6.0)</f>
        <v>6</v>
      </c>
      <c r="J42" s="2"/>
      <c r="K42" s="2"/>
    </row>
    <row r="43">
      <c r="A43" s="345"/>
      <c r="B43" s="385"/>
      <c r="C43" s="345"/>
      <c r="D43" s="377" t="str">
        <f>IFERROR(__xludf.DUMMYFUNCTION("""COMPUTED_VALUE"""),"Chen")</f>
        <v>Chen</v>
      </c>
      <c r="E43" s="378" t="str">
        <f>IFERROR(__xludf.DUMMYFUNCTION("""COMPUTED_VALUE"""),"Uncommon")</f>
        <v>Uncommon</v>
      </c>
      <c r="F43" s="378" t="str">
        <f>IFERROR(__xludf.DUMMYFUNCTION("""COMPUTED_VALUE"""),"Federation")</f>
        <v>Federation</v>
      </c>
      <c r="G43" s="378" t="str">
        <f>IFERROR(__xludf.DUMMYFUNCTION("""COMPUTED_VALUE"""),"Science")</f>
        <v>Science</v>
      </c>
      <c r="H43" s="379" t="str">
        <f>IFERROR(__xludf.DUMMYFUNCTION("""COMPUTED_VALUE"""),"Standard Recruit, Premium Recruit, Crucible of War, Crucible of War, Common Wrath Recruit, Officer Depot Tokens")</f>
        <v>Standard Recruit, Premium Recruit, Crucible of War, Crucible of War, Common Wrath Recruit, Officer Depot Tokens</v>
      </c>
      <c r="I43" s="378">
        <f>IFERROR(__xludf.DUMMYFUNCTION("""COMPUTED_VALUE"""),5.0)</f>
        <v>5</v>
      </c>
      <c r="J43" s="2"/>
      <c r="K43" s="2"/>
    </row>
    <row r="44">
      <c r="A44" s="345"/>
      <c r="B44" s="385"/>
      <c r="C44" s="345"/>
      <c r="D44" s="377" t="str">
        <f>IFERROR(__xludf.DUMMYFUNCTION("""COMPUTED_VALUE"""),"Culber")</f>
        <v>Culber</v>
      </c>
      <c r="E44" s="378" t="str">
        <f>IFERROR(__xludf.DUMMYFUNCTION("""COMPUTED_VALUE"""),"Uncommon")</f>
        <v>Uncommon</v>
      </c>
      <c r="F44" s="378" t="str">
        <f>IFERROR(__xludf.DUMMYFUNCTION("""COMPUTED_VALUE"""),"Federation")</f>
        <v>Federation</v>
      </c>
      <c r="G44" s="378" t="str">
        <f>IFERROR(__xludf.DUMMYFUNCTION("""COMPUTED_VALUE"""),"Science")</f>
        <v>Science</v>
      </c>
      <c r="H44" s="379" t="str">
        <f>IFERROR(__xludf.DUMMYFUNCTION("""COMPUTED_VALUE"""),"Discovery Recruit, Crucible of War")</f>
        <v>Discovery Recruit, Crucible of War</v>
      </c>
      <c r="I44" s="378">
        <f>IFERROR(__xludf.DUMMYFUNCTION("""COMPUTED_VALUE"""),2.0)</f>
        <v>2</v>
      </c>
      <c r="J44" s="2"/>
      <c r="K44" s="2"/>
    </row>
    <row r="45">
      <c r="A45" s="345"/>
      <c r="B45" s="385"/>
      <c r="C45" s="345"/>
      <c r="D45" s="377" t="str">
        <f>IFERROR(__xludf.DUMMYFUNCTION("""COMPUTED_VALUE"""),"D'Jaoki")</f>
        <v>D'Jaoki</v>
      </c>
      <c r="E45" s="378" t="str">
        <f>IFERROR(__xludf.DUMMYFUNCTION("""COMPUTED_VALUE"""),"Uncommon")</f>
        <v>Uncommon</v>
      </c>
      <c r="F45" s="378" t="str">
        <f>IFERROR(__xludf.DUMMYFUNCTION("""COMPUTED_VALUE"""),"Romulan")</f>
        <v>Romulan</v>
      </c>
      <c r="G45" s="378" t="str">
        <f>IFERROR(__xludf.DUMMYFUNCTION("""COMPUTED_VALUE"""),"Command")</f>
        <v>Command</v>
      </c>
      <c r="H45" s="379" t="str">
        <f>IFERROR(__xludf.DUMMYFUNCTION("""COMPUTED_VALUE"""),"Premium Recruit, Crucible of War, Crucible of War, Elite Romulan Recruit")</f>
        <v>Premium Recruit, Crucible of War, Crucible of War, Elite Romulan Recruit</v>
      </c>
      <c r="I45" s="378">
        <f>IFERROR(__xludf.DUMMYFUNCTION("""COMPUTED_VALUE"""),3.0)</f>
        <v>3</v>
      </c>
      <c r="J45" s="2"/>
      <c r="K45" s="2"/>
    </row>
    <row r="46">
      <c r="A46" s="345"/>
      <c r="B46" s="385"/>
      <c r="C46" s="345"/>
      <c r="D46" s="377" t="str">
        <f>IFERROR(__xludf.DUMMYFUNCTION("""COMPUTED_VALUE"""),"D'Vana Tendi")</f>
        <v>D'Vana Tendi</v>
      </c>
      <c r="E46" s="378" t="str">
        <f>IFERROR(__xludf.DUMMYFUNCTION("""COMPUTED_VALUE"""),"Epic")</f>
        <v>Epic</v>
      </c>
      <c r="F46" s="378" t="str">
        <f>IFERROR(__xludf.DUMMYFUNCTION("""COMPUTED_VALUE"""),"Federation")</f>
        <v>Federation</v>
      </c>
      <c r="G46" s="378" t="str">
        <f>IFERROR(__xludf.DUMMYFUNCTION("""COMPUTED_VALUE"""),"Science")</f>
        <v>Science</v>
      </c>
      <c r="H46" s="379" t="str">
        <f>IFERROR(__xludf.DUMMYFUNCTION("""COMPUTED_VALUE"""),"Ultra Recruit, Mission Key Recruit, Transporter Patterns, Cerritos Refinery, Monaveen Field Training, Uncommon Wrath Recruit, Officer Depot Tokens")</f>
        <v>Ultra Recruit, Mission Key Recruit, Transporter Patterns, Cerritos Refinery, Monaveen Field Training, Uncommon Wrath Recruit, Officer Depot Tokens</v>
      </c>
      <c r="I46" s="378">
        <f>IFERROR(__xludf.DUMMYFUNCTION("""COMPUTED_VALUE"""),7.0)</f>
        <v>7</v>
      </c>
      <c r="J46" s="2"/>
      <c r="K46" s="2"/>
    </row>
    <row r="47">
      <c r="A47" s="345"/>
      <c r="B47" s="385"/>
      <c r="C47" s="345"/>
      <c r="D47" s="377" t="str">
        <f>IFERROR(__xludf.DUMMYFUNCTION("""COMPUTED_VALUE"""),"Dajash Tolra")</f>
        <v>Dajash Tolra</v>
      </c>
      <c r="E47" s="378" t="str">
        <f>IFERROR(__xludf.DUMMYFUNCTION("""COMPUTED_VALUE"""),"Epic")</f>
        <v>Epic</v>
      </c>
      <c r="F47" s="378" t="str">
        <f>IFERROR(__xludf.DUMMYFUNCTION("""COMPUTED_VALUE"""),"Independent")</f>
        <v>Independent</v>
      </c>
      <c r="G47" s="378" t="str">
        <f>IFERROR(__xludf.DUMMYFUNCTION("""COMPUTED_VALUE"""),"Command")</f>
        <v>Command</v>
      </c>
      <c r="H47" s="379" t="str">
        <f>IFERROR(__xludf.DUMMYFUNCTION("""COMPUTED_VALUE"""),"Galactic Recruit, Vindicator Refinery, DTI Faction Store, Epic Wrath Recruit, Officer Depot Tokens")</f>
        <v>Galactic Recruit, Vindicator Refinery, DTI Faction Store, Epic Wrath Recruit, Officer Depot Tokens</v>
      </c>
      <c r="I47" s="378">
        <f>IFERROR(__xludf.DUMMYFUNCTION("""COMPUTED_VALUE"""),5.0)</f>
        <v>5</v>
      </c>
      <c r="J47" s="2"/>
      <c r="K47" s="2"/>
    </row>
    <row r="48">
      <c r="A48" s="345"/>
      <c r="B48" s="385"/>
      <c r="C48" s="345"/>
      <c r="D48" s="377" t="str">
        <f>IFERROR(__xludf.DUMMYFUNCTION("""COMPUTED_VALUE"""),"Damar")</f>
        <v>Damar</v>
      </c>
      <c r="E48" s="378" t="str">
        <f>IFERROR(__xludf.DUMMYFUNCTION("""COMPUTED_VALUE"""),"Rare")</f>
        <v>Rare</v>
      </c>
      <c r="F48" s="378" t="str">
        <f>IFERROR(__xludf.DUMMYFUNCTION("""COMPUTED_VALUE"""),"Independent")</f>
        <v>Independent</v>
      </c>
      <c r="G48" s="378" t="str">
        <f>IFERROR(__xludf.DUMMYFUNCTION("""COMPUTED_VALUE"""),"Engineering")</f>
        <v>Engineering</v>
      </c>
      <c r="H48" s="379" t="str">
        <f>IFERROR(__xludf.DUMMYFUNCTION("""COMPUTED_VALUE"""),"Ultra Recruit, Incursions, Section 31 Faction Store, Uncommon Wrath Recruit, Officer Depot Tokens")</f>
        <v>Ultra Recruit, Incursions, Section 31 Faction Store, Uncommon Wrath Recruit, Officer Depot Tokens</v>
      </c>
      <c r="I48" s="378">
        <f>IFERROR(__xludf.DUMMYFUNCTION("""COMPUTED_VALUE"""),5.0)</f>
        <v>5</v>
      </c>
      <c r="J48" s="2"/>
      <c r="K48" s="2"/>
    </row>
    <row r="49">
      <c r="A49" s="345"/>
      <c r="B49" s="385"/>
      <c r="C49" s="345"/>
      <c r="D49" s="377" t="str">
        <f>IFERROR(__xludf.DUMMYFUNCTION("""COMPUTED_VALUE"""),"Darwin")</f>
        <v>Darwin</v>
      </c>
      <c r="E49" s="378" t="str">
        <f>IFERROR(__xludf.DUMMYFUNCTION("""COMPUTED_VALUE"""),"Common")</f>
        <v>Common</v>
      </c>
      <c r="F49" s="378" t="str">
        <f>IFERROR(__xludf.DUMMYFUNCTION("""COMPUTED_VALUE"""),"Federation")</f>
        <v>Federation</v>
      </c>
      <c r="G49" s="378" t="str">
        <f>IFERROR(__xludf.DUMMYFUNCTION("""COMPUTED_VALUE"""),"N/A")</f>
        <v>N/A</v>
      </c>
      <c r="H49" s="379" t="str">
        <f>IFERROR(__xludf.DUMMYFUNCTION("""COMPUTED_VALUE"""),"Common Wrath Recruit")</f>
        <v>Common Wrath Recruit</v>
      </c>
      <c r="I49" s="378">
        <f>IFERROR(__xludf.DUMMYFUNCTION("""COMPUTED_VALUE"""),1.0)</f>
        <v>1</v>
      </c>
      <c r="J49" s="2"/>
      <c r="K49" s="2"/>
    </row>
    <row r="50">
      <c r="A50" s="345"/>
      <c r="B50" s="385"/>
      <c r="C50" s="345"/>
      <c r="D50" s="377" t="str">
        <f>IFERROR(__xludf.DUMMYFUNCTION("""COMPUTED_VALUE"""),"Data")</f>
        <v>Data</v>
      </c>
      <c r="E50" s="378" t="str">
        <f>IFERROR(__xludf.DUMMYFUNCTION("""COMPUTED_VALUE"""),"Epic")</f>
        <v>Epic</v>
      </c>
      <c r="F50" s="378" t="str">
        <f>IFERROR(__xludf.DUMMYFUNCTION("""COMPUTED_VALUE"""),"Federation")</f>
        <v>Federation</v>
      </c>
      <c r="G50" s="378" t="str">
        <f>IFERROR(__xludf.DUMMYFUNCTION("""COMPUTED_VALUE"""),"Science")</f>
        <v>Science</v>
      </c>
      <c r="H50" s="379" t="str">
        <f>IFERROR(__xludf.DUMMYFUNCTION("""COMPUTED_VALUE"""),"ATAs, Officer Depot Tokens")</f>
        <v>ATAs, Officer Depot Tokens</v>
      </c>
      <c r="I50" s="378">
        <f>IFERROR(__xludf.DUMMYFUNCTION("""COMPUTED_VALUE"""),2.0)</f>
        <v>2</v>
      </c>
      <c r="J50" s="2"/>
      <c r="K50" s="2"/>
    </row>
    <row r="51">
      <c r="A51" s="345"/>
      <c r="B51" s="385"/>
      <c r="C51" s="345"/>
      <c r="D51" s="377" t="str">
        <f>IFERROR(__xludf.DUMMYFUNCTION("""COMPUTED_VALUE"""),"Deanna Troi")</f>
        <v>Deanna Troi</v>
      </c>
      <c r="E51" s="378" t="str">
        <f>IFERROR(__xludf.DUMMYFUNCTION("""COMPUTED_VALUE"""),"Epic")</f>
        <v>Epic</v>
      </c>
      <c r="F51" s="378" t="str">
        <f>IFERROR(__xludf.DUMMYFUNCTION("""COMPUTED_VALUE"""),"Federation")</f>
        <v>Federation</v>
      </c>
      <c r="G51" s="378" t="str">
        <f>IFERROR(__xludf.DUMMYFUNCTION("""COMPUTED_VALUE"""),"Science")</f>
        <v>Science</v>
      </c>
      <c r="H51" s="379" t="str">
        <f>IFERROR(__xludf.DUMMYFUNCTION("""COMPUTED_VALUE"""),"Ultra Recruit, Transporter Patterns, Crucible of War, Officer Depot Tokens")</f>
        <v>Ultra Recruit, Transporter Patterns, Crucible of War, Officer Depot Tokens</v>
      </c>
      <c r="I51" s="378">
        <f>IFERROR(__xludf.DUMMYFUNCTION("""COMPUTED_VALUE"""),4.0)</f>
        <v>4</v>
      </c>
      <c r="J51" s="2"/>
      <c r="K51" s="2"/>
    </row>
    <row r="52">
      <c r="A52" s="345"/>
      <c r="B52" s="385"/>
      <c r="C52" s="345"/>
      <c r="D52" s="377" t="str">
        <f>IFERROR(__xludf.DUMMYFUNCTION("""COMPUTED_VALUE"""),"Decius")</f>
        <v>Decius</v>
      </c>
      <c r="E52" s="378" t="str">
        <f>IFERROR(__xludf.DUMMYFUNCTION("""COMPUTED_VALUE"""),"Rare")</f>
        <v>Rare</v>
      </c>
      <c r="F52" s="378" t="str">
        <f>IFERROR(__xludf.DUMMYFUNCTION("""COMPUTED_VALUE"""),"Romulan")</f>
        <v>Romulan</v>
      </c>
      <c r="G52" s="378" t="str">
        <f>IFERROR(__xludf.DUMMYFUNCTION("""COMPUTED_VALUE"""),"Science")</f>
        <v>Science</v>
      </c>
      <c r="H52" s="379" t="str">
        <f>IFERROR(__xludf.DUMMYFUNCTION("""COMPUTED_VALUE"""),"Premium Recruit, Ultra Recruit, Crucible of War, Elite Romulan Recruit")</f>
        <v>Premium Recruit, Ultra Recruit, Crucible of War, Elite Romulan Recruit</v>
      </c>
      <c r="I52" s="378">
        <f>IFERROR(__xludf.DUMMYFUNCTION("""COMPUTED_VALUE"""),4.0)</f>
        <v>4</v>
      </c>
      <c r="J52" s="2"/>
      <c r="K52" s="2"/>
    </row>
    <row r="53">
      <c r="A53" s="345"/>
      <c r="B53" s="385"/>
      <c r="C53" s="345"/>
      <c r="D53" s="377" t="str">
        <f>IFERROR(__xludf.DUMMYFUNCTION("""COMPUTED_VALUE"""),"Dezoc")</f>
        <v>Dezoc</v>
      </c>
      <c r="E53" s="378" t="str">
        <f>IFERROR(__xludf.DUMMYFUNCTION("""COMPUTED_VALUE"""),"Rare")</f>
        <v>Rare</v>
      </c>
      <c r="F53" s="378" t="str">
        <f>IFERROR(__xludf.DUMMYFUNCTION("""COMPUTED_VALUE"""),"Independent")</f>
        <v>Independent</v>
      </c>
      <c r="G53" s="378" t="str">
        <f>IFERROR(__xludf.DUMMYFUNCTION("""COMPUTED_VALUE"""),"Science")</f>
        <v>Science</v>
      </c>
      <c r="H53" s="379" t="str">
        <f>IFERROR(__xludf.DUMMYFUNCTION("""COMPUTED_VALUE"""),"Ultra Recruit, Expansion Cube Refinery, Vi'Dar Talios Archive, Common Wrath Recruit, Officer Depot Tokens")</f>
        <v>Ultra Recruit, Expansion Cube Refinery, Vi'Dar Talios Archive, Common Wrath Recruit, Officer Depot Tokens</v>
      </c>
      <c r="I53" s="378">
        <f>IFERROR(__xludf.DUMMYFUNCTION("""COMPUTED_VALUE"""),5.0)</f>
        <v>5</v>
      </c>
      <c r="J53" s="2"/>
      <c r="K53" s="2"/>
    </row>
    <row r="54">
      <c r="A54" s="345"/>
      <c r="B54" s="385"/>
      <c r="C54" s="345"/>
      <c r="D54" s="377" t="str">
        <f>IFERROR(__xludf.DUMMYFUNCTION("""COMPUTED_VALUE"""),"Dixon Hill")</f>
        <v>Dixon Hill</v>
      </c>
      <c r="E54" s="378" t="str">
        <f>IFERROR(__xludf.DUMMYFUNCTION("""COMPUTED_VALUE"""),"Rare")</f>
        <v>Rare</v>
      </c>
      <c r="F54" s="378" t="str">
        <f>IFERROR(__xludf.DUMMYFUNCTION("""COMPUTED_VALUE"""),"Federation")</f>
        <v>Federation</v>
      </c>
      <c r="G54" s="378" t="str">
        <f>IFERROR(__xludf.DUMMYFUNCTION("""COMPUTED_VALUE"""),"Science")</f>
        <v>Science</v>
      </c>
      <c r="H54" s="379" t="str">
        <f>IFERROR(__xludf.DUMMYFUNCTION("""COMPUTED_VALUE"""),"Ultra Recruit, Incursions, Officer Depot Tokens")</f>
        <v>Ultra Recruit, Incursions, Officer Depot Tokens</v>
      </c>
      <c r="I54" s="378">
        <f>IFERROR(__xludf.DUMMYFUNCTION("""COMPUTED_VALUE"""),3.0)</f>
        <v>3</v>
      </c>
      <c r="J54" s="2"/>
      <c r="K54" s="2"/>
    </row>
    <row r="55">
      <c r="A55" s="345"/>
      <c r="B55" s="385"/>
      <c r="C55" s="345"/>
      <c r="D55" s="377" t="str">
        <f>IFERROR(__xludf.DUMMYFUNCTION("""COMPUTED_VALUE"""),"Doctor T'Ana")</f>
        <v>Doctor T'Ana</v>
      </c>
      <c r="E55" s="378" t="str">
        <f>IFERROR(__xludf.DUMMYFUNCTION("""COMPUTED_VALUE"""),"Epic")</f>
        <v>Epic</v>
      </c>
      <c r="F55" s="378" t="str">
        <f>IFERROR(__xludf.DUMMYFUNCTION("""COMPUTED_VALUE"""),"Federation")</f>
        <v>Federation</v>
      </c>
      <c r="G55" s="378" t="str">
        <f>IFERROR(__xludf.DUMMYFUNCTION("""COMPUTED_VALUE"""),"Science")</f>
        <v>Science</v>
      </c>
      <c r="H55" s="379" t="str">
        <f>IFERROR(__xludf.DUMMYFUNCTION("""COMPUTED_VALUE"""),"Alliance Tournament Store, Uncommon Wrath Recruit, Officer Depot Tokens")</f>
        <v>Alliance Tournament Store, Uncommon Wrath Recruit, Officer Depot Tokens</v>
      </c>
      <c r="I55" s="378">
        <f>IFERROR(__xludf.DUMMYFUNCTION("""COMPUTED_VALUE"""),3.0)</f>
        <v>3</v>
      </c>
      <c r="J55" s="2"/>
      <c r="K55" s="2"/>
    </row>
    <row r="56">
      <c r="A56" s="345"/>
      <c r="B56" s="385"/>
      <c r="C56" s="345"/>
      <c r="D56" s="377" t="str">
        <f>IFERROR(__xludf.DUMMYFUNCTION("""COMPUTED_VALUE"""),"Domitia")</f>
        <v>Domitia</v>
      </c>
      <c r="E56" s="378" t="str">
        <f>IFERROR(__xludf.DUMMYFUNCTION("""COMPUTED_VALUE"""),"Common")</f>
        <v>Common</v>
      </c>
      <c r="F56" s="378" t="str">
        <f>IFERROR(__xludf.DUMMYFUNCTION("""COMPUTED_VALUE"""),"Romulan")</f>
        <v>Romulan</v>
      </c>
      <c r="G56" s="378" t="str">
        <f>IFERROR(__xludf.DUMMYFUNCTION("""COMPUTED_VALUE"""),"N/A")</f>
        <v>N/A</v>
      </c>
      <c r="H56" s="379" t="str">
        <f>IFERROR(__xludf.DUMMYFUNCTION("""COMPUTED_VALUE"""),"Standard Recruit")</f>
        <v>Standard Recruit</v>
      </c>
      <c r="I56" s="378">
        <f>IFERROR(__xludf.DUMMYFUNCTION("""COMPUTED_VALUE"""),1.0)</f>
        <v>1</v>
      </c>
      <c r="J56" s="2"/>
      <c r="K56" s="2"/>
    </row>
    <row r="57">
      <c r="A57" s="345"/>
      <c r="B57" s="385"/>
      <c r="C57" s="345"/>
      <c r="D57" s="377" t="str">
        <f>IFERROR(__xludf.DUMMYFUNCTION("""COMPUTED_VALUE"""),"Dupont")</f>
        <v>Dupont</v>
      </c>
      <c r="E57" s="378" t="str">
        <f>IFERROR(__xludf.DUMMYFUNCTION("""COMPUTED_VALUE"""),"Rare")</f>
        <v>Rare</v>
      </c>
      <c r="F57" s="378" t="str">
        <f>IFERROR(__xludf.DUMMYFUNCTION("""COMPUTED_VALUE"""),"Federation")</f>
        <v>Federation</v>
      </c>
      <c r="G57" s="378" t="str">
        <f>IFERROR(__xludf.DUMMYFUNCTION("""COMPUTED_VALUE"""),"Engineering")</f>
        <v>Engineering</v>
      </c>
      <c r="H57" s="379" t="str">
        <f>IFERROR(__xludf.DUMMYFUNCTION("""COMPUTED_VALUE"""),"Ultra Recruit")</f>
        <v>Ultra Recruit</v>
      </c>
      <c r="I57" s="378">
        <f>IFERROR(__xludf.DUMMYFUNCTION("""COMPUTED_VALUE"""),1.0)</f>
        <v>1</v>
      </c>
      <c r="J57" s="2"/>
      <c r="K57" s="2"/>
    </row>
    <row r="58">
      <c r="A58" s="345"/>
      <c r="B58" s="385"/>
      <c r="C58" s="345"/>
      <c r="D58" s="377" t="str">
        <f>IFERROR(__xludf.DUMMYFUNCTION("""COMPUTED_VALUE"""),"Eight Of Eleven")</f>
        <v>Eight Of Eleven</v>
      </c>
      <c r="E58" s="378" t="str">
        <f>IFERROR(__xludf.DUMMYFUNCTION("""COMPUTED_VALUE"""),"Uncommon")</f>
        <v>Uncommon</v>
      </c>
      <c r="F58" s="378" t="str">
        <f>IFERROR(__xludf.DUMMYFUNCTION("""COMPUTED_VALUE"""),"Independent")</f>
        <v>Independent</v>
      </c>
      <c r="G58" s="378" t="str">
        <f>IFERROR(__xludf.DUMMYFUNCTION("""COMPUTED_VALUE"""),"Engineering")</f>
        <v>Engineering</v>
      </c>
      <c r="H58" s="379" t="str">
        <f>IFERROR(__xludf.DUMMYFUNCTION("""COMPUTED_VALUE"""),"Premium Recruit, Uncommon Borg Solos, Common Wrath Recruit")</f>
        <v>Premium Recruit, Uncommon Borg Solos, Common Wrath Recruit</v>
      </c>
      <c r="I58" s="378">
        <f>IFERROR(__xludf.DUMMYFUNCTION("""COMPUTED_VALUE"""),3.0)</f>
        <v>3</v>
      </c>
      <c r="J58" s="2"/>
      <c r="K58" s="2"/>
    </row>
    <row r="59">
      <c r="A59" s="345"/>
      <c r="B59" s="385"/>
      <c r="C59" s="345"/>
      <c r="D59" s="377" t="str">
        <f>IFERROR(__xludf.DUMMYFUNCTION("""COMPUTED_VALUE"""),"Eleven Of Eleven")</f>
        <v>Eleven Of Eleven</v>
      </c>
      <c r="E59" s="378" t="str">
        <f>IFERROR(__xludf.DUMMYFUNCTION("""COMPUTED_VALUE"""),"Epic")</f>
        <v>Epic</v>
      </c>
      <c r="F59" s="378" t="str">
        <f>IFERROR(__xludf.DUMMYFUNCTION("""COMPUTED_VALUE"""),"Independent")</f>
        <v>Independent</v>
      </c>
      <c r="G59" s="378" t="str">
        <f>IFERROR(__xludf.DUMMYFUNCTION("""COMPUTED_VALUE"""),"Science")</f>
        <v>Science</v>
      </c>
      <c r="H59" s="379" t="str">
        <f>IFERROR(__xludf.DUMMYFUNCTION("""COMPUTED_VALUE"""),"Transporter Patterns, Rare/Epic Borg Solos, Common Wrath Recruit")</f>
        <v>Transporter Patterns, Rare/Epic Borg Solos, Common Wrath Recruit</v>
      </c>
      <c r="I59" s="378">
        <f>IFERROR(__xludf.DUMMYFUNCTION("""COMPUTED_VALUE"""),3.0)</f>
        <v>3</v>
      </c>
      <c r="J59" s="2"/>
      <c r="K59" s="2"/>
    </row>
    <row r="60">
      <c r="A60" s="345"/>
      <c r="B60" s="385"/>
      <c r="C60" s="345"/>
      <c r="D60" s="377" t="str">
        <f>IFERROR(__xludf.DUMMYFUNCTION("""COMPUTED_VALUE"""),"Emperor Georgiou")</f>
        <v>Emperor Georgiou</v>
      </c>
      <c r="E60" s="378" t="str">
        <f>IFERROR(__xludf.DUMMYFUNCTION("""COMPUTED_VALUE"""),"Rare")</f>
        <v>Rare</v>
      </c>
      <c r="F60" s="378" t="str">
        <f>IFERROR(__xludf.DUMMYFUNCTION("""COMPUTED_VALUE"""),"Independent")</f>
        <v>Independent</v>
      </c>
      <c r="G60" s="378" t="str">
        <f>IFERROR(__xludf.DUMMYFUNCTION("""COMPUTED_VALUE"""),"Command")</f>
        <v>Command</v>
      </c>
      <c r="H60" s="379" t="str">
        <f>IFERROR(__xludf.DUMMYFUNCTION("""COMPUTED_VALUE"""),"Ultra Recruit, Discovery Recruit")</f>
        <v>Ultra Recruit, Discovery Recruit</v>
      </c>
      <c r="I60" s="378">
        <f>IFERROR(__xludf.DUMMYFUNCTION("""COMPUTED_VALUE"""),2.0)</f>
        <v>2</v>
      </c>
      <c r="J60" s="2"/>
      <c r="K60" s="2"/>
    </row>
    <row r="61">
      <c r="A61" s="345"/>
      <c r="B61" s="385"/>
      <c r="C61" s="345"/>
      <c r="D61" s="377" t="str">
        <f>IFERROR(__xludf.DUMMYFUNCTION("""COMPUTED_VALUE"""),"Enterprise-E Data")</f>
        <v>Enterprise-E Data</v>
      </c>
      <c r="E61" s="378" t="str">
        <f>IFERROR(__xludf.DUMMYFUNCTION("""COMPUTED_VALUE"""),"Rare")</f>
        <v>Rare</v>
      </c>
      <c r="F61" s="378" t="str">
        <f>IFERROR(__xludf.DUMMYFUNCTION("""COMPUTED_VALUE"""),"Federation")</f>
        <v>Federation</v>
      </c>
      <c r="G61" s="378" t="str">
        <f>IFERROR(__xludf.DUMMYFUNCTION("""COMPUTED_VALUE"""),"Science")</f>
        <v>Science</v>
      </c>
      <c r="H61" s="379" t="str">
        <f>IFERROR(__xludf.DUMMYFUNCTION("""COMPUTED_VALUE"""),"Holodeck, Isomatter Refinery, Vindicator Refinery, Epic Wrath Recruit, Rare P1ATA, Epic P1ATA, AT Research Tree, Officer Depot Tokens")</f>
        <v>Holodeck, Isomatter Refinery, Vindicator Refinery, Epic Wrath Recruit, Rare P1ATA, Epic P1ATA, AT Research Tree, Officer Depot Tokens</v>
      </c>
      <c r="I61" s="378">
        <f>IFERROR(__xludf.DUMMYFUNCTION("""COMPUTED_VALUE"""),8.0)</f>
        <v>8</v>
      </c>
      <c r="J61" s="2"/>
      <c r="K61" s="2"/>
    </row>
    <row r="62">
      <c r="A62" s="345"/>
      <c r="B62" s="385"/>
      <c r="C62" s="345"/>
      <c r="D62" s="377" t="str">
        <f>IFERROR(__xludf.DUMMYFUNCTION("""COMPUTED_VALUE"""),"Enterprise-E Picard")</f>
        <v>Enterprise-E Picard</v>
      </c>
      <c r="E62" s="378" t="str">
        <f>IFERROR(__xludf.DUMMYFUNCTION("""COMPUTED_VALUE"""),"Epic")</f>
        <v>Epic</v>
      </c>
      <c r="F62" s="378" t="str">
        <f>IFERROR(__xludf.DUMMYFUNCTION("""COMPUTED_VALUE"""),"Federation")</f>
        <v>Federation</v>
      </c>
      <c r="G62" s="378" t="str">
        <f>IFERROR(__xludf.DUMMYFUNCTION("""COMPUTED_VALUE"""),"Command")</f>
        <v>Command</v>
      </c>
      <c r="H62" s="379" t="str">
        <f>IFERROR(__xludf.DUMMYFUNCTION("""COMPUTED_VALUE"""),"Holodeck, Isomatter Refinery, Vindicator Refinery, Alliance Tournament Store, Epic Wrath Recruit, KhanQuest P1ATA, Rare P1ATA, Epic P1ATA, Officer Depot Tokens")</f>
        <v>Holodeck, Isomatter Refinery, Vindicator Refinery, Alliance Tournament Store, Epic Wrath Recruit, KhanQuest P1ATA, Rare P1ATA, Epic P1ATA, Officer Depot Tokens</v>
      </c>
      <c r="I62" s="378">
        <f>IFERROR(__xludf.DUMMYFUNCTION("""COMPUTED_VALUE"""),9.0)</f>
        <v>9</v>
      </c>
      <c r="J62" s="2"/>
      <c r="K62" s="2"/>
    </row>
    <row r="63">
      <c r="A63" s="345"/>
      <c r="B63" s="385"/>
      <c r="C63" s="345"/>
      <c r="D63" s="377" t="str">
        <f>IFERROR(__xludf.DUMMYFUNCTION("""COMPUTED_VALUE"""),"Enterprise-E Riker")</f>
        <v>Enterprise-E Riker</v>
      </c>
      <c r="E63" s="378" t="str">
        <f>IFERROR(__xludf.DUMMYFUNCTION("""COMPUTED_VALUE"""),"Epic")</f>
        <v>Epic</v>
      </c>
      <c r="F63" s="378" t="str">
        <f>IFERROR(__xludf.DUMMYFUNCTION("""COMPUTED_VALUE"""),"Federation")</f>
        <v>Federation</v>
      </c>
      <c r="G63" s="378" t="str">
        <f>IFERROR(__xludf.DUMMYFUNCTION("""COMPUTED_VALUE"""),"Command")</f>
        <v>Command</v>
      </c>
      <c r="H63" s="379" t="str">
        <f>IFERROR(__xludf.DUMMYFUNCTION("""COMPUTED_VALUE"""),"Isomatter Refinery, Vindicator Refinery, Alliance Tournament Store, GS-31 Refinery, Epic Wrath Recruit, KhanQuest P1ATA, Uncommon P1ATA, Officer Depot Tokens")</f>
        <v>Isomatter Refinery, Vindicator Refinery, Alliance Tournament Store, GS-31 Refinery, Epic Wrath Recruit, KhanQuest P1ATA, Uncommon P1ATA, Officer Depot Tokens</v>
      </c>
      <c r="I63" s="378">
        <f>IFERROR(__xludf.DUMMYFUNCTION("""COMPUTED_VALUE"""),8.0)</f>
        <v>8</v>
      </c>
      <c r="J63" s="2"/>
      <c r="K63" s="2"/>
    </row>
    <row r="64">
      <c r="A64" s="345"/>
      <c r="B64" s="385"/>
      <c r="C64" s="345"/>
      <c r="D64" s="377" t="str">
        <f>IFERROR(__xludf.DUMMYFUNCTION("""COMPUTED_VALUE"""),"Enterprise-E Troi")</f>
        <v>Enterprise-E Troi</v>
      </c>
      <c r="E64" s="378" t="str">
        <f>IFERROR(__xludf.DUMMYFUNCTION("""COMPUTED_VALUE"""),"Rare")</f>
        <v>Rare</v>
      </c>
      <c r="F64" s="378" t="str">
        <f>IFERROR(__xludf.DUMMYFUNCTION("""COMPUTED_VALUE"""),"Federation")</f>
        <v>Federation</v>
      </c>
      <c r="G64" s="378" t="str">
        <f>IFERROR(__xludf.DUMMYFUNCTION("""COMPUTED_VALUE"""),"Science")</f>
        <v>Science</v>
      </c>
      <c r="H64" s="379" t="str">
        <f>IFERROR(__xludf.DUMMYFUNCTION("""COMPUTED_VALUE"""),"Holodeck, Isomatter Refinery, Epic Wrath Recruit, Common P1ATA, Uncommon P1ATA, Officer Depot Tokens")</f>
        <v>Holodeck, Isomatter Refinery, Epic Wrath Recruit, Common P1ATA, Uncommon P1ATA, Officer Depot Tokens</v>
      </c>
      <c r="I64" s="378">
        <f>IFERROR(__xludf.DUMMYFUNCTION("""COMPUTED_VALUE"""),6.0)</f>
        <v>6</v>
      </c>
      <c r="J64" s="2"/>
      <c r="K64" s="2"/>
    </row>
    <row r="65">
      <c r="A65" s="345"/>
      <c r="B65" s="385"/>
      <c r="C65" s="345"/>
      <c r="D65" s="377" t="str">
        <f>IFERROR(__xludf.DUMMYFUNCTION("""COMPUTED_VALUE"""),"Eurydice")</f>
        <v>Eurydice</v>
      </c>
      <c r="E65" s="378" t="str">
        <f>IFERROR(__xludf.DUMMYFUNCTION("""COMPUTED_VALUE"""),"Epic")</f>
        <v>Epic</v>
      </c>
      <c r="F65" s="378" t="str">
        <f>IFERROR(__xludf.DUMMYFUNCTION("""COMPUTED_VALUE"""),"Independent")</f>
        <v>Independent</v>
      </c>
      <c r="G65" s="378" t="str">
        <f>IFERROR(__xludf.DUMMYFUNCTION("""COMPUTED_VALUE"""),"Engineering")</f>
        <v>Engineering</v>
      </c>
      <c r="H65" s="379" t="str">
        <f>IFERROR(__xludf.DUMMYFUNCTION("""COMPUTED_VALUE"""),"Premium Recruit, Ultra Recruit, Transporter Patterns, Apex Event Store, Outlaw Recruit")</f>
        <v>Premium Recruit, Ultra Recruit, Transporter Patterns, Apex Event Store, Outlaw Recruit</v>
      </c>
      <c r="I65" s="378">
        <f>IFERROR(__xludf.DUMMYFUNCTION("""COMPUTED_VALUE"""),5.0)</f>
        <v>5</v>
      </c>
      <c r="J65" s="2"/>
      <c r="K65" s="2"/>
    </row>
    <row r="66">
      <c r="A66" s="345"/>
      <c r="B66" s="385"/>
      <c r="C66" s="345"/>
      <c r="D66" s="377" t="str">
        <f>IFERROR(__xludf.DUMMYFUNCTION("""COMPUTED_VALUE"""),"Ezri Dax")</f>
        <v>Ezri Dax</v>
      </c>
      <c r="E66" s="378" t="str">
        <f>IFERROR(__xludf.DUMMYFUNCTION("""COMPUTED_VALUE"""),"Epic")</f>
        <v>Epic</v>
      </c>
      <c r="F66" s="378" t="str">
        <f>IFERROR(__xludf.DUMMYFUNCTION("""COMPUTED_VALUE"""),"Neutral")</f>
        <v>Neutral</v>
      </c>
      <c r="G66" s="378" t="str">
        <f>IFERROR(__xludf.DUMMYFUNCTION("""COMPUTED_VALUE"""),"Science")</f>
        <v>Science</v>
      </c>
      <c r="H66" s="379" t="str">
        <f>IFERROR(__xludf.DUMMYFUNCTION("""COMPUTED_VALUE"""),"Outpost Refinery")</f>
        <v>Outpost Refinery</v>
      </c>
      <c r="I66" s="378">
        <f>IFERROR(__xludf.DUMMYFUNCTION("""COMPUTED_VALUE"""),1.0)</f>
        <v>1</v>
      </c>
      <c r="J66" s="2"/>
      <c r="K66" s="2"/>
    </row>
    <row r="67">
      <c r="A67" s="345"/>
      <c r="B67" s="385"/>
      <c r="C67" s="345"/>
      <c r="D67" s="377" t="str">
        <f>IFERROR(__xludf.DUMMYFUNCTION("""COMPUTED_VALUE"""),"Fess")</f>
        <v>Fess</v>
      </c>
      <c r="E67" s="378" t="str">
        <f>IFERROR(__xludf.DUMMYFUNCTION("""COMPUTED_VALUE"""),"Rare")</f>
        <v>Rare</v>
      </c>
      <c r="F67" s="378" t="str">
        <f>IFERROR(__xludf.DUMMYFUNCTION("""COMPUTED_VALUE"""),"Independent")</f>
        <v>Independent</v>
      </c>
      <c r="G67" s="378" t="str">
        <f>IFERROR(__xludf.DUMMYFUNCTION("""COMPUTED_VALUE"""),"Engineering")</f>
        <v>Engineering</v>
      </c>
      <c r="H67" s="379" t="str">
        <f>IFERROR(__xludf.DUMMYFUNCTION("""COMPUTED_VALUE"""),"Ultra Recruit, Augment Faction Store")</f>
        <v>Ultra Recruit, Augment Faction Store</v>
      </c>
      <c r="I67" s="378">
        <f>IFERROR(__xludf.DUMMYFUNCTION("""COMPUTED_VALUE"""),2.0)</f>
        <v>2</v>
      </c>
      <c r="J67" s="2"/>
      <c r="K67" s="2"/>
    </row>
    <row r="68">
      <c r="A68" s="345"/>
      <c r="B68" s="385"/>
      <c r="C68" s="345"/>
      <c r="D68" s="377" t="str">
        <f>IFERROR(__xludf.DUMMYFUNCTION("""COMPUTED_VALUE"""),"Five Of Eleven")</f>
        <v>Five Of Eleven</v>
      </c>
      <c r="E68" s="378" t="str">
        <f>IFERROR(__xludf.DUMMYFUNCTION("""COMPUTED_VALUE"""),"Epic")</f>
        <v>Epic</v>
      </c>
      <c r="F68" s="378" t="str">
        <f>IFERROR(__xludf.DUMMYFUNCTION("""COMPUTED_VALUE"""),"Independent")</f>
        <v>Independent</v>
      </c>
      <c r="G68" s="378" t="str">
        <f>IFERROR(__xludf.DUMMYFUNCTION("""COMPUTED_VALUE"""),"Engineering")</f>
        <v>Engineering</v>
      </c>
      <c r="H68" s="379" t="str">
        <f>IFERROR(__xludf.DUMMYFUNCTION("""COMPUTED_VALUE"""),"Premium Recruit, Ultra Recruit, Mission Key Recruit, Transporter Patterns, Rare/Epic Borg Solos, G4 Rare Armada Chests, Common Wrath Recruit, AT Research Tree, Officer Depot Tokens")</f>
        <v>Premium Recruit, Ultra Recruit, Mission Key Recruit, Transporter Patterns, Rare/Epic Borg Solos, G4 Rare Armada Chests, Common Wrath Recruit, AT Research Tree, Officer Depot Tokens</v>
      </c>
      <c r="I68" s="378">
        <f>IFERROR(__xludf.DUMMYFUNCTION("""COMPUTED_VALUE"""),9.0)</f>
        <v>9</v>
      </c>
      <c r="J68" s="2"/>
      <c r="K68" s="2"/>
    </row>
    <row r="69">
      <c r="A69" s="345"/>
      <c r="B69" s="385"/>
      <c r="C69" s="345"/>
      <c r="D69" s="377" t="str">
        <f>IFERROR(__xludf.DUMMYFUNCTION("""COMPUTED_VALUE"""),"Four Of Eleven")</f>
        <v>Four Of Eleven</v>
      </c>
      <c r="E69" s="378" t="str">
        <f>IFERROR(__xludf.DUMMYFUNCTION("""COMPUTED_VALUE"""),"Epic")</f>
        <v>Epic</v>
      </c>
      <c r="F69" s="378" t="str">
        <f>IFERROR(__xludf.DUMMYFUNCTION("""COMPUTED_VALUE"""),"Independent")</f>
        <v>Independent</v>
      </c>
      <c r="G69" s="378" t="str">
        <f>IFERROR(__xludf.DUMMYFUNCTION("""COMPUTED_VALUE"""),"Engineering")</f>
        <v>Engineering</v>
      </c>
      <c r="H69" s="379" t="str">
        <f>IFERROR(__xludf.DUMMYFUNCTION("""COMPUTED_VALUE"""),"Transporter Patterns, Rare/Epic Borg Solos, Common Wrath Recruit")</f>
        <v>Transporter Patterns, Rare/Epic Borg Solos, Common Wrath Recruit</v>
      </c>
      <c r="I69" s="378">
        <f>IFERROR(__xludf.DUMMYFUNCTION("""COMPUTED_VALUE"""),3.0)</f>
        <v>3</v>
      </c>
      <c r="J69" s="2"/>
      <c r="K69" s="2"/>
    </row>
    <row r="70">
      <c r="A70" s="345"/>
      <c r="B70" s="385"/>
      <c r="C70" s="345"/>
      <c r="D70" s="377" t="str">
        <f>IFERROR(__xludf.DUMMYFUNCTION("""COMPUTED_VALUE"""),"French Marshall Q")</f>
        <v>French Marshall Q</v>
      </c>
      <c r="E70" s="378" t="str">
        <f>IFERROR(__xludf.DUMMYFUNCTION("""COMPUTED_VALUE"""),"Rare")</f>
        <v>Rare</v>
      </c>
      <c r="F70" s="378" t="str">
        <f>IFERROR(__xludf.DUMMYFUNCTION("""COMPUTED_VALUE"""),"Independent")</f>
        <v>Independent</v>
      </c>
      <c r="G70" s="378" t="str">
        <f>IFERROR(__xludf.DUMMYFUNCTION("""COMPUTED_VALUE"""),"Engineering")</f>
        <v>Engineering</v>
      </c>
      <c r="H70" s="379" t="str">
        <f>IFERROR(__xludf.DUMMYFUNCTION("""COMPUTED_VALUE"""),"Section 31 Faction Store, Officer Depot Tokens")</f>
        <v>Section 31 Faction Store, Officer Depot Tokens</v>
      </c>
      <c r="I70" s="378">
        <f>IFERROR(__xludf.DUMMYFUNCTION("""COMPUTED_VALUE"""),2.0)</f>
        <v>2</v>
      </c>
      <c r="J70" s="2"/>
      <c r="K70" s="2"/>
    </row>
    <row r="71">
      <c r="A71" s="345"/>
      <c r="B71" s="385"/>
      <c r="C71" s="345"/>
      <c r="D71" s="377" t="str">
        <f>IFERROR(__xludf.DUMMYFUNCTION("""COMPUTED_VALUE"""),"Gaila")</f>
        <v>Gaila</v>
      </c>
      <c r="E71" s="378" t="str">
        <f>IFERROR(__xludf.DUMMYFUNCTION("""COMPUTED_VALUE"""),"Common")</f>
        <v>Common</v>
      </c>
      <c r="F71" s="378" t="str">
        <f>IFERROR(__xludf.DUMMYFUNCTION("""COMPUTED_VALUE"""),"Federation")</f>
        <v>Federation</v>
      </c>
      <c r="G71" s="378" t="str">
        <f>IFERROR(__xludf.DUMMYFUNCTION("""COMPUTED_VALUE"""),"N/A")</f>
        <v>N/A</v>
      </c>
      <c r="H71" s="379" t="str">
        <f>IFERROR(__xludf.DUMMYFUNCTION("""COMPUTED_VALUE"""),"Standard Recruit, Common Wrath Recruit")</f>
        <v>Standard Recruit, Common Wrath Recruit</v>
      </c>
      <c r="I71" s="378">
        <f>IFERROR(__xludf.DUMMYFUNCTION("""COMPUTED_VALUE"""),2.0)</f>
        <v>2</v>
      </c>
      <c r="J71" s="2"/>
      <c r="K71" s="2"/>
    </row>
    <row r="72">
      <c r="A72" s="345"/>
      <c r="B72" s="385"/>
      <c r="C72" s="345"/>
      <c r="D72" s="377" t="str">
        <f>IFERROR(__xludf.DUMMYFUNCTION("""COMPUTED_VALUE"""),"Garak")</f>
        <v>Garak</v>
      </c>
      <c r="E72" s="378" t="str">
        <f>IFERROR(__xludf.DUMMYFUNCTION("""COMPUTED_VALUE"""),"Rare")</f>
        <v>Rare</v>
      </c>
      <c r="F72" s="378" t="str">
        <f>IFERROR(__xludf.DUMMYFUNCTION("""COMPUTED_VALUE"""),"Independent")</f>
        <v>Independent</v>
      </c>
      <c r="G72" s="378" t="str">
        <f>IFERROR(__xludf.DUMMYFUNCTION("""COMPUTED_VALUE"""),"Science")</f>
        <v>Science</v>
      </c>
      <c r="H72" s="379" t="str">
        <f>IFERROR(__xludf.DUMMYFUNCTION("""COMPUTED_VALUE"""),"Ultra Recruit, Incursions, Section 31 Faction Store, Uncommon Wrath Recruit, Officer Depot Tokens")</f>
        <v>Ultra Recruit, Incursions, Section 31 Faction Store, Uncommon Wrath Recruit, Officer Depot Tokens</v>
      </c>
      <c r="I72" s="378">
        <f>IFERROR(__xludf.DUMMYFUNCTION("""COMPUTED_VALUE"""),5.0)</f>
        <v>5</v>
      </c>
      <c r="J72" s="2"/>
      <c r="K72" s="2"/>
    </row>
    <row r="73">
      <c r="A73" s="345"/>
      <c r="B73" s="385"/>
      <c r="C73" s="345"/>
      <c r="D73" s="377" t="str">
        <f>IFERROR(__xludf.DUMMYFUNCTION("""COMPUTED_VALUE"""),"Geordi La Forge")</f>
        <v>Geordi La Forge</v>
      </c>
      <c r="E73" s="378" t="str">
        <f>IFERROR(__xludf.DUMMYFUNCTION("""COMPUTED_VALUE"""),"Epic")</f>
        <v>Epic</v>
      </c>
      <c r="F73" s="378" t="str">
        <f>IFERROR(__xludf.DUMMYFUNCTION("""COMPUTED_VALUE"""),"Federation")</f>
        <v>Federation</v>
      </c>
      <c r="G73" s="378" t="str">
        <f>IFERROR(__xludf.DUMMYFUNCTION("""COMPUTED_VALUE"""),"Engineering")</f>
        <v>Engineering</v>
      </c>
      <c r="H73" s="379" t="str">
        <f>IFERROR(__xludf.DUMMYFUNCTION("""COMPUTED_VALUE"""),"Ultra Recruit, Transporter Patterns, Crucible of War, Officer Depot Tokens")</f>
        <v>Ultra Recruit, Transporter Patterns, Crucible of War, Officer Depot Tokens</v>
      </c>
      <c r="I73" s="378">
        <f>IFERROR(__xludf.DUMMYFUNCTION("""COMPUTED_VALUE"""),4.0)</f>
        <v>4</v>
      </c>
      <c r="J73" s="2"/>
      <c r="K73" s="2"/>
    </row>
    <row r="74">
      <c r="A74" s="345"/>
      <c r="B74" s="385"/>
      <c r="C74" s="345"/>
      <c r="D74" s="377" t="str">
        <f>IFERROR(__xludf.DUMMYFUNCTION("""COMPUTED_VALUE"""),"Georgiou")</f>
        <v>Georgiou</v>
      </c>
      <c r="E74" s="378" t="str">
        <f>IFERROR(__xludf.DUMMYFUNCTION("""COMPUTED_VALUE"""),"Epic")</f>
        <v>Epic</v>
      </c>
      <c r="F74" s="378" t="str">
        <f>IFERROR(__xludf.DUMMYFUNCTION("""COMPUTED_VALUE"""),"Federation")</f>
        <v>Federation</v>
      </c>
      <c r="G74" s="378" t="str">
        <f>IFERROR(__xludf.DUMMYFUNCTION("""COMPUTED_VALUE"""),"Command")</f>
        <v>Command</v>
      </c>
      <c r="H74" s="379" t="str">
        <f>IFERROR(__xludf.DUMMYFUNCTION("""COMPUTED_VALUE"""),"Transporter Patterns, Discovery Recruit, Crucible of War")</f>
        <v>Transporter Patterns, Discovery Recruit, Crucible of War</v>
      </c>
      <c r="I74" s="378">
        <f>IFERROR(__xludf.DUMMYFUNCTION("""COMPUTED_VALUE"""),3.0)</f>
        <v>3</v>
      </c>
      <c r="J74" s="2"/>
      <c r="K74" s="2"/>
    </row>
    <row r="75">
      <c r="A75" s="345"/>
      <c r="B75" s="385"/>
      <c r="C75" s="345"/>
      <c r="D75" s="377" t="str">
        <f>IFERROR(__xludf.DUMMYFUNCTION("""COMPUTED_VALUE"""),"Ghalenar")</f>
        <v>Ghalenar</v>
      </c>
      <c r="E75" s="378" t="str">
        <f>IFERROR(__xludf.DUMMYFUNCTION("""COMPUTED_VALUE"""),"Rare")</f>
        <v>Rare</v>
      </c>
      <c r="F75" s="378" t="str">
        <f>IFERROR(__xludf.DUMMYFUNCTION("""COMPUTED_VALUE"""),"Independent")</f>
        <v>Independent</v>
      </c>
      <c r="G75" s="378" t="str">
        <f>IFERROR(__xludf.DUMMYFUNCTION("""COMPUTED_VALUE"""),"Science")</f>
        <v>Science</v>
      </c>
      <c r="H75" s="379" t="str">
        <f>IFERROR(__xludf.DUMMYFUNCTION("""COMPUTED_VALUE"""),"Ultra Recruit, Rare/Epic Borg Solos, Common Wrath Recruit, Officer Depot Tokens")</f>
        <v>Ultra Recruit, Rare/Epic Borg Solos, Common Wrath Recruit, Officer Depot Tokens</v>
      </c>
      <c r="I75" s="378">
        <f>IFERROR(__xludf.DUMMYFUNCTION("""COMPUTED_VALUE"""),4.0)</f>
        <v>4</v>
      </c>
      <c r="J75" s="2"/>
      <c r="K75" s="2"/>
    </row>
    <row r="76">
      <c r="A76" s="345"/>
      <c r="B76" s="385"/>
      <c r="C76" s="345"/>
      <c r="D76" s="377" t="str">
        <f>IFERROR(__xludf.DUMMYFUNCTION("""COMPUTED_VALUE"""),"Ghrush")</f>
        <v>Ghrush</v>
      </c>
      <c r="E76" s="378" t="str">
        <f>IFERROR(__xludf.DUMMYFUNCTION("""COMPUTED_VALUE"""),"Epic")</f>
        <v>Epic</v>
      </c>
      <c r="F76" s="378" t="str">
        <f>IFERROR(__xludf.DUMMYFUNCTION("""COMPUTED_VALUE"""),"Independent")</f>
        <v>Independent</v>
      </c>
      <c r="G76" s="378" t="str">
        <f>IFERROR(__xludf.DUMMYFUNCTION("""COMPUTED_VALUE"""),"Command")</f>
        <v>Command</v>
      </c>
      <c r="H76" s="379" t="str">
        <f>IFERROR(__xludf.DUMMYFUNCTION("""COMPUTED_VALUE"""),"Syndicate 10+, Epic Wrath Recruit")</f>
        <v>Syndicate 10+, Epic Wrath Recruit</v>
      </c>
      <c r="I76" s="378">
        <f>IFERROR(__xludf.DUMMYFUNCTION("""COMPUTED_VALUE"""),2.0)</f>
        <v>2</v>
      </c>
      <c r="J76" s="2"/>
      <c r="K76" s="2"/>
    </row>
    <row r="77">
      <c r="A77" s="345"/>
      <c r="B77" s="385"/>
      <c r="C77" s="345"/>
      <c r="D77" s="377" t="str">
        <f>IFERROR(__xludf.DUMMYFUNCTION("""COMPUTED_VALUE"""),"Gonzales")</f>
        <v>Gonzales</v>
      </c>
      <c r="E77" s="378" t="str">
        <f>IFERROR(__xludf.DUMMYFUNCTION("""COMPUTED_VALUE"""),"Uncommon")</f>
        <v>Uncommon</v>
      </c>
      <c r="F77" s="378" t="str">
        <f>IFERROR(__xludf.DUMMYFUNCTION("""COMPUTED_VALUE"""),"Federation")</f>
        <v>Federation</v>
      </c>
      <c r="G77" s="378" t="str">
        <f>IFERROR(__xludf.DUMMYFUNCTION("""COMPUTED_VALUE"""),"N/A")</f>
        <v>N/A</v>
      </c>
      <c r="H77" s="379" t="str">
        <f>IFERROR(__xludf.DUMMYFUNCTION("""COMPUTED_VALUE"""),"Standard Recruit, Premium Recruit, Crucible of War, Crucible of War, Common Wrath Recruit")</f>
        <v>Standard Recruit, Premium Recruit, Crucible of War, Crucible of War, Common Wrath Recruit</v>
      </c>
      <c r="I77" s="378">
        <f>IFERROR(__xludf.DUMMYFUNCTION("""COMPUTED_VALUE"""),4.0)</f>
        <v>4</v>
      </c>
      <c r="J77" s="2"/>
      <c r="K77" s="2"/>
    </row>
    <row r="78">
      <c r="A78" s="345"/>
      <c r="B78" s="385"/>
      <c r="C78" s="345"/>
      <c r="D78" s="377" t="str">
        <f>IFERROR(__xludf.DUMMYFUNCTION("""COMPUTED_VALUE"""),"Goon")</f>
        <v>Goon</v>
      </c>
      <c r="E78" s="378" t="str">
        <f>IFERROR(__xludf.DUMMYFUNCTION("""COMPUTED_VALUE"""),"Uncommon")</f>
        <v>Uncommon</v>
      </c>
      <c r="F78" s="378" t="str">
        <f>IFERROR(__xludf.DUMMYFUNCTION("""COMPUTED_VALUE"""),"Independent")</f>
        <v>Independent</v>
      </c>
      <c r="G78" s="378" t="str">
        <f>IFERROR(__xludf.DUMMYFUNCTION("""COMPUTED_VALUE"""),"Science")</f>
        <v>Science</v>
      </c>
      <c r="H78" s="379" t="str">
        <f>IFERROR(__xludf.DUMMYFUNCTION("""COMPUTED_VALUE"""),"Apex Event Store, Outlaw Recruit, Crucible of War")</f>
        <v>Apex Event Store, Outlaw Recruit, Crucible of War</v>
      </c>
      <c r="I78" s="378">
        <f>IFERROR(__xludf.DUMMYFUNCTION("""COMPUTED_VALUE"""),3.0)</f>
        <v>3</v>
      </c>
      <c r="J78" s="2"/>
      <c r="K78" s="2"/>
    </row>
    <row r="79">
      <c r="A79" s="345"/>
      <c r="B79" s="385"/>
      <c r="C79" s="345"/>
      <c r="D79" s="377" t="str">
        <f>IFERROR(__xludf.DUMMYFUNCTION("""COMPUTED_VALUE"""),"Gorkon")</f>
        <v>Gorkon</v>
      </c>
      <c r="E79" s="378" t="str">
        <f>IFERROR(__xludf.DUMMYFUNCTION("""COMPUTED_VALUE"""),"Epic")</f>
        <v>Epic</v>
      </c>
      <c r="F79" s="378" t="str">
        <f>IFERROR(__xludf.DUMMYFUNCTION("""COMPUTED_VALUE"""),"Klingon")</f>
        <v>Klingon</v>
      </c>
      <c r="G79" s="378" t="str">
        <f>IFERROR(__xludf.DUMMYFUNCTION("""COMPUTED_VALUE"""),"Command")</f>
        <v>Command</v>
      </c>
      <c r="H79" s="379" t="str">
        <f>IFERROR(__xludf.DUMMYFUNCTION("""COMPUTED_VALUE"""),"Premium Recruit, Ultra Recruit, Transporter Patterns, Klingon Recruit, Crucible of War, Crucible of War, Elite Klingon Recruit")</f>
        <v>Premium Recruit, Ultra Recruit, Transporter Patterns, Klingon Recruit, Crucible of War, Crucible of War, Elite Klingon Recruit</v>
      </c>
      <c r="I79" s="378">
        <f>IFERROR(__xludf.DUMMYFUNCTION("""COMPUTED_VALUE"""),6.0)</f>
        <v>6</v>
      </c>
      <c r="J79" s="2"/>
      <c r="K79" s="2"/>
    </row>
    <row r="80">
      <c r="A80" s="345"/>
      <c r="B80" s="385"/>
      <c r="C80" s="345"/>
      <c r="D80" s="377" t="str">
        <f>IFERROR(__xludf.DUMMYFUNCTION("""COMPUTED_VALUE"""),"Gossa")</f>
        <v>Gossa</v>
      </c>
      <c r="E80" s="378" t="str">
        <f>IFERROR(__xludf.DUMMYFUNCTION("""COMPUTED_VALUE"""),"Rare")</f>
        <v>Rare</v>
      </c>
      <c r="F80" s="378" t="str">
        <f>IFERROR(__xludf.DUMMYFUNCTION("""COMPUTED_VALUE"""),"Independent")</f>
        <v>Independent</v>
      </c>
      <c r="G80" s="378" t="str">
        <f>IFERROR(__xludf.DUMMYFUNCTION("""COMPUTED_VALUE"""),"Engineering")</f>
        <v>Engineering</v>
      </c>
      <c r="H80" s="379" t="str">
        <f>IFERROR(__xludf.DUMMYFUNCTION("""COMPUTED_VALUE"""),"Ultra Recruit, Common Wrath Recruit, Officer Depot Tokens")</f>
        <v>Ultra Recruit, Common Wrath Recruit, Officer Depot Tokens</v>
      </c>
      <c r="I80" s="378">
        <f>IFERROR(__xludf.DUMMYFUNCTION("""COMPUTED_VALUE"""),3.0)</f>
        <v>3</v>
      </c>
      <c r="J80" s="2"/>
      <c r="K80" s="2"/>
    </row>
    <row r="81">
      <c r="A81" s="345"/>
      <c r="B81" s="385"/>
      <c r="C81" s="345"/>
      <c r="D81" s="377" t="str">
        <f>IFERROR(__xludf.DUMMYFUNCTION("""COMPUTED_VALUE"""),"Gowron")</f>
        <v>Gowron</v>
      </c>
      <c r="E81" s="378" t="str">
        <f>IFERROR(__xludf.DUMMYFUNCTION("""COMPUTED_VALUE"""),"Rare")</f>
        <v>Rare</v>
      </c>
      <c r="F81" s="378" t="str">
        <f>IFERROR(__xludf.DUMMYFUNCTION("""COMPUTED_VALUE"""),"Klingon")</f>
        <v>Klingon</v>
      </c>
      <c r="G81" s="378" t="str">
        <f>IFERROR(__xludf.DUMMYFUNCTION("""COMPUTED_VALUE"""),"Science")</f>
        <v>Science</v>
      </c>
      <c r="H81" s="379" t="str">
        <f>IFERROR(__xludf.DUMMYFUNCTION("""COMPUTED_VALUE"""),"Ultra Recruit, Crucible of War, Elite Klingon Recruit")</f>
        <v>Ultra Recruit, Crucible of War, Elite Klingon Recruit</v>
      </c>
      <c r="I81" s="378">
        <f>IFERROR(__xludf.DUMMYFUNCTION("""COMPUTED_VALUE"""),3.0)</f>
        <v>3</v>
      </c>
      <c r="J81" s="2"/>
      <c r="K81" s="2"/>
    </row>
    <row r="82">
      <c r="A82" s="345"/>
      <c r="B82" s="385"/>
      <c r="C82" s="345"/>
      <c r="D82" s="377" t="str">
        <f>IFERROR(__xludf.DUMMYFUNCTION("""COMPUTED_VALUE"""),"Gul Dukat")</f>
        <v>Gul Dukat</v>
      </c>
      <c r="E82" s="378" t="str">
        <f>IFERROR(__xludf.DUMMYFUNCTION("""COMPUTED_VALUE"""),"Epic")</f>
        <v>Epic</v>
      </c>
      <c r="F82" s="378" t="str">
        <f>IFERROR(__xludf.DUMMYFUNCTION("""COMPUTED_VALUE"""),"Independent")</f>
        <v>Independent</v>
      </c>
      <c r="G82" s="378" t="str">
        <f>IFERROR(__xludf.DUMMYFUNCTION("""COMPUTED_VALUE"""),"Command")</f>
        <v>Command</v>
      </c>
      <c r="H82" s="379" t="str">
        <f>IFERROR(__xludf.DUMMYFUNCTION("""COMPUTED_VALUE"""),"Ultra Recruit, Transporter Patterns, Incursions, Section 31 Faction Store, Uncommon Wrath Recruit, Officer Depot Tokens")</f>
        <v>Ultra Recruit, Transporter Patterns, Incursions, Section 31 Faction Store, Uncommon Wrath Recruit, Officer Depot Tokens</v>
      </c>
      <c r="I82" s="378">
        <f>IFERROR(__xludf.DUMMYFUNCTION("""COMPUTED_VALUE"""),6.0)</f>
        <v>6</v>
      </c>
      <c r="J82" s="2"/>
      <c r="K82" s="2"/>
    </row>
    <row r="83">
      <c r="A83" s="345"/>
      <c r="B83" s="385"/>
      <c r="C83" s="345"/>
      <c r="D83" s="377" t="str">
        <f>IFERROR(__xludf.DUMMYFUNCTION("""COMPUTED_VALUE"""),"Gwen DeMarco")</f>
        <v>Gwen DeMarco</v>
      </c>
      <c r="E83" s="378" t="str">
        <f>IFERROR(__xludf.DUMMYFUNCTION("""COMPUTED_VALUE"""),"Epic")</f>
        <v>Epic</v>
      </c>
      <c r="F83" s="378" t="str">
        <f>IFERROR(__xludf.DUMMYFUNCTION("""COMPUTED_VALUE"""),"Independent")</f>
        <v>Independent</v>
      </c>
      <c r="G83" s="378" t="str">
        <f>IFERROR(__xludf.DUMMYFUNCTION("""COMPUTED_VALUE"""),"Science")</f>
        <v>Science</v>
      </c>
      <c r="H83" s="379" t="str">
        <f>IFERROR(__xludf.DUMMYFUNCTION("""COMPUTED_VALUE"""),"Sarris Invasion, Epic Wrath Recruit, Augment Faction Store, Officer Depot Tokens")</f>
        <v>Sarris Invasion, Epic Wrath Recruit, Augment Faction Store, Officer Depot Tokens</v>
      </c>
      <c r="I83" s="378">
        <f>IFERROR(__xludf.DUMMYFUNCTION("""COMPUTED_VALUE"""),4.0)</f>
        <v>4</v>
      </c>
      <c r="J83" s="2"/>
      <c r="K83" s="2"/>
    </row>
    <row r="84">
      <c r="A84" s="345"/>
      <c r="B84" s="385"/>
      <c r="C84" s="345"/>
      <c r="D84" s="377" t="str">
        <f>IFERROR(__xludf.DUMMYFUNCTION("""COMPUTED_VALUE"""),"Hadley")</f>
        <v>Hadley</v>
      </c>
      <c r="E84" s="378" t="str">
        <f>IFERROR(__xludf.DUMMYFUNCTION("""COMPUTED_VALUE"""),"Common")</f>
        <v>Common</v>
      </c>
      <c r="F84" s="378" t="str">
        <f>IFERROR(__xludf.DUMMYFUNCTION("""COMPUTED_VALUE"""),"Federation")</f>
        <v>Federation</v>
      </c>
      <c r="G84" s="378" t="str">
        <f>IFERROR(__xludf.DUMMYFUNCTION("""COMPUTED_VALUE"""),"N/A")</f>
        <v>N/A</v>
      </c>
      <c r="H84" s="379" t="str">
        <f>IFERROR(__xludf.DUMMYFUNCTION("""COMPUTED_VALUE"""),"Common Wrath Recruit")</f>
        <v>Common Wrath Recruit</v>
      </c>
      <c r="I84" s="378">
        <f>IFERROR(__xludf.DUMMYFUNCTION("""COMPUTED_VALUE"""),1.0)</f>
        <v>1</v>
      </c>
      <c r="J84" s="2"/>
      <c r="K84" s="2"/>
    </row>
    <row r="85">
      <c r="A85" s="345"/>
      <c r="B85" s="385"/>
      <c r="C85" s="345"/>
      <c r="D85" s="377" t="str">
        <f>IFERROR(__xludf.DUMMYFUNCTION("""COMPUTED_VALUE"""),"Harrison")</f>
        <v>Harrison</v>
      </c>
      <c r="E85" s="378" t="str">
        <f>IFERROR(__xludf.DUMMYFUNCTION("""COMPUTED_VALUE"""),"Rare")</f>
        <v>Rare</v>
      </c>
      <c r="F85" s="378" t="str">
        <f>IFERROR(__xludf.DUMMYFUNCTION("""COMPUTED_VALUE"""),"Federation")</f>
        <v>Federation</v>
      </c>
      <c r="G85" s="378" t="str">
        <f>IFERROR(__xludf.DUMMYFUNCTION("""COMPUTED_VALUE"""),"Science")</f>
        <v>Science</v>
      </c>
      <c r="H85" s="379" t="str">
        <f>IFERROR(__xludf.DUMMYFUNCTION("""COMPUTED_VALUE"""),"Elite Federation Recruit, Independent Archive Recruit")</f>
        <v>Elite Federation Recruit, Independent Archive Recruit</v>
      </c>
      <c r="I85" s="378">
        <f>IFERROR(__xludf.DUMMYFUNCTION("""COMPUTED_VALUE"""),2.0)</f>
        <v>2</v>
      </c>
      <c r="J85" s="2"/>
      <c r="K85" s="2"/>
    </row>
    <row r="86">
      <c r="A86" s="345"/>
      <c r="B86" s="385"/>
      <c r="C86" s="345"/>
      <c r="D86" s="377" t="str">
        <f>IFERROR(__xludf.DUMMYFUNCTION("""COMPUTED_VALUE"""),"Harry Kim")</f>
        <v>Harry Kim</v>
      </c>
      <c r="E86" s="378" t="str">
        <f>IFERROR(__xludf.DUMMYFUNCTION("""COMPUTED_VALUE"""),"Rare")</f>
        <v>Rare</v>
      </c>
      <c r="F86" s="378" t="str">
        <f>IFERROR(__xludf.DUMMYFUNCTION("""COMPUTED_VALUE"""),"Federation")</f>
        <v>Federation</v>
      </c>
      <c r="G86" s="378" t="str">
        <f>IFERROR(__xludf.DUMMYFUNCTION("""COMPUTED_VALUE"""),"Science")</f>
        <v>Science</v>
      </c>
      <c r="H86" s="379" t="str">
        <f>IFERROR(__xludf.DUMMYFUNCTION("""COMPUTED_VALUE"""),"Rare Formation Armadas, Voyager Field Training, Isomatter Refinery, Ex-Borg Faction Store, Rare Wrath Recruit, Augment Faction Store, Officer Depot Tokens")</f>
        <v>Rare Formation Armadas, Voyager Field Training, Isomatter Refinery, Ex-Borg Faction Store, Rare Wrath Recruit, Augment Faction Store, Officer Depot Tokens</v>
      </c>
      <c r="I86" s="378">
        <f>IFERROR(__xludf.DUMMYFUNCTION("""COMPUTED_VALUE"""),7.0)</f>
        <v>7</v>
      </c>
      <c r="J86" s="2"/>
      <c r="K86" s="2"/>
    </row>
    <row r="87">
      <c r="A87" s="345"/>
      <c r="B87" s="385"/>
      <c r="C87" s="345"/>
      <c r="D87" s="377" t="str">
        <f>IFERROR(__xludf.DUMMYFUNCTION("""COMPUTED_VALUE"""),"Harry Mudd ")</f>
        <v>Harry Mudd </v>
      </c>
      <c r="E87" s="378" t="str">
        <f>IFERROR(__xludf.DUMMYFUNCTION("""COMPUTED_VALUE"""),"Epic")</f>
        <v>Epic</v>
      </c>
      <c r="F87" s="378" t="str">
        <f>IFERROR(__xludf.DUMMYFUNCTION("""COMPUTED_VALUE"""),"Independent")</f>
        <v>Independent</v>
      </c>
      <c r="G87" s="378" t="str">
        <f>IFERROR(__xludf.DUMMYFUNCTION("""COMPUTED_VALUE"""),"Science")</f>
        <v>Science</v>
      </c>
      <c r="H87" s="379" t="str">
        <f>IFERROR(__xludf.DUMMYFUNCTION("""COMPUTED_VALUE"""),"Ultra Recruit, Transporter Patterns, Apex Event Store, Outlaw Recruit")</f>
        <v>Ultra Recruit, Transporter Patterns, Apex Event Store, Outlaw Recruit</v>
      </c>
      <c r="I87" s="378">
        <f>IFERROR(__xludf.DUMMYFUNCTION("""COMPUTED_VALUE"""),4.0)</f>
        <v>4</v>
      </c>
      <c r="J87" s="2"/>
      <c r="K87" s="2"/>
    </row>
    <row r="88">
      <c r="A88" s="345"/>
      <c r="B88" s="385"/>
      <c r="C88" s="345"/>
      <c r="D88" s="377" t="str">
        <f>IFERROR(__xludf.DUMMYFUNCTION("""COMPUTED_VALUE"""),"Helvia")</f>
        <v>Helvia</v>
      </c>
      <c r="E88" s="378" t="str">
        <f>IFERROR(__xludf.DUMMYFUNCTION("""COMPUTED_VALUE"""),"Common")</f>
        <v>Common</v>
      </c>
      <c r="F88" s="378" t="str">
        <f>IFERROR(__xludf.DUMMYFUNCTION("""COMPUTED_VALUE"""),"Romulan")</f>
        <v>Romulan</v>
      </c>
      <c r="G88" s="378" t="str">
        <f>IFERROR(__xludf.DUMMYFUNCTION("""COMPUTED_VALUE"""),"N/A")</f>
        <v>N/A</v>
      </c>
      <c r="H88" s="379" t="str">
        <f>IFERROR(__xludf.DUMMYFUNCTION("""COMPUTED_VALUE"""),"Standard Recruit")</f>
        <v>Standard Recruit</v>
      </c>
      <c r="I88" s="378">
        <f>IFERROR(__xludf.DUMMYFUNCTION("""COMPUTED_VALUE"""),1.0)</f>
        <v>1</v>
      </c>
      <c r="J88" s="2"/>
      <c r="K88" s="2"/>
    </row>
    <row r="89">
      <c r="A89" s="345"/>
      <c r="B89" s="385"/>
      <c r="C89" s="345"/>
      <c r="D89" s="377" t="str">
        <f>IFERROR(__xludf.DUMMYFUNCTION("""COMPUTED_VALUE"""),"Hendorff")</f>
        <v>Hendorff</v>
      </c>
      <c r="E89" s="378" t="str">
        <f>IFERROR(__xludf.DUMMYFUNCTION("""COMPUTED_VALUE"""),"Uncommon")</f>
        <v>Uncommon</v>
      </c>
      <c r="F89" s="378" t="str">
        <f>IFERROR(__xludf.DUMMYFUNCTION("""COMPUTED_VALUE"""),"Federation")</f>
        <v>Federation</v>
      </c>
      <c r="G89" s="378" t="str">
        <f>IFERROR(__xludf.DUMMYFUNCTION("""COMPUTED_VALUE"""),"N/A")</f>
        <v>N/A</v>
      </c>
      <c r="H89" s="379" t="str">
        <f>IFERROR(__xludf.DUMMYFUNCTION("""COMPUTED_VALUE"""),"Crucible of War, Elite Federation Recruit, Common Wrath Recruit")</f>
        <v>Crucible of War, Elite Federation Recruit, Common Wrath Recruit</v>
      </c>
      <c r="I89" s="378">
        <f>IFERROR(__xludf.DUMMYFUNCTION("""COMPUTED_VALUE"""),3.0)</f>
        <v>3</v>
      </c>
      <c r="J89" s="2"/>
      <c r="K89" s="2"/>
    </row>
    <row r="90">
      <c r="A90" s="345"/>
      <c r="B90" s="385"/>
      <c r="C90" s="345"/>
      <c r="D90" s="377" t="str">
        <f>IFERROR(__xludf.DUMMYFUNCTION("""COMPUTED_VALUE"""),"Honorguard Worf")</f>
        <v>Honorguard Worf</v>
      </c>
      <c r="E90" s="378" t="str">
        <f>IFERROR(__xludf.DUMMYFUNCTION("""COMPUTED_VALUE"""),"Epic")</f>
        <v>Epic</v>
      </c>
      <c r="F90" s="378" t="str">
        <f>IFERROR(__xludf.DUMMYFUNCTION("""COMPUTED_VALUE"""),"Klingon")</f>
        <v>Klingon</v>
      </c>
      <c r="G90" s="378" t="str">
        <f>IFERROR(__xludf.DUMMYFUNCTION("""COMPUTED_VALUE"""),"Command")</f>
        <v>Command</v>
      </c>
      <c r="H90" s="379" t="str">
        <f>IFERROR(__xludf.DUMMYFUNCTION("""COMPUTED_VALUE"""),"Ultra Recruit, Transporter Patterns, Elite Klingon Recruit, Amalgam Recruit, Officer Depot Tokens")</f>
        <v>Ultra Recruit, Transporter Patterns, Elite Klingon Recruit, Amalgam Recruit, Officer Depot Tokens</v>
      </c>
      <c r="I90" s="378">
        <f>IFERROR(__xludf.DUMMYFUNCTION("""COMPUTED_VALUE"""),5.0)</f>
        <v>5</v>
      </c>
      <c r="J90" s="2"/>
      <c r="K90" s="2"/>
    </row>
    <row r="91">
      <c r="A91" s="345"/>
      <c r="B91" s="385"/>
      <c r="C91" s="345"/>
      <c r="D91" s="377" t="str">
        <f>IFERROR(__xludf.DUMMYFUNCTION("""COMPUTED_VALUE"""),"Hoshi Sato")</f>
        <v>Hoshi Sato</v>
      </c>
      <c r="E91" s="378" t="str">
        <f>IFERROR(__xludf.DUMMYFUNCTION("""COMPUTED_VALUE"""),"Rare")</f>
        <v>Rare</v>
      </c>
      <c r="F91" s="378" t="str">
        <f>IFERROR(__xludf.DUMMYFUNCTION("""COMPUTED_VALUE"""),"Federation")</f>
        <v>Federation</v>
      </c>
      <c r="G91" s="378" t="str">
        <f>IFERROR(__xludf.DUMMYFUNCTION("""COMPUTED_VALUE"""),"Science")</f>
        <v>Science</v>
      </c>
      <c r="H91" s="379" t="str">
        <f>IFERROR(__xludf.DUMMYFUNCTION("""COMPUTED_VALUE"""),"Mirror Universe Refinery, Independent Archive Recruit, Epic Wrath Recruit, Officer Depot Tokens")</f>
        <v>Mirror Universe Refinery, Independent Archive Recruit, Epic Wrath Recruit, Officer Depot Tokens</v>
      </c>
      <c r="I91" s="378">
        <f>IFERROR(__xludf.DUMMYFUNCTION("""COMPUTED_VALUE"""),4.0)</f>
        <v>4</v>
      </c>
      <c r="J91" s="2"/>
      <c r="K91" s="2"/>
    </row>
    <row r="92">
      <c r="A92" s="345"/>
      <c r="B92" s="385"/>
      <c r="C92" s="345"/>
      <c r="D92" s="377" t="str">
        <f>IFERROR(__xludf.DUMMYFUNCTION("""COMPUTED_VALUE"""),"Hugh")</f>
        <v>Hugh</v>
      </c>
      <c r="E92" s="378" t="str">
        <f>IFERROR(__xludf.DUMMYFUNCTION("""COMPUTED_VALUE"""),"Epic")</f>
        <v>Epic</v>
      </c>
      <c r="F92" s="378" t="str">
        <f>IFERROR(__xludf.DUMMYFUNCTION("""COMPUTED_VALUE"""),"Independent")</f>
        <v>Independent</v>
      </c>
      <c r="G92" s="378" t="str">
        <f>IFERROR(__xludf.DUMMYFUNCTION("""COMPUTED_VALUE"""),"Engineering")</f>
        <v>Engineering</v>
      </c>
      <c r="H92" s="379" t="str">
        <f>IFERROR(__xludf.DUMMYFUNCTION("""COMPUTED_VALUE"""),"Ultra Recruit, Transporter Patterns, Incursions, Rare/Epic Borg Solos, DTI Faction Store, Common Wrath Recruit, Augment Faction Store, AT Research Tree, Officer Depot Tokens")</f>
        <v>Ultra Recruit, Transporter Patterns, Incursions, Rare/Epic Borg Solos, DTI Faction Store, Common Wrath Recruit, Augment Faction Store, AT Research Tree, Officer Depot Tokens</v>
      </c>
      <c r="I92" s="378">
        <f>IFERROR(__xludf.DUMMYFUNCTION("""COMPUTED_VALUE"""),9.0)</f>
        <v>9</v>
      </c>
      <c r="J92" s="2"/>
      <c r="K92" s="2"/>
    </row>
    <row r="93">
      <c r="A93" s="345"/>
      <c r="B93" s="385"/>
      <c r="C93" s="345"/>
      <c r="D93" s="377" t="str">
        <f>IFERROR(__xludf.DUMMYFUNCTION("""COMPUTED_VALUE"""),"Icheb ")</f>
        <v>Icheb </v>
      </c>
      <c r="E93" s="378" t="str">
        <f>IFERROR(__xludf.DUMMYFUNCTION("""COMPUTED_VALUE"""),"Rare")</f>
        <v>Rare</v>
      </c>
      <c r="F93" s="378" t="str">
        <f>IFERROR(__xludf.DUMMYFUNCTION("""COMPUTED_VALUE"""),"Neutral")</f>
        <v>Neutral</v>
      </c>
      <c r="G93" s="378" t="str">
        <f>IFERROR(__xludf.DUMMYFUNCTION("""COMPUTED_VALUE"""),"Engineering")</f>
        <v>Engineering</v>
      </c>
      <c r="H93" s="379" t="str">
        <f>IFERROR(__xludf.DUMMYFUNCTION("""COMPUTED_VALUE"""),"Section 31 Faction Store, Officer Depot Tokens")</f>
        <v>Section 31 Faction Store, Officer Depot Tokens</v>
      </c>
      <c r="I93" s="378">
        <f>IFERROR(__xludf.DUMMYFUNCTION("""COMPUTED_VALUE"""),2.0)</f>
        <v>2</v>
      </c>
      <c r="J93" s="2"/>
      <c r="K93" s="2"/>
    </row>
    <row r="94">
      <c r="A94" s="345"/>
      <c r="B94" s="385"/>
      <c r="C94" s="345"/>
      <c r="D94" s="377" t="str">
        <f>IFERROR(__xludf.DUMMYFUNCTION("""COMPUTED_VALUE"""),"Ikat'ika")</f>
        <v>Ikat'ika</v>
      </c>
      <c r="E94" s="378" t="str">
        <f>IFERROR(__xludf.DUMMYFUNCTION("""COMPUTED_VALUE"""),"Rare")</f>
        <v>Rare</v>
      </c>
      <c r="F94" s="378" t="str">
        <f>IFERROR(__xludf.DUMMYFUNCTION("""COMPUTED_VALUE"""),"Independent")</f>
        <v>Independent</v>
      </c>
      <c r="G94" s="378" t="str">
        <f>IFERROR(__xludf.DUMMYFUNCTION("""COMPUTED_VALUE"""),"Science")</f>
        <v>Science</v>
      </c>
      <c r="H94" s="379" t="str">
        <f>IFERROR(__xludf.DUMMYFUNCTION("""COMPUTED_VALUE"""),"Ultra Recruit, Incursions, Section 31 Faction Store, Uncommon Wrath Recruit, Officer Depot Tokens")</f>
        <v>Ultra Recruit, Incursions, Section 31 Faction Store, Uncommon Wrath Recruit, Officer Depot Tokens</v>
      </c>
      <c r="I94" s="378">
        <f>IFERROR(__xludf.DUMMYFUNCTION("""COMPUTED_VALUE"""),5.0)</f>
        <v>5</v>
      </c>
      <c r="J94" s="2"/>
      <c r="K94" s="2"/>
    </row>
    <row r="95">
      <c r="A95" s="345"/>
      <c r="B95" s="385"/>
      <c r="C95" s="345"/>
      <c r="D95" s="377" t="str">
        <f>IFERROR(__xludf.DUMMYFUNCTION("""COMPUTED_VALUE"""),"Infiltrator Tuvok")</f>
        <v>Infiltrator Tuvok</v>
      </c>
      <c r="E95" s="378" t="str">
        <f>IFERROR(__xludf.DUMMYFUNCTION("""COMPUTED_VALUE"""),"Rare")</f>
        <v>Rare</v>
      </c>
      <c r="F95" s="378" t="str">
        <f>IFERROR(__xludf.DUMMYFUNCTION("""COMPUTED_VALUE"""),"Neutral")</f>
        <v>Neutral</v>
      </c>
      <c r="G95" s="378" t="str">
        <f>IFERROR(__xludf.DUMMYFUNCTION("""COMPUTED_VALUE"""),"Science")</f>
        <v>Science</v>
      </c>
      <c r="H95" s="379" t="str">
        <f>IFERROR(__xludf.DUMMYFUNCTION("""COMPUTED_VALUE"""),"Section 31 Faction Store, Officer Depot Tokens")</f>
        <v>Section 31 Faction Store, Officer Depot Tokens</v>
      </c>
      <c r="I95" s="378">
        <f>IFERROR(__xludf.DUMMYFUNCTION("""COMPUTED_VALUE"""),2.0)</f>
        <v>2</v>
      </c>
      <c r="J95" s="2"/>
      <c r="K95" s="2"/>
    </row>
    <row r="96">
      <c r="A96" s="345"/>
      <c r="B96" s="385"/>
      <c r="C96" s="345"/>
      <c r="D96" s="377" t="str">
        <f>IFERROR(__xludf.DUMMYFUNCTION("""COMPUTED_VALUE"""),"Instructor Spock")</f>
        <v>Instructor Spock</v>
      </c>
      <c r="E96" s="378" t="str">
        <f>IFERROR(__xludf.DUMMYFUNCTION("""COMPUTED_VALUE"""),"Common")</f>
        <v>Common</v>
      </c>
      <c r="F96" s="378" t="str">
        <f>IFERROR(__xludf.DUMMYFUNCTION("""COMPUTED_VALUE"""),"Federation")</f>
        <v>Federation</v>
      </c>
      <c r="G96" s="378" t="str">
        <f>IFERROR(__xludf.DUMMYFUNCTION("""COMPUTED_VALUE"""),"N/A")</f>
        <v>N/A</v>
      </c>
      <c r="H96" s="379" t="str">
        <f>IFERROR(__xludf.DUMMYFUNCTION("""COMPUTED_VALUE"""),"Standard Recruit")</f>
        <v>Standard Recruit</v>
      </c>
      <c r="I96" s="378">
        <f>IFERROR(__xludf.DUMMYFUNCTION("""COMPUTED_VALUE"""),1.0)</f>
        <v>1</v>
      </c>
      <c r="J96" s="2"/>
      <c r="K96" s="2"/>
    </row>
    <row r="97">
      <c r="A97" s="345"/>
      <c r="B97" s="385"/>
      <c r="C97" s="345"/>
      <c r="D97" s="377" t="str">
        <f>IFERROR(__xludf.DUMMYFUNCTION("""COMPUTED_VALUE"""),"Jack Ransom")</f>
        <v>Jack Ransom</v>
      </c>
      <c r="E97" s="378" t="str">
        <f>IFERROR(__xludf.DUMMYFUNCTION("""COMPUTED_VALUE"""),"Epic")</f>
        <v>Epic</v>
      </c>
      <c r="F97" s="378" t="str">
        <f>IFERROR(__xludf.DUMMYFUNCTION("""COMPUTED_VALUE"""),"Federation")</f>
        <v>Federation</v>
      </c>
      <c r="G97" s="378" t="str">
        <f>IFERROR(__xludf.DUMMYFUNCTION("""COMPUTED_VALUE"""),"Science")</f>
        <v>Science</v>
      </c>
      <c r="H97" s="379" t="str">
        <f>IFERROR(__xludf.DUMMYFUNCTION("""COMPUTED_VALUE"""),"Incursions, Monaveen Field Training, Alliance Tournament Store, Uncommon Wrath Recruit, Officer Depot Tokens")</f>
        <v>Incursions, Monaveen Field Training, Alliance Tournament Store, Uncommon Wrath Recruit, Officer Depot Tokens</v>
      </c>
      <c r="I97" s="378">
        <f>IFERROR(__xludf.DUMMYFUNCTION("""COMPUTED_VALUE"""),5.0)</f>
        <v>5</v>
      </c>
      <c r="J97" s="2"/>
      <c r="K97" s="2"/>
    </row>
    <row r="98">
      <c r="A98" s="345"/>
      <c r="B98" s="385"/>
      <c r="C98" s="345"/>
      <c r="D98" s="377" t="str">
        <f>IFERROR(__xludf.DUMMYFUNCTION("""COMPUTED_VALUE"""),"Jadzia Dax")</f>
        <v>Jadzia Dax</v>
      </c>
      <c r="E98" s="378" t="str">
        <f>IFERROR(__xludf.DUMMYFUNCTION("""COMPUTED_VALUE"""),"Epic")</f>
        <v>Epic</v>
      </c>
      <c r="F98" s="378" t="str">
        <f>IFERROR(__xludf.DUMMYFUNCTION("""COMPUTED_VALUE"""),"Federation")</f>
        <v>Federation</v>
      </c>
      <c r="G98" s="378" t="str">
        <f>IFERROR(__xludf.DUMMYFUNCTION("""COMPUTED_VALUE"""),"Engineering")</f>
        <v>Engineering</v>
      </c>
      <c r="H98" s="379" t="str">
        <f>IFERROR(__xludf.DUMMYFUNCTION("""COMPUTED_VALUE"""),"Ultra Recruit, Incursions, Vindicator Refinery, Uncommon P1ATA, Officer Depot Tokens")</f>
        <v>Ultra Recruit, Incursions, Vindicator Refinery, Uncommon P1ATA, Officer Depot Tokens</v>
      </c>
      <c r="I98" s="378">
        <f>IFERROR(__xludf.DUMMYFUNCTION("""COMPUTED_VALUE"""),5.0)</f>
        <v>5</v>
      </c>
      <c r="J98" s="2"/>
      <c r="K98" s="2"/>
    </row>
    <row r="99">
      <c r="A99" s="345"/>
      <c r="B99" s="385"/>
      <c r="C99" s="345"/>
      <c r="D99" s="377" t="str">
        <f>IFERROR(__xludf.DUMMYFUNCTION("""COMPUTED_VALUE"""),"Jason Nesmith")</f>
        <v>Jason Nesmith</v>
      </c>
      <c r="E99" s="378" t="str">
        <f>IFERROR(__xludf.DUMMYFUNCTION("""COMPUTED_VALUE"""),"Epic")</f>
        <v>Epic</v>
      </c>
      <c r="F99" s="378" t="str">
        <f>IFERROR(__xludf.DUMMYFUNCTION("""COMPUTED_VALUE"""),"Independent")</f>
        <v>Independent</v>
      </c>
      <c r="G99" s="378" t="str">
        <f>IFERROR(__xludf.DUMMYFUNCTION("""COMPUTED_VALUE"""),"Command")</f>
        <v>Command</v>
      </c>
      <c r="H99" s="379" t="str">
        <f>IFERROR(__xludf.DUMMYFUNCTION("""COMPUTED_VALUE"""),"Galactic Recruit, Independent Archive Recruit, Epic Wrath Recruit, Officer Depot Tokens")</f>
        <v>Galactic Recruit, Independent Archive Recruit, Epic Wrath Recruit, Officer Depot Tokens</v>
      </c>
      <c r="I99" s="378">
        <f>IFERROR(__xludf.DUMMYFUNCTION("""COMPUTED_VALUE"""),4.0)</f>
        <v>4</v>
      </c>
      <c r="J99" s="2"/>
      <c r="K99" s="2"/>
    </row>
    <row r="100">
      <c r="A100" s="345"/>
      <c r="B100" s="385"/>
      <c r="C100" s="345"/>
      <c r="D100" s="377" t="str">
        <f>IFERROR(__xludf.DUMMYFUNCTION("""COMPUTED_VALUE"""),"Javaid")</f>
        <v>Javaid</v>
      </c>
      <c r="E100" s="378" t="str">
        <f>IFERROR(__xludf.DUMMYFUNCTION("""COMPUTED_VALUE"""),"Uncommon")</f>
        <v>Uncommon</v>
      </c>
      <c r="F100" s="378" t="str">
        <f>IFERROR(__xludf.DUMMYFUNCTION("""COMPUTED_VALUE"""),"Romulan")</f>
        <v>Romulan</v>
      </c>
      <c r="G100" s="378" t="str">
        <f>IFERROR(__xludf.DUMMYFUNCTION("""COMPUTED_VALUE"""),"Command")</f>
        <v>Command</v>
      </c>
      <c r="H100" s="379" t="str">
        <f>IFERROR(__xludf.DUMMYFUNCTION("""COMPUTED_VALUE"""),"Standard Recruit, Premium Recruit, Romulan Recruit, Crucible of War, Crucible of War, Elite Romulan Recruit")</f>
        <v>Standard Recruit, Premium Recruit, Romulan Recruit, Crucible of War, Crucible of War, Elite Romulan Recruit</v>
      </c>
      <c r="I100" s="378">
        <f>IFERROR(__xludf.DUMMYFUNCTION("""COMPUTED_VALUE"""),5.0)</f>
        <v>5</v>
      </c>
      <c r="J100" s="2"/>
      <c r="K100" s="2"/>
    </row>
    <row r="101">
      <c r="A101" s="345"/>
      <c r="B101" s="385"/>
      <c r="C101" s="345"/>
      <c r="D101" s="377" t="str">
        <f>IFERROR(__xludf.DUMMYFUNCTION("""COMPUTED_VALUE"""),"Jaylah")</f>
        <v>Jaylah</v>
      </c>
      <c r="E101" s="378" t="str">
        <f>IFERROR(__xludf.DUMMYFUNCTION("""COMPUTED_VALUE"""),"Epic")</f>
        <v>Epic</v>
      </c>
      <c r="F101" s="378" t="str">
        <f>IFERROR(__xludf.DUMMYFUNCTION("""COMPUTED_VALUE"""),"Independent")</f>
        <v>Independent</v>
      </c>
      <c r="G101" s="378" t="str">
        <f>IFERROR(__xludf.DUMMYFUNCTION("""COMPUTED_VALUE"""),"Engineering")</f>
        <v>Engineering</v>
      </c>
      <c r="H101" s="379" t="str">
        <f>IFERROR(__xludf.DUMMYFUNCTION("""COMPUTED_VALUE"""),"Swarmadas")</f>
        <v>Swarmadas</v>
      </c>
      <c r="I101" s="378">
        <f>IFERROR(__xludf.DUMMYFUNCTION("""COMPUTED_VALUE"""),1.0)</f>
        <v>1</v>
      </c>
      <c r="J101" s="2"/>
      <c r="K101" s="2"/>
    </row>
    <row r="102">
      <c r="A102" s="345"/>
      <c r="B102" s="385"/>
      <c r="C102" s="345"/>
      <c r="D102" s="377" t="str">
        <f>IFERROR(__xludf.DUMMYFUNCTION("""COMPUTED_VALUE"""),"Jean-Luc Picard")</f>
        <v>Jean-Luc Picard</v>
      </c>
      <c r="E102" s="378" t="str">
        <f>IFERROR(__xludf.DUMMYFUNCTION("""COMPUTED_VALUE"""),"Epic")</f>
        <v>Epic</v>
      </c>
      <c r="F102" s="378" t="str">
        <f>IFERROR(__xludf.DUMMYFUNCTION("""COMPUTED_VALUE"""),"Federation")</f>
        <v>Federation</v>
      </c>
      <c r="G102" s="378" t="str">
        <f>IFERROR(__xludf.DUMMYFUNCTION("""COMPUTED_VALUE"""),"Command")</f>
        <v>Command</v>
      </c>
      <c r="H102" s="379" t="str">
        <f>IFERROR(__xludf.DUMMYFUNCTION("""COMPUTED_VALUE"""),"Transporter Patterns, Officer Depot Tokens")</f>
        <v>Transporter Patterns, Officer Depot Tokens</v>
      </c>
      <c r="I102" s="378">
        <f>IFERROR(__xludf.DUMMYFUNCTION("""COMPUTED_VALUE"""),2.0)</f>
        <v>2</v>
      </c>
      <c r="J102" s="2"/>
      <c r="K102" s="2"/>
    </row>
    <row r="103">
      <c r="A103" s="345"/>
      <c r="B103" s="385"/>
      <c r="C103" s="345"/>
      <c r="D103" s="377" t="str">
        <f>IFERROR(__xludf.DUMMYFUNCTION("""COMPUTED_VALUE"""),"Joachim")</f>
        <v>Joachim</v>
      </c>
      <c r="E103" s="378" t="str">
        <f>IFERROR(__xludf.DUMMYFUNCTION("""COMPUTED_VALUE"""),"Rare")</f>
        <v>Rare</v>
      </c>
      <c r="F103" s="378" t="str">
        <f>IFERROR(__xludf.DUMMYFUNCTION("""COMPUTED_VALUE"""),"Independent")</f>
        <v>Independent</v>
      </c>
      <c r="G103" s="378" t="str">
        <f>IFERROR(__xludf.DUMMYFUNCTION("""COMPUTED_VALUE"""),"Science")</f>
        <v>Science</v>
      </c>
      <c r="H103" s="379" t="str">
        <f>IFERROR(__xludf.DUMMYFUNCTION("""COMPUTED_VALUE"""),"Ultra Recruit, Augment Recruit, Apex Event Store")</f>
        <v>Ultra Recruit, Augment Recruit, Apex Event Store</v>
      </c>
      <c r="I103" s="378">
        <f>IFERROR(__xludf.DUMMYFUNCTION("""COMPUTED_VALUE"""),3.0)</f>
        <v>3</v>
      </c>
      <c r="J103" s="2"/>
      <c r="K103" s="2"/>
    </row>
    <row r="104">
      <c r="A104" s="345"/>
      <c r="B104" s="385"/>
      <c r="C104" s="345"/>
      <c r="D104" s="377" t="str">
        <f>IFERROR(__xludf.DUMMYFUNCTION("""COMPUTED_VALUE"""),"Joaquin")</f>
        <v>Joaquin</v>
      </c>
      <c r="E104" s="378" t="str">
        <f>IFERROR(__xludf.DUMMYFUNCTION("""COMPUTED_VALUE"""),"Uncommon")</f>
        <v>Uncommon</v>
      </c>
      <c r="F104" s="378" t="str">
        <f>IFERROR(__xludf.DUMMYFUNCTION("""COMPUTED_VALUE"""),"Independent")</f>
        <v>Independent</v>
      </c>
      <c r="G104" s="378" t="str">
        <f>IFERROR(__xludf.DUMMYFUNCTION("""COMPUTED_VALUE"""),"Command")</f>
        <v>Command</v>
      </c>
      <c r="H104" s="379" t="str">
        <f>IFERROR(__xludf.DUMMYFUNCTION("""COMPUTED_VALUE"""),"Augment Recruit, Apex Event Store")</f>
        <v>Augment Recruit, Apex Event Store</v>
      </c>
      <c r="I104" s="378">
        <f>IFERROR(__xludf.DUMMYFUNCTION("""COMPUTED_VALUE"""),2.0)</f>
        <v>2</v>
      </c>
      <c r="J104" s="2"/>
      <c r="K104" s="2"/>
    </row>
    <row r="105">
      <c r="A105" s="345"/>
      <c r="B105" s="385"/>
      <c r="C105" s="345"/>
      <c r="D105" s="377" t="str">
        <f>IFERROR(__xludf.DUMMYFUNCTION("""COMPUTED_VALUE"""),"Jonathan Archer")</f>
        <v>Jonathan Archer</v>
      </c>
      <c r="E105" s="378" t="str">
        <f>IFERROR(__xludf.DUMMYFUNCTION("""COMPUTED_VALUE"""),"Epic")</f>
        <v>Epic</v>
      </c>
      <c r="F105" s="378" t="str">
        <f>IFERROR(__xludf.DUMMYFUNCTION("""COMPUTED_VALUE"""),"Faction")</f>
        <v>Faction</v>
      </c>
      <c r="G105" s="378" t="str">
        <f>IFERROR(__xludf.DUMMYFUNCTION("""COMPUTED_VALUE"""),"Command")</f>
        <v>Command</v>
      </c>
      <c r="H105" s="379" t="str">
        <f>IFERROR(__xludf.DUMMYFUNCTION("""COMPUTED_VALUE"""),"Enterprise NX-01 Field Training, Mirror Universe Refinery, Independent Archive Recruit, Epic Wrath Recruit, Officer Depot Tokens")</f>
        <v>Enterprise NX-01 Field Training, Mirror Universe Refinery, Independent Archive Recruit, Epic Wrath Recruit, Officer Depot Tokens</v>
      </c>
      <c r="I105" s="378">
        <f>IFERROR(__xludf.DUMMYFUNCTION("""COMPUTED_VALUE"""),5.0)</f>
        <v>5</v>
      </c>
      <c r="J105" s="2"/>
      <c r="K105" s="2"/>
    </row>
    <row r="106">
      <c r="A106" s="345"/>
      <c r="B106" s="385"/>
      <c r="C106" s="345"/>
      <c r="D106" s="377" t="str">
        <f>IFERROR(__xludf.DUMMYFUNCTION("""COMPUTED_VALUE"""),"Julian Bashir")</f>
        <v>Julian Bashir</v>
      </c>
      <c r="E106" s="378" t="str">
        <f>IFERROR(__xludf.DUMMYFUNCTION("""COMPUTED_VALUE"""),"Rare")</f>
        <v>Rare</v>
      </c>
      <c r="F106" s="378" t="str">
        <f>IFERROR(__xludf.DUMMYFUNCTION("""COMPUTED_VALUE"""),"Federation")</f>
        <v>Federation</v>
      </c>
      <c r="G106" s="378" t="str">
        <f>IFERROR(__xludf.DUMMYFUNCTION("""COMPUTED_VALUE"""),"Command")</f>
        <v>Command</v>
      </c>
      <c r="H106" s="379" t="str">
        <f>IFERROR(__xludf.DUMMYFUNCTION("""COMPUTED_VALUE"""),"Ultra Recruit, Vindicator Refinery, Common P1ATA, Uncommon P1ATA, Officer Depot Tokens")</f>
        <v>Ultra Recruit, Vindicator Refinery, Common P1ATA, Uncommon P1ATA, Officer Depot Tokens</v>
      </c>
      <c r="I106" s="378">
        <f>IFERROR(__xludf.DUMMYFUNCTION("""COMPUTED_VALUE"""),5.0)</f>
        <v>5</v>
      </c>
      <c r="J106" s="2"/>
      <c r="K106" s="2"/>
    </row>
    <row r="107">
      <c r="A107" s="345"/>
      <c r="B107" s="385"/>
      <c r="C107" s="345"/>
      <c r="D107" s="377" t="str">
        <f>IFERROR(__xludf.DUMMYFUNCTION("""COMPUTED_VALUE"""),"K'Bisch")</f>
        <v>K'Bisch</v>
      </c>
      <c r="E107" s="378" t="str">
        <f>IFERROR(__xludf.DUMMYFUNCTION("""COMPUTED_VALUE"""),"Common")</f>
        <v>Common</v>
      </c>
      <c r="F107" s="378" t="str">
        <f>IFERROR(__xludf.DUMMYFUNCTION("""COMPUTED_VALUE"""),"Klingon")</f>
        <v>Klingon</v>
      </c>
      <c r="G107" s="378" t="str">
        <f>IFERROR(__xludf.DUMMYFUNCTION("""COMPUTED_VALUE"""),"N/A")</f>
        <v>N/A</v>
      </c>
      <c r="H107" s="379" t="str">
        <f>IFERROR(__xludf.DUMMYFUNCTION("""COMPUTED_VALUE"""),"Standard Recruit")</f>
        <v>Standard Recruit</v>
      </c>
      <c r="I107" s="378">
        <f>IFERROR(__xludf.DUMMYFUNCTION("""COMPUTED_VALUE"""),1.0)</f>
        <v>1</v>
      </c>
      <c r="J107" s="2"/>
      <c r="K107" s="2"/>
    </row>
    <row r="108">
      <c r="A108" s="345"/>
      <c r="B108" s="385"/>
      <c r="C108" s="345"/>
      <c r="D108" s="377" t="str">
        <f>IFERROR(__xludf.DUMMYFUNCTION("""COMPUTED_VALUE"""),"Kang")</f>
        <v>Kang</v>
      </c>
      <c r="E108" s="378" t="str">
        <f>IFERROR(__xludf.DUMMYFUNCTION("""COMPUTED_VALUE"""),"Epic")</f>
        <v>Epic</v>
      </c>
      <c r="F108" s="378" t="str">
        <f>IFERROR(__xludf.DUMMYFUNCTION("""COMPUTED_VALUE"""),"Klingon")</f>
        <v>Klingon</v>
      </c>
      <c r="G108" s="378" t="str">
        <f>IFERROR(__xludf.DUMMYFUNCTION("""COMPUTED_VALUE"""),"Command")</f>
        <v>Command</v>
      </c>
      <c r="H108" s="379" t="str">
        <f>IFERROR(__xludf.DUMMYFUNCTION("""COMPUTED_VALUE"""),"Premium Recruit, Ultra Recruit, Transporter Patterns, Crucible of War, Elite Klingon Recruit")</f>
        <v>Premium Recruit, Ultra Recruit, Transporter Patterns, Crucible of War, Elite Klingon Recruit</v>
      </c>
      <c r="I108" s="378">
        <f>IFERROR(__xludf.DUMMYFUNCTION("""COMPUTED_VALUE"""),5.0)</f>
        <v>5</v>
      </c>
      <c r="J108" s="2"/>
      <c r="K108" s="2"/>
    </row>
    <row r="109">
      <c r="A109" s="345"/>
      <c r="B109" s="385"/>
      <c r="C109" s="345"/>
      <c r="D109" s="377" t="str">
        <f>IFERROR(__xludf.DUMMYFUNCTION("""COMPUTED_VALUE"""),"Kathryn Janeway")</f>
        <v>Kathryn Janeway</v>
      </c>
      <c r="E109" s="378" t="str">
        <f>IFERROR(__xludf.DUMMYFUNCTION("""COMPUTED_VALUE"""),"Epic")</f>
        <v>Epic</v>
      </c>
      <c r="F109" s="378" t="str">
        <f>IFERROR(__xludf.DUMMYFUNCTION("""COMPUTED_VALUE"""),"Federation")</f>
        <v>Federation</v>
      </c>
      <c r="G109" s="378" t="str">
        <f>IFERROR(__xludf.DUMMYFUNCTION("""COMPUTED_VALUE"""),"Command")</f>
        <v>Command</v>
      </c>
      <c r="H109" s="379" t="str">
        <f>IFERROR(__xludf.DUMMYFUNCTION("""COMPUTED_VALUE"""),"Rare Formation Armadas, Voyager Field Training, Isomatter Refinery, Ex-Borg Faction Store, Independent Archive Recruit, Rare Wrath Recruit, Augment Faction Store, AT Research Tree, Officer Depot Tokens")</f>
        <v>Rare Formation Armadas, Voyager Field Training, Isomatter Refinery, Ex-Borg Faction Store, Independent Archive Recruit, Rare Wrath Recruit, Augment Faction Store, AT Research Tree, Officer Depot Tokens</v>
      </c>
      <c r="I109" s="378">
        <f>IFERROR(__xludf.DUMMYFUNCTION("""COMPUTED_VALUE"""),9.0)</f>
        <v>9</v>
      </c>
      <c r="J109" s="2"/>
      <c r="K109" s="2"/>
    </row>
    <row r="110">
      <c r="A110" s="345"/>
      <c r="B110" s="385"/>
      <c r="C110" s="345"/>
      <c r="D110" s="377" t="str">
        <f>IFERROR(__xludf.DUMMYFUNCTION("""COMPUTED_VALUE"""),"Kati")</f>
        <v>Kati</v>
      </c>
      <c r="E110" s="378" t="str">
        <f>IFERROR(__xludf.DUMMYFUNCTION("""COMPUTED_VALUE"""),"Uncommon")</f>
        <v>Uncommon</v>
      </c>
      <c r="F110" s="378" t="str">
        <f>IFERROR(__xludf.DUMMYFUNCTION("""COMPUTED_VALUE"""),"Independent")</f>
        <v>Independent</v>
      </c>
      <c r="G110" s="378" t="str">
        <f>IFERROR(__xludf.DUMMYFUNCTION("""COMPUTED_VALUE"""),"Science")</f>
        <v>Science</v>
      </c>
      <c r="H110" s="379" t="str">
        <f>IFERROR(__xludf.DUMMYFUNCTION("""COMPUTED_VALUE"""),"Augment Recruit, Apex Event Store")</f>
        <v>Augment Recruit, Apex Event Store</v>
      </c>
      <c r="I110" s="378">
        <f>IFERROR(__xludf.DUMMYFUNCTION("""COMPUTED_VALUE"""),2.0)</f>
        <v>2</v>
      </c>
      <c r="J110" s="2"/>
      <c r="K110" s="2"/>
    </row>
    <row r="111">
      <c r="A111" s="345"/>
      <c r="B111" s="385"/>
      <c r="C111" s="345"/>
      <c r="D111" s="377" t="str">
        <f>IFERROR(__xludf.DUMMYFUNCTION("""COMPUTED_VALUE"""),"Keenser")</f>
        <v>Keenser</v>
      </c>
      <c r="E111" s="378" t="str">
        <f>IFERROR(__xludf.DUMMYFUNCTION("""COMPUTED_VALUE"""),"Rare")</f>
        <v>Rare</v>
      </c>
      <c r="F111" s="378" t="str">
        <f>IFERROR(__xludf.DUMMYFUNCTION("""COMPUTED_VALUE"""),"Federation")</f>
        <v>Federation</v>
      </c>
      <c r="G111" s="378" t="str">
        <f>IFERROR(__xludf.DUMMYFUNCTION("""COMPUTED_VALUE"""),"Engineering")</f>
        <v>Engineering</v>
      </c>
      <c r="H111" s="379" t="str">
        <f>IFERROR(__xludf.DUMMYFUNCTION("""COMPUTED_VALUE"""),"7-Day Loyalty Chest")</f>
        <v>7-Day Loyalty Chest</v>
      </c>
      <c r="I111" s="378">
        <f>IFERROR(__xludf.DUMMYFUNCTION("""COMPUTED_VALUE"""),1.0)</f>
        <v>1</v>
      </c>
      <c r="J111" s="2"/>
      <c r="K111" s="2"/>
    </row>
    <row r="112">
      <c r="A112" s="345"/>
      <c r="B112" s="385"/>
      <c r="C112" s="345"/>
      <c r="D112" s="377" t="str">
        <f>IFERROR(__xludf.DUMMYFUNCTION("""COMPUTED_VALUE"""),"Kerla")</f>
        <v>Kerla</v>
      </c>
      <c r="E112" s="378" t="str">
        <f>IFERROR(__xludf.DUMMYFUNCTION("""COMPUTED_VALUE"""),"Rare")</f>
        <v>Rare</v>
      </c>
      <c r="F112" s="378" t="str">
        <f>IFERROR(__xludf.DUMMYFUNCTION("""COMPUTED_VALUE"""),"Klingon")</f>
        <v>Klingon</v>
      </c>
      <c r="G112" s="378" t="str">
        <f>IFERROR(__xludf.DUMMYFUNCTION("""COMPUTED_VALUE"""),"Engineering")</f>
        <v>Engineering</v>
      </c>
      <c r="H112" s="379" t="str">
        <f>IFERROR(__xludf.DUMMYFUNCTION("""COMPUTED_VALUE"""),"Premium Recruit, Ultra Recruit, Crucible of War, Elite Klingon Recruit")</f>
        <v>Premium Recruit, Ultra Recruit, Crucible of War, Elite Klingon Recruit</v>
      </c>
      <c r="I112" s="378">
        <f>IFERROR(__xludf.DUMMYFUNCTION("""COMPUTED_VALUE"""),4.0)</f>
        <v>4</v>
      </c>
      <c r="J112" s="2"/>
      <c r="K112" s="2"/>
    </row>
    <row r="113">
      <c r="A113" s="345"/>
      <c r="B113" s="385"/>
      <c r="C113" s="345"/>
      <c r="D113" s="377" t="str">
        <f>IFERROR(__xludf.DUMMYFUNCTION("""COMPUTED_VALUE"""),"Khan")</f>
        <v>Khan</v>
      </c>
      <c r="E113" s="378" t="str">
        <f>IFERROR(__xludf.DUMMYFUNCTION("""COMPUTED_VALUE"""),"Epic")</f>
        <v>Epic</v>
      </c>
      <c r="F113" s="378" t="str">
        <f>IFERROR(__xludf.DUMMYFUNCTION("""COMPUTED_VALUE"""),"Independent")</f>
        <v>Independent</v>
      </c>
      <c r="G113" s="378" t="str">
        <f>IFERROR(__xludf.DUMMYFUNCTION("""COMPUTED_VALUE"""),"Command")</f>
        <v>Command</v>
      </c>
      <c r="H113" s="379" t="str">
        <f>IFERROR(__xludf.DUMMYFUNCTION("""COMPUTED_VALUE"""),"Mission Key Recruit, Transporter Patterns, Augment Recruit, Apex Event Store, Threat from Beyond, DTI Faction Store, KhanQuest P1ATA")</f>
        <v>Mission Key Recruit, Transporter Patterns, Augment Recruit, Apex Event Store, Threat from Beyond, DTI Faction Store, KhanQuest P1ATA</v>
      </c>
      <c r="I113" s="378">
        <f>IFERROR(__xludf.DUMMYFUNCTION("""COMPUTED_VALUE"""),7.0)</f>
        <v>7</v>
      </c>
      <c r="J113" s="2"/>
      <c r="K113" s="2"/>
    </row>
    <row r="114">
      <c r="A114" s="345"/>
      <c r="B114" s="385"/>
      <c r="C114" s="345"/>
      <c r="D114" s="377" t="str">
        <f>IFERROR(__xludf.DUMMYFUNCTION("""COMPUTED_VALUE"""),"Kira Nerys")</f>
        <v>Kira Nerys</v>
      </c>
      <c r="E114" s="378" t="str">
        <f>IFERROR(__xludf.DUMMYFUNCTION("""COMPUTED_VALUE"""),"Rare")</f>
        <v>Rare</v>
      </c>
      <c r="F114" s="378" t="str">
        <f>IFERROR(__xludf.DUMMYFUNCTION("""COMPUTED_VALUE"""),"Federation")</f>
        <v>Federation</v>
      </c>
      <c r="G114" s="378" t="str">
        <f>IFERROR(__xludf.DUMMYFUNCTION("""COMPUTED_VALUE"""),"Science")</f>
        <v>Science</v>
      </c>
      <c r="H114" s="379" t="str">
        <f>IFERROR(__xludf.DUMMYFUNCTION("""COMPUTED_VALUE"""),"Ultra Recruit, Common P1ATA, Uncommon P1ATA, Officer Depot Tokens")</f>
        <v>Ultra Recruit, Common P1ATA, Uncommon P1ATA, Officer Depot Tokens</v>
      </c>
      <c r="I114" s="378">
        <f>IFERROR(__xludf.DUMMYFUNCTION("""COMPUTED_VALUE"""),4.0)</f>
        <v>4</v>
      </c>
      <c r="J114" s="2"/>
      <c r="K114" s="2"/>
    </row>
    <row r="115">
      <c r="A115" s="345"/>
      <c r="B115" s="385"/>
      <c r="C115" s="345"/>
      <c r="D115" s="377" t="str">
        <f>IFERROR(__xludf.DUMMYFUNCTION("""COMPUTED_VALUE"""),"Kirk")</f>
        <v>Kirk</v>
      </c>
      <c r="E115" s="378" t="str">
        <f>IFERROR(__xludf.DUMMYFUNCTION("""COMPUTED_VALUE"""),"Epic")</f>
        <v>Epic</v>
      </c>
      <c r="F115" s="378" t="str">
        <f>IFERROR(__xludf.DUMMYFUNCTION("""COMPUTED_VALUE"""),"Federation")</f>
        <v>Federation</v>
      </c>
      <c r="G115" s="378" t="str">
        <f>IFERROR(__xludf.DUMMYFUNCTION("""COMPUTED_VALUE"""),"Command")</f>
        <v>Command</v>
      </c>
      <c r="H115" s="379" t="str">
        <f>IFERROR(__xludf.DUMMYFUNCTION("""COMPUTED_VALUE"""),"Premium Recruit, Ultra Recruit, Transporter Patterns, Battle Simulator, Federation Recruit, Crucible of War, Elite Federation Recruit")</f>
        <v>Premium Recruit, Ultra Recruit, Transporter Patterns, Battle Simulator, Federation Recruit, Crucible of War, Elite Federation Recruit</v>
      </c>
      <c r="I115" s="378">
        <f>IFERROR(__xludf.DUMMYFUNCTION("""COMPUTED_VALUE"""),7.0)</f>
        <v>7</v>
      </c>
      <c r="J115" s="2"/>
      <c r="K115" s="2"/>
    </row>
    <row r="116">
      <c r="A116" s="345"/>
      <c r="B116" s="385"/>
      <c r="C116" s="345"/>
      <c r="D116" s="377" t="str">
        <f>IFERROR(__xludf.DUMMYFUNCTION("""COMPUTED_VALUE"""),"Klaa")</f>
        <v>Klaa</v>
      </c>
      <c r="E116" s="378" t="str">
        <f>IFERROR(__xludf.DUMMYFUNCTION("""COMPUTED_VALUE"""),"Uncommon")</f>
        <v>Uncommon</v>
      </c>
      <c r="F116" s="378" t="str">
        <f>IFERROR(__xludf.DUMMYFUNCTION("""COMPUTED_VALUE"""),"Klingon")</f>
        <v>Klingon</v>
      </c>
      <c r="G116" s="378" t="str">
        <f>IFERROR(__xludf.DUMMYFUNCTION("""COMPUTED_VALUE"""),"Command")</f>
        <v>Command</v>
      </c>
      <c r="H116" s="379" t="str">
        <f>IFERROR(__xludf.DUMMYFUNCTION("""COMPUTED_VALUE"""),"Standard Recruit, Premium Recruit, Crucible of War, Elite Klingon Recruit")</f>
        <v>Standard Recruit, Premium Recruit, Crucible of War, Elite Klingon Recruit</v>
      </c>
      <c r="I116" s="378">
        <f>IFERROR(__xludf.DUMMYFUNCTION("""COMPUTED_VALUE"""),4.0)</f>
        <v>4</v>
      </c>
      <c r="J116" s="2"/>
      <c r="K116" s="2"/>
    </row>
    <row r="117">
      <c r="A117" s="345"/>
      <c r="B117" s="385"/>
      <c r="C117" s="345"/>
      <c r="D117" s="377" t="str">
        <f>IFERROR(__xludf.DUMMYFUNCTION("""COMPUTED_VALUE"""),"Komal")</f>
        <v>Komal</v>
      </c>
      <c r="E117" s="378" t="str">
        <f>IFERROR(__xludf.DUMMYFUNCTION("""COMPUTED_VALUE"""),"Common")</f>
        <v>Common</v>
      </c>
      <c r="F117" s="378" t="str">
        <f>IFERROR(__xludf.DUMMYFUNCTION("""COMPUTED_VALUE"""),"Klingon")</f>
        <v>Klingon</v>
      </c>
      <c r="G117" s="378" t="str">
        <f>IFERROR(__xludf.DUMMYFUNCTION("""COMPUTED_VALUE"""),"N/A")</f>
        <v>N/A</v>
      </c>
      <c r="H117" s="379" t="str">
        <f>IFERROR(__xludf.DUMMYFUNCTION("""COMPUTED_VALUE"""),"Standard Recruit")</f>
        <v>Standard Recruit</v>
      </c>
      <c r="I117" s="378">
        <f>IFERROR(__xludf.DUMMYFUNCTION("""COMPUTED_VALUE"""),1.0)</f>
        <v>1</v>
      </c>
      <c r="J117" s="2"/>
      <c r="K117" s="2"/>
    </row>
    <row r="118">
      <c r="A118" s="345"/>
      <c r="B118" s="385"/>
      <c r="C118" s="345"/>
      <c r="D118" s="377" t="str">
        <f>IFERROR(__xludf.DUMMYFUNCTION("""COMPUTED_VALUE"""),"Koth")</f>
        <v>Koth</v>
      </c>
      <c r="E118" s="378" t="str">
        <f>IFERROR(__xludf.DUMMYFUNCTION("""COMPUTED_VALUE"""),"Uncommon")</f>
        <v>Uncommon</v>
      </c>
      <c r="F118" s="378" t="str">
        <f>IFERROR(__xludf.DUMMYFUNCTION("""COMPUTED_VALUE"""),"Klingon")</f>
        <v>Klingon</v>
      </c>
      <c r="G118" s="378" t="str">
        <f>IFERROR(__xludf.DUMMYFUNCTION("""COMPUTED_VALUE"""),"Engineering")</f>
        <v>Engineering</v>
      </c>
      <c r="H118" s="379" t="str">
        <f>IFERROR(__xludf.DUMMYFUNCTION("""COMPUTED_VALUE"""),"Standard Recruit, Premium Recruit, Crucible of War, Elite Klingon Recruit")</f>
        <v>Standard Recruit, Premium Recruit, Crucible of War, Elite Klingon Recruit</v>
      </c>
      <c r="I118" s="378">
        <f>IFERROR(__xludf.DUMMYFUNCTION("""COMPUTED_VALUE"""),4.0)</f>
        <v>4</v>
      </c>
      <c r="J118" s="2"/>
      <c r="K118" s="2"/>
    </row>
    <row r="119">
      <c r="A119" s="345"/>
      <c r="B119" s="385"/>
      <c r="C119" s="345"/>
      <c r="D119" s="377" t="str">
        <f>IFERROR(__xludf.DUMMYFUNCTION("""COMPUTED_VALUE"""),"Kras")</f>
        <v>Kras</v>
      </c>
      <c r="E119" s="378" t="str">
        <f>IFERROR(__xludf.DUMMYFUNCTION("""COMPUTED_VALUE"""),"Epic")</f>
        <v>Epic</v>
      </c>
      <c r="F119" s="378" t="str">
        <f>IFERROR(__xludf.DUMMYFUNCTION("""COMPUTED_VALUE"""),"Klingon")</f>
        <v>Klingon</v>
      </c>
      <c r="G119" s="378" t="str">
        <f>IFERROR(__xludf.DUMMYFUNCTION("""COMPUTED_VALUE"""),"Science")</f>
        <v>Science</v>
      </c>
      <c r="H119" s="379" t="str">
        <f>IFERROR(__xludf.DUMMYFUNCTION("""COMPUTED_VALUE"""),"Premium Recruit, Ultra Recruit, Transporter Patterns, ATAs, Elite Klingon Recruit")</f>
        <v>Premium Recruit, Ultra Recruit, Transporter Patterns, ATAs, Elite Klingon Recruit</v>
      </c>
      <c r="I119" s="378">
        <f>IFERROR(__xludf.DUMMYFUNCTION("""COMPUTED_VALUE"""),5.0)</f>
        <v>5</v>
      </c>
      <c r="J119" s="2"/>
      <c r="K119" s="2"/>
    </row>
    <row r="120">
      <c r="A120" s="345"/>
      <c r="B120" s="385"/>
      <c r="C120" s="345"/>
      <c r="D120" s="377" t="str">
        <f>IFERROR(__xludf.DUMMYFUNCTION("""COMPUTED_VALUE"""),"Krell")</f>
        <v>Krell</v>
      </c>
      <c r="E120" s="378" t="str">
        <f>IFERROR(__xludf.DUMMYFUNCTION("""COMPUTED_VALUE"""),"Rare")</f>
        <v>Rare</v>
      </c>
      <c r="F120" s="378" t="str">
        <f>IFERROR(__xludf.DUMMYFUNCTION("""COMPUTED_VALUE"""),"Klingon")</f>
        <v>Klingon</v>
      </c>
      <c r="G120" s="378" t="str">
        <f>IFERROR(__xludf.DUMMYFUNCTION("""COMPUTED_VALUE"""),"Engineering")</f>
        <v>Engineering</v>
      </c>
      <c r="H120" s="379" t="str">
        <f>IFERROR(__xludf.DUMMYFUNCTION("""COMPUTED_VALUE"""),"Premium Recruit, Ultra Recruit, Crucible of War, Elite Klingon Recruit")</f>
        <v>Premium Recruit, Ultra Recruit, Crucible of War, Elite Klingon Recruit</v>
      </c>
      <c r="I120" s="378">
        <f>IFERROR(__xludf.DUMMYFUNCTION("""COMPUTED_VALUE"""),4.0)</f>
        <v>4</v>
      </c>
      <c r="J120" s="2"/>
      <c r="K120" s="2"/>
    </row>
    <row r="121">
      <c r="A121" s="345"/>
      <c r="B121" s="385"/>
      <c r="C121" s="345"/>
      <c r="D121" s="377" t="str">
        <f>IFERROR(__xludf.DUMMYFUNCTION("""COMPUTED_VALUE"""),"Kumak")</f>
        <v>Kumak</v>
      </c>
      <c r="E121" s="378" t="str">
        <f>IFERROR(__xludf.DUMMYFUNCTION("""COMPUTED_VALUE"""),"Rare")</f>
        <v>Rare</v>
      </c>
      <c r="F121" s="378" t="str">
        <f>IFERROR(__xludf.DUMMYFUNCTION("""COMPUTED_VALUE"""),"Romulan")</f>
        <v>Romulan</v>
      </c>
      <c r="G121" s="378" t="str">
        <f>IFERROR(__xludf.DUMMYFUNCTION("""COMPUTED_VALUE"""),"Command")</f>
        <v>Command</v>
      </c>
      <c r="H121" s="379" t="str">
        <f>IFERROR(__xludf.DUMMYFUNCTION("""COMPUTED_VALUE"""),"Premium Recruit, Ultra Recruit, Elite Romulan Recruit")</f>
        <v>Premium Recruit, Ultra Recruit, Elite Romulan Recruit</v>
      </c>
      <c r="I121" s="378">
        <f>IFERROR(__xludf.DUMMYFUNCTION("""COMPUTED_VALUE"""),3.0)</f>
        <v>3</v>
      </c>
      <c r="J121" s="2"/>
      <c r="K121" s="2"/>
    </row>
    <row r="122">
      <c r="A122" s="345"/>
      <c r="B122" s="385"/>
      <c r="C122" s="345"/>
      <c r="D122" s="377" t="str">
        <f>IFERROR(__xludf.DUMMYFUNCTION("""COMPUTED_VALUE"""),"Kuron")</f>
        <v>Kuron</v>
      </c>
      <c r="E122" s="378" t="str">
        <f>IFERROR(__xludf.DUMMYFUNCTION("""COMPUTED_VALUE"""),"Rare")</f>
        <v>Rare</v>
      </c>
      <c r="F122" s="378" t="str">
        <f>IFERROR(__xludf.DUMMYFUNCTION("""COMPUTED_VALUE"""),"Klingon")</f>
        <v>Klingon</v>
      </c>
      <c r="G122" s="378" t="str">
        <f>IFERROR(__xludf.DUMMYFUNCTION("""COMPUTED_VALUE"""),"Command")</f>
        <v>Command</v>
      </c>
      <c r="H122" s="379" t="str">
        <f>IFERROR(__xludf.DUMMYFUNCTION("""COMPUTED_VALUE"""),"Ultra Recruit, Crucible of War, Elite Klingon Recruit, G4 Rare Armada Chests")</f>
        <v>Ultra Recruit, Crucible of War, Elite Klingon Recruit, G4 Rare Armada Chests</v>
      </c>
      <c r="I122" s="378">
        <f>IFERROR(__xludf.DUMMYFUNCTION("""COMPUTED_VALUE"""),4.0)</f>
        <v>4</v>
      </c>
      <c r="J122" s="2"/>
      <c r="K122" s="2"/>
    </row>
    <row r="123">
      <c r="A123" s="345"/>
      <c r="B123" s="385"/>
      <c r="C123" s="345"/>
      <c r="D123" s="377" t="str">
        <f>IFERROR(__xludf.DUMMYFUNCTION("""COMPUTED_VALUE"""),"L'Nar")</f>
        <v>L'Nar</v>
      </c>
      <c r="E123" s="378" t="str">
        <f>IFERROR(__xludf.DUMMYFUNCTION("""COMPUTED_VALUE"""),"Uncommon")</f>
        <v>Uncommon</v>
      </c>
      <c r="F123" s="378" t="str">
        <f>IFERROR(__xludf.DUMMYFUNCTION("""COMPUTED_VALUE"""),"Romulan")</f>
        <v>Romulan</v>
      </c>
      <c r="G123" s="378" t="str">
        <f>IFERROR(__xludf.DUMMYFUNCTION("""COMPUTED_VALUE"""),"Engineering")</f>
        <v>Engineering</v>
      </c>
      <c r="H123" s="379" t="str">
        <f>IFERROR(__xludf.DUMMYFUNCTION("""COMPUTED_VALUE"""),"Premium Recruit, Crucible of War, Elite Romulan Recruit")</f>
        <v>Premium Recruit, Crucible of War, Elite Romulan Recruit</v>
      </c>
      <c r="I123" s="378">
        <f>IFERROR(__xludf.DUMMYFUNCTION("""COMPUTED_VALUE"""),3.0)</f>
        <v>3</v>
      </c>
      <c r="J123" s="2"/>
      <c r="K123" s="2"/>
    </row>
    <row r="124">
      <c r="A124" s="345"/>
      <c r="B124" s="385"/>
      <c r="C124" s="345"/>
      <c r="D124" s="377" t="str">
        <f>IFERROR(__xludf.DUMMYFUNCTION("""COMPUTED_VALUE"""),"Laliari")</f>
        <v>Laliari</v>
      </c>
      <c r="E124" s="378" t="str">
        <f>IFERROR(__xludf.DUMMYFUNCTION("""COMPUTED_VALUE"""),"Uncommon")</f>
        <v>Uncommon</v>
      </c>
      <c r="F124" s="378" t="str">
        <f>IFERROR(__xludf.DUMMYFUNCTION("""COMPUTED_VALUE"""),"Independent")</f>
        <v>Independent</v>
      </c>
      <c r="G124" s="378" t="str">
        <f>IFERROR(__xludf.DUMMYFUNCTION("""COMPUTED_VALUE"""),"Engineering")</f>
        <v>Engineering</v>
      </c>
      <c r="H124" s="379" t="str">
        <f>IFERROR(__xludf.DUMMYFUNCTION("""COMPUTED_VALUE"""),"Galactic Recruit, Independent Archive Recruit, Epic Wrath Recruit, Officer Depot Tokens")</f>
        <v>Galactic Recruit, Independent Archive Recruit, Epic Wrath Recruit, Officer Depot Tokens</v>
      </c>
      <c r="I124" s="378">
        <f>IFERROR(__xludf.DUMMYFUNCTION("""COMPUTED_VALUE"""),4.0)</f>
        <v>4</v>
      </c>
      <c r="J124" s="2"/>
      <c r="K124" s="2"/>
    </row>
    <row r="125">
      <c r="A125" s="345"/>
      <c r="B125" s="385"/>
      <c r="C125" s="345"/>
      <c r="D125" s="377" t="str">
        <f>IFERROR(__xludf.DUMMYFUNCTION("""COMPUTED_VALUE"""),"Leslie")</f>
        <v>Leslie</v>
      </c>
      <c r="E125" s="378" t="str">
        <f>IFERROR(__xludf.DUMMYFUNCTION("""COMPUTED_VALUE"""),"Uncommon")</f>
        <v>Uncommon</v>
      </c>
      <c r="F125" s="378" t="str">
        <f>IFERROR(__xludf.DUMMYFUNCTION("""COMPUTED_VALUE"""),"Federation")</f>
        <v>Federation</v>
      </c>
      <c r="G125" s="378" t="str">
        <f>IFERROR(__xludf.DUMMYFUNCTION("""COMPUTED_VALUE"""),"N/A")</f>
        <v>N/A</v>
      </c>
      <c r="H125" s="377" t="str">
        <f>IFERROR(__xludf.DUMMYFUNCTION("""COMPUTED_VALUE"""),"Crucible of War, Elite Federation Recruit, DTI Faction Store, Common Wrath Recruit")</f>
        <v>Crucible of War, Elite Federation Recruit, DTI Faction Store, Common Wrath Recruit</v>
      </c>
      <c r="I125" s="378">
        <f>IFERROR(__xludf.DUMMYFUNCTION("""COMPUTED_VALUE"""),4.0)</f>
        <v>4</v>
      </c>
      <c r="J125" s="2"/>
      <c r="K125" s="2"/>
    </row>
    <row r="126">
      <c r="A126" s="345"/>
      <c r="B126" s="385"/>
      <c r="C126" s="345"/>
      <c r="D126" s="377" t="str">
        <f>IFERROR(__xludf.DUMMYFUNCTION("""COMPUTED_VALUE"""),"Lieutenant Picard")</f>
        <v>Lieutenant Picard</v>
      </c>
      <c r="E126" s="378" t="str">
        <f>IFERROR(__xludf.DUMMYFUNCTION("""COMPUTED_VALUE"""),"Rare")</f>
        <v>Rare</v>
      </c>
      <c r="F126" s="378" t="str">
        <f>IFERROR(__xludf.DUMMYFUNCTION("""COMPUTED_VALUE"""),"Federation")</f>
        <v>Federation</v>
      </c>
      <c r="G126" s="378" t="str">
        <f>IFERROR(__xludf.DUMMYFUNCTION("""COMPUTED_VALUE"""),"Science")</f>
        <v>Science</v>
      </c>
      <c r="H126" s="379" t="str">
        <f>IFERROR(__xludf.DUMMYFUNCTION("""COMPUTED_VALUE"""),"")</f>
        <v/>
      </c>
      <c r="I126" s="378">
        <f>IFERROR(__xludf.DUMMYFUNCTION("""COMPUTED_VALUE"""),0.0)</f>
        <v>0</v>
      </c>
      <c r="J126" s="2"/>
      <c r="K126" s="2"/>
    </row>
    <row r="127">
      <c r="A127" s="345"/>
      <c r="B127" s="385"/>
      <c r="C127" s="345"/>
      <c r="D127" s="377" t="str">
        <f>IFERROR(__xludf.DUMMYFUNCTION("""COMPUTED_VALUE"""),"Linkasa")</f>
        <v>Linkasa</v>
      </c>
      <c r="E127" s="378" t="str">
        <f>IFERROR(__xludf.DUMMYFUNCTION("""COMPUTED_VALUE"""),"Uncommon")</f>
        <v>Uncommon</v>
      </c>
      <c r="F127" s="378" t="str">
        <f>IFERROR(__xludf.DUMMYFUNCTION("""COMPUTED_VALUE"""),"Klingon")</f>
        <v>Klingon</v>
      </c>
      <c r="G127" s="378" t="str">
        <f>IFERROR(__xludf.DUMMYFUNCTION("""COMPUTED_VALUE"""),"Engineering")</f>
        <v>Engineering</v>
      </c>
      <c r="H127" s="379" t="str">
        <f>IFERROR(__xludf.DUMMYFUNCTION("""COMPUTED_VALUE"""),"Premium Recruit, Crucible of War, Elite Klingon Recruit")</f>
        <v>Premium Recruit, Crucible of War, Elite Klingon Recruit</v>
      </c>
      <c r="I127" s="378">
        <f>IFERROR(__xludf.DUMMYFUNCTION("""COMPUTED_VALUE"""),3.0)</f>
        <v>3</v>
      </c>
      <c r="J127" s="2"/>
      <c r="K127" s="2"/>
    </row>
    <row r="128">
      <c r="A128" s="345"/>
      <c r="B128" s="385"/>
      <c r="C128" s="345"/>
      <c r="D128" s="377" t="str">
        <f>IFERROR(__xludf.DUMMYFUNCTION("""COMPUTED_VALUE"""),"Livis")</f>
        <v>Livis</v>
      </c>
      <c r="E128" s="378" t="str">
        <f>IFERROR(__xludf.DUMMYFUNCTION("""COMPUTED_VALUE"""),"Rare")</f>
        <v>Rare</v>
      </c>
      <c r="F128" s="378" t="str">
        <f>IFERROR(__xludf.DUMMYFUNCTION("""COMPUTED_VALUE"""),"Romulan")</f>
        <v>Romulan</v>
      </c>
      <c r="G128" s="378" t="str">
        <f>IFERROR(__xludf.DUMMYFUNCTION("""COMPUTED_VALUE"""),"Engineering")</f>
        <v>Engineering</v>
      </c>
      <c r="H128" s="379" t="str">
        <f>IFERROR(__xludf.DUMMYFUNCTION("""COMPUTED_VALUE"""),"Premium Recruit, Ultra Recruit, ATAs, Crucible of War, Elite Romulan Recruit")</f>
        <v>Premium Recruit, Ultra Recruit, ATAs, Crucible of War, Elite Romulan Recruit</v>
      </c>
      <c r="I128" s="378">
        <f>IFERROR(__xludf.DUMMYFUNCTION("""COMPUTED_VALUE"""),5.0)</f>
        <v>5</v>
      </c>
      <c r="J128" s="2"/>
      <c r="K128" s="2"/>
    </row>
    <row r="129">
      <c r="A129" s="345"/>
      <c r="B129" s="385"/>
      <c r="C129" s="345"/>
      <c r="D129" s="377" t="str">
        <f>IFERROR(__xludf.DUMMYFUNCTION("""COMPUTED_VALUE"""),"Lorca")</f>
        <v>Lorca</v>
      </c>
      <c r="E129" s="378" t="str">
        <f>IFERROR(__xludf.DUMMYFUNCTION("""COMPUTED_VALUE"""),"Epic")</f>
        <v>Epic</v>
      </c>
      <c r="F129" s="378" t="str">
        <f>IFERROR(__xludf.DUMMYFUNCTION("""COMPUTED_VALUE"""),"Independent")</f>
        <v>Independent</v>
      </c>
      <c r="G129" s="378" t="str">
        <f>IFERROR(__xludf.DUMMYFUNCTION("""COMPUTED_VALUE"""),"Science")</f>
        <v>Science</v>
      </c>
      <c r="H129" s="379" t="str">
        <f>IFERROR(__xludf.DUMMYFUNCTION("""COMPUTED_VALUE"""),"Ultra Recruit, Transporter Patterns, Discovery Recruit, Discovery Recruit (Section 31 Refit), G4 Rare Armada Chests")</f>
        <v>Ultra Recruit, Transporter Patterns, Discovery Recruit, Discovery Recruit (Section 31 Refit), G4 Rare Armada Chests</v>
      </c>
      <c r="I129" s="378">
        <f>IFERROR(__xludf.DUMMYFUNCTION("""COMPUTED_VALUE"""),5.0)</f>
        <v>5</v>
      </c>
      <c r="J129" s="2"/>
      <c r="K129" s="2"/>
    </row>
    <row r="130">
      <c r="A130" s="345"/>
      <c r="B130" s="385"/>
      <c r="C130" s="345"/>
      <c r="D130" s="377" t="str">
        <f>IFERROR(__xludf.DUMMYFUNCTION("""COMPUTED_VALUE"""),"Lursa")</f>
        <v>Lursa</v>
      </c>
      <c r="E130" s="378" t="str">
        <f>IFERROR(__xludf.DUMMYFUNCTION("""COMPUTED_VALUE"""),"Uncommon")</f>
        <v>Uncommon</v>
      </c>
      <c r="F130" s="378" t="str">
        <f>IFERROR(__xludf.DUMMYFUNCTION("""COMPUTED_VALUE"""),"Romulan")</f>
        <v>Romulan</v>
      </c>
      <c r="G130" s="378" t="str">
        <f>IFERROR(__xludf.DUMMYFUNCTION("""COMPUTED_VALUE"""),"Engineering")</f>
        <v>Engineering</v>
      </c>
      <c r="H130" s="379" t="str">
        <f>IFERROR(__xludf.DUMMYFUNCTION("""COMPUTED_VALUE"""),"Crucible of War, Elite Romulan Recruit")</f>
        <v>Crucible of War, Elite Romulan Recruit</v>
      </c>
      <c r="I130" s="378">
        <f>IFERROR(__xludf.DUMMYFUNCTION("""COMPUTED_VALUE"""),2.0)</f>
        <v>2</v>
      </c>
      <c r="J130" s="2"/>
      <c r="K130" s="2"/>
    </row>
    <row r="131">
      <c r="A131" s="345"/>
      <c r="B131" s="385"/>
      <c r="C131" s="345"/>
      <c r="D131" s="377" t="str">
        <f>IFERROR(__xludf.DUMMYFUNCTION("""COMPUTED_VALUE"""),"M'Benga")</f>
        <v>M'Benga</v>
      </c>
      <c r="E131" s="378" t="str">
        <f>IFERROR(__xludf.DUMMYFUNCTION("""COMPUTED_VALUE"""),"Common")</f>
        <v>Common</v>
      </c>
      <c r="F131" s="378" t="str">
        <f>IFERROR(__xludf.DUMMYFUNCTION("""COMPUTED_VALUE"""),"Federation")</f>
        <v>Federation</v>
      </c>
      <c r="G131" s="378" t="str">
        <f>IFERROR(__xludf.DUMMYFUNCTION("""COMPUTED_VALUE"""),"N/A")</f>
        <v>N/A</v>
      </c>
      <c r="H131" s="379" t="str">
        <f>IFERROR(__xludf.DUMMYFUNCTION("""COMPUTED_VALUE"""),"Standard Recruit")</f>
        <v>Standard Recruit</v>
      </c>
      <c r="I131" s="378">
        <f>IFERROR(__xludf.DUMMYFUNCTION("""COMPUTED_VALUE"""),1.0)</f>
        <v>1</v>
      </c>
      <c r="J131" s="2"/>
      <c r="K131" s="2"/>
    </row>
    <row r="132">
      <c r="A132" s="345"/>
      <c r="B132" s="385"/>
      <c r="C132" s="345"/>
      <c r="D132" s="377" t="str">
        <f>IFERROR(__xludf.DUMMYFUNCTION("""COMPUTED_VALUE"""),"M'Ral")</f>
        <v>M'Ral</v>
      </c>
      <c r="E132" s="378" t="str">
        <f>IFERROR(__xludf.DUMMYFUNCTION("""COMPUTED_VALUE"""),"Uncommon")</f>
        <v>Uncommon</v>
      </c>
      <c r="F132" s="378" t="str">
        <f>IFERROR(__xludf.DUMMYFUNCTION("""COMPUTED_VALUE"""),"Klingon")</f>
        <v>Klingon</v>
      </c>
      <c r="G132" s="378" t="str">
        <f>IFERROR(__xludf.DUMMYFUNCTION("""COMPUTED_VALUE"""),"Command")</f>
        <v>Command</v>
      </c>
      <c r="H132" s="379" t="str">
        <f>IFERROR(__xludf.DUMMYFUNCTION("""COMPUTED_VALUE"""),"Standard Recruit, Premium Recruit, Crucible of War, Elite Klingon Recruit")</f>
        <v>Standard Recruit, Premium Recruit, Crucible of War, Elite Klingon Recruit</v>
      </c>
      <c r="I132" s="378">
        <f>IFERROR(__xludf.DUMMYFUNCTION("""COMPUTED_VALUE"""),4.0)</f>
        <v>4</v>
      </c>
      <c r="J132" s="2"/>
      <c r="K132" s="2"/>
    </row>
    <row r="133">
      <c r="A133" s="345"/>
      <c r="B133" s="385"/>
      <c r="C133" s="345"/>
      <c r="D133" s="377" t="str">
        <f>IFERROR(__xludf.DUMMYFUNCTION("""COMPUTED_VALUE"""),"Mäkinen")</f>
        <v>Mäkinen</v>
      </c>
      <c r="E133" s="378" t="str">
        <f>IFERROR(__xludf.DUMMYFUNCTION("""COMPUTED_VALUE"""),"Uncommon")</f>
        <v>Uncommon</v>
      </c>
      <c r="F133" s="378" t="str">
        <f>IFERROR(__xludf.DUMMYFUNCTION("""COMPUTED_VALUE"""),"Federation")</f>
        <v>Federation</v>
      </c>
      <c r="G133" s="378" t="str">
        <f>IFERROR(__xludf.DUMMYFUNCTION("""COMPUTED_VALUE"""),"Science")</f>
        <v>Science</v>
      </c>
      <c r="H133" s="379" t="str">
        <f>IFERROR(__xludf.DUMMYFUNCTION("""COMPUTED_VALUE"""),"Crucible of War")</f>
        <v>Crucible of War</v>
      </c>
      <c r="I133" s="378">
        <f>IFERROR(__xludf.DUMMYFUNCTION("""COMPUTED_VALUE"""),1.0)</f>
        <v>1</v>
      </c>
      <c r="J133" s="2"/>
      <c r="K133" s="2"/>
    </row>
    <row r="134">
      <c r="A134" s="345"/>
      <c r="B134" s="385"/>
      <c r="C134" s="345"/>
      <c r="D134" s="377" t="str">
        <f>IFERROR(__xludf.DUMMYFUNCTION("""COMPUTED_VALUE"""),"Mara")</f>
        <v>Mara</v>
      </c>
      <c r="E134" s="378" t="str">
        <f>IFERROR(__xludf.DUMMYFUNCTION("""COMPUTED_VALUE"""),"Rare")</f>
        <v>Rare</v>
      </c>
      <c r="F134" s="378" t="str">
        <f>IFERROR(__xludf.DUMMYFUNCTION("""COMPUTED_VALUE"""),"Klingon")</f>
        <v>Klingon</v>
      </c>
      <c r="G134" s="378" t="str">
        <f>IFERROR(__xludf.DUMMYFUNCTION("""COMPUTED_VALUE"""),"Science")</f>
        <v>Science</v>
      </c>
      <c r="H134" s="379" t="str">
        <f>IFERROR(__xludf.DUMMYFUNCTION("""COMPUTED_VALUE"""),"Premium Recruit, Ultra Recruit, Threat from Beyond, Crucible of War, Elite Klingon Recruit")</f>
        <v>Premium Recruit, Ultra Recruit, Threat from Beyond, Crucible of War, Elite Klingon Recruit</v>
      </c>
      <c r="I134" s="378">
        <f>IFERROR(__xludf.DUMMYFUNCTION("""COMPUTED_VALUE"""),5.0)</f>
        <v>5</v>
      </c>
      <c r="J134" s="2"/>
      <c r="K134" s="2"/>
    </row>
    <row r="135">
      <c r="A135" s="345"/>
      <c r="B135" s="385"/>
      <c r="C135" s="345"/>
      <c r="D135" s="377" t="str">
        <f>IFERROR(__xludf.DUMMYFUNCTION("""COMPUTED_VALUE"""),"Marcus")</f>
        <v>Marcus</v>
      </c>
      <c r="E135" s="378" t="str">
        <f>IFERROR(__xludf.DUMMYFUNCTION("""COMPUTED_VALUE"""),"Epic")</f>
        <v>Epic</v>
      </c>
      <c r="F135" s="378" t="str">
        <f>IFERROR(__xludf.DUMMYFUNCTION("""COMPUTED_VALUE"""),"Federation")</f>
        <v>Federation</v>
      </c>
      <c r="G135" s="378" t="str">
        <f>IFERROR(__xludf.DUMMYFUNCTION("""COMPUTED_VALUE"""),"Command")</f>
        <v>Command</v>
      </c>
      <c r="H135" s="379" t="str">
        <f>IFERROR(__xludf.DUMMYFUNCTION("""COMPUTED_VALUE"""),"Premium Recruit, Ultra Recruit, Transporter Patterns, Incursions, Crucible of War, Elite Federation Recruit")</f>
        <v>Premium Recruit, Ultra Recruit, Transporter Patterns, Incursions, Crucible of War, Elite Federation Recruit</v>
      </c>
      <c r="I135" s="378">
        <f>IFERROR(__xludf.DUMMYFUNCTION("""COMPUTED_VALUE"""),6.0)</f>
        <v>6</v>
      </c>
      <c r="J135" s="2"/>
      <c r="K135" s="2"/>
    </row>
    <row r="136">
      <c r="A136" s="345"/>
      <c r="B136" s="385"/>
      <c r="C136" s="345"/>
      <c r="D136" s="377" t="str">
        <f>IFERROR(__xludf.DUMMYFUNCTION("""COMPUTED_VALUE"""),"Mariachi Q")</f>
        <v>Mariachi Q</v>
      </c>
      <c r="E136" s="378" t="str">
        <f>IFERROR(__xludf.DUMMYFUNCTION("""COMPUTED_VALUE"""),"Rare")</f>
        <v>Rare</v>
      </c>
      <c r="F136" s="378" t="str">
        <f>IFERROR(__xludf.DUMMYFUNCTION("""COMPUTED_VALUE"""),"Independent")</f>
        <v>Independent</v>
      </c>
      <c r="G136" s="378" t="str">
        <f>IFERROR(__xludf.DUMMYFUNCTION("""COMPUTED_VALUE"""),"Science")</f>
        <v>Science</v>
      </c>
      <c r="H136" s="379" t="str">
        <f>IFERROR(__xludf.DUMMYFUNCTION("""COMPUTED_VALUE"""),"Section 31 Faction Store, Officer Depot Tokens")</f>
        <v>Section 31 Faction Store, Officer Depot Tokens</v>
      </c>
      <c r="I136" s="378">
        <f>IFERROR(__xludf.DUMMYFUNCTION("""COMPUTED_VALUE"""),2.0)</f>
        <v>2</v>
      </c>
      <c r="J136" s="2"/>
      <c r="K136" s="2"/>
    </row>
    <row r="137">
      <c r="A137" s="345"/>
      <c r="B137" s="385"/>
      <c r="C137" s="345"/>
      <c r="D137" s="377" t="str">
        <f>IFERROR(__xludf.DUMMYFUNCTION("""COMPUTED_VALUE"""),"Marla")</f>
        <v>Marla</v>
      </c>
      <c r="E137" s="378" t="str">
        <f>IFERROR(__xludf.DUMMYFUNCTION("""COMPUTED_VALUE"""),"Rare")</f>
        <v>Rare</v>
      </c>
      <c r="F137" s="378" t="str">
        <f>IFERROR(__xludf.DUMMYFUNCTION("""COMPUTED_VALUE"""),"Federation")</f>
        <v>Federation</v>
      </c>
      <c r="G137" s="378" t="str">
        <f>IFERROR(__xludf.DUMMYFUNCTION("""COMPUTED_VALUE"""),"Engineering")</f>
        <v>Engineering</v>
      </c>
      <c r="H137" s="379" t="str">
        <f>IFERROR(__xludf.DUMMYFUNCTION("""COMPUTED_VALUE"""),"Ultra Recruit, Augment Recruit, Apex Event Store")</f>
        <v>Ultra Recruit, Augment Recruit, Apex Event Store</v>
      </c>
      <c r="I137" s="378">
        <f>IFERROR(__xludf.DUMMYFUNCTION("""COMPUTED_VALUE"""),3.0)</f>
        <v>3</v>
      </c>
      <c r="J137" s="2"/>
      <c r="K137" s="2"/>
    </row>
    <row r="138">
      <c r="A138" s="345"/>
      <c r="B138" s="385"/>
      <c r="C138" s="345"/>
      <c r="D138" s="377" t="str">
        <f>IFERROR(__xludf.DUMMYFUNCTION("""COMPUTED_VALUE"""),"Martok")</f>
        <v>Martok</v>
      </c>
      <c r="E138" s="378" t="str">
        <f>IFERROR(__xludf.DUMMYFUNCTION("""COMPUTED_VALUE"""),"Rare")</f>
        <v>Rare</v>
      </c>
      <c r="F138" s="378" t="str">
        <f>IFERROR(__xludf.DUMMYFUNCTION("""COMPUTED_VALUE"""),"Klingon")</f>
        <v>Klingon</v>
      </c>
      <c r="G138" s="378" t="str">
        <f>IFERROR(__xludf.DUMMYFUNCTION("""COMPUTED_VALUE"""),"Engineering")</f>
        <v>Engineering</v>
      </c>
      <c r="H138" s="379" t="str">
        <f>IFERROR(__xludf.DUMMYFUNCTION("""COMPUTED_VALUE"""),"Ultra Recruit, Crucible of War, Elite Klingon Recruit")</f>
        <v>Ultra Recruit, Crucible of War, Elite Klingon Recruit</v>
      </c>
      <c r="I138" s="378">
        <f>IFERROR(__xludf.DUMMYFUNCTION("""COMPUTED_VALUE"""),3.0)</f>
        <v>3</v>
      </c>
      <c r="J138" s="2"/>
      <c r="K138" s="2"/>
    </row>
    <row r="139">
      <c r="A139" s="345"/>
      <c r="B139" s="385"/>
      <c r="C139" s="345"/>
      <c r="D139" s="377" t="str">
        <f>IFERROR(__xludf.DUMMYFUNCTION("""COMPUTED_VALUE"""),"Masriad Vael")</f>
        <v>Masriad Vael</v>
      </c>
      <c r="E139" s="378" t="str">
        <f>IFERROR(__xludf.DUMMYFUNCTION("""COMPUTED_VALUE"""),"Epic")</f>
        <v>Epic</v>
      </c>
      <c r="F139" s="378" t="str">
        <f>IFERROR(__xludf.DUMMYFUNCTION("""COMPUTED_VALUE"""),"Independent")</f>
        <v>Independent</v>
      </c>
      <c r="G139" s="378" t="str">
        <f>IFERROR(__xludf.DUMMYFUNCTION("""COMPUTED_VALUE"""),"Command")</f>
        <v>Command</v>
      </c>
      <c r="H139" s="379" t="str">
        <f>IFERROR(__xludf.DUMMYFUNCTION("""COMPUTED_VALUE"""),"Galactic Recruit, Vindicator Refinery (with Refit), DTI Faction Store, Epic Wrath Recruit, Officer Depot Tokens")</f>
        <v>Galactic Recruit, Vindicator Refinery (with Refit), DTI Faction Store, Epic Wrath Recruit, Officer Depot Tokens</v>
      </c>
      <c r="I139" s="378">
        <f>IFERROR(__xludf.DUMMYFUNCTION("""COMPUTED_VALUE"""),5.0)</f>
        <v>5</v>
      </c>
      <c r="J139" s="2"/>
      <c r="K139" s="2"/>
    </row>
    <row r="140">
      <c r="A140" s="345"/>
      <c r="B140" s="385"/>
      <c r="C140" s="345"/>
      <c r="D140" s="377" t="str">
        <f>IFERROR(__xludf.DUMMYFUNCTION("""COMPUTED_VALUE"""),"Mavery")</f>
        <v>Mavery</v>
      </c>
      <c r="E140" s="378" t="str">
        <f>IFERROR(__xludf.DUMMYFUNCTION("""COMPUTED_VALUE"""),"Epic")</f>
        <v>Epic</v>
      </c>
      <c r="F140" s="378" t="str">
        <f>IFERROR(__xludf.DUMMYFUNCTION("""COMPUTED_VALUE"""),"Independent")</f>
        <v>Independent</v>
      </c>
      <c r="G140" s="378" t="str">
        <f>IFERROR(__xludf.DUMMYFUNCTION("""COMPUTED_VALUE"""),"Science")</f>
        <v>Science</v>
      </c>
      <c r="H140" s="379" t="str">
        <f>IFERROR(__xludf.DUMMYFUNCTION("""COMPUTED_VALUE"""),"Syndicate 26+, Epic Wrath Recruit")</f>
        <v>Syndicate 26+, Epic Wrath Recruit</v>
      </c>
      <c r="I140" s="378">
        <f>IFERROR(__xludf.DUMMYFUNCTION("""COMPUTED_VALUE"""),2.0)</f>
        <v>2</v>
      </c>
      <c r="J140" s="2"/>
      <c r="K140" s="2"/>
    </row>
    <row r="141">
      <c r="A141" s="345"/>
      <c r="B141" s="385"/>
      <c r="C141" s="345"/>
      <c r="D141" s="377" t="str">
        <f>IFERROR(__xludf.DUMMYFUNCTION("""COMPUTED_VALUE"""),"Michael Burnham")</f>
        <v>Michael Burnham</v>
      </c>
      <c r="E141" s="378" t="str">
        <f>IFERROR(__xludf.DUMMYFUNCTION("""COMPUTED_VALUE"""),"Epic")</f>
        <v>Epic</v>
      </c>
      <c r="F141" s="378" t="str">
        <f>IFERROR(__xludf.DUMMYFUNCTION("""COMPUTED_VALUE"""),"Federation")</f>
        <v>Federation</v>
      </c>
      <c r="G141" s="378" t="str">
        <f>IFERROR(__xludf.DUMMYFUNCTION("""COMPUTED_VALUE"""),"Science")</f>
        <v>Science</v>
      </c>
      <c r="H141" s="379" t="str">
        <f>IFERROR(__xludf.DUMMYFUNCTION("""COMPUTED_VALUE"""),"Ultra Recruit, Transporter Patterns, ATAs, Discovery Recruit, Crucible of War")</f>
        <v>Ultra Recruit, Transporter Patterns, ATAs, Discovery Recruit, Crucible of War</v>
      </c>
      <c r="I141" s="378">
        <f>IFERROR(__xludf.DUMMYFUNCTION("""COMPUTED_VALUE"""),5.0)</f>
        <v>5</v>
      </c>
      <c r="J141" s="2"/>
      <c r="K141" s="2"/>
    </row>
    <row r="142">
      <c r="A142" s="345"/>
      <c r="B142" s="385"/>
      <c r="C142" s="345"/>
      <c r="D142" s="377" t="str">
        <f>IFERROR(__xludf.DUMMYFUNCTION("""COMPUTED_VALUE"""),"Miles O'Brien")</f>
        <v>Miles O'Brien</v>
      </c>
      <c r="E142" s="378" t="str">
        <f>IFERROR(__xludf.DUMMYFUNCTION("""COMPUTED_VALUE"""),"Rare")</f>
        <v>Rare</v>
      </c>
      <c r="F142" s="378" t="str">
        <f>IFERROR(__xludf.DUMMYFUNCTION("""COMPUTED_VALUE"""),"Federation")</f>
        <v>Federation</v>
      </c>
      <c r="G142" s="378" t="str">
        <f>IFERROR(__xludf.DUMMYFUNCTION("""COMPUTED_VALUE"""),"Engineering")</f>
        <v>Engineering</v>
      </c>
      <c r="H142" s="379" t="str">
        <f>IFERROR(__xludf.DUMMYFUNCTION("""COMPUTED_VALUE"""),"Ultra Recruit, Bajoran Store, Vindicator Refinery, Common P1ATA, Uncommon P1ATA, AT Research Tree, Officer Depot Tokens")</f>
        <v>Ultra Recruit, Bajoran Store, Vindicator Refinery, Common P1ATA, Uncommon P1ATA, AT Research Tree, Officer Depot Tokens</v>
      </c>
      <c r="I142" s="378">
        <f>IFERROR(__xludf.DUMMYFUNCTION("""COMPUTED_VALUE"""),7.0)</f>
        <v>7</v>
      </c>
      <c r="J142" s="2"/>
      <c r="K142" s="2"/>
    </row>
    <row r="143">
      <c r="A143" s="345"/>
      <c r="B143" s="385"/>
      <c r="C143" s="345"/>
      <c r="D143" s="377" t="str">
        <f>IFERROR(__xludf.DUMMYFUNCTION("""COMPUTED_VALUE"""),"Mirek")</f>
        <v>Mirek</v>
      </c>
      <c r="E143" s="378" t="str">
        <f>IFERROR(__xludf.DUMMYFUNCTION("""COMPUTED_VALUE"""),"Rare")</f>
        <v>Rare</v>
      </c>
      <c r="F143" s="378" t="str">
        <f>IFERROR(__xludf.DUMMYFUNCTION("""COMPUTED_VALUE"""),"Romulan")</f>
        <v>Romulan</v>
      </c>
      <c r="G143" s="378" t="str">
        <f>IFERROR(__xludf.DUMMYFUNCTION("""COMPUTED_VALUE"""),"Science")</f>
        <v>Science</v>
      </c>
      <c r="H143" s="379" t="str">
        <f>IFERROR(__xludf.DUMMYFUNCTION("""COMPUTED_VALUE"""),"Premium Recruit, Ultra Recruit, Crucible of War, Elite Romulan Recruit")</f>
        <v>Premium Recruit, Ultra Recruit, Crucible of War, Elite Romulan Recruit</v>
      </c>
      <c r="I143" s="378">
        <f>IFERROR(__xludf.DUMMYFUNCTION("""COMPUTED_VALUE"""),4.0)</f>
        <v>4</v>
      </c>
      <c r="J143" s="2"/>
      <c r="K143" s="2"/>
    </row>
    <row r="144">
      <c r="A144" s="345"/>
      <c r="B144" s="385"/>
      <c r="C144" s="345"/>
      <c r="D144" s="377" t="str">
        <f>IFERROR(__xludf.DUMMYFUNCTION("""COMPUTED_VALUE"""),"Mirror Data")</f>
        <v>Mirror Data</v>
      </c>
      <c r="E144" s="378" t="str">
        <f>IFERROR(__xludf.DUMMYFUNCTION("""COMPUTED_VALUE"""),"Rare")</f>
        <v>Rare</v>
      </c>
      <c r="F144" s="378" t="str">
        <f>IFERROR(__xludf.DUMMYFUNCTION("""COMPUTED_VALUE"""),"Liquid Trellium-D")</f>
        <v>Liquid Trellium-D</v>
      </c>
      <c r="G144" s="378" t="str">
        <f>IFERROR(__xludf.DUMMYFUNCTION("""COMPUTED_VALUE"""),"Engineering")</f>
        <v>Engineering</v>
      </c>
      <c r="H144" s="379" t="str">
        <f>IFERROR(__xludf.DUMMYFUNCTION("""COMPUTED_VALUE"""),"Galactic Recruit, Terran Faction Store, Terran Store, Uncommon Wrath Recruit, Officer Depot Tokens")</f>
        <v>Galactic Recruit, Terran Faction Store, Terran Store, Uncommon Wrath Recruit, Officer Depot Tokens</v>
      </c>
      <c r="I144" s="378">
        <f>IFERROR(__xludf.DUMMYFUNCTION("""COMPUTED_VALUE"""),5.0)</f>
        <v>5</v>
      </c>
      <c r="J144" s="2"/>
      <c r="K144" s="2"/>
    </row>
    <row r="145">
      <c r="A145" s="345"/>
      <c r="B145" s="385"/>
      <c r="C145" s="345"/>
      <c r="D145" s="377" t="str">
        <f>IFERROR(__xludf.DUMMYFUNCTION("""COMPUTED_VALUE"""),"Mirror Ezri")</f>
        <v>Mirror Ezri</v>
      </c>
      <c r="E145" s="378" t="str">
        <f>IFERROR(__xludf.DUMMYFUNCTION("""COMPUTED_VALUE"""),"Rare")</f>
        <v>Rare</v>
      </c>
      <c r="F145" s="378" t="str">
        <f>IFERROR(__xludf.DUMMYFUNCTION("""COMPUTED_VALUE"""),"Liquid Trellium-D")</f>
        <v>Liquid Trellium-D</v>
      </c>
      <c r="G145" s="378" t="str">
        <f>IFERROR(__xludf.DUMMYFUNCTION("""COMPUTED_VALUE"""),"Science")</f>
        <v>Science</v>
      </c>
      <c r="H145" s="379" t="str">
        <f>IFERROR(__xludf.DUMMYFUNCTION("""COMPUTED_VALUE"""),"Galactic Recruit, Terran Faction Store, Terran Store, Uncommon Wrath Recruit, Officer Depot Tokens")</f>
        <v>Galactic Recruit, Terran Faction Store, Terran Store, Uncommon Wrath Recruit, Officer Depot Tokens</v>
      </c>
      <c r="I145" s="378">
        <f>IFERROR(__xludf.DUMMYFUNCTION("""COMPUTED_VALUE"""),5.0)</f>
        <v>5</v>
      </c>
      <c r="J145" s="2"/>
      <c r="K145" s="2"/>
    </row>
    <row r="146">
      <c r="A146" s="345"/>
      <c r="B146" s="385"/>
      <c r="C146" s="345"/>
      <c r="D146" s="377" t="str">
        <f>IFERROR(__xludf.DUMMYFUNCTION("""COMPUTED_VALUE"""),"Mirror Kira")</f>
        <v>Mirror Kira</v>
      </c>
      <c r="E146" s="378" t="str">
        <f>IFERROR(__xludf.DUMMYFUNCTION("""COMPUTED_VALUE"""),"Epic")</f>
        <v>Epic</v>
      </c>
      <c r="F146" s="378" t="str">
        <f>IFERROR(__xludf.DUMMYFUNCTION("""COMPUTED_VALUE"""),"Liquid Trellium-D")</f>
        <v>Liquid Trellium-D</v>
      </c>
      <c r="G146" s="378" t="str">
        <f>IFERROR(__xludf.DUMMYFUNCTION("""COMPUTED_VALUE"""),"Command")</f>
        <v>Command</v>
      </c>
      <c r="H146" s="379" t="str">
        <f>IFERROR(__xludf.DUMMYFUNCTION("""COMPUTED_VALUE"""),"Galactic Recruit, Terran Faction Store, Terran Store, Admiral's Officer Recruit, Uncommon Wrath Recruit, Officer Depot Tokens")</f>
        <v>Galactic Recruit, Terran Faction Store, Terran Store, Admiral's Officer Recruit, Uncommon Wrath Recruit, Officer Depot Tokens</v>
      </c>
      <c r="I146" s="378">
        <f>IFERROR(__xludf.DUMMYFUNCTION("""COMPUTED_VALUE"""),6.0)</f>
        <v>6</v>
      </c>
      <c r="J146" s="2"/>
      <c r="K146" s="2"/>
    </row>
    <row r="147">
      <c r="A147" s="345"/>
      <c r="B147" s="385"/>
      <c r="C147" s="345"/>
      <c r="D147" s="377" t="str">
        <f>IFERROR(__xludf.DUMMYFUNCTION("""COMPUTED_VALUE"""),"Mirror Picard")</f>
        <v>Mirror Picard</v>
      </c>
      <c r="E147" s="378" t="str">
        <f>IFERROR(__xludf.DUMMYFUNCTION("""COMPUTED_VALUE"""),"Epic")</f>
        <v>Epic</v>
      </c>
      <c r="F147" s="378" t="str">
        <f>IFERROR(__xludf.DUMMYFUNCTION("""COMPUTED_VALUE"""),"Liquid Trellium-D")</f>
        <v>Liquid Trellium-D</v>
      </c>
      <c r="G147" s="378" t="str">
        <f>IFERROR(__xludf.DUMMYFUNCTION("""COMPUTED_VALUE"""),"Command")</f>
        <v>Command</v>
      </c>
      <c r="H147" s="379" t="str">
        <f>IFERROR(__xludf.DUMMYFUNCTION("""COMPUTED_VALUE"""),"Galactic Recruit, Terran Faction Store, Terran Store, Admiral's Officer Recruit, Uncommon Wrath Recruit, Officer Depot Tokens")</f>
        <v>Galactic Recruit, Terran Faction Store, Terran Store, Admiral's Officer Recruit, Uncommon Wrath Recruit, Officer Depot Tokens</v>
      </c>
      <c r="I147" s="378">
        <f>IFERROR(__xludf.DUMMYFUNCTION("""COMPUTED_VALUE"""),6.0)</f>
        <v>6</v>
      </c>
      <c r="J147" s="2"/>
      <c r="K147" s="2"/>
    </row>
    <row r="148">
      <c r="A148" s="345"/>
      <c r="B148" s="385"/>
      <c r="C148" s="345"/>
      <c r="D148" s="377" t="str">
        <f>IFERROR(__xludf.DUMMYFUNCTION("""COMPUTED_VALUE"""),"Mirror Troi")</f>
        <v>Mirror Troi</v>
      </c>
      <c r="E148" s="378" t="str">
        <f>IFERROR(__xludf.DUMMYFUNCTION("""COMPUTED_VALUE"""),"Rare")</f>
        <v>Rare</v>
      </c>
      <c r="F148" s="378" t="str">
        <f>IFERROR(__xludf.DUMMYFUNCTION("""COMPUTED_VALUE"""),"Liquid Trellium-D")</f>
        <v>Liquid Trellium-D</v>
      </c>
      <c r="G148" s="378" t="str">
        <f>IFERROR(__xludf.DUMMYFUNCTION("""COMPUTED_VALUE"""),"Science")</f>
        <v>Science</v>
      </c>
      <c r="H148" s="379" t="str">
        <f>IFERROR(__xludf.DUMMYFUNCTION("""COMPUTED_VALUE"""),"Galactic Recruit, Terran Faction Store, Terran Store, Uncommon Wrath Recruit, Officer Depot Tokens")</f>
        <v>Galactic Recruit, Terran Faction Store, Terran Store, Uncommon Wrath Recruit, Officer Depot Tokens</v>
      </c>
      <c r="I148" s="378">
        <f>IFERROR(__xludf.DUMMYFUNCTION("""COMPUTED_VALUE"""),5.0)</f>
        <v>5</v>
      </c>
      <c r="J148" s="2"/>
      <c r="K148" s="2"/>
    </row>
    <row r="149">
      <c r="A149" s="345"/>
      <c r="B149" s="385"/>
      <c r="C149" s="345"/>
      <c r="D149" s="377" t="str">
        <f>IFERROR(__xludf.DUMMYFUNCTION("""COMPUTED_VALUE"""),"Mirror Uhura")</f>
        <v>Mirror Uhura</v>
      </c>
      <c r="E149" s="378" t="str">
        <f>IFERROR(__xludf.DUMMYFUNCTION("""COMPUTED_VALUE"""),"Epic")</f>
        <v>Epic</v>
      </c>
      <c r="F149" s="378" t="str">
        <f>IFERROR(__xludf.DUMMYFUNCTION("""COMPUTED_VALUE"""),"Liquid Trellium-D")</f>
        <v>Liquid Trellium-D</v>
      </c>
      <c r="G149" s="378" t="str">
        <f>IFERROR(__xludf.DUMMYFUNCTION("""COMPUTED_VALUE"""),"Science")</f>
        <v>Science</v>
      </c>
      <c r="H149" s="379" t="str">
        <f>IFERROR(__xludf.DUMMYFUNCTION("""COMPUTED_VALUE"""),"Terran Faction Store, Terran Store")</f>
        <v>Terran Faction Store, Terran Store</v>
      </c>
      <c r="I149" s="378">
        <f>IFERROR(__xludf.DUMMYFUNCTION("""COMPUTED_VALUE"""),2.0)</f>
        <v>2</v>
      </c>
      <c r="J149" s="2"/>
      <c r="K149" s="2"/>
    </row>
    <row r="150">
      <c r="A150" s="345"/>
      <c r="B150" s="385"/>
      <c r="C150" s="345"/>
      <c r="D150" s="377" t="str">
        <f>IFERROR(__xludf.DUMMYFUNCTION("""COMPUTED_VALUE"""),"Miss Q")</f>
        <v>Miss Q</v>
      </c>
      <c r="E150" s="378" t="str">
        <f>IFERROR(__xludf.DUMMYFUNCTION("""COMPUTED_VALUE"""),"Epic")</f>
        <v>Epic</v>
      </c>
      <c r="F150" s="378" t="str">
        <f>IFERROR(__xludf.DUMMYFUNCTION("""COMPUTED_VALUE"""),"Neutral")</f>
        <v>Neutral</v>
      </c>
      <c r="G150" s="378" t="str">
        <f>IFERROR(__xludf.DUMMYFUNCTION("""COMPUTED_VALUE"""),"Engineering")</f>
        <v>Engineering</v>
      </c>
      <c r="H150" s="379" t="str">
        <f>IFERROR(__xludf.DUMMYFUNCTION("""COMPUTED_VALUE"""),"Section 31 Faction Store, Officer Depot Tokens")</f>
        <v>Section 31 Faction Store, Officer Depot Tokens</v>
      </c>
      <c r="I150" s="378">
        <f>IFERROR(__xludf.DUMMYFUNCTION("""COMPUTED_VALUE"""),2.0)</f>
        <v>2</v>
      </c>
      <c r="J150" s="2"/>
      <c r="K150" s="2"/>
    </row>
    <row r="151">
      <c r="A151" s="345"/>
      <c r="B151" s="385"/>
      <c r="C151" s="345"/>
      <c r="D151" s="377" t="str">
        <f>IFERROR(__xludf.DUMMYFUNCTION("""COMPUTED_VALUE"""),"Mitchell")</f>
        <v>Mitchell</v>
      </c>
      <c r="E151" s="378" t="str">
        <f>IFERROR(__xludf.DUMMYFUNCTION("""COMPUTED_VALUE"""),"Rare")</f>
        <v>Rare</v>
      </c>
      <c r="F151" s="378" t="str">
        <f>IFERROR(__xludf.DUMMYFUNCTION("""COMPUTED_VALUE"""),"Federation")</f>
        <v>Federation</v>
      </c>
      <c r="G151" s="378" t="str">
        <f>IFERROR(__xludf.DUMMYFUNCTION("""COMPUTED_VALUE"""),"Command")</f>
        <v>Command</v>
      </c>
      <c r="H151" s="379" t="str">
        <f>IFERROR(__xludf.DUMMYFUNCTION("""COMPUTED_VALUE"""),"Premium Recruit, Ultra Recruit, Transporter Patterns")</f>
        <v>Premium Recruit, Ultra Recruit, Transporter Patterns</v>
      </c>
      <c r="I151" s="378">
        <f>IFERROR(__xludf.DUMMYFUNCTION("""COMPUTED_VALUE"""),3.0)</f>
        <v>3</v>
      </c>
      <c r="J151" s="2"/>
      <c r="K151" s="2"/>
    </row>
    <row r="152">
      <c r="A152" s="345"/>
      <c r="B152" s="385"/>
      <c r="C152" s="345"/>
      <c r="D152" s="377" t="str">
        <f>IFERROR(__xludf.DUMMYFUNCTION("""COMPUTED_VALUE"""),"Moreau")</f>
        <v>Moreau</v>
      </c>
      <c r="E152" s="378" t="str">
        <f>IFERROR(__xludf.DUMMYFUNCTION("""COMPUTED_VALUE"""),"Rare")</f>
        <v>Rare</v>
      </c>
      <c r="F152" s="378" t="str">
        <f>IFERROR(__xludf.DUMMYFUNCTION("""COMPUTED_VALUE"""),"Federation")</f>
        <v>Federation</v>
      </c>
      <c r="G152" s="378" t="str">
        <f>IFERROR(__xludf.DUMMYFUNCTION("""COMPUTED_VALUE"""),"Science")</f>
        <v>Science</v>
      </c>
      <c r="H152" s="379" t="str">
        <f>IFERROR(__xludf.DUMMYFUNCTION("""COMPUTED_VALUE"""),"Premium Recruit, Ultra Recruit, Field Training, ATAs, Crucible of War, Elite Federation Recruit, Common Wrath Recruit, Officer Depot Tokens")</f>
        <v>Premium Recruit, Ultra Recruit, Field Training, ATAs, Crucible of War, Elite Federation Recruit, Common Wrath Recruit, Officer Depot Tokens</v>
      </c>
      <c r="I152" s="378">
        <f>IFERROR(__xludf.DUMMYFUNCTION("""COMPUTED_VALUE"""),8.0)</f>
        <v>8</v>
      </c>
      <c r="J152" s="2"/>
      <c r="K152" s="2"/>
    </row>
    <row r="153">
      <c r="A153" s="345"/>
      <c r="B153" s="385"/>
      <c r="C153" s="345"/>
      <c r="D153" s="377" t="str">
        <f>IFERROR(__xludf.DUMMYFUNCTION("""COMPUTED_VALUE"""),"Mudd")</f>
        <v>Mudd</v>
      </c>
      <c r="E153" s="378" t="str">
        <f>IFERROR(__xludf.DUMMYFUNCTION("""COMPUTED_VALUE"""),"Epic")</f>
        <v>Epic</v>
      </c>
      <c r="F153" s="378" t="str">
        <f>IFERROR(__xludf.DUMMYFUNCTION("""COMPUTED_VALUE"""),"Independent")</f>
        <v>Independent</v>
      </c>
      <c r="G153" s="378" t="str">
        <f>IFERROR(__xludf.DUMMYFUNCTION("""COMPUTED_VALUE"""),"Command")</f>
        <v>Command</v>
      </c>
      <c r="H153" s="379" t="str">
        <f>IFERROR(__xludf.DUMMYFUNCTION("""COMPUTED_VALUE"""),"Premium Recruit, Ultra Recruit, Mission Key Recruit, Transporter Patterns, Apex Event Store, Outlaw Recruit")</f>
        <v>Premium Recruit, Ultra Recruit, Mission Key Recruit, Transporter Patterns, Apex Event Store, Outlaw Recruit</v>
      </c>
      <c r="I153" s="378">
        <f>IFERROR(__xludf.DUMMYFUNCTION("""COMPUTED_VALUE"""),6.0)</f>
        <v>6</v>
      </c>
      <c r="J153" s="2"/>
      <c r="K153" s="2"/>
    </row>
    <row r="154">
      <c r="A154" s="345"/>
      <c r="B154" s="385"/>
      <c r="C154" s="345"/>
      <c r="D154" s="377" t="str">
        <f>IFERROR(__xludf.DUMMYFUNCTION("""COMPUTED_VALUE"""),"Naga Delvos")</f>
        <v>Naga Delvos</v>
      </c>
      <c r="E154" s="378" t="str">
        <f>IFERROR(__xludf.DUMMYFUNCTION("""COMPUTED_VALUE"""),"Epic")</f>
        <v>Epic</v>
      </c>
      <c r="F154" s="378" t="str">
        <f>IFERROR(__xludf.DUMMYFUNCTION("""COMPUTED_VALUE"""),"Neutral")</f>
        <v>Neutral</v>
      </c>
      <c r="G154" s="378" t="str">
        <f>IFERROR(__xludf.DUMMYFUNCTION("""COMPUTED_VALUE"""),"Command")</f>
        <v>Command</v>
      </c>
      <c r="H154" s="379" t="str">
        <f>IFERROR(__xludf.DUMMYFUNCTION("""COMPUTED_VALUE"""),"Emerald Chain")</f>
        <v>Emerald Chain</v>
      </c>
      <c r="I154" s="378">
        <f>IFERROR(__xludf.DUMMYFUNCTION("""COMPUTED_VALUE"""),1.0)</f>
        <v>1</v>
      </c>
      <c r="J154" s="2"/>
      <c r="K154" s="2"/>
    </row>
    <row r="155">
      <c r="A155" s="345"/>
      <c r="B155" s="385"/>
      <c r="C155" s="345"/>
      <c r="D155" s="377" t="str">
        <f>IFERROR(__xludf.DUMMYFUNCTION("""COMPUTED_VALUE"""),"Navi")</f>
        <v>Navi</v>
      </c>
      <c r="E155" s="378" t="str">
        <f>IFERROR(__xludf.DUMMYFUNCTION("""COMPUTED_VALUE"""),"Rare")</f>
        <v>Rare</v>
      </c>
      <c r="F155" s="378" t="str">
        <f>IFERROR(__xludf.DUMMYFUNCTION("""COMPUTED_VALUE"""),"Independent")</f>
        <v>Independent</v>
      </c>
      <c r="G155" s="378" t="str">
        <f>IFERROR(__xludf.DUMMYFUNCTION("""COMPUTED_VALUE"""),"Science")</f>
        <v>Science</v>
      </c>
      <c r="H155" s="379" t="str">
        <f>IFERROR(__xludf.DUMMYFUNCTION("""COMPUTED_VALUE"""),"Ultra Recruit, Awoken Augment Recruit, Apex Event Store")</f>
        <v>Ultra Recruit, Awoken Augment Recruit, Apex Event Store</v>
      </c>
      <c r="I155" s="378">
        <f>IFERROR(__xludf.DUMMYFUNCTION("""COMPUTED_VALUE"""),3.0)</f>
        <v>3</v>
      </c>
      <c r="J155" s="2"/>
      <c r="K155" s="2"/>
    </row>
    <row r="156">
      <c r="A156" s="345"/>
      <c r="B156" s="385"/>
      <c r="C156" s="345"/>
      <c r="D156" s="377" t="str">
        <f>IFERROR(__xludf.DUMMYFUNCTION("""COMPUTED_VALUE"""),"Neelix")</f>
        <v>Neelix</v>
      </c>
      <c r="E156" s="378" t="str">
        <f>IFERROR(__xludf.DUMMYFUNCTION("""COMPUTED_VALUE"""),"Rare")</f>
        <v>Rare</v>
      </c>
      <c r="F156" s="378" t="str">
        <f>IFERROR(__xludf.DUMMYFUNCTION("""COMPUTED_VALUE"""),"Federation")</f>
        <v>Federation</v>
      </c>
      <c r="G156" s="378" t="str">
        <f>IFERROR(__xludf.DUMMYFUNCTION("""COMPUTED_VALUE"""),"Science")</f>
        <v>Science</v>
      </c>
      <c r="H156" s="379" t="str">
        <f>IFERROR(__xludf.DUMMYFUNCTION("""COMPUTED_VALUE"""),"Isomatter Refinery, Ex-Borg Faction Store, Rare Wrath Recruit, Augment Faction Store, Officer Depot Tokens")</f>
        <v>Isomatter Refinery, Ex-Borg Faction Store, Rare Wrath Recruit, Augment Faction Store, Officer Depot Tokens</v>
      </c>
      <c r="I156" s="378">
        <f>IFERROR(__xludf.DUMMYFUNCTION("""COMPUTED_VALUE"""),5.0)</f>
        <v>5</v>
      </c>
      <c r="J156" s="2"/>
      <c r="K156" s="2"/>
    </row>
    <row r="157">
      <c r="A157" s="345"/>
      <c r="B157" s="385"/>
      <c r="C157" s="345"/>
      <c r="D157" s="377" t="str">
        <f>IFERROR(__xludf.DUMMYFUNCTION("""COMPUTED_VALUE"""),"Nero")</f>
        <v>Nero</v>
      </c>
      <c r="E157" s="378" t="str">
        <f>IFERROR(__xludf.DUMMYFUNCTION("""COMPUTED_VALUE"""),"Epic")</f>
        <v>Epic</v>
      </c>
      <c r="F157" s="378" t="str">
        <f>IFERROR(__xludf.DUMMYFUNCTION("""COMPUTED_VALUE"""),"Romulan")</f>
        <v>Romulan</v>
      </c>
      <c r="G157" s="378" t="str">
        <f>IFERROR(__xludf.DUMMYFUNCTION("""COMPUTED_VALUE"""),"Engineering")</f>
        <v>Engineering</v>
      </c>
      <c r="H157" s="379" t="str">
        <f>IFERROR(__xludf.DUMMYFUNCTION("""COMPUTED_VALUE"""),"Premium Recruit, Ultra Recruit, Transporter Patterns, Crucible of War, Elite Romulan Recruit")</f>
        <v>Premium Recruit, Ultra Recruit, Transporter Patterns, Crucible of War, Elite Romulan Recruit</v>
      </c>
      <c r="I157" s="378">
        <f>IFERROR(__xludf.DUMMYFUNCTION("""COMPUTED_VALUE"""),5.0)</f>
        <v>5</v>
      </c>
      <c r="J157" s="2"/>
      <c r="K157" s="2"/>
    </row>
    <row r="158">
      <c r="A158" s="345"/>
      <c r="B158" s="385"/>
      <c r="C158" s="345"/>
      <c r="D158" s="377" t="str">
        <f>IFERROR(__xludf.DUMMYFUNCTION("""COMPUTED_VALUE"""),"Next Gen Crusher")</f>
        <v>Next Gen Crusher</v>
      </c>
      <c r="E158" s="378" t="str">
        <f>IFERROR(__xludf.DUMMYFUNCTION("""COMPUTED_VALUE"""),"Common")</f>
        <v>Common</v>
      </c>
      <c r="F158" s="378" t="str">
        <f>IFERROR(__xludf.DUMMYFUNCTION("""COMPUTED_VALUE"""),"Federation")</f>
        <v>Federation</v>
      </c>
      <c r="G158" s="378" t="str">
        <f>IFERROR(__xludf.DUMMYFUNCTION("""COMPUTED_VALUE"""),"N/A")</f>
        <v>N/A</v>
      </c>
      <c r="H158" s="379" t="str">
        <f>IFERROR(__xludf.DUMMYFUNCTION("""COMPUTED_VALUE"""),"Standard Recruit")</f>
        <v>Standard Recruit</v>
      </c>
      <c r="I158" s="378">
        <f>IFERROR(__xludf.DUMMYFUNCTION("""COMPUTED_VALUE"""),1.0)</f>
        <v>1</v>
      </c>
      <c r="J158" s="2"/>
      <c r="K158" s="2"/>
    </row>
    <row r="159">
      <c r="A159" s="345"/>
      <c r="B159" s="385"/>
      <c r="C159" s="345"/>
      <c r="D159" s="377" t="str">
        <f>IFERROR(__xludf.DUMMYFUNCTION("""COMPUTED_VALUE"""),"Next Gen Data")</f>
        <v>Next Gen Data</v>
      </c>
      <c r="E159" s="378" t="str">
        <f>IFERROR(__xludf.DUMMYFUNCTION("""COMPUTED_VALUE"""),"Common")</f>
        <v>Common</v>
      </c>
      <c r="F159" s="378" t="str">
        <f>IFERROR(__xludf.DUMMYFUNCTION("""COMPUTED_VALUE"""),"Federation")</f>
        <v>Federation</v>
      </c>
      <c r="G159" s="378" t="str">
        <f>IFERROR(__xludf.DUMMYFUNCTION("""COMPUTED_VALUE"""),"N/A")</f>
        <v>N/A</v>
      </c>
      <c r="H159" s="379" t="str">
        <f>IFERROR(__xludf.DUMMYFUNCTION("""COMPUTED_VALUE"""),"Standard Recruit")</f>
        <v>Standard Recruit</v>
      </c>
      <c r="I159" s="378">
        <f>IFERROR(__xludf.DUMMYFUNCTION("""COMPUTED_VALUE"""),1.0)</f>
        <v>1</v>
      </c>
      <c r="J159" s="2"/>
      <c r="K159" s="2"/>
    </row>
    <row r="160">
      <c r="A160" s="345"/>
      <c r="B160" s="385"/>
      <c r="C160" s="345"/>
      <c r="D160" s="377" t="str">
        <f>IFERROR(__xludf.DUMMYFUNCTION("""COMPUTED_VALUE"""),"Next Gen La Forge")</f>
        <v>Next Gen La Forge</v>
      </c>
      <c r="E160" s="378" t="str">
        <f>IFERROR(__xludf.DUMMYFUNCTION("""COMPUTED_VALUE"""),"Common")</f>
        <v>Common</v>
      </c>
      <c r="F160" s="378" t="str">
        <f>IFERROR(__xludf.DUMMYFUNCTION("""COMPUTED_VALUE"""),"Federation")</f>
        <v>Federation</v>
      </c>
      <c r="G160" s="378" t="str">
        <f>IFERROR(__xludf.DUMMYFUNCTION("""COMPUTED_VALUE"""),"N/A")</f>
        <v>N/A</v>
      </c>
      <c r="H160" s="379" t="str">
        <f>IFERROR(__xludf.DUMMYFUNCTION("""COMPUTED_VALUE"""),"Standard Recruit")</f>
        <v>Standard Recruit</v>
      </c>
      <c r="I160" s="378">
        <f>IFERROR(__xludf.DUMMYFUNCTION("""COMPUTED_VALUE"""),1.0)</f>
        <v>1</v>
      </c>
      <c r="J160" s="2"/>
      <c r="K160" s="2"/>
    </row>
    <row r="161">
      <c r="A161" s="345"/>
      <c r="B161" s="385"/>
      <c r="C161" s="345"/>
      <c r="D161" s="377" t="str">
        <f>IFERROR(__xludf.DUMMYFUNCTION("""COMPUTED_VALUE"""),"Next Gen Riker")</f>
        <v>Next Gen Riker</v>
      </c>
      <c r="E161" s="378" t="str">
        <f>IFERROR(__xludf.DUMMYFUNCTION("""COMPUTED_VALUE"""),"Common")</f>
        <v>Common</v>
      </c>
      <c r="F161" s="378" t="str">
        <f>IFERROR(__xludf.DUMMYFUNCTION("""COMPUTED_VALUE"""),"Federation")</f>
        <v>Federation</v>
      </c>
      <c r="G161" s="378" t="str">
        <f>IFERROR(__xludf.DUMMYFUNCTION("""COMPUTED_VALUE"""),"N/A")</f>
        <v>N/A</v>
      </c>
      <c r="H161" s="379" t="str">
        <f>IFERROR(__xludf.DUMMYFUNCTION("""COMPUTED_VALUE"""),"Standard Recruit")</f>
        <v>Standard Recruit</v>
      </c>
      <c r="I161" s="378">
        <f>IFERROR(__xludf.DUMMYFUNCTION("""COMPUTED_VALUE"""),1.0)</f>
        <v>1</v>
      </c>
      <c r="J161" s="2"/>
      <c r="K161" s="2"/>
    </row>
    <row r="162">
      <c r="A162" s="345"/>
      <c r="B162" s="385"/>
      <c r="C162" s="345"/>
      <c r="D162" s="377" t="str">
        <f>IFERROR(__xludf.DUMMYFUNCTION("""COMPUTED_VALUE"""),"Next Gen Troi")</f>
        <v>Next Gen Troi</v>
      </c>
      <c r="E162" s="378" t="str">
        <f>IFERROR(__xludf.DUMMYFUNCTION("""COMPUTED_VALUE"""),"Common")</f>
        <v>Common</v>
      </c>
      <c r="F162" s="378" t="str">
        <f>IFERROR(__xludf.DUMMYFUNCTION("""COMPUTED_VALUE"""),"Federation")</f>
        <v>Federation</v>
      </c>
      <c r="G162" s="378" t="str">
        <f>IFERROR(__xludf.DUMMYFUNCTION("""COMPUTED_VALUE"""),"N/A")</f>
        <v>N/A</v>
      </c>
      <c r="H162" s="379" t="str">
        <f>IFERROR(__xludf.DUMMYFUNCTION("""COMPUTED_VALUE"""),"Standard Recruit, Field Training")</f>
        <v>Standard Recruit, Field Training</v>
      </c>
      <c r="I162" s="378">
        <f>IFERROR(__xludf.DUMMYFUNCTION("""COMPUTED_VALUE"""),2.0)</f>
        <v>2</v>
      </c>
      <c r="J162" s="2"/>
      <c r="K162" s="2"/>
    </row>
    <row r="163">
      <c r="A163" s="345"/>
      <c r="B163" s="385"/>
      <c r="C163" s="345"/>
      <c r="D163" s="377" t="str">
        <f>IFERROR(__xludf.DUMMYFUNCTION("""COMPUTED_VALUE"""),"Nine Of Eleven")</f>
        <v>Nine Of Eleven</v>
      </c>
      <c r="E163" s="378" t="str">
        <f>IFERROR(__xludf.DUMMYFUNCTION("""COMPUTED_VALUE"""),"Uncommon")</f>
        <v>Uncommon</v>
      </c>
      <c r="F163" s="378" t="str">
        <f>IFERROR(__xludf.DUMMYFUNCTION("""COMPUTED_VALUE"""),"Independent")</f>
        <v>Independent</v>
      </c>
      <c r="G163" s="378" t="str">
        <f>IFERROR(__xludf.DUMMYFUNCTION("""COMPUTED_VALUE"""),"Command")</f>
        <v>Command</v>
      </c>
      <c r="H163" s="377" t="str">
        <f>IFERROR(__xludf.DUMMYFUNCTION("""COMPUTED_VALUE"""),"Premium Recruit, Uncommon Borg Solos, Common Wrath Recruit")</f>
        <v>Premium Recruit, Uncommon Borg Solos, Common Wrath Recruit</v>
      </c>
      <c r="I163" s="378">
        <f>IFERROR(__xludf.DUMMYFUNCTION("""COMPUTED_VALUE"""),3.0)</f>
        <v>3</v>
      </c>
      <c r="J163" s="2"/>
      <c r="K163" s="2"/>
    </row>
    <row r="164">
      <c r="A164" s="345"/>
      <c r="B164" s="385"/>
      <c r="C164" s="345"/>
      <c r="D164" s="377" t="str">
        <f>IFERROR(__xludf.DUMMYFUNCTION("""COMPUTED_VALUE"""),"Nog")</f>
        <v>Nog</v>
      </c>
      <c r="E164" s="378" t="str">
        <f>IFERROR(__xludf.DUMMYFUNCTION("""COMPUTED_VALUE"""),"Epic")</f>
        <v>Epic</v>
      </c>
      <c r="F164" s="378" t="str">
        <f>IFERROR(__xludf.DUMMYFUNCTION("""COMPUTED_VALUE"""),"Neutral")</f>
        <v>Neutral</v>
      </c>
      <c r="G164" s="378" t="str">
        <f>IFERROR(__xludf.DUMMYFUNCTION("""COMPUTED_VALUE"""),"Command")</f>
        <v>Command</v>
      </c>
      <c r="H164" s="379" t="str">
        <f>IFERROR(__xludf.DUMMYFUNCTION("""COMPUTED_VALUE"""),"Outpost Refinery")</f>
        <v>Outpost Refinery</v>
      </c>
      <c r="I164" s="378">
        <f>IFERROR(__xludf.DUMMYFUNCTION("""COMPUTED_VALUE"""),1.0)</f>
        <v>1</v>
      </c>
      <c r="J164" s="2"/>
      <c r="K164" s="2"/>
    </row>
    <row r="165">
      <c r="A165" s="345"/>
      <c r="B165" s="385"/>
      <c r="C165" s="345"/>
      <c r="D165" s="377" t="str">
        <f>IFERROR(__xludf.DUMMYFUNCTION("""COMPUTED_VALUE"""),"Odo")</f>
        <v>Odo</v>
      </c>
      <c r="E165" s="378" t="str">
        <f>IFERROR(__xludf.DUMMYFUNCTION("""COMPUTED_VALUE"""),"Epic")</f>
        <v>Epic</v>
      </c>
      <c r="F165" s="378" t="str">
        <f>IFERROR(__xludf.DUMMYFUNCTION("""COMPUTED_VALUE"""),"Federation")</f>
        <v>Federation</v>
      </c>
      <c r="G165" s="378" t="str">
        <f>IFERROR(__xludf.DUMMYFUNCTION("""COMPUTED_VALUE"""),"Science")</f>
        <v>Science</v>
      </c>
      <c r="H165" s="379" t="str">
        <f>IFERROR(__xludf.DUMMYFUNCTION("""COMPUTED_VALUE"""),"Incursions, Uncommon P1ATA, Officer Depot Tokens")</f>
        <v>Incursions, Uncommon P1ATA, Officer Depot Tokens</v>
      </c>
      <c r="I165" s="378">
        <f>IFERROR(__xludf.DUMMYFUNCTION("""COMPUTED_VALUE"""),3.0)</f>
        <v>3</v>
      </c>
      <c r="J165" s="2"/>
      <c r="K165" s="2"/>
    </row>
    <row r="166">
      <c r="A166" s="345"/>
      <c r="B166" s="385"/>
      <c r="C166" s="345"/>
      <c r="D166" s="377" t="str">
        <f>IFERROR(__xludf.DUMMYFUNCTION("""COMPUTED_VALUE"""),"One Of Eleven")</f>
        <v>One Of Eleven</v>
      </c>
      <c r="E166" s="377" t="str">
        <f>IFERROR(__xludf.DUMMYFUNCTION("""COMPUTED_VALUE"""),"Rare")</f>
        <v>Rare</v>
      </c>
      <c r="F166" s="377" t="str">
        <f>IFERROR(__xludf.DUMMYFUNCTION("""COMPUTED_VALUE"""),"Independent")</f>
        <v>Independent</v>
      </c>
      <c r="G166" s="377" t="str">
        <f>IFERROR(__xludf.DUMMYFUNCTION("""COMPUTED_VALUE"""),"Command")</f>
        <v>Command</v>
      </c>
      <c r="H166" s="377" t="str">
        <f>IFERROR(__xludf.DUMMYFUNCTION("""COMPUTED_VALUE"""),"Premium Recruit, Ultra Recruit, Uncommon Borg Solos, Rare/Epic Borg Solos, Common Wrath Recruit")</f>
        <v>Premium Recruit, Ultra Recruit, Uncommon Borg Solos, Rare/Epic Borg Solos, Common Wrath Recruit</v>
      </c>
      <c r="I166" s="377">
        <f>IFERROR(__xludf.DUMMYFUNCTION("""COMPUTED_VALUE"""),5.0)</f>
        <v>5</v>
      </c>
      <c r="J166" s="2"/>
      <c r="K166" s="2"/>
    </row>
    <row r="167">
      <c r="A167" s="345"/>
      <c r="B167" s="385"/>
      <c r="C167" s="345"/>
      <c r="D167" s="377" t="str">
        <f>IFERROR(__xludf.DUMMYFUNCTION("""COMPUTED_VALUE"""),"Origins Burnham")</f>
        <v>Origins Burnham</v>
      </c>
      <c r="E167" s="378" t="str">
        <f>IFERROR(__xludf.DUMMYFUNCTION("""COMPUTED_VALUE"""),"Common")</f>
        <v>Common</v>
      </c>
      <c r="F167" s="378" t="str">
        <f>IFERROR(__xludf.DUMMYFUNCTION("""COMPUTED_VALUE"""),"Federation")</f>
        <v>Federation</v>
      </c>
      <c r="G167" s="378" t="str">
        <f>IFERROR(__xludf.DUMMYFUNCTION("""COMPUTED_VALUE"""),"N/A")</f>
        <v>N/A</v>
      </c>
      <c r="H167" s="379" t="str">
        <f>IFERROR(__xludf.DUMMYFUNCTION("""COMPUTED_VALUE"""),"Discovery Recruit, Crucible of War")</f>
        <v>Discovery Recruit, Crucible of War</v>
      </c>
      <c r="I167" s="378">
        <f>IFERROR(__xludf.DUMMYFUNCTION("""COMPUTED_VALUE"""),2.0)</f>
        <v>2</v>
      </c>
      <c r="J167" s="2"/>
      <c r="K167" s="2"/>
    </row>
    <row r="168">
      <c r="A168" s="345"/>
      <c r="B168" s="385"/>
      <c r="C168" s="345"/>
      <c r="D168" s="377" t="str">
        <f>IFERROR(__xludf.DUMMYFUNCTION("""COMPUTED_VALUE"""),"Origins Saru")</f>
        <v>Origins Saru</v>
      </c>
      <c r="E168" s="378" t="str">
        <f>IFERROR(__xludf.DUMMYFUNCTION("""COMPUTED_VALUE"""),"Common")</f>
        <v>Common</v>
      </c>
      <c r="F168" s="378" t="str">
        <f>IFERROR(__xludf.DUMMYFUNCTION("""COMPUTED_VALUE"""),"Federation")</f>
        <v>Federation</v>
      </c>
      <c r="G168" s="378" t="str">
        <f>IFERROR(__xludf.DUMMYFUNCTION("""COMPUTED_VALUE"""),"N/A")</f>
        <v>N/A</v>
      </c>
      <c r="H168" s="379" t="str">
        <f>IFERROR(__xludf.DUMMYFUNCTION("""COMPUTED_VALUE"""),"Discovery Recruit")</f>
        <v>Discovery Recruit</v>
      </c>
      <c r="I168" s="378">
        <f>IFERROR(__xludf.DUMMYFUNCTION("""COMPUTED_VALUE"""),1.0)</f>
        <v>1</v>
      </c>
      <c r="J168" s="2"/>
      <c r="K168" s="2"/>
    </row>
    <row r="169">
      <c r="A169" s="345"/>
      <c r="B169" s="385"/>
      <c r="C169" s="345"/>
      <c r="D169" s="377" t="str">
        <f>IFERROR(__xludf.DUMMYFUNCTION("""COMPUTED_VALUE"""),"Origins Stamets")</f>
        <v>Origins Stamets</v>
      </c>
      <c r="E169" s="378" t="str">
        <f>IFERROR(__xludf.DUMMYFUNCTION("""COMPUTED_VALUE"""),"Common")</f>
        <v>Common</v>
      </c>
      <c r="F169" s="378" t="str">
        <f>IFERROR(__xludf.DUMMYFUNCTION("""COMPUTED_VALUE"""),"Federation")</f>
        <v>Federation</v>
      </c>
      <c r="G169" s="378" t="str">
        <f>IFERROR(__xludf.DUMMYFUNCTION("""COMPUTED_VALUE"""),"N/A")</f>
        <v>N/A</v>
      </c>
      <c r="H169" s="379" t="str">
        <f>IFERROR(__xludf.DUMMYFUNCTION("""COMPUTED_VALUE"""),"Discovery Recruit")</f>
        <v>Discovery Recruit</v>
      </c>
      <c r="I169" s="378">
        <f>IFERROR(__xludf.DUMMYFUNCTION("""COMPUTED_VALUE"""),1.0)</f>
        <v>1</v>
      </c>
      <c r="J169" s="2"/>
      <c r="K169" s="2"/>
    </row>
    <row r="170">
      <c r="A170" s="345"/>
      <c r="B170" s="385"/>
      <c r="C170" s="345"/>
      <c r="D170" s="377" t="str">
        <f>IFERROR(__xludf.DUMMYFUNCTION("""COMPUTED_VALUE"""),"Otto")</f>
        <v>Otto</v>
      </c>
      <c r="E170" s="378" t="str">
        <f>IFERROR(__xludf.DUMMYFUNCTION("""COMPUTED_VALUE"""),"Uncommon")</f>
        <v>Uncommon</v>
      </c>
      <c r="F170" s="378" t="str">
        <f>IFERROR(__xludf.DUMMYFUNCTION("""COMPUTED_VALUE"""),"Independent")</f>
        <v>Independent</v>
      </c>
      <c r="G170" s="378" t="str">
        <f>IFERROR(__xludf.DUMMYFUNCTION("""COMPUTED_VALUE"""),"Engineering")</f>
        <v>Engineering</v>
      </c>
      <c r="H170" s="379" t="str">
        <f>IFERROR(__xludf.DUMMYFUNCTION("""COMPUTED_VALUE"""),"Augment Recruit, Apex Event Store")</f>
        <v>Augment Recruit, Apex Event Store</v>
      </c>
      <c r="I170" s="378">
        <f>IFERROR(__xludf.DUMMYFUNCTION("""COMPUTED_VALUE"""),2.0)</f>
        <v>2</v>
      </c>
      <c r="J170" s="2"/>
      <c r="K170" s="2"/>
    </row>
    <row r="171">
      <c r="A171" s="345"/>
      <c r="B171" s="385"/>
      <c r="C171" s="345"/>
      <c r="D171" s="377" t="str">
        <f>IFERROR(__xludf.DUMMYFUNCTION("""COMPUTED_VALUE"""),"Pan")</f>
        <v>Pan</v>
      </c>
      <c r="E171" s="378" t="str">
        <f>IFERROR(__xludf.DUMMYFUNCTION("""COMPUTED_VALUE"""),"Rare")</f>
        <v>Rare</v>
      </c>
      <c r="F171" s="378" t="str">
        <f>IFERROR(__xludf.DUMMYFUNCTION("""COMPUTED_VALUE"""),"Independent")</f>
        <v>Independent</v>
      </c>
      <c r="G171" s="378" t="str">
        <f>IFERROR(__xludf.DUMMYFUNCTION("""COMPUTED_VALUE"""),"Engineering")</f>
        <v>Engineering</v>
      </c>
      <c r="H171" s="379" t="str">
        <f>IFERROR(__xludf.DUMMYFUNCTION("""COMPUTED_VALUE"""),"Ultra Recruit, Awoken Augment Recruit, Apex Event Store")</f>
        <v>Ultra Recruit, Awoken Augment Recruit, Apex Event Store</v>
      </c>
      <c r="I171" s="378">
        <f>IFERROR(__xludf.DUMMYFUNCTION("""COMPUTED_VALUE"""),3.0)</f>
        <v>3</v>
      </c>
      <c r="J171" s="2"/>
      <c r="K171" s="2"/>
    </row>
    <row r="172">
      <c r="A172" s="345"/>
      <c r="B172" s="385"/>
      <c r="C172" s="345"/>
      <c r="D172" s="377" t="str">
        <f>IFERROR(__xludf.DUMMYFUNCTION("""COMPUTED_VALUE"""),"Paul Stamets")</f>
        <v>Paul Stamets</v>
      </c>
      <c r="E172" s="378" t="str">
        <f>IFERROR(__xludf.DUMMYFUNCTION("""COMPUTED_VALUE"""),"Rare")</f>
        <v>Rare</v>
      </c>
      <c r="F172" s="378" t="str">
        <f>IFERROR(__xludf.DUMMYFUNCTION("""COMPUTED_VALUE"""),"Federation")</f>
        <v>Federation</v>
      </c>
      <c r="G172" s="378" t="str">
        <f>IFERROR(__xludf.DUMMYFUNCTION("""COMPUTED_VALUE"""),"Engineering")</f>
        <v>Engineering</v>
      </c>
      <c r="H172" s="379" t="str">
        <f>IFERROR(__xludf.DUMMYFUNCTION("""COMPUTED_VALUE"""),"Ultra Recruit, Discovery Recruit, Crucible of War")</f>
        <v>Ultra Recruit, Discovery Recruit, Crucible of War</v>
      </c>
      <c r="I172" s="378">
        <f>IFERROR(__xludf.DUMMYFUNCTION("""COMPUTED_VALUE"""),3.0)</f>
        <v>3</v>
      </c>
      <c r="J172" s="2"/>
      <c r="K172" s="2"/>
    </row>
    <row r="173">
      <c r="A173" s="345"/>
      <c r="B173" s="385"/>
      <c r="C173" s="345"/>
      <c r="D173" s="377" t="str">
        <f>IFERROR(__xludf.DUMMYFUNCTION("""COMPUTED_VALUE"""),"Phellun")</f>
        <v>Phellun</v>
      </c>
      <c r="E173" s="378" t="str">
        <f>IFERROR(__xludf.DUMMYFUNCTION("""COMPUTED_VALUE"""),"Epic")</f>
        <v>Epic</v>
      </c>
      <c r="F173" s="378" t="str">
        <f>IFERROR(__xludf.DUMMYFUNCTION("""COMPUTED_VALUE"""),"Independent")</f>
        <v>Independent</v>
      </c>
      <c r="G173" s="378" t="str">
        <f>IFERROR(__xludf.DUMMYFUNCTION("""COMPUTED_VALUE"""),"Engineering")</f>
        <v>Engineering</v>
      </c>
      <c r="H173" s="379" t="str">
        <f>IFERROR(__xludf.DUMMYFUNCTION("""COMPUTED_VALUE"""),"Syndicate 46+, Epic Wrath Recruit")</f>
        <v>Syndicate 46+, Epic Wrath Recruit</v>
      </c>
      <c r="I173" s="378">
        <f>IFERROR(__xludf.DUMMYFUNCTION("""COMPUTED_VALUE"""),2.0)</f>
        <v>2</v>
      </c>
      <c r="J173" s="2"/>
      <c r="K173" s="2"/>
    </row>
    <row r="174">
      <c r="A174" s="345"/>
      <c r="B174" s="385"/>
      <c r="C174" s="345"/>
      <c r="D174" s="377" t="str">
        <f>IFERROR(__xludf.DUMMYFUNCTION("""COMPUTED_VALUE"""),"Phlox")</f>
        <v>Phlox</v>
      </c>
      <c r="E174" s="378" t="str">
        <f>IFERROR(__xludf.DUMMYFUNCTION("""COMPUTED_VALUE"""),"Epic")</f>
        <v>Epic</v>
      </c>
      <c r="F174" s="378" t="str">
        <f>IFERROR(__xludf.DUMMYFUNCTION("""COMPUTED_VALUE"""),"Federation")</f>
        <v>Federation</v>
      </c>
      <c r="G174" s="378" t="str">
        <f>IFERROR(__xludf.DUMMYFUNCTION("""COMPUTED_VALUE"""),"Science")</f>
        <v>Science</v>
      </c>
      <c r="H174" s="379" t="str">
        <f>IFERROR(__xludf.DUMMYFUNCTION("""COMPUTED_VALUE"""),"Mirror Universe Refinery, Independent Archive Recruit, Epic Wrath Recruit, Officer Depot Tokens")</f>
        <v>Mirror Universe Refinery, Independent Archive Recruit, Epic Wrath Recruit, Officer Depot Tokens</v>
      </c>
      <c r="I174" s="378">
        <f>IFERROR(__xludf.DUMMYFUNCTION("""COMPUTED_VALUE"""),4.0)</f>
        <v>4</v>
      </c>
      <c r="J174" s="2"/>
      <c r="K174" s="2"/>
    </row>
    <row r="175">
      <c r="A175" s="345"/>
      <c r="B175" s="385"/>
      <c r="C175" s="345"/>
      <c r="D175" s="377" t="str">
        <f>IFERROR(__xludf.DUMMYFUNCTION("""COMPUTED_VALUE"""),"PIC Admiral Picard")</f>
        <v>PIC Admiral Picard</v>
      </c>
      <c r="E175" s="378" t="str">
        <f>IFERROR(__xludf.DUMMYFUNCTION("""COMPUTED_VALUE"""),"Epic")</f>
        <v>Epic</v>
      </c>
      <c r="F175" s="378" t="str">
        <f>IFERROR(__xludf.DUMMYFUNCTION("""COMPUTED_VALUE"""),"Federation")</f>
        <v>Federation</v>
      </c>
      <c r="G175" s="378" t="str">
        <f>IFERROR(__xludf.DUMMYFUNCTION("""COMPUTED_VALUE"""),"Command")</f>
        <v>Command</v>
      </c>
      <c r="H175" s="379" t="str">
        <f>IFERROR(__xludf.DUMMYFUNCTION("""COMPUTED_VALUE"""),"Ultra Recruit, Incursions, G5 Armada Chests, Alliance Tournament Store, Rare Wrath Recruit, Officer Depot Tokens")</f>
        <v>Ultra Recruit, Incursions, G5 Armada Chests, Alliance Tournament Store, Rare Wrath Recruit, Officer Depot Tokens</v>
      </c>
      <c r="I175" s="378">
        <f>IFERROR(__xludf.DUMMYFUNCTION("""COMPUTED_VALUE"""),6.0)</f>
        <v>6</v>
      </c>
      <c r="J175" s="2"/>
      <c r="K175" s="2"/>
    </row>
    <row r="176">
      <c r="A176" s="345"/>
      <c r="B176" s="385"/>
      <c r="C176" s="345"/>
      <c r="D176" s="377" t="str">
        <f>IFERROR(__xludf.DUMMYFUNCTION("""COMPUTED_VALUE"""),"PIC Beverly Crusher")</f>
        <v>PIC Beverly Crusher</v>
      </c>
      <c r="E176" s="378" t="str">
        <f>IFERROR(__xludf.DUMMYFUNCTION("""COMPUTED_VALUE"""),"Rare")</f>
        <v>Rare</v>
      </c>
      <c r="F176" s="378" t="str">
        <f>IFERROR(__xludf.DUMMYFUNCTION("""COMPUTED_VALUE"""),"Federation")</f>
        <v>Federation</v>
      </c>
      <c r="G176" s="378" t="str">
        <f>IFERROR(__xludf.DUMMYFUNCTION("""COMPUTED_VALUE"""),"Science")</f>
        <v>Science</v>
      </c>
      <c r="H176" s="379" t="str">
        <f>IFERROR(__xludf.DUMMYFUNCTION("""COMPUTED_VALUE"""),"Ultra Recruit, Incursions, G5 Armada Chests, Rare Wrath Recruit, Officer Depot Tokens")</f>
        <v>Ultra Recruit, Incursions, G5 Armada Chests, Rare Wrath Recruit, Officer Depot Tokens</v>
      </c>
      <c r="I176" s="378">
        <f>IFERROR(__xludf.DUMMYFUNCTION("""COMPUTED_VALUE"""),5.0)</f>
        <v>5</v>
      </c>
      <c r="J176" s="2"/>
      <c r="K176" s="2"/>
    </row>
    <row r="177">
      <c r="A177" s="345"/>
      <c r="B177" s="385"/>
      <c r="C177" s="345"/>
      <c r="D177" s="377" t="str">
        <f>IFERROR(__xludf.DUMMYFUNCTION("""COMPUTED_VALUE"""),"PIC Hugh")</f>
        <v>PIC Hugh</v>
      </c>
      <c r="E177" s="378" t="str">
        <f>IFERROR(__xludf.DUMMYFUNCTION("""COMPUTED_VALUE"""),"Epic")</f>
        <v>Epic</v>
      </c>
      <c r="F177" s="378" t="str">
        <f>IFERROR(__xludf.DUMMYFUNCTION("""COMPUTED_VALUE"""),"Epic Ex-Borg")</f>
        <v>Epic Ex-Borg</v>
      </c>
      <c r="G177" s="378" t="str">
        <f>IFERROR(__xludf.DUMMYFUNCTION("""COMPUTED_VALUE"""),"Engineering")</f>
        <v>Engineering</v>
      </c>
      <c r="H177" s="379" t="str">
        <f>IFERROR(__xludf.DUMMYFUNCTION("""COMPUTED_VALUE"""),"PIC Hugh Exchange (NX-01 Refinery), Officer Depot Tokens")</f>
        <v>PIC Hugh Exchange (NX-01 Refinery), Officer Depot Tokens</v>
      </c>
      <c r="I177" s="378">
        <f>IFERROR(__xludf.DUMMYFUNCTION("""COMPUTED_VALUE"""),2.0)</f>
        <v>2</v>
      </c>
      <c r="J177" s="2"/>
      <c r="K177" s="2"/>
    </row>
    <row r="178">
      <c r="A178" s="345"/>
      <c r="B178" s="385"/>
      <c r="C178" s="345"/>
      <c r="D178" s="377" t="str">
        <f>IFERROR(__xludf.DUMMYFUNCTION("""COMPUTED_VALUE"""),"PIC Riker")</f>
        <v>PIC Riker</v>
      </c>
      <c r="E178" s="378" t="str">
        <f>IFERROR(__xludf.DUMMYFUNCTION("""COMPUTED_VALUE"""),"Epic")</f>
        <v>Epic</v>
      </c>
      <c r="F178" s="378" t="str">
        <f>IFERROR(__xludf.DUMMYFUNCTION("""COMPUTED_VALUE"""),"Federation")</f>
        <v>Federation</v>
      </c>
      <c r="G178" s="378" t="str">
        <f>IFERROR(__xludf.DUMMYFUNCTION("""COMPUTED_VALUE"""),"Command")</f>
        <v>Command</v>
      </c>
      <c r="H178" s="379" t="str">
        <f>IFERROR(__xludf.DUMMYFUNCTION("""COMPUTED_VALUE"""),"Ultra Recruit, Incursions, G5 Armada Chests, Alliance Tournament Store, Rare Wrath Recruit, Officer Depot Tokens")</f>
        <v>Ultra Recruit, Incursions, G5 Armada Chests, Alliance Tournament Store, Rare Wrath Recruit, Officer Depot Tokens</v>
      </c>
      <c r="I178" s="378">
        <f>IFERROR(__xludf.DUMMYFUNCTION("""COMPUTED_VALUE"""),6.0)</f>
        <v>6</v>
      </c>
      <c r="J178" s="2"/>
      <c r="K178" s="2"/>
    </row>
    <row r="179">
      <c r="A179" s="345"/>
      <c r="B179" s="385"/>
      <c r="C179" s="345"/>
      <c r="D179" s="377" t="str">
        <f>IFERROR(__xludf.DUMMYFUNCTION("""COMPUTED_VALUE"""),"PIC Worf")</f>
        <v>PIC Worf</v>
      </c>
      <c r="E179" s="378" t="str">
        <f>IFERROR(__xludf.DUMMYFUNCTION("""COMPUTED_VALUE"""),"Epic")</f>
        <v>Epic</v>
      </c>
      <c r="F179" s="378" t="str">
        <f>IFERROR(__xludf.DUMMYFUNCTION("""COMPUTED_VALUE"""),"Federation")</f>
        <v>Federation</v>
      </c>
      <c r="G179" s="378" t="str">
        <f>IFERROR(__xludf.DUMMYFUNCTION("""COMPUTED_VALUE"""),"Command")</f>
        <v>Command</v>
      </c>
      <c r="H179" s="379" t="str">
        <f>IFERROR(__xludf.DUMMYFUNCTION("""COMPUTED_VALUE"""),"Ultra Recruit, Incursions, G5 Armada Chests, Alliance Tournament Store, Rare Wrath Recruit, Officer Depot Tokens")</f>
        <v>Ultra Recruit, Incursions, G5 Armada Chests, Alliance Tournament Store, Rare Wrath Recruit, Officer Depot Tokens</v>
      </c>
      <c r="I179" s="378">
        <f>IFERROR(__xludf.DUMMYFUNCTION("""COMPUTED_VALUE"""),6.0)</f>
        <v>6</v>
      </c>
      <c r="J179" s="2"/>
      <c r="K179" s="2"/>
    </row>
    <row r="180">
      <c r="A180" s="345"/>
      <c r="B180" s="385"/>
      <c r="C180" s="345"/>
      <c r="D180" s="377" t="str">
        <f>IFERROR(__xludf.DUMMYFUNCTION("""COMPUTED_VALUE"""),"Pike")</f>
        <v>Pike</v>
      </c>
      <c r="E180" s="378" t="str">
        <f>IFERROR(__xludf.DUMMYFUNCTION("""COMPUTED_VALUE"""),"Epic")</f>
        <v>Epic</v>
      </c>
      <c r="F180" s="378" t="str">
        <f>IFERROR(__xludf.DUMMYFUNCTION("""COMPUTED_VALUE"""),"Federation")</f>
        <v>Federation</v>
      </c>
      <c r="G180" s="378" t="str">
        <f>IFERROR(__xludf.DUMMYFUNCTION("""COMPUTED_VALUE"""),"Command")</f>
        <v>Command</v>
      </c>
      <c r="H180" s="379" t="str">
        <f>IFERROR(__xludf.DUMMYFUNCTION("""COMPUTED_VALUE"""),"Premium Recruit, Ultra Recruit, Transporter Patterns, Field Training, ATAs, Discovery Recruit, Crucible of War, Elite Federation Recruit, Common Wrath Recruit, Officer Depot Tokens")</f>
        <v>Premium Recruit, Ultra Recruit, Transporter Patterns, Field Training, ATAs, Discovery Recruit, Crucible of War, Elite Federation Recruit, Common Wrath Recruit, Officer Depot Tokens</v>
      </c>
      <c r="I180" s="378">
        <f>IFERROR(__xludf.DUMMYFUNCTION("""COMPUTED_VALUE"""),10.0)</f>
        <v>10</v>
      </c>
      <c r="J180" s="2"/>
      <c r="K180" s="2"/>
    </row>
    <row r="181">
      <c r="A181" s="345"/>
      <c r="B181" s="385"/>
      <c r="C181" s="345"/>
      <c r="D181" s="377" t="str">
        <f>IFERROR(__xludf.DUMMYFUNCTION("""COMPUTED_VALUE"""),"Pon")</f>
        <v>Pon</v>
      </c>
      <c r="E181" s="378" t="str">
        <f>IFERROR(__xludf.DUMMYFUNCTION("""COMPUTED_VALUE"""),"Rare")</f>
        <v>Rare</v>
      </c>
      <c r="F181" s="378" t="str">
        <f>IFERROR(__xludf.DUMMYFUNCTION("""COMPUTED_VALUE"""),"Independent")</f>
        <v>Independent</v>
      </c>
      <c r="G181" s="378" t="str">
        <f>IFERROR(__xludf.DUMMYFUNCTION("""COMPUTED_VALUE"""),"Engineering")</f>
        <v>Engineering</v>
      </c>
      <c r="H181" s="379" t="str">
        <f>IFERROR(__xludf.DUMMYFUNCTION("""COMPUTED_VALUE"""),"Ultra Recruit, Incursions, Section 31 Faction Store, Uncommon Wrath Recruit, Officer Depot Tokens")</f>
        <v>Ultra Recruit, Incursions, Section 31 Faction Store, Uncommon Wrath Recruit, Officer Depot Tokens</v>
      </c>
      <c r="I181" s="378">
        <f>IFERROR(__xludf.DUMMYFUNCTION("""COMPUTED_VALUE"""),5.0)</f>
        <v>5</v>
      </c>
      <c r="J181" s="2"/>
      <c r="K181" s="2"/>
    </row>
    <row r="182">
      <c r="A182" s="345"/>
      <c r="B182" s="385"/>
      <c r="C182" s="345"/>
      <c r="D182" s="377" t="str">
        <f>IFERROR(__xludf.DUMMYFUNCTION("""COMPUTED_VALUE"""),"Qa'Ug")</f>
        <v>Qa'Ug</v>
      </c>
      <c r="E182" s="378" t="str">
        <f>IFERROR(__xludf.DUMMYFUNCTION("""COMPUTED_VALUE"""),"Uncommon")</f>
        <v>Uncommon</v>
      </c>
      <c r="F182" s="378" t="str">
        <f>IFERROR(__xludf.DUMMYFUNCTION("""COMPUTED_VALUE"""),"Klingon")</f>
        <v>Klingon</v>
      </c>
      <c r="G182" s="378" t="str">
        <f>IFERROR(__xludf.DUMMYFUNCTION("""COMPUTED_VALUE"""),"Science")</f>
        <v>Science</v>
      </c>
      <c r="H182" s="379" t="str">
        <f>IFERROR(__xludf.DUMMYFUNCTION("""COMPUTED_VALUE"""),"Premium Recruit, Crucible of War, Elite Klingon Recruit")</f>
        <v>Premium Recruit, Crucible of War, Elite Klingon Recruit</v>
      </c>
      <c r="I182" s="378">
        <f>IFERROR(__xludf.DUMMYFUNCTION("""COMPUTED_VALUE"""),3.0)</f>
        <v>3</v>
      </c>
      <c r="J182" s="2"/>
      <c r="K182" s="2"/>
    </row>
    <row r="183">
      <c r="A183" s="345"/>
      <c r="B183" s="385"/>
      <c r="C183" s="345"/>
      <c r="D183" s="377" t="str">
        <f>IFERROR(__xludf.DUMMYFUNCTION("""COMPUTED_VALUE"""),"Quark")</f>
        <v>Quark</v>
      </c>
      <c r="E183" s="378" t="str">
        <f>IFERROR(__xludf.DUMMYFUNCTION("""COMPUTED_VALUE"""),"Epic")</f>
        <v>Epic</v>
      </c>
      <c r="F183" s="378" t="str">
        <f>IFERROR(__xludf.DUMMYFUNCTION("""COMPUTED_VALUE"""),"Independent")</f>
        <v>Independent</v>
      </c>
      <c r="G183" s="378" t="str">
        <f>IFERROR(__xludf.DUMMYFUNCTION("""COMPUTED_VALUE"""),"Command")</f>
        <v>Command</v>
      </c>
      <c r="H183" s="379" t="str">
        <f>IFERROR(__xludf.DUMMYFUNCTION("""COMPUTED_VALUE"""),"Ultra Recruit, Mission Key Recruit, Transporter Patterns, Latinum Rush SMS, Augment Faction Store")</f>
        <v>Ultra Recruit, Mission Key Recruit, Transporter Patterns, Latinum Rush SMS, Augment Faction Store</v>
      </c>
      <c r="I183" s="378">
        <f>IFERROR(__xludf.DUMMYFUNCTION("""COMPUTED_VALUE"""),5.0)</f>
        <v>5</v>
      </c>
      <c r="J183" s="2"/>
      <c r="K183" s="2"/>
    </row>
    <row r="184">
      <c r="A184" s="345"/>
      <c r="B184" s="385"/>
      <c r="C184" s="345"/>
      <c r="D184" s="377" t="str">
        <f>IFERROR(__xludf.DUMMYFUNCTION("""COMPUTED_VALUE"""),"Quasi")</f>
        <v>Quasi</v>
      </c>
      <c r="E184" s="378" t="str">
        <f>IFERROR(__xludf.DUMMYFUNCTION("""COMPUTED_VALUE"""),"Epic")</f>
        <v>Epic</v>
      </c>
      <c r="F184" s="378" t="str">
        <f>IFERROR(__xludf.DUMMYFUNCTION("""COMPUTED_VALUE"""),"Section 31")</f>
        <v>Section 31</v>
      </c>
      <c r="G184" s="378" t="str">
        <f>IFERROR(__xludf.DUMMYFUNCTION("""COMPUTED_VALUE"""),"Science")</f>
        <v>Science</v>
      </c>
      <c r="H184" s="379" t="str">
        <f>IFERROR(__xludf.DUMMYFUNCTION("""COMPUTED_VALUE"""),"Uncommon Wrath Recruit")</f>
        <v>Uncommon Wrath Recruit</v>
      </c>
      <c r="I184" s="378">
        <f>IFERROR(__xludf.DUMMYFUNCTION("""COMPUTED_VALUE"""),1.0)</f>
        <v>1</v>
      </c>
      <c r="J184" s="2"/>
      <c r="K184" s="2"/>
    </row>
    <row r="185">
      <c r="A185" s="345"/>
      <c r="B185" s="385"/>
      <c r="C185" s="345"/>
      <c r="D185" s="377" t="str">
        <f>IFERROR(__xludf.DUMMYFUNCTION("""COMPUTED_VALUE"""),"Rachel Garrett")</f>
        <v>Rachel Garrett</v>
      </c>
      <c r="E185" s="378" t="str">
        <f>IFERROR(__xludf.DUMMYFUNCTION("""COMPUTED_VALUE"""),"Rare")</f>
        <v>Rare</v>
      </c>
      <c r="F185" s="378" t="str">
        <f>IFERROR(__xludf.DUMMYFUNCTION("""COMPUTED_VALUE"""),"Neutral")</f>
        <v>Neutral</v>
      </c>
      <c r="G185" s="378" t="str">
        <f>IFERROR(__xludf.DUMMYFUNCTION("""COMPUTED_VALUE"""),"Engineering")</f>
        <v>Engineering</v>
      </c>
      <c r="H185" s="379" t="str">
        <f>IFERROR(__xludf.DUMMYFUNCTION("""COMPUTED_VALUE"""),"GS-31 Refinery, Epic Wrath Recruit, Common P1ATA, Uncommon P1ATA, Officer Depot Tokens")</f>
        <v>GS-31 Refinery, Epic Wrath Recruit, Common P1ATA, Uncommon P1ATA, Officer Depot Tokens</v>
      </c>
      <c r="I185" s="378">
        <f>IFERROR(__xludf.DUMMYFUNCTION("""COMPUTED_VALUE"""),5.0)</f>
        <v>5</v>
      </c>
      <c r="J185" s="2"/>
      <c r="K185" s="2"/>
    </row>
    <row r="186">
      <c r="A186" s="345"/>
      <c r="B186" s="385"/>
      <c r="C186" s="345"/>
      <c r="D186" s="377" t="str">
        <f>IFERROR(__xludf.DUMMYFUNCTION("""COMPUTED_VALUE"""),"Reginald Barclay")</f>
        <v>Reginald Barclay</v>
      </c>
      <c r="E186" s="378" t="str">
        <f>IFERROR(__xludf.DUMMYFUNCTION("""COMPUTED_VALUE"""),"Epic")</f>
        <v>Epic</v>
      </c>
      <c r="F186" s="378" t="str">
        <f>IFERROR(__xludf.DUMMYFUNCTION("""COMPUTED_VALUE"""),"Federation")</f>
        <v>Federation</v>
      </c>
      <c r="G186" s="378" t="str">
        <f>IFERROR(__xludf.DUMMYFUNCTION("""COMPUTED_VALUE"""),"Engineering")</f>
        <v>Engineering</v>
      </c>
      <c r="H186" s="379" t="str">
        <f>IFERROR(__xludf.DUMMYFUNCTION("""COMPUTED_VALUE"""),"Mission Key Recruit, Transporter Patterns, Officer Depot Tokens")</f>
        <v>Mission Key Recruit, Transporter Patterns, Officer Depot Tokens</v>
      </c>
      <c r="I186" s="378">
        <f>IFERROR(__xludf.DUMMYFUNCTION("""COMPUTED_VALUE"""),3.0)</f>
        <v>3</v>
      </c>
      <c r="J186" s="2"/>
      <c r="K186" s="2"/>
    </row>
    <row r="187">
      <c r="A187" s="345"/>
      <c r="B187" s="385"/>
      <c r="C187" s="345"/>
      <c r="D187" s="377" t="str">
        <f>IFERROR(__xludf.DUMMYFUNCTION("""COMPUTED_VALUE"""),"Rima")</f>
        <v>Rima</v>
      </c>
      <c r="E187" s="378" t="str">
        <f>IFERROR(__xludf.DUMMYFUNCTION("""COMPUTED_VALUE"""),"Rare")</f>
        <v>Rare</v>
      </c>
      <c r="F187" s="378" t="str">
        <f>IFERROR(__xludf.DUMMYFUNCTION("""COMPUTED_VALUE"""),"Independent")</f>
        <v>Independent</v>
      </c>
      <c r="G187" s="378" t="str">
        <f>IFERROR(__xludf.DUMMYFUNCTION("""COMPUTED_VALUE"""),"Command")</f>
        <v>Command</v>
      </c>
      <c r="H187" s="379" t="str">
        <f>IFERROR(__xludf.DUMMYFUNCTION("""COMPUTED_VALUE"""),"Ultra Recruit, Awoken Augment Recruit, Apex Event Store")</f>
        <v>Ultra Recruit, Awoken Augment Recruit, Apex Event Store</v>
      </c>
      <c r="I187" s="378">
        <f>IFERROR(__xludf.DUMMYFUNCTION("""COMPUTED_VALUE"""),3.0)</f>
        <v>3</v>
      </c>
      <c r="J187" s="2"/>
      <c r="K187" s="2"/>
    </row>
    <row r="188">
      <c r="A188" s="345"/>
      <c r="B188" s="385"/>
      <c r="C188" s="345"/>
      <c r="D188" s="377" t="str">
        <f>IFERROR(__xludf.DUMMYFUNCTION("""COMPUTED_VALUE"""),"Ro Mudd")</f>
        <v>Ro Mudd</v>
      </c>
      <c r="E188" s="378" t="str">
        <f>IFERROR(__xludf.DUMMYFUNCTION("""COMPUTED_VALUE"""),"Rare")</f>
        <v>Rare</v>
      </c>
      <c r="F188" s="378" t="str">
        <f>IFERROR(__xludf.DUMMYFUNCTION("""COMPUTED_VALUE"""),"Independent")</f>
        <v>Independent</v>
      </c>
      <c r="G188" s="378" t="str">
        <f>IFERROR(__xludf.DUMMYFUNCTION("""COMPUTED_VALUE"""),"Command")</f>
        <v>Command</v>
      </c>
      <c r="H188" s="379" t="str">
        <f>IFERROR(__xludf.DUMMYFUNCTION("""COMPUTED_VALUE"""),"Ultra Recruit, Apex Event Store, Outlaw Recruit")</f>
        <v>Ultra Recruit, Apex Event Store, Outlaw Recruit</v>
      </c>
      <c r="I188" s="378">
        <f>IFERROR(__xludf.DUMMYFUNCTION("""COMPUTED_VALUE"""),3.0)</f>
        <v>3</v>
      </c>
      <c r="J188" s="2"/>
      <c r="K188" s="2"/>
    </row>
    <row r="189">
      <c r="A189" s="345"/>
      <c r="B189" s="385"/>
      <c r="C189" s="345"/>
      <c r="D189" s="377" t="str">
        <f>IFERROR(__xludf.DUMMYFUNCTION("""COMPUTED_VALUE"""),"Rom")</f>
        <v>Rom</v>
      </c>
      <c r="E189" s="378" t="str">
        <f>IFERROR(__xludf.DUMMYFUNCTION("""COMPUTED_VALUE"""),"Epic")</f>
        <v>Epic</v>
      </c>
      <c r="F189" s="378" t="str">
        <f>IFERROR(__xludf.DUMMYFUNCTION("""COMPUTED_VALUE"""),"Independent")</f>
        <v>Independent</v>
      </c>
      <c r="G189" s="378" t="str">
        <f>IFERROR(__xludf.DUMMYFUNCTION("""COMPUTED_VALUE"""),"Engineering")</f>
        <v>Engineering</v>
      </c>
      <c r="H189" s="379" t="str">
        <f>IFERROR(__xludf.DUMMYFUNCTION("""COMPUTED_VALUE"""),"Ultra Recruit, Transporter Patterns, Augment Faction Store")</f>
        <v>Ultra Recruit, Transporter Patterns, Augment Faction Store</v>
      </c>
      <c r="I189" s="378">
        <f>IFERROR(__xludf.DUMMYFUNCTION("""COMPUTED_VALUE"""),3.0)</f>
        <v>3</v>
      </c>
      <c r="J189" s="2"/>
      <c r="K189" s="2"/>
    </row>
    <row r="190">
      <c r="A190" s="345"/>
      <c r="B190" s="385"/>
      <c r="C190" s="345"/>
      <c r="D190" s="377" t="str">
        <f>IFERROR(__xludf.DUMMYFUNCTION("""COMPUTED_VALUE"""),"Romi")</f>
        <v>Romi</v>
      </c>
      <c r="E190" s="378" t="str">
        <f>IFERROR(__xludf.DUMMYFUNCTION("""COMPUTED_VALUE"""),"Rare")</f>
        <v>Rare</v>
      </c>
      <c r="F190" s="378" t="str">
        <f>IFERROR(__xludf.DUMMYFUNCTION("""COMPUTED_VALUE"""),"Neutral")</f>
        <v>Neutral</v>
      </c>
      <c r="G190" s="378" t="str">
        <f>IFERROR(__xludf.DUMMYFUNCTION("""COMPUTED_VALUE"""),"Science")</f>
        <v>Science</v>
      </c>
      <c r="H190" s="379" t="str">
        <f>IFERROR(__xludf.DUMMYFUNCTION("""COMPUTED_VALUE"""),"Section 31 Faction Store, Officer Depot Tokens")</f>
        <v>Section 31 Faction Store, Officer Depot Tokens</v>
      </c>
      <c r="I190" s="378">
        <f>IFERROR(__xludf.DUMMYFUNCTION("""COMPUTED_VALUE"""),2.0)</f>
        <v>2</v>
      </c>
      <c r="J190" s="2"/>
      <c r="K190" s="2"/>
    </row>
    <row r="191">
      <c r="A191" s="345"/>
      <c r="B191" s="385"/>
      <c r="C191" s="345"/>
      <c r="D191" s="377" t="str">
        <f>IFERROR(__xludf.DUMMYFUNCTION("""COMPUTED_VALUE"""),"Rukor")</f>
        <v>Rukor</v>
      </c>
      <c r="E191" s="378" t="str">
        <f>IFERROR(__xludf.DUMMYFUNCTION("""COMPUTED_VALUE"""),"Common")</f>
        <v>Common</v>
      </c>
      <c r="F191" s="378" t="str">
        <f>IFERROR(__xludf.DUMMYFUNCTION("""COMPUTED_VALUE"""),"Klingon")</f>
        <v>Klingon</v>
      </c>
      <c r="G191" s="378" t="str">
        <f>IFERROR(__xludf.DUMMYFUNCTION("""COMPUTED_VALUE"""),"N/A")</f>
        <v>N/A</v>
      </c>
      <c r="H191" s="379" t="str">
        <f>IFERROR(__xludf.DUMMYFUNCTION("""COMPUTED_VALUE"""),"Standard Recruit")</f>
        <v>Standard Recruit</v>
      </c>
      <c r="I191" s="378">
        <f>IFERROR(__xludf.DUMMYFUNCTION("""COMPUTED_VALUE"""),1.0)</f>
        <v>1</v>
      </c>
      <c r="J191" s="2"/>
      <c r="K191" s="2"/>
    </row>
    <row r="192">
      <c r="A192" s="345"/>
      <c r="B192" s="385"/>
      <c r="C192" s="345"/>
      <c r="D192" s="377" t="str">
        <f>IFERROR(__xludf.DUMMYFUNCTION("""COMPUTED_VALUE"""),"S31 Georgiou")</f>
        <v>S31 Georgiou</v>
      </c>
      <c r="E192" s="378" t="str">
        <f>IFERROR(__xludf.DUMMYFUNCTION("""COMPUTED_VALUE"""),"Epic")</f>
        <v>Epic</v>
      </c>
      <c r="F192" s="378" t="str">
        <f>IFERROR(__xludf.DUMMYFUNCTION("""COMPUTED_VALUE"""),"Neutral")</f>
        <v>Neutral</v>
      </c>
      <c r="G192" s="378" t="str">
        <f>IFERROR(__xludf.DUMMYFUNCTION("""COMPUTED_VALUE"""),"Science")</f>
        <v>Science</v>
      </c>
      <c r="H192" s="379" t="str">
        <f>IFERROR(__xludf.DUMMYFUNCTION("""COMPUTED_VALUE"""),"GS-31 Refinery, KhanQuest P1ATA, Rare P1ATA, Epic P1ATA, Officer Depot Tokens")</f>
        <v>GS-31 Refinery, KhanQuest P1ATA, Rare P1ATA, Epic P1ATA, Officer Depot Tokens</v>
      </c>
      <c r="I192" s="378">
        <f>IFERROR(__xludf.DUMMYFUNCTION("""COMPUTED_VALUE"""),5.0)</f>
        <v>5</v>
      </c>
      <c r="J192" s="2"/>
      <c r="K192" s="2"/>
    </row>
    <row r="193">
      <c r="A193" s="345"/>
      <c r="B193" s="385"/>
      <c r="C193" s="345"/>
      <c r="D193" s="377" t="str">
        <f>IFERROR(__xludf.DUMMYFUNCTION("""COMPUTED_VALUE"""),"Sam Rutherford")</f>
        <v>Sam Rutherford</v>
      </c>
      <c r="E193" s="378" t="str">
        <f>IFERROR(__xludf.DUMMYFUNCTION("""COMPUTED_VALUE"""),"Rare")</f>
        <v>Rare</v>
      </c>
      <c r="F193" s="378" t="str">
        <f>IFERROR(__xludf.DUMMYFUNCTION("""COMPUTED_VALUE"""),"Federation")</f>
        <v>Federation</v>
      </c>
      <c r="G193" s="378" t="str">
        <f>IFERROR(__xludf.DUMMYFUNCTION("""COMPUTED_VALUE"""),"Engineering")</f>
        <v>Engineering</v>
      </c>
      <c r="H193" s="379" t="str">
        <f>IFERROR(__xludf.DUMMYFUNCTION("""COMPUTED_VALUE"""),"Ultra Recruit, Cerritos Refinery, Monaveen Field Training, Uncommon Wrath Recruit, Officer Depot Tokens")</f>
        <v>Ultra Recruit, Cerritos Refinery, Monaveen Field Training, Uncommon Wrath Recruit, Officer Depot Tokens</v>
      </c>
      <c r="I193" s="378">
        <f>IFERROR(__xludf.DUMMYFUNCTION("""COMPUTED_VALUE"""),5.0)</f>
        <v>5</v>
      </c>
      <c r="J193" s="2"/>
      <c r="K193" s="2"/>
    </row>
    <row r="194">
      <c r="A194" s="345"/>
      <c r="B194" s="385"/>
      <c r="C194" s="345"/>
      <c r="D194" s="377" t="str">
        <f>IFERROR(__xludf.DUMMYFUNCTION("""COMPUTED_VALUE"""),"Saru")</f>
        <v>Saru</v>
      </c>
      <c r="E194" s="378" t="str">
        <f>IFERROR(__xludf.DUMMYFUNCTION("""COMPUTED_VALUE"""),"Rare")</f>
        <v>Rare</v>
      </c>
      <c r="F194" s="378" t="str">
        <f>IFERROR(__xludf.DUMMYFUNCTION("""COMPUTED_VALUE"""),"Federation")</f>
        <v>Federation</v>
      </c>
      <c r="G194" s="378" t="str">
        <f>IFERROR(__xludf.DUMMYFUNCTION("""COMPUTED_VALUE"""),"Command")</f>
        <v>Command</v>
      </c>
      <c r="H194" s="379" t="str">
        <f>IFERROR(__xludf.DUMMYFUNCTION("""COMPUTED_VALUE"""),"Ultra Recruit, Discovery Recruit, Crucible of War")</f>
        <v>Ultra Recruit, Discovery Recruit, Crucible of War</v>
      </c>
      <c r="I194" s="378">
        <f>IFERROR(__xludf.DUMMYFUNCTION("""COMPUTED_VALUE"""),3.0)</f>
        <v>3</v>
      </c>
      <c r="J194" s="2"/>
      <c r="K194" s="2"/>
    </row>
    <row r="195">
      <c r="A195" s="345"/>
      <c r="B195" s="385"/>
      <c r="C195" s="345"/>
      <c r="D195" s="377" t="str">
        <f>IFERROR(__xludf.DUMMYFUNCTION("""COMPUTED_VALUE"""),"Scotty")</f>
        <v>Scotty</v>
      </c>
      <c r="E195" s="378" t="str">
        <f>IFERROR(__xludf.DUMMYFUNCTION("""COMPUTED_VALUE"""),"Uncommon")</f>
        <v>Uncommon</v>
      </c>
      <c r="F195" s="378" t="str">
        <f>IFERROR(__xludf.DUMMYFUNCTION("""COMPUTED_VALUE"""),"Federation")</f>
        <v>Federation</v>
      </c>
      <c r="G195" s="378" t="str">
        <f>IFERROR(__xludf.DUMMYFUNCTION("""COMPUTED_VALUE"""),"Engineering")</f>
        <v>Engineering</v>
      </c>
      <c r="H195" s="379" t="str">
        <f>IFERROR(__xludf.DUMMYFUNCTION("""COMPUTED_VALUE"""),"Premium Recruit, Federation Recruit, Crucible of War, Elite Federation Recruit")</f>
        <v>Premium Recruit, Federation Recruit, Crucible of War, Elite Federation Recruit</v>
      </c>
      <c r="I195" s="378">
        <f>IFERROR(__xludf.DUMMYFUNCTION("""COMPUTED_VALUE"""),4.0)</f>
        <v>4</v>
      </c>
      <c r="J195" s="2"/>
      <c r="K195" s="2"/>
    </row>
    <row r="196">
      <c r="A196" s="345"/>
      <c r="B196" s="385"/>
      <c r="C196" s="345"/>
      <c r="D196" s="377" t="str">
        <f>IFERROR(__xludf.DUMMYFUNCTION("""COMPUTED_VALUE"""),"Sela")</f>
        <v>Sela</v>
      </c>
      <c r="E196" s="378" t="str">
        <f>IFERROR(__xludf.DUMMYFUNCTION("""COMPUTED_VALUE"""),"Epic")</f>
        <v>Epic</v>
      </c>
      <c r="F196" s="378" t="str">
        <f>IFERROR(__xludf.DUMMYFUNCTION("""COMPUTED_VALUE"""),"Romulan")</f>
        <v>Romulan</v>
      </c>
      <c r="G196" s="378" t="str">
        <f>IFERROR(__xludf.DUMMYFUNCTION("""COMPUTED_VALUE"""),"Command")</f>
        <v>Command</v>
      </c>
      <c r="H196" s="379" t="str">
        <f>IFERROR(__xludf.DUMMYFUNCTION("""COMPUTED_VALUE"""),"Ultra Recruit, Mission Key Recruit, Transporter Patterns, Crucible of War, Elite Romulan Recruit")</f>
        <v>Ultra Recruit, Mission Key Recruit, Transporter Patterns, Crucible of War, Elite Romulan Recruit</v>
      </c>
      <c r="I196" s="378">
        <f>IFERROR(__xludf.DUMMYFUNCTION("""COMPUTED_VALUE"""),5.0)</f>
        <v>5</v>
      </c>
      <c r="J196" s="2"/>
      <c r="K196" s="2"/>
    </row>
    <row r="197">
      <c r="A197" s="345"/>
      <c r="B197" s="385"/>
      <c r="C197" s="345"/>
      <c r="D197" s="377" t="str">
        <f>IFERROR(__xludf.DUMMYFUNCTION("""COMPUTED_VALUE"""),"Sesha")</f>
        <v>Sesha</v>
      </c>
      <c r="E197" s="378" t="str">
        <f>IFERROR(__xludf.DUMMYFUNCTION("""COMPUTED_VALUE"""),"Common")</f>
        <v>Common</v>
      </c>
      <c r="F197" s="378" t="str">
        <f>IFERROR(__xludf.DUMMYFUNCTION("""COMPUTED_VALUE"""),"Independent")</f>
        <v>Independent</v>
      </c>
      <c r="G197" s="378" t="str">
        <f>IFERROR(__xludf.DUMMYFUNCTION("""COMPUTED_VALUE"""),"N/A")</f>
        <v>N/A</v>
      </c>
      <c r="H197" s="379" t="str">
        <f>IFERROR(__xludf.DUMMYFUNCTION("""COMPUTED_VALUE"""),"Apex Event Store, Outlaw Recruit")</f>
        <v>Apex Event Store, Outlaw Recruit</v>
      </c>
      <c r="I197" s="378">
        <f>IFERROR(__xludf.DUMMYFUNCTION("""COMPUTED_VALUE"""),2.0)</f>
        <v>2</v>
      </c>
      <c r="J197" s="2"/>
      <c r="K197" s="2"/>
    </row>
    <row r="198">
      <c r="A198" s="345"/>
      <c r="B198" s="385"/>
      <c r="C198" s="345"/>
      <c r="D198" s="377" t="str">
        <f>IFERROR(__xludf.DUMMYFUNCTION("""COMPUTED_VALUE"""),"Seska")</f>
        <v>Seska</v>
      </c>
      <c r="E198" s="378" t="str">
        <f>IFERROR(__xludf.DUMMYFUNCTION("""COMPUTED_VALUE"""),"Epic")</f>
        <v>Epic</v>
      </c>
      <c r="F198" s="378" t="str">
        <f>IFERROR(__xludf.DUMMYFUNCTION("""COMPUTED_VALUE"""),"Neutral")</f>
        <v>Neutral</v>
      </c>
      <c r="G198" s="378" t="str">
        <f>IFERROR(__xludf.DUMMYFUNCTION("""COMPUTED_VALUE"""),"Science")</f>
        <v>Science</v>
      </c>
      <c r="H198" s="379" t="str">
        <f>IFERROR(__xludf.DUMMYFUNCTION("""COMPUTED_VALUE"""),"DTI Faction Store, Epic Wrath Recruit")</f>
        <v>DTI Faction Store, Epic Wrath Recruit</v>
      </c>
      <c r="I198" s="378">
        <f>IFERROR(__xludf.DUMMYFUNCTION("""COMPUTED_VALUE"""),2.0)</f>
        <v>2</v>
      </c>
      <c r="J198" s="2"/>
      <c r="K198" s="2"/>
    </row>
    <row r="199">
      <c r="A199" s="345"/>
      <c r="B199" s="385"/>
      <c r="C199" s="345"/>
      <c r="D199" s="377" t="str">
        <f>IFERROR(__xludf.DUMMYFUNCTION("""COMPUTED_VALUE"""),"Seven Of Eleven")</f>
        <v>Seven Of Eleven</v>
      </c>
      <c r="E199" s="378" t="str">
        <f>IFERROR(__xludf.DUMMYFUNCTION("""COMPUTED_VALUE"""),"Rare")</f>
        <v>Rare</v>
      </c>
      <c r="F199" s="378" t="str">
        <f>IFERROR(__xludf.DUMMYFUNCTION("""COMPUTED_VALUE"""),"Independent")</f>
        <v>Independent</v>
      </c>
      <c r="G199" s="378" t="str">
        <f>IFERROR(__xludf.DUMMYFUNCTION("""COMPUTED_VALUE"""),"Science")</f>
        <v>Science</v>
      </c>
      <c r="H199" s="379" t="str">
        <f>IFERROR(__xludf.DUMMYFUNCTION("""COMPUTED_VALUE"""),"Premium Recruit, Ultra Recruit, Rare/Epic Borg Solos, Common Wrath Recruit")</f>
        <v>Premium Recruit, Ultra Recruit, Rare/Epic Borg Solos, Common Wrath Recruit</v>
      </c>
      <c r="I199" s="378">
        <f>IFERROR(__xludf.DUMMYFUNCTION("""COMPUTED_VALUE"""),4.0)</f>
        <v>4</v>
      </c>
      <c r="J199" s="2"/>
      <c r="K199" s="2"/>
    </row>
    <row r="200">
      <c r="A200" s="345"/>
      <c r="B200" s="385"/>
      <c r="C200" s="345"/>
      <c r="D200" s="377" t="str">
        <f>IFERROR(__xludf.DUMMYFUNCTION("""COMPUTED_VALUE"""),"Seven Of Nine")</f>
        <v>Seven Of Nine</v>
      </c>
      <c r="E200" s="378" t="str">
        <f>IFERROR(__xludf.DUMMYFUNCTION("""COMPUTED_VALUE"""),"Epic")</f>
        <v>Epic</v>
      </c>
      <c r="F200" s="378" t="str">
        <f>IFERROR(__xludf.DUMMYFUNCTION("""COMPUTED_VALUE"""),"Federation")</f>
        <v>Federation</v>
      </c>
      <c r="G200" s="378" t="str">
        <f>IFERROR(__xludf.DUMMYFUNCTION("""COMPUTED_VALUE"""),"Command")</f>
        <v>Command</v>
      </c>
      <c r="H200" s="379" t="str">
        <f>IFERROR(__xludf.DUMMYFUNCTION("""COMPUTED_VALUE"""),"Isomatter Refinery, Ex-Borg Faction Store, Rare Wrath Recruit, Officer Depot Tokens")</f>
        <v>Isomatter Refinery, Ex-Borg Faction Store, Rare Wrath Recruit, Officer Depot Tokens</v>
      </c>
      <c r="I200" s="378">
        <f>IFERROR(__xludf.DUMMYFUNCTION("""COMPUTED_VALUE"""),4.0)</f>
        <v>4</v>
      </c>
      <c r="J200" s="2"/>
      <c r="K200" s="2"/>
    </row>
    <row r="201">
      <c r="A201" s="345"/>
      <c r="B201" s="385"/>
      <c r="C201" s="345"/>
      <c r="D201" s="377" t="str">
        <f>IFERROR(__xludf.DUMMYFUNCTION("""COMPUTED_VALUE"""),"Severus")</f>
        <v>Severus</v>
      </c>
      <c r="E201" s="378" t="str">
        <f>IFERROR(__xludf.DUMMYFUNCTION("""COMPUTED_VALUE"""),"Uncommon")</f>
        <v>Uncommon</v>
      </c>
      <c r="F201" s="378" t="str">
        <f>IFERROR(__xludf.DUMMYFUNCTION("""COMPUTED_VALUE"""),"Romulan")</f>
        <v>Romulan</v>
      </c>
      <c r="G201" s="378" t="str">
        <f>IFERROR(__xludf.DUMMYFUNCTION("""COMPUTED_VALUE"""),"Engineering")</f>
        <v>Engineering</v>
      </c>
      <c r="H201" s="379" t="str">
        <f>IFERROR(__xludf.DUMMYFUNCTION("""COMPUTED_VALUE"""),"Premium Recruit, Crucible of War, Elite Romulan Recruit")</f>
        <v>Premium Recruit, Crucible of War, Elite Romulan Recruit</v>
      </c>
      <c r="I201" s="378">
        <f>IFERROR(__xludf.DUMMYFUNCTION("""COMPUTED_VALUE"""),3.0)</f>
        <v>3</v>
      </c>
      <c r="J201" s="2"/>
      <c r="K201" s="2"/>
    </row>
    <row r="202">
      <c r="A202" s="345"/>
      <c r="B202" s="385"/>
      <c r="C202" s="345"/>
      <c r="D202" s="377" t="str">
        <f>IFERROR(__xludf.DUMMYFUNCTION("""COMPUTED_VALUE"""),"Shaxs")</f>
        <v>Shaxs</v>
      </c>
      <c r="E202" s="378" t="str">
        <f>IFERROR(__xludf.DUMMYFUNCTION("""COMPUTED_VALUE"""),"Epic")</f>
        <v>Epic</v>
      </c>
      <c r="F202" s="378" t="str">
        <f>IFERROR(__xludf.DUMMYFUNCTION("""COMPUTED_VALUE"""),"Federation")</f>
        <v>Federation</v>
      </c>
      <c r="G202" s="378" t="str">
        <f>IFERROR(__xludf.DUMMYFUNCTION("""COMPUTED_VALUE"""),"Engineering")</f>
        <v>Engineering</v>
      </c>
      <c r="H202" s="379" t="str">
        <f>IFERROR(__xludf.DUMMYFUNCTION("""COMPUTED_VALUE"""),"Incursions, Alliance Tournament Store, Uncommon Wrath Recruit, Officer Depot Tokens")</f>
        <v>Incursions, Alliance Tournament Store, Uncommon Wrath Recruit, Officer Depot Tokens</v>
      </c>
      <c r="I202" s="378">
        <f>IFERROR(__xludf.DUMMYFUNCTION("""COMPUTED_VALUE"""),4.0)</f>
        <v>4</v>
      </c>
      <c r="J202" s="2"/>
      <c r="K202" s="2"/>
    </row>
    <row r="203">
      <c r="A203" s="345"/>
      <c r="B203" s="385"/>
      <c r="C203" s="345"/>
      <c r="D203" s="377" t="str">
        <f>IFERROR(__xludf.DUMMYFUNCTION("""COMPUTED_VALUE"""),"Shev")</f>
        <v>Shev</v>
      </c>
      <c r="E203" s="378" t="str">
        <f>IFERROR(__xludf.DUMMYFUNCTION("""COMPUTED_VALUE"""),"Common")</f>
        <v>Common</v>
      </c>
      <c r="F203" s="378" t="str">
        <f>IFERROR(__xludf.DUMMYFUNCTION("""COMPUTED_VALUE"""),"Federation")</f>
        <v>Federation</v>
      </c>
      <c r="G203" s="378" t="str">
        <f>IFERROR(__xludf.DUMMYFUNCTION("""COMPUTED_VALUE"""),"N/A")</f>
        <v>N/A</v>
      </c>
      <c r="H203" s="379" t="str">
        <f>IFERROR(__xludf.DUMMYFUNCTION("""COMPUTED_VALUE"""),"Standard Recruit, Common Wrath Recruit")</f>
        <v>Standard Recruit, Common Wrath Recruit</v>
      </c>
      <c r="I203" s="378">
        <f>IFERROR(__xludf.DUMMYFUNCTION("""COMPUTED_VALUE"""),2.0)</f>
        <v>2</v>
      </c>
      <c r="J203" s="2"/>
      <c r="K203" s="2"/>
    </row>
    <row r="204">
      <c r="A204" s="345"/>
      <c r="B204" s="385"/>
      <c r="C204" s="345"/>
      <c r="D204" s="377" t="str">
        <f>IFERROR(__xludf.DUMMYFUNCTION("""COMPUTED_VALUE"""),"Shran")</f>
        <v>Shran</v>
      </c>
      <c r="E204" s="378" t="str">
        <f>IFERROR(__xludf.DUMMYFUNCTION("""COMPUTED_VALUE"""),"Rare")</f>
        <v>Rare</v>
      </c>
      <c r="F204" s="378" t="str">
        <f>IFERROR(__xludf.DUMMYFUNCTION("""COMPUTED_VALUE"""),"Federation")</f>
        <v>Federation</v>
      </c>
      <c r="G204" s="378" t="str">
        <f>IFERROR(__xludf.DUMMYFUNCTION("""COMPUTED_VALUE"""),"Engineering")</f>
        <v>Engineering</v>
      </c>
      <c r="H204" s="379" t="str">
        <f>IFERROR(__xludf.DUMMYFUNCTION("""COMPUTED_VALUE"""),"Mirror Universe Refinery, Independent Archive Recruit, Epic Wrath Recruit, Officer Depot Tokens")</f>
        <v>Mirror Universe Refinery, Independent Archive Recruit, Epic Wrath Recruit, Officer Depot Tokens</v>
      </c>
      <c r="I204" s="378">
        <f>IFERROR(__xludf.DUMMYFUNCTION("""COMPUTED_VALUE"""),4.0)</f>
        <v>4</v>
      </c>
      <c r="J204" s="2"/>
      <c r="K204" s="2"/>
    </row>
    <row r="205">
      <c r="A205" s="345"/>
      <c r="B205" s="385"/>
      <c r="C205" s="345"/>
      <c r="D205" s="386" t="str">
        <f>IFERROR(__xludf.DUMMYFUNCTION("""COMPUTED_VALUE"""),"Sir Alexander Dane")</f>
        <v>Sir Alexander Dane</v>
      </c>
      <c r="E205" s="378" t="str">
        <f>IFERROR(__xludf.DUMMYFUNCTION("""COMPUTED_VALUE"""),"Rare")</f>
        <v>Rare</v>
      </c>
      <c r="F205" s="378" t="str">
        <f>IFERROR(__xludf.DUMMYFUNCTION("""COMPUTED_VALUE"""),"Independent")</f>
        <v>Independent</v>
      </c>
      <c r="G205" s="378" t="str">
        <f>IFERROR(__xludf.DUMMYFUNCTION("""COMPUTED_VALUE"""),"Science")</f>
        <v>Science</v>
      </c>
      <c r="H205" s="379" t="str">
        <f>IFERROR(__xludf.DUMMYFUNCTION("""COMPUTED_VALUE"""),"Galactic Recruit, Independent Archive Recruit, Epic Wrath Recruit, Officer Depot Tokens")</f>
        <v>Galactic Recruit, Independent Archive Recruit, Epic Wrath Recruit, Officer Depot Tokens</v>
      </c>
      <c r="I205" s="378">
        <f>IFERROR(__xludf.DUMMYFUNCTION("""COMPUTED_VALUE"""),4.0)</f>
        <v>4</v>
      </c>
      <c r="J205" s="2"/>
      <c r="K205" s="2"/>
    </row>
    <row r="206">
      <c r="A206" s="345"/>
      <c r="B206" s="385"/>
      <c r="C206" s="345"/>
      <c r="D206" s="377" t="str">
        <f>IFERROR(__xludf.DUMMYFUNCTION("""COMPUTED_VALUE"""),"Six Of Eleven")</f>
        <v>Six Of Eleven</v>
      </c>
      <c r="E206" s="378" t="str">
        <f>IFERROR(__xludf.DUMMYFUNCTION("""COMPUTED_VALUE"""),"Epic")</f>
        <v>Epic</v>
      </c>
      <c r="F206" s="378" t="str">
        <f>IFERROR(__xludf.DUMMYFUNCTION("""COMPUTED_VALUE"""),"Independent")</f>
        <v>Independent</v>
      </c>
      <c r="G206" s="378" t="str">
        <f>IFERROR(__xludf.DUMMYFUNCTION("""COMPUTED_VALUE"""),"Command")</f>
        <v>Command</v>
      </c>
      <c r="H206" s="379" t="str">
        <f>IFERROR(__xludf.DUMMYFUNCTION("""COMPUTED_VALUE"""),"Premium Recruit, Ultra Recruit, Transporter Patterns, Rare/Epic Borg Solos, Common Wrath Recruit")</f>
        <v>Premium Recruit, Ultra Recruit, Transporter Patterns, Rare/Epic Borg Solos, Common Wrath Recruit</v>
      </c>
      <c r="I206" s="378">
        <f>IFERROR(__xludf.DUMMYFUNCTION("""COMPUTED_VALUE"""),5.0)</f>
        <v>5</v>
      </c>
      <c r="J206" s="2"/>
      <c r="K206" s="2"/>
    </row>
    <row r="207">
      <c r="A207" s="345"/>
      <c r="B207" s="385"/>
      <c r="C207" s="345"/>
      <c r="D207" s="377" t="str">
        <f>IFERROR(__xludf.DUMMYFUNCTION("""COMPUTED_VALUE"""),"SNW Black Ops Chapel")</f>
        <v>SNW Black Ops Chapel</v>
      </c>
      <c r="E207" s="378" t="str">
        <f>IFERROR(__xludf.DUMMYFUNCTION("""COMPUTED_VALUE"""),"Rare")</f>
        <v>Rare</v>
      </c>
      <c r="F207" s="378" t="str">
        <f>IFERROR(__xludf.DUMMYFUNCTION("""COMPUTED_VALUE"""),"Federation")</f>
        <v>Federation</v>
      </c>
      <c r="G207" s="378" t="str">
        <f>IFERROR(__xludf.DUMMYFUNCTION("""COMPUTED_VALUE"""),"Engineering")</f>
        <v>Engineering</v>
      </c>
      <c r="H207" s="377" t="str">
        <f>IFERROR(__xludf.DUMMYFUNCTION("""COMPUTED_VALUE"""),"Serene Squall Strongbox, Challenge Track")</f>
        <v>Serene Squall Strongbox, Challenge Track</v>
      </c>
      <c r="I207" s="378">
        <f>IFERROR(__xludf.DUMMYFUNCTION("""COMPUTED_VALUE"""),2.0)</f>
        <v>2</v>
      </c>
      <c r="J207" s="2"/>
      <c r="K207" s="2"/>
    </row>
    <row r="208">
      <c r="A208" s="345"/>
      <c r="B208" s="385"/>
      <c r="C208" s="345"/>
      <c r="D208" s="377" t="str">
        <f>IFERROR(__xludf.DUMMYFUNCTION("""COMPUTED_VALUE"""),"SNW Black Ops M'Benga")</f>
        <v>SNW Black Ops M'Benga</v>
      </c>
      <c r="E208" s="378" t="str">
        <f>IFERROR(__xludf.DUMMYFUNCTION("""COMPUTED_VALUE"""),"Epic")</f>
        <v>Epic</v>
      </c>
      <c r="F208" s="378" t="str">
        <f>IFERROR(__xludf.DUMMYFUNCTION("""COMPUTED_VALUE"""),"Federation")</f>
        <v>Federation</v>
      </c>
      <c r="G208" s="378" t="str">
        <f>IFERROR(__xludf.DUMMYFUNCTION("""COMPUTED_VALUE"""),"Science")</f>
        <v>Science</v>
      </c>
      <c r="H208" s="377" t="str">
        <f>IFERROR(__xludf.DUMMYFUNCTION("""COMPUTED_VALUE"""),"")</f>
        <v/>
      </c>
      <c r="I208" s="378">
        <f>IFERROR(__xludf.DUMMYFUNCTION("""COMPUTED_VALUE"""),0.0)</f>
        <v>0</v>
      </c>
      <c r="J208" s="2"/>
      <c r="K208" s="2"/>
    </row>
    <row r="209">
      <c r="A209" s="345"/>
      <c r="B209" s="385"/>
      <c r="C209" s="345"/>
      <c r="D209" s="377" t="str">
        <f>IFERROR(__xludf.DUMMYFUNCTION("""COMPUTED_VALUE"""),"SNW D'Chok")</f>
        <v>SNW D'Chok</v>
      </c>
      <c r="E209" s="378" t="str">
        <f>IFERROR(__xludf.DUMMYFUNCTION("""COMPUTED_VALUE"""),"Epic")</f>
        <v>Epic</v>
      </c>
      <c r="F209" s="378" t="str">
        <f>IFERROR(__xludf.DUMMYFUNCTION("""COMPUTED_VALUE"""),"Klingon")</f>
        <v>Klingon</v>
      </c>
      <c r="G209" s="378" t="str">
        <f>IFERROR(__xludf.DUMMYFUNCTION("""COMPUTED_VALUE"""),"Command")</f>
        <v>Command</v>
      </c>
      <c r="H209" s="379" t="str">
        <f>IFERROR(__xludf.DUMMYFUNCTION("""COMPUTED_VALUE"""),"Alliance Tournament Store")</f>
        <v>Alliance Tournament Store</v>
      </c>
      <c r="I209" s="378">
        <f>IFERROR(__xludf.DUMMYFUNCTION("""COMPUTED_VALUE"""),1.0)</f>
        <v>1</v>
      </c>
      <c r="J209" s="2"/>
      <c r="K209" s="2"/>
    </row>
    <row r="210">
      <c r="A210" s="345"/>
      <c r="B210" s="385"/>
      <c r="C210" s="345"/>
      <c r="D210" s="377" t="str">
        <f>IFERROR(__xludf.DUMMYFUNCTION("""COMPUTED_VALUE"""),"SNW Hemmer")</f>
        <v>SNW Hemmer</v>
      </c>
      <c r="E210" s="378" t="str">
        <f>IFERROR(__xludf.DUMMYFUNCTION("""COMPUTED_VALUE"""),"Epic")</f>
        <v>Epic</v>
      </c>
      <c r="F210" s="378" t="str">
        <f>IFERROR(__xludf.DUMMYFUNCTION("""COMPUTED_VALUE"""),"Federation")</f>
        <v>Federation</v>
      </c>
      <c r="G210" s="378" t="str">
        <f>IFERROR(__xludf.DUMMYFUNCTION("""COMPUTED_VALUE"""),"Engineering")</f>
        <v>Engineering</v>
      </c>
      <c r="H210" s="379" t="str">
        <f>IFERROR(__xludf.DUMMYFUNCTION("""COMPUTED_VALUE"""),"Ultra Recruit, Transporter Patterns, Mantis Refinery, Rare Wrath Recruit, KhanQuest P1ATA, Rare P1ATA, Epic P1ATA, Officer Depot Tokens")</f>
        <v>Ultra Recruit, Transporter Patterns, Mantis Refinery, Rare Wrath Recruit, KhanQuest P1ATA, Rare P1ATA, Epic P1ATA, Officer Depot Tokens</v>
      </c>
      <c r="I210" s="378">
        <f>IFERROR(__xludf.DUMMYFUNCTION("""COMPUTED_VALUE"""),8.0)</f>
        <v>8</v>
      </c>
      <c r="J210" s="2"/>
      <c r="K210" s="2"/>
    </row>
    <row r="211">
      <c r="A211" s="345"/>
      <c r="B211" s="385"/>
      <c r="C211" s="345"/>
      <c r="D211" s="377" t="str">
        <f>IFERROR(__xludf.DUMMYFUNCTION("""COMPUTED_VALUE"""),"SNW James Kirk")</f>
        <v>SNW James Kirk</v>
      </c>
      <c r="E211" s="378" t="str">
        <f>IFERROR(__xludf.DUMMYFUNCTION("""COMPUTED_VALUE"""),"Epic")</f>
        <v>Epic</v>
      </c>
      <c r="F211" s="378" t="str">
        <f>IFERROR(__xludf.DUMMYFUNCTION("""COMPUTED_VALUE"""),"Federation")</f>
        <v>Federation</v>
      </c>
      <c r="G211" s="378" t="str">
        <f>IFERROR(__xludf.DUMMYFUNCTION("""COMPUTED_VALUE"""),"Command")</f>
        <v>Command</v>
      </c>
      <c r="H211" s="387" t="str">
        <f>IFERROR(__xludf.DUMMYFUNCTION("""COMPUTED_VALUE"""),"Galactic Recruit, Isomatter Refinery Eviscerator, Independent Archive Recruit, Admiral's Officer Recruit, Rare Wrath Recruit, KhanQuest P1ATA, Uncommon P1ATA, Officer Depot Tokens")</f>
        <v>Galactic Recruit, Isomatter Refinery Eviscerator, Independent Archive Recruit, Admiral's Officer Recruit, Rare Wrath Recruit, KhanQuest P1ATA, Uncommon P1ATA, Officer Depot Tokens</v>
      </c>
      <c r="I211" s="378">
        <f>IFERROR(__xludf.DUMMYFUNCTION("""COMPUTED_VALUE"""),8.0)</f>
        <v>8</v>
      </c>
      <c r="J211" s="2"/>
      <c r="K211" s="2"/>
    </row>
    <row r="212">
      <c r="A212" s="345"/>
      <c r="B212" s="385"/>
      <c r="C212" s="345"/>
      <c r="D212" s="377" t="str">
        <f>IFERROR(__xludf.DUMMYFUNCTION("""COMPUTED_VALUE"""),"SNW La'an")</f>
        <v>SNW La'an</v>
      </c>
      <c r="E212" s="378" t="str">
        <f>IFERROR(__xludf.DUMMYFUNCTION("""COMPUTED_VALUE"""),"Rare")</f>
        <v>Rare</v>
      </c>
      <c r="F212" s="378" t="str">
        <f>IFERROR(__xludf.DUMMYFUNCTION("""COMPUTED_VALUE"""),"Federation")</f>
        <v>Federation</v>
      </c>
      <c r="G212" s="378" t="str">
        <f>IFERROR(__xludf.DUMMYFUNCTION("""COMPUTED_VALUE"""),"Engineering")</f>
        <v>Engineering</v>
      </c>
      <c r="H212" s="379" t="str">
        <f>IFERROR(__xludf.DUMMYFUNCTION("""COMPUTED_VALUE"""),"Ultra Recruit, Transporter Patterns, Rare Wrath Recruit, Rare P1ATA, Epic P1ATA, Officer Depot Tokens")</f>
        <v>Ultra Recruit, Transporter Patterns, Rare Wrath Recruit, Rare P1ATA, Epic P1ATA, Officer Depot Tokens</v>
      </c>
      <c r="I212" s="378">
        <f>IFERROR(__xludf.DUMMYFUNCTION("""COMPUTED_VALUE"""),6.0)</f>
        <v>6</v>
      </c>
      <c r="J212" s="2"/>
      <c r="K212" s="2"/>
    </row>
    <row r="213">
      <c r="A213" s="345"/>
      <c r="B213" s="385"/>
      <c r="C213" s="345"/>
      <c r="D213" s="377" t="str">
        <f>IFERROR(__xludf.DUMMYFUNCTION("""COMPUTED_VALUE"""),"SNW M'Benga")</f>
        <v>SNW M'Benga</v>
      </c>
      <c r="E213" s="378" t="str">
        <f>IFERROR(__xludf.DUMMYFUNCTION("""COMPUTED_VALUE"""),"Epic")</f>
        <v>Epic</v>
      </c>
      <c r="F213" s="378" t="str">
        <f>IFERROR(__xludf.DUMMYFUNCTION("""COMPUTED_VALUE"""),"Federation")</f>
        <v>Federation</v>
      </c>
      <c r="G213" s="378" t="str">
        <f>IFERROR(__xludf.DUMMYFUNCTION("""COMPUTED_VALUE"""),"Command")</f>
        <v>Command</v>
      </c>
      <c r="H213" s="379" t="str">
        <f>IFERROR(__xludf.DUMMYFUNCTION("""COMPUTED_VALUE"""),"Galactic Recruit, Isomatter Refinery Eviscerator, Independent Archive Recruit, Admiral's Officer Recruit, Rare Wrath Recruit, KhanQuest P1ATA, Rare P1ATA, Epic P1ATA, Officer Depot Tokens")</f>
        <v>Galactic Recruit, Isomatter Refinery Eviscerator, Independent Archive Recruit, Admiral's Officer Recruit, Rare Wrath Recruit, KhanQuest P1ATA, Rare P1ATA, Epic P1ATA, Officer Depot Tokens</v>
      </c>
      <c r="I213" s="378">
        <f>IFERROR(__xludf.DUMMYFUNCTION("""COMPUTED_VALUE"""),9.0)</f>
        <v>9</v>
      </c>
      <c r="J213" s="2"/>
      <c r="K213" s="2"/>
    </row>
    <row r="214">
      <c r="A214" s="345"/>
      <c r="B214" s="385"/>
      <c r="C214" s="345"/>
      <c r="D214" s="377" t="str">
        <f>IFERROR(__xludf.DUMMYFUNCTION("""COMPUTED_VALUE"""),"SNW Montgomery Scott")</f>
        <v>SNW Montgomery Scott</v>
      </c>
      <c r="E214" s="378" t="str">
        <f>IFERROR(__xludf.DUMMYFUNCTION("""COMPUTED_VALUE"""),"Epic")</f>
        <v>Epic</v>
      </c>
      <c r="F214" s="378" t="str">
        <f>IFERROR(__xludf.DUMMYFUNCTION("""COMPUTED_VALUE"""),"Federation")</f>
        <v>Federation</v>
      </c>
      <c r="G214" s="378" t="str">
        <f>IFERROR(__xludf.DUMMYFUNCTION("""COMPUTED_VALUE"""),"Engineering")</f>
        <v>Engineering</v>
      </c>
      <c r="H214" s="377" t="str">
        <f>IFERROR(__xludf.DUMMYFUNCTION("""COMPUTED_VALUE"""),"")</f>
        <v/>
      </c>
      <c r="I214" s="378">
        <f>IFERROR(__xludf.DUMMYFUNCTION("""COMPUTED_VALUE"""),0.0)</f>
        <v>0</v>
      </c>
      <c r="J214" s="2"/>
      <c r="K214" s="2"/>
    </row>
    <row r="215">
      <c r="A215" s="2"/>
      <c r="B215" s="7"/>
      <c r="C215" s="2"/>
      <c r="D215" s="377" t="str">
        <f>IFERROR(__xludf.DUMMYFUNCTION("""COMPUTED_VALUE"""),"SNW Nurse Chapel")</f>
        <v>SNW Nurse Chapel</v>
      </c>
      <c r="E215" s="378" t="str">
        <f>IFERROR(__xludf.DUMMYFUNCTION("""COMPUTED_VALUE"""),"Rare")</f>
        <v>Rare</v>
      </c>
      <c r="F215" s="378" t="str">
        <f>IFERROR(__xludf.DUMMYFUNCTION("""COMPUTED_VALUE"""),"Federation")</f>
        <v>Federation</v>
      </c>
      <c r="G215" s="378" t="str">
        <f>IFERROR(__xludf.DUMMYFUNCTION("""COMPUTED_VALUE"""),"Science")</f>
        <v>Science</v>
      </c>
      <c r="H215" s="379" t="str">
        <f>IFERROR(__xludf.DUMMYFUNCTION("""COMPUTED_VALUE"""),"Galactic Recruit, Isomatter Refinery Eviscerator, Vindicator Refinery, Rare Wrath Recruit, Rare P1ATA, Epic P1ATA, AT Research Tree, Officer Depot Tokens")</f>
        <v>Galactic Recruit, Isomatter Refinery Eviscerator, Vindicator Refinery, Rare Wrath Recruit, Rare P1ATA, Epic P1ATA, AT Research Tree, Officer Depot Tokens</v>
      </c>
      <c r="I215" s="378">
        <f>IFERROR(__xludf.DUMMYFUNCTION("""COMPUTED_VALUE"""),8.0)</f>
        <v>8</v>
      </c>
      <c r="J215" s="2"/>
      <c r="K215" s="2"/>
    </row>
    <row r="216">
      <c r="A216" s="2"/>
      <c r="B216" s="7"/>
      <c r="C216" s="2"/>
      <c r="D216" s="377" t="str">
        <f>IFERROR(__xludf.DUMMYFUNCTION("""COMPUTED_VALUE"""),"SNW Ortegas")</f>
        <v>SNW Ortegas</v>
      </c>
      <c r="E216" s="378" t="str">
        <f>IFERROR(__xludf.DUMMYFUNCTION("""COMPUTED_VALUE"""),"Rare")</f>
        <v>Rare</v>
      </c>
      <c r="F216" s="378" t="str">
        <f>IFERROR(__xludf.DUMMYFUNCTION("""COMPUTED_VALUE"""),"Federation")</f>
        <v>Federation</v>
      </c>
      <c r="G216" s="378" t="str">
        <f>IFERROR(__xludf.DUMMYFUNCTION("""COMPUTED_VALUE"""),"Science")</f>
        <v>Science</v>
      </c>
      <c r="H216" s="379" t="str">
        <f>IFERROR(__xludf.DUMMYFUNCTION("""COMPUTED_VALUE"""),"Ultra Recruit, Mantis Refinery, Rare Wrath Recruit, Rare P1ATA, Epic P1ATA, Officer Depot Tokens")</f>
        <v>Ultra Recruit, Mantis Refinery, Rare Wrath Recruit, Rare P1ATA, Epic P1ATA, Officer Depot Tokens</v>
      </c>
      <c r="I216" s="378">
        <f>IFERROR(__xludf.DUMMYFUNCTION("""COMPUTED_VALUE"""),6.0)</f>
        <v>6</v>
      </c>
      <c r="J216" s="2"/>
      <c r="K216" s="2"/>
    </row>
    <row r="217">
      <c r="A217" s="2"/>
      <c r="B217" s="370"/>
      <c r="C217" s="318"/>
      <c r="D217" s="377" t="str">
        <f>IFERROR(__xludf.DUMMYFUNCTION("""COMPUTED_VALUE"""),"SNW Pelia")</f>
        <v>SNW Pelia</v>
      </c>
      <c r="E217" s="378" t="str">
        <f>IFERROR(__xludf.DUMMYFUNCTION("""COMPUTED_VALUE"""),"Rare")</f>
        <v>Rare</v>
      </c>
      <c r="F217" s="378" t="str">
        <f>IFERROR(__xludf.DUMMYFUNCTION("""COMPUTED_VALUE"""),"Federation")</f>
        <v>Federation</v>
      </c>
      <c r="G217" s="378" t="str">
        <f>IFERROR(__xludf.DUMMYFUNCTION("""COMPUTED_VALUE"""),"Engineering")</f>
        <v>Engineering</v>
      </c>
      <c r="H217" s="379" t="str">
        <f>IFERROR(__xludf.DUMMYFUNCTION("""COMPUTED_VALUE"""),"Galactic Recruit, Isomatter Refinery Eviscerator, Vindicator Refinery, Independent Archive Recruit, Rare Wrath Recruit, Common P1ATA, Uncommon P1ATA, Officer Depot Tokens")</f>
        <v>Galactic Recruit, Isomatter Refinery Eviscerator, Vindicator Refinery, Independent Archive Recruit, Rare Wrath Recruit, Common P1ATA, Uncommon P1ATA, Officer Depot Tokens</v>
      </c>
      <c r="I217" s="378">
        <f>IFERROR(__xludf.DUMMYFUNCTION("""COMPUTED_VALUE"""),8.0)</f>
        <v>8</v>
      </c>
      <c r="J217" s="2"/>
      <c r="K217" s="2"/>
    </row>
    <row r="218">
      <c r="A218" s="2"/>
      <c r="B218" s="388"/>
      <c r="C218" s="318"/>
      <c r="D218" s="377" t="str">
        <f>IFERROR(__xludf.DUMMYFUNCTION("""COMPUTED_VALUE"""),"SNW Pike")</f>
        <v>SNW Pike</v>
      </c>
      <c r="E218" s="378" t="str">
        <f>IFERROR(__xludf.DUMMYFUNCTION("""COMPUTED_VALUE"""),"Epic")</f>
        <v>Epic</v>
      </c>
      <c r="F218" s="378" t="str">
        <f>IFERROR(__xludf.DUMMYFUNCTION("""COMPUTED_VALUE"""),"Federation")</f>
        <v>Federation</v>
      </c>
      <c r="G218" s="378" t="str">
        <f>IFERROR(__xludf.DUMMYFUNCTION("""COMPUTED_VALUE"""),"Command")</f>
        <v>Command</v>
      </c>
      <c r="H218" s="379" t="str">
        <f>IFERROR(__xludf.DUMMYFUNCTION("""COMPUTED_VALUE"""),"Ultra Recruit, Transporter Patterns, Mantis Refinery, Rare Wrath Recruit, Rare P1ATA, Epic P1ATA, Officer Depot Tokens")</f>
        <v>Ultra Recruit, Transporter Patterns, Mantis Refinery, Rare Wrath Recruit, Rare P1ATA, Epic P1ATA, Officer Depot Tokens</v>
      </c>
      <c r="I218" s="378">
        <f>IFERROR(__xludf.DUMMYFUNCTION("""COMPUTED_VALUE"""),7.0)</f>
        <v>7</v>
      </c>
      <c r="J218" s="2"/>
      <c r="K218" s="2"/>
    </row>
    <row r="219">
      <c r="A219" s="2"/>
      <c r="B219" s="389"/>
      <c r="C219" s="318"/>
      <c r="D219" s="377" t="str">
        <f>IFERROR(__xludf.DUMMYFUNCTION("""COMPUTED_VALUE"""),"SNW Sam Kirk")</f>
        <v>SNW Sam Kirk</v>
      </c>
      <c r="E219" s="378" t="str">
        <f>IFERROR(__xludf.DUMMYFUNCTION("""COMPUTED_VALUE"""),"Epic")</f>
        <v>Epic</v>
      </c>
      <c r="F219" s="378" t="str">
        <f>IFERROR(__xludf.DUMMYFUNCTION("""COMPUTED_VALUE"""),"Federation")</f>
        <v>Federation</v>
      </c>
      <c r="G219" s="378" t="str">
        <f>IFERROR(__xludf.DUMMYFUNCTION("""COMPUTED_VALUE"""),"Science")</f>
        <v>Science</v>
      </c>
      <c r="H219" s="379" t="str">
        <f>IFERROR(__xludf.DUMMYFUNCTION("""COMPUTED_VALUE"""),"Galactic Recruit, Isomatter Refinery Eviscerator, Vindicator Refinery, Admiral's Officer Recruit, Rare Wrath Recruit, KhanQuest P1ATA, Rare P1ATA, Epic P1ATA, Officer Depot Tokens")</f>
        <v>Galactic Recruit, Isomatter Refinery Eviscerator, Vindicator Refinery, Admiral's Officer Recruit, Rare Wrath Recruit, KhanQuest P1ATA, Rare P1ATA, Epic P1ATA, Officer Depot Tokens</v>
      </c>
      <c r="I219" s="378">
        <f>IFERROR(__xludf.DUMMYFUNCTION("""COMPUTED_VALUE"""),9.0)</f>
        <v>9</v>
      </c>
      <c r="J219" s="2"/>
      <c r="K219" s="2"/>
    </row>
    <row r="220">
      <c r="A220" s="2"/>
      <c r="B220" s="389"/>
      <c r="C220" s="318"/>
      <c r="D220" s="377" t="str">
        <f>IFERROR(__xludf.DUMMYFUNCTION("""COMPUTED_VALUE"""),"SNW Spock")</f>
        <v>SNW Spock</v>
      </c>
      <c r="E220" s="378" t="str">
        <f>IFERROR(__xludf.DUMMYFUNCTION("""COMPUTED_VALUE"""),"Rare")</f>
        <v>Rare</v>
      </c>
      <c r="F220" s="378" t="str">
        <f>IFERROR(__xludf.DUMMYFUNCTION("""COMPUTED_VALUE"""),"Federation")</f>
        <v>Federation</v>
      </c>
      <c r="G220" s="378" t="str">
        <f>IFERROR(__xludf.DUMMYFUNCTION("""COMPUTED_VALUE"""),"Science")</f>
        <v>Science</v>
      </c>
      <c r="H220" s="379" t="str">
        <f>IFERROR(__xludf.DUMMYFUNCTION("""COMPUTED_VALUE"""),"Ultra Recruit, Mantis Refinery, Rare Wrath Recruit, Rare P1ATA, Epic P1ATA, Officer Depot Tokens")</f>
        <v>Ultra Recruit, Mantis Refinery, Rare Wrath Recruit, Rare P1ATA, Epic P1ATA, Officer Depot Tokens</v>
      </c>
      <c r="I220" s="378">
        <f>IFERROR(__xludf.DUMMYFUNCTION("""COMPUTED_VALUE"""),6.0)</f>
        <v>6</v>
      </c>
      <c r="J220" s="2"/>
      <c r="K220" s="2"/>
    </row>
    <row r="221">
      <c r="A221" s="2"/>
      <c r="B221" s="389"/>
      <c r="C221" s="318"/>
      <c r="D221" s="377" t="str">
        <f>IFERROR(__xludf.DUMMYFUNCTION("""COMPUTED_VALUE"""),"SNW T'Pring")</f>
        <v>SNW T'Pring</v>
      </c>
      <c r="E221" s="378" t="str">
        <f>IFERROR(__xludf.DUMMYFUNCTION("""COMPUTED_VALUE"""),"Epic")</f>
        <v>Epic</v>
      </c>
      <c r="F221" s="378" t="str">
        <f>IFERROR(__xludf.DUMMYFUNCTION("""COMPUTED_VALUE"""),"Federation")</f>
        <v>Federation</v>
      </c>
      <c r="G221" s="378" t="str">
        <f>IFERROR(__xludf.DUMMYFUNCTION("""COMPUTED_VALUE"""),"Science")</f>
        <v>Science</v>
      </c>
      <c r="H221" s="379" t="str">
        <f>IFERROR(__xludf.DUMMYFUNCTION("""COMPUTED_VALUE"""),"Syndicate 56+")</f>
        <v>Syndicate 56+</v>
      </c>
      <c r="I221" s="378">
        <f>IFERROR(__xludf.DUMMYFUNCTION("""COMPUTED_VALUE"""),1.0)</f>
        <v>1</v>
      </c>
      <c r="J221" s="2"/>
      <c r="K221" s="2"/>
    </row>
    <row r="222">
      <c r="A222" s="2"/>
      <c r="B222" s="389"/>
      <c r="C222" s="50"/>
      <c r="D222" s="377" t="str">
        <f>IFERROR(__xludf.DUMMYFUNCTION("""COMPUTED_VALUE"""),"SNW Uhura")</f>
        <v>SNW Uhura</v>
      </c>
      <c r="E222" s="378" t="str">
        <f>IFERROR(__xludf.DUMMYFUNCTION("""COMPUTED_VALUE"""),"Rare")</f>
        <v>Rare</v>
      </c>
      <c r="F222" s="378" t="str">
        <f>IFERROR(__xludf.DUMMYFUNCTION("""COMPUTED_VALUE"""),"Federation")</f>
        <v>Federation</v>
      </c>
      <c r="G222" s="378" t="str">
        <f>IFERROR(__xludf.DUMMYFUNCTION("""COMPUTED_VALUE"""),"Science")</f>
        <v>Science</v>
      </c>
      <c r="H222" s="379" t="str">
        <f>IFERROR(__xludf.DUMMYFUNCTION("""COMPUTED_VALUE"""),"Ultra Recruit, Mantis Refinery, Rare Wrath Recruit, Rare P1ATA, Epic P1ATA")</f>
        <v>Ultra Recruit, Mantis Refinery, Rare Wrath Recruit, Rare P1ATA, Epic P1ATA</v>
      </c>
      <c r="I222" s="378">
        <f>IFERROR(__xludf.DUMMYFUNCTION("""COMPUTED_VALUE"""),5.0)</f>
        <v>5</v>
      </c>
      <c r="J222" s="2"/>
      <c r="K222" s="2"/>
    </row>
    <row r="223">
      <c r="A223" s="2"/>
      <c r="B223" s="389"/>
      <c r="C223" s="2"/>
      <c r="D223" s="377" t="str">
        <f>IFERROR(__xludf.DUMMYFUNCTION("""COMPUTED_VALUE"""),"SNW Una")</f>
        <v>SNW Una</v>
      </c>
      <c r="E223" s="378" t="str">
        <f>IFERROR(__xludf.DUMMYFUNCTION("""COMPUTED_VALUE"""),"Epic")</f>
        <v>Epic</v>
      </c>
      <c r="F223" s="378" t="str">
        <f>IFERROR(__xludf.DUMMYFUNCTION("""COMPUTED_VALUE"""),"Federation")</f>
        <v>Federation</v>
      </c>
      <c r="G223" s="378" t="str">
        <f>IFERROR(__xludf.DUMMYFUNCTION("""COMPUTED_VALUE"""),"Engineering")</f>
        <v>Engineering</v>
      </c>
      <c r="H223" s="379" t="str">
        <f>IFERROR(__xludf.DUMMYFUNCTION("""COMPUTED_VALUE"""),"Ultra Recruit, Mission Key Recruit, Transporter Patterns, Incursions, GS-31 Refinery, Rare Wrath Recruit, KhanQuest P1ATA, Rare P1ATA, Epic P1ATA, Officer Depot Tokens")</f>
        <v>Ultra Recruit, Mission Key Recruit, Transporter Patterns, Incursions, GS-31 Refinery, Rare Wrath Recruit, KhanQuest P1ATA, Rare P1ATA, Epic P1ATA, Officer Depot Tokens</v>
      </c>
      <c r="I223" s="378">
        <f>IFERROR(__xludf.DUMMYFUNCTION("""COMPUTED_VALUE"""),10.0)</f>
        <v>10</v>
      </c>
      <c r="J223" s="2"/>
      <c r="K223" s="2"/>
    </row>
    <row r="224">
      <c r="A224" s="2"/>
      <c r="B224" s="389"/>
      <c r="C224" s="2"/>
      <c r="D224" s="377" t="str">
        <f>IFERROR(__xludf.DUMMYFUNCTION("""COMPUTED_VALUE"""),"Soran")</f>
        <v>Soran</v>
      </c>
      <c r="E224" s="378" t="str">
        <f>IFERROR(__xludf.DUMMYFUNCTION("""COMPUTED_VALUE"""),"Epic")</f>
        <v>Epic</v>
      </c>
      <c r="F224" s="378" t="str">
        <f>IFERROR(__xludf.DUMMYFUNCTION("""COMPUTED_VALUE"""),"Neutral")</f>
        <v>Neutral</v>
      </c>
      <c r="G224" s="378" t="str">
        <f>IFERROR(__xludf.DUMMYFUNCTION("""COMPUTED_VALUE"""),"Command")</f>
        <v>Command</v>
      </c>
      <c r="H224" s="379" t="str">
        <f>IFERROR(__xludf.DUMMYFUNCTION("""COMPUTED_VALUE"""),"Section 31 Faction Store, Officer Depot Tokens")</f>
        <v>Section 31 Faction Store, Officer Depot Tokens</v>
      </c>
      <c r="I224" s="378">
        <f>IFERROR(__xludf.DUMMYFUNCTION("""COMPUTED_VALUE"""),2.0)</f>
        <v>2</v>
      </c>
      <c r="J224" s="2"/>
      <c r="K224" s="2"/>
    </row>
    <row r="225">
      <c r="A225" s="2"/>
      <c r="B225" s="389"/>
      <c r="C225" s="2"/>
      <c r="D225" s="377" t="str">
        <f>IFERROR(__xludf.DUMMYFUNCTION("""COMPUTED_VALUE"""),"Specialist Seven of Nine")</f>
        <v>Specialist Seven of Nine</v>
      </c>
      <c r="E225" s="378" t="str">
        <f>IFERROR(__xludf.DUMMYFUNCTION("""COMPUTED_VALUE"""),"Epic")</f>
        <v>Epic</v>
      </c>
      <c r="F225" s="378" t="str">
        <f>IFERROR(__xludf.DUMMYFUNCTION("""COMPUTED_VALUE"""),"Neutral")</f>
        <v>Neutral</v>
      </c>
      <c r="G225" s="378" t="str">
        <f>IFERROR(__xludf.DUMMYFUNCTION("""COMPUTED_VALUE"""),"Command")</f>
        <v>Command</v>
      </c>
      <c r="H225" s="379" t="str">
        <f>IFERROR(__xludf.DUMMYFUNCTION("""COMPUTED_VALUE"""),"Section 31 Faction Store, Officer Depot Tokens")</f>
        <v>Section 31 Faction Store, Officer Depot Tokens</v>
      </c>
      <c r="I225" s="378">
        <f>IFERROR(__xludf.DUMMYFUNCTION("""COMPUTED_VALUE"""),2.0)</f>
        <v>2</v>
      </c>
      <c r="J225" s="2"/>
      <c r="K225" s="2"/>
    </row>
    <row r="226">
      <c r="A226" s="2"/>
      <c r="B226" s="390"/>
      <c r="C226" s="2"/>
      <c r="D226" s="377" t="str">
        <f>IFERROR(__xludf.DUMMYFUNCTION("""COMPUTED_VALUE"""),"Spock")</f>
        <v>Spock</v>
      </c>
      <c r="E226" s="378" t="str">
        <f>IFERROR(__xludf.DUMMYFUNCTION("""COMPUTED_VALUE"""),"Rare")</f>
        <v>Rare</v>
      </c>
      <c r="F226" s="378" t="str">
        <f>IFERROR(__xludf.DUMMYFUNCTION("""COMPUTED_VALUE"""),"Federation")</f>
        <v>Federation</v>
      </c>
      <c r="G226" s="378" t="str">
        <f>IFERROR(__xludf.DUMMYFUNCTION("""COMPUTED_VALUE"""),"Science")</f>
        <v>Science</v>
      </c>
      <c r="H226" s="379" t="str">
        <f>IFERROR(__xludf.DUMMYFUNCTION("""COMPUTED_VALUE"""),"Premium Recruit, Ultra Recruit, Federation Recruit, Discovery Recruit, Crucible of War, Elite Federation Recruit")</f>
        <v>Premium Recruit, Ultra Recruit, Federation Recruit, Discovery Recruit, Crucible of War, Elite Federation Recruit</v>
      </c>
      <c r="I226" s="378">
        <f>IFERROR(__xludf.DUMMYFUNCTION("""COMPUTED_VALUE"""),6.0)</f>
        <v>6</v>
      </c>
      <c r="J226" s="2"/>
      <c r="K226" s="2"/>
    </row>
    <row r="227">
      <c r="A227" s="2"/>
      <c r="B227" s="381"/>
      <c r="C227" s="2"/>
      <c r="D227" s="377" t="str">
        <f>IFERROR(__xludf.DUMMYFUNCTION("""COMPUTED_VALUE"""),"Starfleet Q")</f>
        <v>Starfleet Q</v>
      </c>
      <c r="E227" s="378" t="str">
        <f>IFERROR(__xludf.DUMMYFUNCTION("""COMPUTED_VALUE"""),"Epic")</f>
        <v>Epic</v>
      </c>
      <c r="F227" s="378" t="str">
        <f>IFERROR(__xludf.DUMMYFUNCTION("""COMPUTED_VALUE"""),"Independent")</f>
        <v>Independent</v>
      </c>
      <c r="G227" s="378" t="str">
        <f>IFERROR(__xludf.DUMMYFUNCTION("""COMPUTED_VALUE"""),"Command")</f>
        <v>Command</v>
      </c>
      <c r="H227" s="379" t="str">
        <f>IFERROR(__xludf.DUMMYFUNCTION("""COMPUTED_VALUE"""),"Section 31 Faction Store, Officer Depot Tokens")</f>
        <v>Section 31 Faction Store, Officer Depot Tokens</v>
      </c>
      <c r="I227" s="378">
        <f>IFERROR(__xludf.DUMMYFUNCTION("""COMPUTED_VALUE"""),2.0)</f>
        <v>2</v>
      </c>
      <c r="J227" s="2"/>
      <c r="K227" s="2"/>
    </row>
    <row r="228">
      <c r="A228" s="2"/>
      <c r="B228" s="381"/>
      <c r="C228" s="2"/>
      <c r="D228" s="377" t="str">
        <f>IFERROR(__xludf.DUMMYFUNCTION("""COMPUTED_VALUE"""),"Stonn")</f>
        <v>Stonn</v>
      </c>
      <c r="E228" s="378" t="str">
        <f>IFERROR(__xludf.DUMMYFUNCTION("""COMPUTED_VALUE"""),"Rare")</f>
        <v>Rare</v>
      </c>
      <c r="F228" s="378" t="str">
        <f>IFERROR(__xludf.DUMMYFUNCTION("""COMPUTED_VALUE"""),"Federation")</f>
        <v>Federation</v>
      </c>
      <c r="G228" s="378" t="str">
        <f>IFERROR(__xludf.DUMMYFUNCTION("""COMPUTED_VALUE"""),"Engineering")</f>
        <v>Engineering</v>
      </c>
      <c r="H228" s="379" t="str">
        <f>IFERROR(__xludf.DUMMYFUNCTION("""COMPUTED_VALUE"""),"Standard Recruit, Premium Recruit, Ultra Recruit")</f>
        <v>Standard Recruit, Premium Recruit, Ultra Recruit</v>
      </c>
      <c r="I228" s="378">
        <f>IFERROR(__xludf.DUMMYFUNCTION("""COMPUTED_VALUE"""),3.0)</f>
        <v>3</v>
      </c>
      <c r="J228" s="2"/>
      <c r="K228" s="2"/>
    </row>
    <row r="229">
      <c r="A229" s="2"/>
      <c r="B229" s="381"/>
      <c r="C229" s="2"/>
      <c r="D229" s="377" t="str">
        <f>IFERROR(__xludf.DUMMYFUNCTION("""COMPUTED_VALUE"""),"Strike Team La'an")</f>
        <v>Strike Team La'an</v>
      </c>
      <c r="E229" s="378" t="str">
        <f>IFERROR(__xludf.DUMMYFUNCTION("""COMPUTED_VALUE"""),"Epic")</f>
        <v>Epic</v>
      </c>
      <c r="F229" s="378" t="str">
        <f>IFERROR(__xludf.DUMMYFUNCTION("""COMPUTED_VALUE"""),"Federation")</f>
        <v>Federation</v>
      </c>
      <c r="G229" s="378" t="str">
        <f>IFERROR(__xludf.DUMMYFUNCTION("""COMPUTED_VALUE"""),"Command")</f>
        <v>Command</v>
      </c>
      <c r="H229" s="379" t="str">
        <f>IFERROR(__xludf.DUMMYFUNCTION("""COMPUTED_VALUE"""),"Ultra Recruit, Incursions, Section 31 Faction Store, Uncommon Wrath Recruit, Officer Depot Tokens")</f>
        <v>Ultra Recruit, Incursions, Section 31 Faction Store, Uncommon Wrath Recruit, Officer Depot Tokens</v>
      </c>
      <c r="I229" s="378">
        <f>IFERROR(__xludf.DUMMYFUNCTION("""COMPUTED_VALUE"""),5.0)</f>
        <v>5</v>
      </c>
      <c r="J229" s="2"/>
      <c r="K229" s="2"/>
    </row>
    <row r="230">
      <c r="A230" s="2"/>
      <c r="B230" s="381"/>
      <c r="C230" s="2"/>
      <c r="D230" s="377" t="str">
        <f>IFERROR(__xludf.DUMMYFUNCTION("""COMPUTED_VALUE"""),"Strike Team Ortegas")</f>
        <v>Strike Team Ortegas</v>
      </c>
      <c r="E230" s="378" t="str">
        <f>IFERROR(__xludf.DUMMYFUNCTION("""COMPUTED_VALUE"""),"Rare")</f>
        <v>Rare</v>
      </c>
      <c r="F230" s="378" t="str">
        <f>IFERROR(__xludf.DUMMYFUNCTION("""COMPUTED_VALUE"""),"Federation")</f>
        <v>Federation</v>
      </c>
      <c r="G230" s="378" t="str">
        <f>IFERROR(__xludf.DUMMYFUNCTION("""COMPUTED_VALUE"""),"Engineering")</f>
        <v>Engineering</v>
      </c>
      <c r="H230" s="379" t="str">
        <f>IFERROR(__xludf.DUMMYFUNCTION("""COMPUTED_VALUE"""),"Ultra Recruit, Incursions, Section 31 Faction Store, Uncommon Wrath Recruit, Officer Depot Tokens")</f>
        <v>Ultra Recruit, Incursions, Section 31 Faction Store, Uncommon Wrath Recruit, Officer Depot Tokens</v>
      </c>
      <c r="I230" s="378">
        <f>IFERROR(__xludf.DUMMYFUNCTION("""COMPUTED_VALUE"""),5.0)</f>
        <v>5</v>
      </c>
      <c r="J230" s="2"/>
      <c r="K230" s="2"/>
    </row>
    <row r="231">
      <c r="A231" s="2"/>
      <c r="B231" s="381"/>
      <c r="C231" s="2"/>
      <c r="D231" s="377" t="str">
        <f>IFERROR(__xludf.DUMMYFUNCTION("""COMPUTED_VALUE"""),"Strike Team Una")</f>
        <v>Strike Team Una</v>
      </c>
      <c r="E231" s="378" t="str">
        <f>IFERROR(__xludf.DUMMYFUNCTION("""COMPUTED_VALUE"""),"Rare")</f>
        <v>Rare</v>
      </c>
      <c r="F231" s="378" t="str">
        <f>IFERROR(__xludf.DUMMYFUNCTION("""COMPUTED_VALUE"""),"Federation")</f>
        <v>Federation</v>
      </c>
      <c r="G231" s="378" t="str">
        <f>IFERROR(__xludf.DUMMYFUNCTION("""COMPUTED_VALUE"""),"Science")</f>
        <v>Science</v>
      </c>
      <c r="H231" s="379" t="str">
        <f>IFERROR(__xludf.DUMMYFUNCTION("""COMPUTED_VALUE"""),"Ultra Recruit, Incursions, Section 31 Faction Store, Uncommon Wrath Recruit, Officer Depot Tokens")</f>
        <v>Ultra Recruit, Incursions, Section 31 Faction Store, Uncommon Wrath Recruit, Officer Depot Tokens</v>
      </c>
      <c r="I231" s="378">
        <f>IFERROR(__xludf.DUMMYFUNCTION("""COMPUTED_VALUE"""),5.0)</f>
        <v>5</v>
      </c>
      <c r="J231" s="2"/>
      <c r="K231" s="2"/>
    </row>
    <row r="232">
      <c r="A232" s="345"/>
      <c r="B232" s="381"/>
      <c r="C232" s="345"/>
      <c r="D232" s="377" t="str">
        <f>IFERROR(__xludf.DUMMYFUNCTION("""COMPUTED_VALUE"""),"Suder")</f>
        <v>Suder</v>
      </c>
      <c r="E232" s="378" t="str">
        <f>IFERROR(__xludf.DUMMYFUNCTION("""COMPUTED_VALUE"""),"Rare")</f>
        <v>Rare</v>
      </c>
      <c r="F232" s="378" t="str">
        <f>IFERROR(__xludf.DUMMYFUNCTION("""COMPUTED_VALUE"""),"Neutral")</f>
        <v>Neutral</v>
      </c>
      <c r="G232" s="378" t="str">
        <f>IFERROR(__xludf.DUMMYFUNCTION("""COMPUTED_VALUE"""),"Engineering")</f>
        <v>Engineering</v>
      </c>
      <c r="H232" s="379" t="str">
        <f>IFERROR(__xludf.DUMMYFUNCTION("""COMPUTED_VALUE"""),"Epic Wrath Recruit, Augment Faction Store, Officer Depot Tokens")</f>
        <v>Epic Wrath Recruit, Augment Faction Store, Officer Depot Tokens</v>
      </c>
      <c r="I232" s="378">
        <f>IFERROR(__xludf.DUMMYFUNCTION("""COMPUTED_VALUE"""),3.0)</f>
        <v>3</v>
      </c>
      <c r="J232" s="2"/>
      <c r="K232" s="2"/>
    </row>
    <row r="233">
      <c r="A233" s="345"/>
      <c r="B233" s="391"/>
      <c r="C233" s="345"/>
      <c r="D233" s="377" t="str">
        <f>IFERROR(__xludf.DUMMYFUNCTION("""COMPUTED_VALUE"""),"Sulu")</f>
        <v>Sulu</v>
      </c>
      <c r="E233" s="378" t="str">
        <f>IFERROR(__xludf.DUMMYFUNCTION("""COMPUTED_VALUE"""),"Uncommon")</f>
        <v>Uncommon</v>
      </c>
      <c r="F233" s="378" t="str">
        <f>IFERROR(__xludf.DUMMYFUNCTION("""COMPUTED_VALUE"""),"Federation")</f>
        <v>Federation</v>
      </c>
      <c r="G233" s="378" t="str">
        <f>IFERROR(__xludf.DUMMYFUNCTION("""COMPUTED_VALUE"""),"Command")</f>
        <v>Command</v>
      </c>
      <c r="H233" s="379" t="str">
        <f>IFERROR(__xludf.DUMMYFUNCTION("""COMPUTED_VALUE"""),"Standard Recruit, Premium Recruit, Federation Recruit, Crucible of War, Elite Federation Recruit")</f>
        <v>Standard Recruit, Premium Recruit, Federation Recruit, Crucible of War, Elite Federation Recruit</v>
      </c>
      <c r="I233" s="378">
        <f>IFERROR(__xludf.DUMMYFUNCTION("""COMPUTED_VALUE"""),5.0)</f>
        <v>5</v>
      </c>
      <c r="J233" s="2"/>
      <c r="K233" s="2"/>
    </row>
    <row r="234">
      <c r="A234" s="345"/>
      <c r="B234" s="385"/>
      <c r="C234" s="345"/>
      <c r="D234" s="377" t="str">
        <f>IFERROR(__xludf.DUMMYFUNCTION("""COMPUTED_VALUE"""),"T'Laan")</f>
        <v>T'Laan</v>
      </c>
      <c r="E234" s="378" t="str">
        <f>IFERROR(__xludf.DUMMYFUNCTION("""COMPUTED_VALUE"""),"Common")</f>
        <v>Common</v>
      </c>
      <c r="F234" s="378" t="str">
        <f>IFERROR(__xludf.DUMMYFUNCTION("""COMPUTED_VALUE"""),"Federation")</f>
        <v>Federation</v>
      </c>
      <c r="G234" s="378" t="str">
        <f>IFERROR(__xludf.DUMMYFUNCTION("""COMPUTED_VALUE"""),"N/A")</f>
        <v>N/A</v>
      </c>
      <c r="H234" s="379" t="str">
        <f>IFERROR(__xludf.DUMMYFUNCTION("""COMPUTED_VALUE"""),"Standard Recruit, Common Wrath Recruit")</f>
        <v>Standard Recruit, Common Wrath Recruit</v>
      </c>
      <c r="I234" s="378">
        <f>IFERROR(__xludf.DUMMYFUNCTION("""COMPUTED_VALUE"""),2.0)</f>
        <v>2</v>
      </c>
      <c r="J234" s="2"/>
      <c r="K234" s="2"/>
    </row>
    <row r="235">
      <c r="A235" s="345"/>
      <c r="B235" s="385"/>
      <c r="C235" s="345"/>
      <c r="D235" s="377" t="str">
        <f>IFERROR(__xludf.DUMMYFUNCTION("""COMPUTED_VALUE"""),"T'Pol")</f>
        <v>T'Pol</v>
      </c>
      <c r="E235" s="378" t="str">
        <f>IFERROR(__xludf.DUMMYFUNCTION("""COMPUTED_VALUE"""),"Rare")</f>
        <v>Rare</v>
      </c>
      <c r="F235" s="378" t="str">
        <f>IFERROR(__xludf.DUMMYFUNCTION("""COMPUTED_VALUE"""),"Federation")</f>
        <v>Federation</v>
      </c>
      <c r="G235" s="378" t="str">
        <f>IFERROR(__xludf.DUMMYFUNCTION("""COMPUTED_VALUE"""),"Science")</f>
        <v>Science</v>
      </c>
      <c r="H235" s="379" t="str">
        <f>IFERROR(__xludf.DUMMYFUNCTION("""COMPUTED_VALUE"""),"Mirror Universe Refinery, Independent Archive Recruit, Epic Wrath Recruit, Officer Depot Tokens")</f>
        <v>Mirror Universe Refinery, Independent Archive Recruit, Epic Wrath Recruit, Officer Depot Tokens</v>
      </c>
      <c r="I235" s="378">
        <f>IFERROR(__xludf.DUMMYFUNCTION("""COMPUTED_VALUE"""),4.0)</f>
        <v>4</v>
      </c>
      <c r="J235" s="2"/>
      <c r="K235" s="2"/>
    </row>
    <row r="236">
      <c r="A236" s="345"/>
      <c r="B236" s="385"/>
      <c r="C236" s="345"/>
      <c r="D236" s="377" t="str">
        <f>IFERROR(__xludf.DUMMYFUNCTION("""COMPUTED_VALUE"""),"T'Pring")</f>
        <v>T'Pring</v>
      </c>
      <c r="E236" s="378" t="str">
        <f>IFERROR(__xludf.DUMMYFUNCTION("""COMPUTED_VALUE"""),"Rare")</f>
        <v>Rare</v>
      </c>
      <c r="F236" s="378" t="str">
        <f>IFERROR(__xludf.DUMMYFUNCTION("""COMPUTED_VALUE"""),"Federation")</f>
        <v>Federation</v>
      </c>
      <c r="G236" s="378" t="str">
        <f>IFERROR(__xludf.DUMMYFUNCTION("""COMPUTED_VALUE"""),"Command")</f>
        <v>Command</v>
      </c>
      <c r="H236" s="379" t="str">
        <f>IFERROR(__xludf.DUMMYFUNCTION("""COMPUTED_VALUE"""),"Standard Recruit, Premium Recruit, Ultra Recruit")</f>
        <v>Standard Recruit, Premium Recruit, Ultra Recruit</v>
      </c>
      <c r="I236" s="378">
        <f>IFERROR(__xludf.DUMMYFUNCTION("""COMPUTED_VALUE"""),3.0)</f>
        <v>3</v>
      </c>
      <c r="J236" s="2"/>
      <c r="K236" s="2"/>
    </row>
    <row r="237">
      <c r="A237" s="345"/>
      <c r="B237" s="385"/>
      <c r="C237" s="345"/>
      <c r="D237" s="377" t="str">
        <f>IFERROR(__xludf.DUMMYFUNCTION("""COMPUTED_VALUE"""),"Tal")</f>
        <v>Tal</v>
      </c>
      <c r="E237" s="378" t="str">
        <f>IFERROR(__xludf.DUMMYFUNCTION("""COMPUTED_VALUE"""),"Rare")</f>
        <v>Rare</v>
      </c>
      <c r="F237" s="378" t="str">
        <f>IFERROR(__xludf.DUMMYFUNCTION("""COMPUTED_VALUE"""),"Romulan")</f>
        <v>Romulan</v>
      </c>
      <c r="G237" s="378" t="str">
        <f>IFERROR(__xludf.DUMMYFUNCTION("""COMPUTED_VALUE"""),"Engineering")</f>
        <v>Engineering</v>
      </c>
      <c r="H237" s="377" t="str">
        <f>IFERROR(__xludf.DUMMYFUNCTION("""COMPUTED_VALUE"""),"")</f>
        <v/>
      </c>
      <c r="I237" s="378">
        <f>IFERROR(__xludf.DUMMYFUNCTION("""COMPUTED_VALUE"""),0.0)</f>
        <v>0</v>
      </c>
      <c r="J237" s="2"/>
      <c r="K237" s="2"/>
    </row>
    <row r="238">
      <c r="A238" s="345"/>
      <c r="B238" s="385"/>
      <c r="C238" s="345"/>
      <c r="D238" s="377" t="str">
        <f>IFERROR(__xludf.DUMMYFUNCTION("""COMPUTED_VALUE"""),"Tasha Yar")</f>
        <v>Tasha Yar</v>
      </c>
      <c r="E238" s="378" t="str">
        <f>IFERROR(__xludf.DUMMYFUNCTION("""COMPUTED_VALUE"""),"Rare")</f>
        <v>Rare</v>
      </c>
      <c r="F238" s="378" t="str">
        <f>IFERROR(__xludf.DUMMYFUNCTION("""COMPUTED_VALUE"""),"Federation")</f>
        <v>Federation</v>
      </c>
      <c r="G238" s="378" t="str">
        <f>IFERROR(__xludf.DUMMYFUNCTION("""COMPUTED_VALUE"""),"Engineering")</f>
        <v>Engineering</v>
      </c>
      <c r="H238" s="379" t="str">
        <f>IFERROR(__xludf.DUMMYFUNCTION("""COMPUTED_VALUE"""),"Ultra Recruit, Crucible of War, Officer Depot Tokens")</f>
        <v>Ultra Recruit, Crucible of War, Officer Depot Tokens</v>
      </c>
      <c r="I238" s="378">
        <f>IFERROR(__xludf.DUMMYFUNCTION("""COMPUTED_VALUE"""),3.0)</f>
        <v>3</v>
      </c>
      <c r="J238" s="2"/>
      <c r="K238" s="2"/>
    </row>
    <row r="239">
      <c r="A239" s="345"/>
      <c r="B239" s="385"/>
      <c r="C239" s="345"/>
      <c r="D239" s="377" t="str">
        <f>IFERROR(__xludf.DUMMYFUNCTION("""COMPUTED_VALUE"""),"Ten Of Eleven")</f>
        <v>Ten Of Eleven</v>
      </c>
      <c r="E239" s="378" t="str">
        <f>IFERROR(__xludf.DUMMYFUNCTION("""COMPUTED_VALUE"""),"Epic")</f>
        <v>Epic</v>
      </c>
      <c r="F239" s="378" t="str">
        <f>IFERROR(__xludf.DUMMYFUNCTION("""COMPUTED_VALUE"""),"Independent")</f>
        <v>Independent</v>
      </c>
      <c r="G239" s="378" t="str">
        <f>IFERROR(__xludf.DUMMYFUNCTION("""COMPUTED_VALUE"""),"Engineering")</f>
        <v>Engineering</v>
      </c>
      <c r="H239" s="379" t="str">
        <f>IFERROR(__xludf.DUMMYFUNCTION("""COMPUTED_VALUE"""),"Premium Recruit, Ultra Recruit, Mission Key Recruit, ATAs, Rare/Epic Borg Solos, G4 Rare Armada Chests, Common Wrath Recruit")</f>
        <v>Premium Recruit, Ultra Recruit, Mission Key Recruit, ATAs, Rare/Epic Borg Solos, G4 Rare Armada Chests, Common Wrath Recruit</v>
      </c>
      <c r="I239" s="378">
        <f>IFERROR(__xludf.DUMMYFUNCTION("""COMPUTED_VALUE"""),7.0)</f>
        <v>7</v>
      </c>
      <c r="J239" s="2"/>
      <c r="K239" s="2"/>
    </row>
    <row r="240">
      <c r="A240" s="345"/>
      <c r="B240" s="385"/>
      <c r="C240" s="345"/>
      <c r="D240" s="377" t="str">
        <f>IFERROR(__xludf.DUMMYFUNCTION("""COMPUTED_VALUE"""),"The Doctor")</f>
        <v>The Doctor</v>
      </c>
      <c r="E240" s="378" t="str">
        <f>IFERROR(__xludf.DUMMYFUNCTION("""COMPUTED_VALUE"""),"Epic")</f>
        <v>Epic</v>
      </c>
      <c r="F240" s="378" t="str">
        <f>IFERROR(__xludf.DUMMYFUNCTION("""COMPUTED_VALUE"""),"Federation")</f>
        <v>Federation</v>
      </c>
      <c r="G240" s="378" t="str">
        <f>IFERROR(__xludf.DUMMYFUNCTION("""COMPUTED_VALUE"""),"Science")</f>
        <v>Science</v>
      </c>
      <c r="H240" s="379" t="str">
        <f>IFERROR(__xludf.DUMMYFUNCTION("""COMPUTED_VALUE"""),"Rare Formation Armadas, Isomatter Refinery, Ex-Borg Faction Store, G5 Armada Chests, Rare Wrath Recruit, Officer Depot Tokens")</f>
        <v>Rare Formation Armadas, Isomatter Refinery, Ex-Borg Faction Store, G5 Armada Chests, Rare Wrath Recruit, Officer Depot Tokens</v>
      </c>
      <c r="I240" s="378">
        <f>IFERROR(__xludf.DUMMYFUNCTION("""COMPUTED_VALUE"""),6.0)</f>
        <v>6</v>
      </c>
      <c r="J240" s="2"/>
      <c r="K240" s="2"/>
    </row>
    <row r="241">
      <c r="A241" s="345"/>
      <c r="B241" s="385"/>
      <c r="C241" s="345"/>
      <c r="D241" s="377" t="str">
        <f>IFERROR(__xludf.DUMMYFUNCTION("""COMPUTED_VALUE"""),"The Hierarch")</f>
        <v>The Hierarch</v>
      </c>
      <c r="E241" s="378" t="str">
        <f>IFERROR(__xludf.DUMMYFUNCTION("""COMPUTED_VALUE"""),"Epic")</f>
        <v>Epic</v>
      </c>
      <c r="F241" s="378" t="str">
        <f>IFERROR(__xludf.DUMMYFUNCTION("""COMPUTED_VALUE"""),"Neutral")</f>
        <v>Neutral</v>
      </c>
      <c r="G241" s="378" t="str">
        <f>IFERROR(__xludf.DUMMYFUNCTION("""COMPUTED_VALUE"""),"Engineering")</f>
        <v>Engineering</v>
      </c>
      <c r="H241" s="377" t="str">
        <f>IFERROR(__xludf.DUMMYFUNCTION("""COMPUTED_VALUE"""),"Outpost Refinery")</f>
        <v>Outpost Refinery</v>
      </c>
      <c r="I241" s="378">
        <f>IFERROR(__xludf.DUMMYFUNCTION("""COMPUTED_VALUE"""),1.0)</f>
        <v>1</v>
      </c>
      <c r="J241" s="2"/>
      <c r="K241" s="2"/>
    </row>
    <row r="242">
      <c r="A242" s="345"/>
      <c r="B242" s="385"/>
      <c r="C242" s="345"/>
      <c r="D242" s="377" t="str">
        <f>IFERROR(__xludf.DUMMYFUNCTION("""COMPUTED_VALUE"""),"Three Of Eleven")</f>
        <v>Three Of Eleven</v>
      </c>
      <c r="E242" s="378" t="str">
        <f>IFERROR(__xludf.DUMMYFUNCTION("""COMPUTED_VALUE"""),"Epic")</f>
        <v>Epic</v>
      </c>
      <c r="F242" s="378" t="str">
        <f>IFERROR(__xludf.DUMMYFUNCTION("""COMPUTED_VALUE"""),"Independent")</f>
        <v>Independent</v>
      </c>
      <c r="G242" s="378" t="str">
        <f>IFERROR(__xludf.DUMMYFUNCTION("""COMPUTED_VALUE"""),"Command")</f>
        <v>Command</v>
      </c>
      <c r="H242" s="379" t="str">
        <f>IFERROR(__xludf.DUMMYFUNCTION("""COMPUTED_VALUE"""),"Transporter Patterns, Rare/Epic Borg Solos, Common Wrath Recruit")</f>
        <v>Transporter Patterns, Rare/Epic Borg Solos, Common Wrath Recruit</v>
      </c>
      <c r="I242" s="378">
        <f>IFERROR(__xludf.DUMMYFUNCTION("""COMPUTED_VALUE"""),3.0)</f>
        <v>3</v>
      </c>
      <c r="J242" s="2"/>
      <c r="K242" s="2"/>
    </row>
    <row r="243">
      <c r="A243" s="345"/>
      <c r="B243" s="385"/>
      <c r="C243" s="345"/>
      <c r="D243" s="377" t="str">
        <f>IFERROR(__xludf.DUMMYFUNCTION("""COMPUTED_VALUE"""),"Tilly")</f>
        <v>Tilly</v>
      </c>
      <c r="E243" s="378" t="str">
        <f>IFERROR(__xludf.DUMMYFUNCTION("""COMPUTED_VALUE"""),"Uncommon")</f>
        <v>Uncommon</v>
      </c>
      <c r="F243" s="378" t="str">
        <f>IFERROR(__xludf.DUMMYFUNCTION("""COMPUTED_VALUE"""),"Federation")</f>
        <v>Federation</v>
      </c>
      <c r="G243" s="378" t="str">
        <f>IFERROR(__xludf.DUMMYFUNCTION("""COMPUTED_VALUE"""),"Engineering")</f>
        <v>Engineering</v>
      </c>
      <c r="H243" s="379" t="str">
        <f>IFERROR(__xludf.DUMMYFUNCTION("""COMPUTED_VALUE"""),"Discovery Recruit, Crucible of War")</f>
        <v>Discovery Recruit, Crucible of War</v>
      </c>
      <c r="I243" s="378">
        <f>IFERROR(__xludf.DUMMYFUNCTION("""COMPUTED_VALUE"""),2.0)</f>
        <v>2</v>
      </c>
      <c r="J243" s="2"/>
      <c r="K243" s="2"/>
    </row>
    <row r="244">
      <c r="A244" s="345"/>
      <c r="B244" s="385"/>
      <c r="C244" s="345"/>
      <c r="D244" s="377" t="str">
        <f>IFERROR(__xludf.DUMMYFUNCTION("""COMPUTED_VALUE"""),"Tiza")</f>
        <v>Tiza</v>
      </c>
      <c r="E244" s="378" t="str">
        <f>IFERROR(__xludf.DUMMYFUNCTION("""COMPUTED_VALUE"""),"Common")</f>
        <v>Common</v>
      </c>
      <c r="F244" s="378" t="str">
        <f>IFERROR(__xludf.DUMMYFUNCTION("""COMPUTED_VALUE"""),"Independent")</f>
        <v>Independent</v>
      </c>
      <c r="G244" s="378" t="str">
        <f>IFERROR(__xludf.DUMMYFUNCTION("""COMPUTED_VALUE"""),"N/A")</f>
        <v>N/A</v>
      </c>
      <c r="H244" s="379" t="str">
        <f>IFERROR(__xludf.DUMMYFUNCTION("""COMPUTED_VALUE"""),"Apex Event Store, Outlaw Recruit")</f>
        <v>Apex Event Store, Outlaw Recruit</v>
      </c>
      <c r="I244" s="378">
        <f>IFERROR(__xludf.DUMMYFUNCTION("""COMPUTED_VALUE"""),2.0)</f>
        <v>2</v>
      </c>
      <c r="J244" s="2"/>
      <c r="K244" s="2"/>
    </row>
    <row r="245">
      <c r="A245" s="345"/>
      <c r="B245" s="385"/>
      <c r="C245" s="345"/>
      <c r="D245" s="377" t="str">
        <f>IFERROR(__xludf.DUMMYFUNCTION("""COMPUTED_VALUE"""),"TMP Hikaru Sulu")</f>
        <v>TMP Hikaru Sulu</v>
      </c>
      <c r="E245" s="378" t="str">
        <f>IFERROR(__xludf.DUMMYFUNCTION("""COMPUTED_VALUE"""),"Epic")</f>
        <v>Epic</v>
      </c>
      <c r="F245" s="378" t="str">
        <f>IFERROR(__xludf.DUMMYFUNCTION("""COMPUTED_VALUE"""),"Neutral")</f>
        <v>Neutral</v>
      </c>
      <c r="G245" s="378" t="str">
        <f>IFERROR(__xludf.DUMMYFUNCTION("""COMPUTED_VALUE"""),"Command")</f>
        <v>Command</v>
      </c>
      <c r="H245" s="379" t="str">
        <f>IFERROR(__xludf.DUMMYFUNCTION("""COMPUTED_VALUE"""),"")</f>
        <v/>
      </c>
      <c r="I245" s="378">
        <f>IFERROR(__xludf.DUMMYFUNCTION("""COMPUTED_VALUE"""),0.0)</f>
        <v>0</v>
      </c>
      <c r="J245" s="2"/>
      <c r="K245" s="2"/>
    </row>
    <row r="246">
      <c r="A246" s="345"/>
      <c r="B246" s="385"/>
      <c r="C246" s="345"/>
      <c r="D246" s="377" t="str">
        <f>IFERROR(__xludf.DUMMYFUNCTION("""COMPUTED_VALUE"""),"TMP Nyota Uhura")</f>
        <v>TMP Nyota Uhura</v>
      </c>
      <c r="E246" s="378" t="str">
        <f>IFERROR(__xludf.DUMMYFUNCTION("""COMPUTED_VALUE"""),"Epic")</f>
        <v>Epic</v>
      </c>
      <c r="F246" s="378" t="str">
        <f>IFERROR(__xludf.DUMMYFUNCTION("""COMPUTED_VALUE"""),"Neutral")</f>
        <v>Neutral</v>
      </c>
      <c r="G246" s="378" t="str">
        <f>IFERROR(__xludf.DUMMYFUNCTION("""COMPUTED_VALUE"""),"Science")</f>
        <v>Science</v>
      </c>
      <c r="H246" s="379" t="str">
        <f>IFERROR(__xludf.DUMMYFUNCTION("""COMPUTED_VALUE"""),"Challenge Track")</f>
        <v>Challenge Track</v>
      </c>
      <c r="I246" s="378">
        <f>IFERROR(__xludf.DUMMYFUNCTION("""COMPUTED_VALUE"""),1.0)</f>
        <v>1</v>
      </c>
      <c r="J246" s="2"/>
      <c r="K246" s="2"/>
    </row>
    <row r="247">
      <c r="A247" s="345"/>
      <c r="B247" s="385"/>
      <c r="C247" s="345"/>
      <c r="D247" s="377" t="str">
        <f>IFERROR(__xludf.DUMMYFUNCTION("""COMPUTED_VALUE"""),"Toli")</f>
        <v>Toli</v>
      </c>
      <c r="E247" s="378" t="str">
        <f>IFERROR(__xludf.DUMMYFUNCTION("""COMPUTED_VALUE"""),"Rare")</f>
        <v>Rare</v>
      </c>
      <c r="F247" s="378" t="str">
        <f>IFERROR(__xludf.DUMMYFUNCTION("""COMPUTED_VALUE"""),"Independent")</f>
        <v>Independent</v>
      </c>
      <c r="G247" s="378" t="str">
        <f>IFERROR(__xludf.DUMMYFUNCTION("""COMPUTED_VALUE"""),"Engineering")</f>
        <v>Engineering</v>
      </c>
      <c r="H247" s="379" t="str">
        <f>IFERROR(__xludf.DUMMYFUNCTION("""COMPUTED_VALUE"""),"Galactic Recruit, Vindicator Refinery, DTI Faction Store, Epic Wrath Recruit, Officer Depot Tokens")</f>
        <v>Galactic Recruit, Vindicator Refinery, DTI Faction Store, Epic Wrath Recruit, Officer Depot Tokens</v>
      </c>
      <c r="I247" s="378">
        <f>IFERROR(__xludf.DUMMYFUNCTION("""COMPUTED_VALUE"""),5.0)</f>
        <v>5</v>
      </c>
      <c r="J247" s="2"/>
      <c r="K247" s="2"/>
    </row>
    <row r="248">
      <c r="A248" s="345"/>
      <c r="B248" s="385"/>
      <c r="C248" s="345"/>
      <c r="D248" s="377" t="str">
        <f>IFERROR(__xludf.DUMMYFUNCTION("""COMPUTED_VALUE"""),"Tom Paris")</f>
        <v>Tom Paris</v>
      </c>
      <c r="E248" s="378" t="str">
        <f>IFERROR(__xludf.DUMMYFUNCTION("""COMPUTED_VALUE"""),"Rare")</f>
        <v>Rare</v>
      </c>
      <c r="F248" s="378" t="str">
        <f>IFERROR(__xludf.DUMMYFUNCTION("""COMPUTED_VALUE"""),"Federation")</f>
        <v>Federation</v>
      </c>
      <c r="G248" s="378" t="str">
        <f>IFERROR(__xludf.DUMMYFUNCTION("""COMPUTED_VALUE"""),"Engineering")</f>
        <v>Engineering</v>
      </c>
      <c r="H248" s="379" t="str">
        <f>IFERROR(__xludf.DUMMYFUNCTION("""COMPUTED_VALUE"""),"Rare Formation Armadas, Voyager Field Training, Isomatter Refinery, Ex-Borg Faction Store, Rare Wrath Recruit, Officer Depot Tokens")</f>
        <v>Rare Formation Armadas, Voyager Field Training, Isomatter Refinery, Ex-Borg Faction Store, Rare Wrath Recruit, Officer Depot Tokens</v>
      </c>
      <c r="I248" s="378">
        <f>IFERROR(__xludf.DUMMYFUNCTION("""COMPUTED_VALUE"""),6.0)</f>
        <v>6</v>
      </c>
      <c r="J248" s="2"/>
      <c r="K248" s="2"/>
    </row>
    <row r="249">
      <c r="A249" s="345"/>
      <c r="B249" s="385"/>
      <c r="C249" s="345"/>
      <c r="D249" s="377" t="str">
        <f>IFERROR(__xludf.DUMMYFUNCTION("""COMPUTED_VALUE"""),"Tomalak")</f>
        <v>Tomalak</v>
      </c>
      <c r="E249" s="378" t="str">
        <f>IFERROR(__xludf.DUMMYFUNCTION("""COMPUTED_VALUE"""),"Rare")</f>
        <v>Rare</v>
      </c>
      <c r="F249" s="378" t="str">
        <f>IFERROR(__xludf.DUMMYFUNCTION("""COMPUTED_VALUE"""),"Romulan")</f>
        <v>Romulan</v>
      </c>
      <c r="G249" s="378" t="str">
        <f>IFERROR(__xludf.DUMMYFUNCTION("""COMPUTED_VALUE"""),"Command")</f>
        <v>Command</v>
      </c>
      <c r="H249" s="379" t="str">
        <f>IFERROR(__xludf.DUMMYFUNCTION("""COMPUTED_VALUE"""),"Ultra Recruit, Crucible of War, Elite Romulan Recruit")</f>
        <v>Ultra Recruit, Crucible of War, Elite Romulan Recruit</v>
      </c>
      <c r="I249" s="378">
        <f>IFERROR(__xludf.DUMMYFUNCTION("""COMPUTED_VALUE"""),3.0)</f>
        <v>3</v>
      </c>
      <c r="J249" s="2"/>
      <c r="K249" s="2"/>
    </row>
    <row r="250">
      <c r="A250" s="345"/>
      <c r="B250" s="385"/>
      <c r="C250" s="345"/>
      <c r="D250" s="377" t="str">
        <f>IFERROR(__xludf.DUMMYFUNCTION("""COMPUTED_VALUE"""),"TOS Chekov")</f>
        <v>TOS Chekov</v>
      </c>
      <c r="E250" s="378" t="str">
        <f>IFERROR(__xludf.DUMMYFUNCTION("""COMPUTED_VALUE"""),"Rare")</f>
        <v>Rare</v>
      </c>
      <c r="F250" s="378" t="str">
        <f>IFERROR(__xludf.DUMMYFUNCTION("""COMPUTED_VALUE"""),"Federation")</f>
        <v>Federation</v>
      </c>
      <c r="G250" s="378" t="str">
        <f>IFERROR(__xludf.DUMMYFUNCTION("""COMPUTED_VALUE"""),"Command")</f>
        <v>Command</v>
      </c>
      <c r="H250" s="379" t="str">
        <f>IFERROR(__xludf.DUMMYFUNCTION("""COMPUTED_VALUE"""),"Ultra Recruit, Crucible of War, Elite Federation Recruit")</f>
        <v>Ultra Recruit, Crucible of War, Elite Federation Recruit</v>
      </c>
      <c r="I250" s="378">
        <f>IFERROR(__xludf.DUMMYFUNCTION("""COMPUTED_VALUE"""),3.0)</f>
        <v>3</v>
      </c>
      <c r="J250" s="2"/>
      <c r="K250" s="2"/>
    </row>
    <row r="251">
      <c r="A251" s="345"/>
      <c r="B251" s="385"/>
      <c r="C251" s="345"/>
      <c r="D251" s="377" t="str">
        <f>IFERROR(__xludf.DUMMYFUNCTION("""COMPUTED_VALUE"""),"TOS Kirk")</f>
        <v>TOS Kirk</v>
      </c>
      <c r="E251" s="378" t="str">
        <f>IFERROR(__xludf.DUMMYFUNCTION("""COMPUTED_VALUE"""),"Epic")</f>
        <v>Epic</v>
      </c>
      <c r="F251" s="378" t="str">
        <f>IFERROR(__xludf.DUMMYFUNCTION("""COMPUTED_VALUE"""),"Federation")</f>
        <v>Federation</v>
      </c>
      <c r="G251" s="378" t="str">
        <f>IFERROR(__xludf.DUMMYFUNCTION("""COMPUTED_VALUE"""),"Command")</f>
        <v>Command</v>
      </c>
      <c r="H251" s="379" t="str">
        <f>IFERROR(__xludf.DUMMYFUNCTION("""COMPUTED_VALUE"""),"Ultra Recruit, Transporter Patterns, Crucible of War, Elite Federation Recruit")</f>
        <v>Ultra Recruit, Transporter Patterns, Crucible of War, Elite Federation Recruit</v>
      </c>
      <c r="I251" s="378">
        <f>IFERROR(__xludf.DUMMYFUNCTION("""COMPUTED_VALUE"""),4.0)</f>
        <v>4</v>
      </c>
      <c r="J251" s="2"/>
      <c r="K251" s="2"/>
    </row>
    <row r="252">
      <c r="A252" s="345"/>
      <c r="B252" s="385"/>
      <c r="C252" s="345"/>
      <c r="D252" s="377" t="str">
        <f>IFERROR(__xludf.DUMMYFUNCTION("""COMPUTED_VALUE"""),"TOS McCoy")</f>
        <v>TOS McCoy</v>
      </c>
      <c r="E252" s="378" t="str">
        <f>IFERROR(__xludf.DUMMYFUNCTION("""COMPUTED_VALUE"""),"Rare")</f>
        <v>Rare</v>
      </c>
      <c r="F252" s="378" t="str">
        <f>IFERROR(__xludf.DUMMYFUNCTION("""COMPUTED_VALUE"""),"Federation")</f>
        <v>Federation</v>
      </c>
      <c r="G252" s="378" t="str">
        <f>IFERROR(__xludf.DUMMYFUNCTION("""COMPUTED_VALUE"""),"Science")</f>
        <v>Science</v>
      </c>
      <c r="H252" s="379" t="str">
        <f>IFERROR(__xludf.DUMMYFUNCTION("""COMPUTED_VALUE"""),"Ultra Recruit, Crucible of War, Elite Federation Recruit")</f>
        <v>Ultra Recruit, Crucible of War, Elite Federation Recruit</v>
      </c>
      <c r="I252" s="378">
        <f>IFERROR(__xludf.DUMMYFUNCTION("""COMPUTED_VALUE"""),3.0)</f>
        <v>3</v>
      </c>
      <c r="J252" s="2"/>
      <c r="K252" s="2"/>
    </row>
    <row r="253">
      <c r="A253" s="345"/>
      <c r="B253" s="385"/>
      <c r="C253" s="345"/>
      <c r="D253" s="377" t="str">
        <f>IFERROR(__xludf.DUMMYFUNCTION("""COMPUTED_VALUE"""),"TOS Scotty")</f>
        <v>TOS Scotty</v>
      </c>
      <c r="E253" s="378" t="str">
        <f>IFERROR(__xludf.DUMMYFUNCTION("""COMPUTED_VALUE"""),"Rare")</f>
        <v>Rare</v>
      </c>
      <c r="F253" s="378" t="str">
        <f>IFERROR(__xludf.DUMMYFUNCTION("""COMPUTED_VALUE"""),"Federation")</f>
        <v>Federation</v>
      </c>
      <c r="G253" s="378" t="str">
        <f>IFERROR(__xludf.DUMMYFUNCTION("""COMPUTED_VALUE"""),"Engineering")</f>
        <v>Engineering</v>
      </c>
      <c r="H253" s="379" t="str">
        <f>IFERROR(__xludf.DUMMYFUNCTION("""COMPUTED_VALUE"""),"Ultra Recruit, Crucible of War, Elite Federation Recruit")</f>
        <v>Ultra Recruit, Crucible of War, Elite Federation Recruit</v>
      </c>
      <c r="I253" s="378">
        <f>IFERROR(__xludf.DUMMYFUNCTION("""COMPUTED_VALUE"""),3.0)</f>
        <v>3</v>
      </c>
      <c r="J253" s="2"/>
      <c r="K253" s="2"/>
    </row>
    <row r="254">
      <c r="A254" s="345"/>
      <c r="B254" s="385"/>
      <c r="C254" s="345"/>
      <c r="D254" s="377" t="str">
        <f>IFERROR(__xludf.DUMMYFUNCTION("""COMPUTED_VALUE"""),"TOS Spock")</f>
        <v>TOS Spock</v>
      </c>
      <c r="E254" s="378" t="str">
        <f>IFERROR(__xludf.DUMMYFUNCTION("""COMPUTED_VALUE"""),"Epic")</f>
        <v>Epic</v>
      </c>
      <c r="F254" s="378" t="str">
        <f>IFERROR(__xludf.DUMMYFUNCTION("""COMPUTED_VALUE"""),"Federation")</f>
        <v>Federation</v>
      </c>
      <c r="G254" s="378" t="str">
        <f>IFERROR(__xludf.DUMMYFUNCTION("""COMPUTED_VALUE"""),"Science")</f>
        <v>Science</v>
      </c>
      <c r="H254" s="379" t="str">
        <f>IFERROR(__xludf.DUMMYFUNCTION("""COMPUTED_VALUE"""),"Transporter Patterns, ATAs, Crucible of War, Elite Federation Recruit")</f>
        <v>Transporter Patterns, ATAs, Crucible of War, Elite Federation Recruit</v>
      </c>
      <c r="I254" s="378">
        <f>IFERROR(__xludf.DUMMYFUNCTION("""COMPUTED_VALUE"""),4.0)</f>
        <v>4</v>
      </c>
      <c r="J254" s="2"/>
      <c r="K254" s="2"/>
    </row>
    <row r="255">
      <c r="A255" s="345"/>
      <c r="B255" s="385"/>
      <c r="C255" s="345"/>
      <c r="D255" s="377" t="str">
        <f>IFERROR(__xludf.DUMMYFUNCTION("""COMPUTED_VALUE"""),"TOS Sulu")</f>
        <v>TOS Sulu</v>
      </c>
      <c r="E255" s="378" t="str">
        <f>IFERROR(__xludf.DUMMYFUNCTION("""COMPUTED_VALUE"""),"Rare")</f>
        <v>Rare</v>
      </c>
      <c r="F255" s="378" t="str">
        <f>IFERROR(__xludf.DUMMYFUNCTION("""COMPUTED_VALUE"""),"Federation")</f>
        <v>Federation</v>
      </c>
      <c r="G255" s="378" t="str">
        <f>IFERROR(__xludf.DUMMYFUNCTION("""COMPUTED_VALUE"""),"Command")</f>
        <v>Command</v>
      </c>
      <c r="H255" s="379" t="str">
        <f>IFERROR(__xludf.DUMMYFUNCTION("""COMPUTED_VALUE"""),"Ultra Recruit, Crucible of War, Elite Federation Recruit")</f>
        <v>Ultra Recruit, Crucible of War, Elite Federation Recruit</v>
      </c>
      <c r="I255" s="378">
        <f>IFERROR(__xludf.DUMMYFUNCTION("""COMPUTED_VALUE"""),3.0)</f>
        <v>3</v>
      </c>
      <c r="J255" s="2"/>
      <c r="K255" s="2"/>
    </row>
    <row r="256">
      <c r="A256" s="345"/>
      <c r="B256" s="385"/>
      <c r="C256" s="345"/>
      <c r="D256" s="377" t="str">
        <f>IFERROR(__xludf.DUMMYFUNCTION("""COMPUTED_VALUE"""),"TOS Uhura")</f>
        <v>TOS Uhura</v>
      </c>
      <c r="E256" s="378" t="str">
        <f>IFERROR(__xludf.DUMMYFUNCTION("""COMPUTED_VALUE"""),"Rare")</f>
        <v>Rare</v>
      </c>
      <c r="F256" s="378" t="str">
        <f>IFERROR(__xludf.DUMMYFUNCTION("""COMPUTED_VALUE"""),"Federation")</f>
        <v>Federation</v>
      </c>
      <c r="G256" s="378" t="str">
        <f>IFERROR(__xludf.DUMMYFUNCTION("""COMPUTED_VALUE"""),"Engineering")</f>
        <v>Engineering</v>
      </c>
      <c r="H256" s="379" t="str">
        <f>IFERROR(__xludf.DUMMYFUNCTION("""COMPUTED_VALUE"""),"Ultra Recruit, Crucible of War, Elite Federation Recruit")</f>
        <v>Ultra Recruit, Crucible of War, Elite Federation Recruit</v>
      </c>
      <c r="I256" s="378">
        <f>IFERROR(__xludf.DUMMYFUNCTION("""COMPUTED_VALUE"""),3.0)</f>
        <v>3</v>
      </c>
      <c r="J256" s="2"/>
      <c r="K256" s="2"/>
    </row>
    <row r="257">
      <c r="A257" s="345"/>
      <c r="B257" s="385"/>
      <c r="C257" s="345"/>
      <c r="D257" s="377" t="str">
        <f>IFERROR(__xludf.DUMMYFUNCTION("""COMPUTED_VALUE"""),"Trip Tucker")</f>
        <v>Trip Tucker</v>
      </c>
      <c r="E257" s="378" t="str">
        <f>IFERROR(__xludf.DUMMYFUNCTION("""COMPUTED_VALUE"""),"Epic")</f>
        <v>Epic</v>
      </c>
      <c r="F257" s="378" t="str">
        <f>IFERROR(__xludf.DUMMYFUNCTION("""COMPUTED_VALUE"""),"Federation")</f>
        <v>Federation</v>
      </c>
      <c r="G257" s="378" t="str">
        <f>IFERROR(__xludf.DUMMYFUNCTION("""COMPUTED_VALUE"""),"Engineering")</f>
        <v>Engineering</v>
      </c>
      <c r="H257" s="379" t="str">
        <f>IFERROR(__xludf.DUMMYFUNCTION("""COMPUTED_VALUE"""),"Galactic Recruit, Enterprise NX-01 Field Training, Mirror Universe Refinery, Independent Archive Recruit, Epic Wrath Recruit, Officer Depot Tokens")</f>
        <v>Galactic Recruit, Enterprise NX-01 Field Training, Mirror Universe Refinery, Independent Archive Recruit, Epic Wrath Recruit, Officer Depot Tokens</v>
      </c>
      <c r="I257" s="378">
        <f>IFERROR(__xludf.DUMMYFUNCTION("""COMPUTED_VALUE"""),6.0)</f>
        <v>6</v>
      </c>
      <c r="J257" s="2"/>
      <c r="K257" s="2"/>
    </row>
    <row r="258">
      <c r="A258" s="345"/>
      <c r="B258" s="385"/>
      <c r="C258" s="345"/>
      <c r="D258" s="377" t="str">
        <f>IFERROR(__xludf.DUMMYFUNCTION("""COMPUTED_VALUE"""),"Tuvok")</f>
        <v>Tuvok</v>
      </c>
      <c r="E258" s="378" t="str">
        <f>IFERROR(__xludf.DUMMYFUNCTION("""COMPUTED_VALUE"""),"Rare")</f>
        <v>Rare</v>
      </c>
      <c r="F258" s="378" t="str">
        <f>IFERROR(__xludf.DUMMYFUNCTION("""COMPUTED_VALUE"""),"Federation")</f>
        <v>Federation</v>
      </c>
      <c r="G258" s="378" t="str">
        <f>IFERROR(__xludf.DUMMYFUNCTION("""COMPUTED_VALUE"""),"Science")</f>
        <v>Science</v>
      </c>
      <c r="H258" s="379" t="str">
        <f>IFERROR(__xludf.DUMMYFUNCTION("""COMPUTED_VALUE"""),"Rare Formation Armadas, Isomatter Refinery, Ex-Borg Faction Store, Rare Wrath Recruit, Officer Depot Tokens")</f>
        <v>Rare Formation Armadas, Isomatter Refinery, Ex-Borg Faction Store, Rare Wrath Recruit, Officer Depot Tokens</v>
      </c>
      <c r="I258" s="378">
        <f>IFERROR(__xludf.DUMMYFUNCTION("""COMPUTED_VALUE"""),5.0)</f>
        <v>5</v>
      </c>
      <c r="J258" s="2"/>
      <c r="K258" s="2"/>
    </row>
    <row r="259">
      <c r="A259" s="345"/>
      <c r="B259" s="385"/>
      <c r="C259" s="345"/>
      <c r="D259" s="377" t="str">
        <f>IFERROR(__xludf.DUMMYFUNCTION("""COMPUTED_VALUE"""),"Two Of Eleven")</f>
        <v>Two Of Eleven</v>
      </c>
      <c r="E259" s="378" t="str">
        <f>IFERROR(__xludf.DUMMYFUNCTION("""COMPUTED_VALUE"""),"Rare")</f>
        <v>Rare</v>
      </c>
      <c r="F259" s="378" t="str">
        <f>IFERROR(__xludf.DUMMYFUNCTION("""COMPUTED_VALUE"""),"Independent")</f>
        <v>Independent</v>
      </c>
      <c r="G259" s="378" t="str">
        <f>IFERROR(__xludf.DUMMYFUNCTION("""COMPUTED_VALUE"""),"Science")</f>
        <v>Science</v>
      </c>
      <c r="H259" s="379" t="str">
        <f>IFERROR(__xludf.DUMMYFUNCTION("""COMPUTED_VALUE"""),"Ultra Recruit, Uncommon Borg Solos, Rare/Epic Borg Solos, Common Wrath Recruit")</f>
        <v>Ultra Recruit, Uncommon Borg Solos, Rare/Epic Borg Solos, Common Wrath Recruit</v>
      </c>
      <c r="I259" s="378">
        <f>IFERROR(__xludf.DUMMYFUNCTION("""COMPUTED_VALUE"""),4.0)</f>
        <v>4</v>
      </c>
      <c r="J259" s="2"/>
      <c r="K259" s="2"/>
    </row>
    <row r="260">
      <c r="A260" s="345"/>
      <c r="B260" s="385"/>
      <c r="C260" s="345"/>
      <c r="D260" s="377" t="str">
        <f>IFERROR(__xludf.DUMMYFUNCTION("""COMPUTED_VALUE"""),"Tyler")</f>
        <v>Tyler</v>
      </c>
      <c r="E260" s="378" t="str">
        <f>IFERROR(__xludf.DUMMYFUNCTION("""COMPUTED_VALUE"""),"Rare")</f>
        <v>Rare</v>
      </c>
      <c r="F260" s="378" t="str">
        <f>IFERROR(__xludf.DUMMYFUNCTION("""COMPUTED_VALUE"""),"Federation")</f>
        <v>Federation</v>
      </c>
      <c r="G260" s="378" t="str">
        <f>IFERROR(__xludf.DUMMYFUNCTION("""COMPUTED_VALUE"""),"Engineering")</f>
        <v>Engineering</v>
      </c>
      <c r="H260" s="379" t="str">
        <f>IFERROR(__xludf.DUMMYFUNCTION("""COMPUTED_VALUE"""),"Ultra Recruit, Discovery Recruit, Crucible of War")</f>
        <v>Ultra Recruit, Discovery Recruit, Crucible of War</v>
      </c>
      <c r="I260" s="378">
        <f>IFERROR(__xludf.DUMMYFUNCTION("""COMPUTED_VALUE"""),3.0)</f>
        <v>3</v>
      </c>
      <c r="J260" s="2"/>
      <c r="K260" s="2"/>
    </row>
    <row r="261">
      <c r="A261" s="345"/>
      <c r="B261" s="385"/>
      <c r="C261" s="345"/>
      <c r="D261" s="377" t="str">
        <f>IFERROR(__xludf.DUMMYFUNCTION("""COMPUTED_VALUE"""),"Uhura")</f>
        <v>Uhura</v>
      </c>
      <c r="E261" s="378" t="str">
        <f>IFERROR(__xludf.DUMMYFUNCTION("""COMPUTED_VALUE"""),"Rare")</f>
        <v>Rare</v>
      </c>
      <c r="F261" s="378" t="str">
        <f>IFERROR(__xludf.DUMMYFUNCTION("""COMPUTED_VALUE"""),"Federation")</f>
        <v>Federation</v>
      </c>
      <c r="G261" s="378" t="str">
        <f>IFERROR(__xludf.DUMMYFUNCTION("""COMPUTED_VALUE"""),"Engineering")</f>
        <v>Engineering</v>
      </c>
      <c r="H261" s="379" t="str">
        <f>IFERROR(__xludf.DUMMYFUNCTION("""COMPUTED_VALUE"""),"Premium Recruit, Ultra Recruit, Federation Recruit, ATAs, Crucible of War, Elite Federation Recruit")</f>
        <v>Premium Recruit, Ultra Recruit, Federation Recruit, ATAs, Crucible of War, Elite Federation Recruit</v>
      </c>
      <c r="I261" s="378">
        <f>IFERROR(__xludf.DUMMYFUNCTION("""COMPUTED_VALUE"""),6.0)</f>
        <v>6</v>
      </c>
      <c r="J261" s="2"/>
      <c r="K261" s="2"/>
    </row>
    <row r="262">
      <c r="A262" s="345"/>
      <c r="B262" s="385"/>
      <c r="C262" s="345"/>
      <c r="D262" s="377" t="str">
        <f>IFERROR(__xludf.DUMMYFUNCTION("""COMPUTED_VALUE"""),"V'ger Ilia")</f>
        <v>V'ger Ilia</v>
      </c>
      <c r="E262" s="378" t="str">
        <f>IFERROR(__xludf.DUMMYFUNCTION("""COMPUTED_VALUE"""),"Epic")</f>
        <v>Epic</v>
      </c>
      <c r="F262" s="378" t="str">
        <f>IFERROR(__xludf.DUMMYFUNCTION("""COMPUTED_VALUE"""),"Neutral")</f>
        <v>Neutral</v>
      </c>
      <c r="G262" s="378" t="str">
        <f>IFERROR(__xludf.DUMMYFUNCTION("""COMPUTED_VALUE"""),"Engineering")</f>
        <v>Engineering</v>
      </c>
      <c r="H262" s="379"/>
      <c r="I262" s="378">
        <f>IFERROR(__xludf.DUMMYFUNCTION("""COMPUTED_VALUE"""),0.0)</f>
        <v>0</v>
      </c>
      <c r="J262" s="2"/>
      <c r="K262" s="2"/>
    </row>
    <row r="263">
      <c r="A263" s="345"/>
      <c r="B263" s="385"/>
      <c r="C263" s="345"/>
      <c r="D263" s="377" t="str">
        <f>IFERROR(__xludf.DUMMYFUNCTION("""COMPUTED_VALUE"""),"Vartoq")</f>
        <v>Vartoq</v>
      </c>
      <c r="E263" s="378" t="str">
        <f>IFERROR(__xludf.DUMMYFUNCTION("""COMPUTED_VALUE"""),"Common")</f>
        <v>Common</v>
      </c>
      <c r="F263" s="378" t="str">
        <f>IFERROR(__xludf.DUMMYFUNCTION("""COMPUTED_VALUE"""),"Klingon")</f>
        <v>Klingon</v>
      </c>
      <c r="G263" s="378" t="str">
        <f>IFERROR(__xludf.DUMMYFUNCTION("""COMPUTED_VALUE"""),"N/A")</f>
        <v>N/A</v>
      </c>
      <c r="H263" s="379" t="str">
        <f>IFERROR(__xludf.DUMMYFUNCTION("""COMPUTED_VALUE"""),"Standard Recruit")</f>
        <v>Standard Recruit</v>
      </c>
      <c r="I263" s="378">
        <f>IFERROR(__xludf.DUMMYFUNCTION("""COMPUTED_VALUE"""),1.0)</f>
        <v>1</v>
      </c>
      <c r="J263" s="2"/>
      <c r="K263" s="2"/>
    </row>
    <row r="264">
      <c r="A264" s="345"/>
      <c r="B264" s="385"/>
      <c r="C264" s="345"/>
      <c r="D264" s="377" t="str">
        <f>IFERROR(__xludf.DUMMYFUNCTION("""COMPUTED_VALUE"""),"Vel")</f>
        <v>Vel</v>
      </c>
      <c r="E264" s="378" t="str">
        <f>IFERROR(__xludf.DUMMYFUNCTION("""COMPUTED_VALUE"""),"Common")</f>
        <v>Common</v>
      </c>
      <c r="F264" s="378" t="str">
        <f>IFERROR(__xludf.DUMMYFUNCTION("""COMPUTED_VALUE"""),"Federation")</f>
        <v>Federation</v>
      </c>
      <c r="G264" s="378" t="str">
        <f>IFERROR(__xludf.DUMMYFUNCTION("""COMPUTED_VALUE"""),"N/A")</f>
        <v>N/A</v>
      </c>
      <c r="H264" s="377" t="str">
        <f>IFERROR(__xludf.DUMMYFUNCTION("""COMPUTED_VALUE"""),"Standard Recruit, Common Wrath Recruit")</f>
        <v>Standard Recruit, Common Wrath Recruit</v>
      </c>
      <c r="I264" s="378">
        <f>IFERROR(__xludf.DUMMYFUNCTION("""COMPUTED_VALUE"""),2.0)</f>
        <v>2</v>
      </c>
      <c r="J264" s="2"/>
      <c r="K264" s="2"/>
    </row>
    <row r="265">
      <c r="A265" s="345"/>
      <c r="B265" s="385"/>
      <c r="C265" s="345"/>
      <c r="D265" s="377" t="str">
        <f>IFERROR(__xludf.DUMMYFUNCTION("""COMPUTED_VALUE"""),"Vella")</f>
        <v>Vella</v>
      </c>
      <c r="E265" s="378" t="str">
        <f>IFERROR(__xludf.DUMMYFUNCTION("""COMPUTED_VALUE"""),"Uncommon")</f>
        <v>Uncommon</v>
      </c>
      <c r="F265" s="378" t="str">
        <f>IFERROR(__xludf.DUMMYFUNCTION("""COMPUTED_VALUE"""),"Romulan")</f>
        <v>Romulan</v>
      </c>
      <c r="G265" s="378" t="str">
        <f>IFERROR(__xludf.DUMMYFUNCTION("""COMPUTED_VALUE"""),"Science")</f>
        <v>Science</v>
      </c>
      <c r="H265" s="379" t="str">
        <f>IFERROR(__xludf.DUMMYFUNCTION("""COMPUTED_VALUE"""),"Standard Recruit, Premium Recruit, Crucible of War, Elite Romulan Recruit")</f>
        <v>Standard Recruit, Premium Recruit, Crucible of War, Elite Romulan Recruit</v>
      </c>
      <c r="I265" s="378">
        <f>IFERROR(__xludf.DUMMYFUNCTION("""COMPUTED_VALUE"""),4.0)</f>
        <v>4</v>
      </c>
      <c r="J265" s="2"/>
      <c r="K265" s="2"/>
    </row>
    <row r="266">
      <c r="A266" s="345"/>
      <c r="B266" s="385"/>
      <c r="C266" s="345"/>
      <c r="D266" s="377" t="str">
        <f>IFERROR(__xludf.DUMMYFUNCTION("""COMPUTED_VALUE"""),"Vemet")</f>
        <v>Vemet</v>
      </c>
      <c r="E266" s="378" t="str">
        <f>IFERROR(__xludf.DUMMYFUNCTION("""COMPUTED_VALUE"""),"Rare")</f>
        <v>Rare</v>
      </c>
      <c r="F266" s="378" t="str">
        <f>IFERROR(__xludf.DUMMYFUNCTION("""COMPUTED_VALUE"""),"Romulan")</f>
        <v>Romulan</v>
      </c>
      <c r="G266" s="378" t="str">
        <f>IFERROR(__xludf.DUMMYFUNCTION("""COMPUTED_VALUE"""),"Science")</f>
        <v>Science</v>
      </c>
      <c r="H266" s="379" t="str">
        <f>IFERROR(__xludf.DUMMYFUNCTION("""COMPUTED_VALUE"""),"Premium Recruit, Ultra Recruit, Crucible of War, Elite Romulan Recruit")</f>
        <v>Premium Recruit, Ultra Recruit, Crucible of War, Elite Romulan Recruit</v>
      </c>
      <c r="I266" s="378">
        <f>IFERROR(__xludf.DUMMYFUNCTION("""COMPUTED_VALUE"""),4.0)</f>
        <v>4</v>
      </c>
      <c r="J266" s="2"/>
      <c r="K266" s="2"/>
    </row>
    <row r="267">
      <c r="A267" s="345"/>
      <c r="B267" s="385"/>
      <c r="C267" s="345"/>
      <c r="D267" s="377" t="str">
        <f>IFERROR(__xludf.DUMMYFUNCTION("""COMPUTED_VALUE"""),"VIL Winn Adam")</f>
        <v>VIL Winn Adam</v>
      </c>
      <c r="E267" s="378" t="str">
        <f>IFERROR(__xludf.DUMMYFUNCTION("""COMPUTED_VALUE"""),"Epic")</f>
        <v>Epic</v>
      </c>
      <c r="F267" s="378" t="str">
        <f>IFERROR(__xludf.DUMMYFUNCTION("""COMPUTED_VALUE"""),"Neutral")</f>
        <v>Neutral</v>
      </c>
      <c r="G267" s="378" t="str">
        <f>IFERROR(__xludf.DUMMYFUNCTION("""COMPUTED_VALUE"""),"Command")</f>
        <v>Command</v>
      </c>
      <c r="H267" s="379" t="str">
        <f>IFERROR(__xludf.DUMMYFUNCTION("""COMPUTED_VALUE"""),"")</f>
        <v/>
      </c>
      <c r="I267" s="378">
        <f>IFERROR(__xludf.DUMMYFUNCTION("""COMPUTED_VALUE"""),0.0)</f>
        <v>0</v>
      </c>
      <c r="J267" s="2"/>
      <c r="K267" s="2"/>
    </row>
    <row r="268">
      <c r="A268" s="345"/>
      <c r="B268" s="385"/>
      <c r="C268" s="345"/>
      <c r="D268" s="377" t="str">
        <f>IFERROR(__xludf.DUMMYFUNCTION("""COMPUTED_VALUE"""),"Vixis")</f>
        <v>Vixis</v>
      </c>
      <c r="E268" s="378" t="str">
        <f>IFERROR(__xludf.DUMMYFUNCTION("""COMPUTED_VALUE"""),"Uncommon")</f>
        <v>Uncommon</v>
      </c>
      <c r="F268" s="378" t="str">
        <f>IFERROR(__xludf.DUMMYFUNCTION("""COMPUTED_VALUE"""),"Klingon")</f>
        <v>Klingon</v>
      </c>
      <c r="G268" s="378" t="str">
        <f>IFERROR(__xludf.DUMMYFUNCTION("""COMPUTED_VALUE"""),"Science")</f>
        <v>Science</v>
      </c>
      <c r="H268" s="379" t="str">
        <f>IFERROR(__xludf.DUMMYFUNCTION("""COMPUTED_VALUE"""),"Standard Recruit, Premium Recruit, Crucible of War, Elite Klingon Recruit")</f>
        <v>Standard Recruit, Premium Recruit, Crucible of War, Elite Klingon Recruit</v>
      </c>
      <c r="I268" s="378">
        <f>IFERROR(__xludf.DUMMYFUNCTION("""COMPUTED_VALUE"""),4.0)</f>
        <v>4</v>
      </c>
      <c r="J268" s="2"/>
      <c r="K268" s="2"/>
    </row>
    <row r="269">
      <c r="A269" s="345"/>
      <c r="B269" s="385"/>
      <c r="C269" s="345"/>
      <c r="D269" s="377" t="str">
        <f>IFERROR(__xludf.DUMMYFUNCTION("""COMPUTED_VALUE"""),"Wesley Crusher")</f>
        <v>Wesley Crusher</v>
      </c>
      <c r="E269" s="378" t="str">
        <f>IFERROR(__xludf.DUMMYFUNCTION("""COMPUTED_VALUE"""),"Rare")</f>
        <v>Rare</v>
      </c>
      <c r="F269" s="378" t="str">
        <f>IFERROR(__xludf.DUMMYFUNCTION("""COMPUTED_VALUE"""),"Federation")</f>
        <v>Federation</v>
      </c>
      <c r="G269" s="378" t="str">
        <f>IFERROR(__xludf.DUMMYFUNCTION("""COMPUTED_VALUE"""),"Engineering")</f>
        <v>Engineering</v>
      </c>
      <c r="H269" s="379" t="str">
        <f>IFERROR(__xludf.DUMMYFUNCTION("""COMPUTED_VALUE"""),"Ultra Recruit, Crucible of War, Officer Depot Tokens")</f>
        <v>Ultra Recruit, Crucible of War, Officer Depot Tokens</v>
      </c>
      <c r="I269" s="378">
        <f>IFERROR(__xludf.DUMMYFUNCTION("""COMPUTED_VALUE"""),3.0)</f>
        <v>3</v>
      </c>
      <c r="J269" s="2"/>
      <c r="K269" s="2"/>
    </row>
    <row r="270">
      <c r="A270" s="345"/>
      <c r="B270" s="385"/>
      <c r="C270" s="345"/>
      <c r="D270" s="377" t="str">
        <f>IFERROR(__xludf.DUMMYFUNCTION("""COMPUTED_VALUE"""),"Weyoun")</f>
        <v>Weyoun</v>
      </c>
      <c r="E270" s="378" t="str">
        <f>IFERROR(__xludf.DUMMYFUNCTION("""COMPUTED_VALUE"""),"Epic")</f>
        <v>Epic</v>
      </c>
      <c r="F270" s="378" t="str">
        <f>IFERROR(__xludf.DUMMYFUNCTION("""COMPUTED_VALUE"""),"Independent")</f>
        <v>Independent</v>
      </c>
      <c r="G270" s="378" t="str">
        <f>IFERROR(__xludf.DUMMYFUNCTION("""COMPUTED_VALUE"""),"Command")</f>
        <v>Command</v>
      </c>
      <c r="H270" s="379" t="str">
        <f>IFERROR(__xludf.DUMMYFUNCTION("""COMPUTED_VALUE"""),"Ultra Recruit, Transporter Patterns, Incursions, Section 31 Faction Store, Uncommon Wrath Recruit, Officer Depot Tokens")</f>
        <v>Ultra Recruit, Transporter Patterns, Incursions, Section 31 Faction Store, Uncommon Wrath Recruit, Officer Depot Tokens</v>
      </c>
      <c r="I270" s="378">
        <f>IFERROR(__xludf.DUMMYFUNCTION("""COMPUTED_VALUE"""),6.0)</f>
        <v>6</v>
      </c>
      <c r="J270" s="2"/>
      <c r="K270" s="2"/>
    </row>
    <row r="271">
      <c r="A271" s="345"/>
      <c r="B271" s="385"/>
      <c r="C271" s="345"/>
      <c r="D271" s="377" t="str">
        <f>IFERROR(__xludf.DUMMYFUNCTION("""COMPUTED_VALUE"""),"William T. Riker")</f>
        <v>William T. Riker</v>
      </c>
      <c r="E271" s="378" t="str">
        <f>IFERROR(__xludf.DUMMYFUNCTION("""COMPUTED_VALUE"""),"Epic")</f>
        <v>Epic</v>
      </c>
      <c r="F271" s="378" t="str">
        <f>IFERROR(__xludf.DUMMYFUNCTION("""COMPUTED_VALUE"""),"Federation")</f>
        <v>Federation</v>
      </c>
      <c r="G271" s="378" t="str">
        <f>IFERROR(__xludf.DUMMYFUNCTION("""COMPUTED_VALUE"""),"Command")</f>
        <v>Command</v>
      </c>
      <c r="H271" s="379" t="str">
        <f>IFERROR(__xludf.DUMMYFUNCTION("""COMPUTED_VALUE"""),"Ultra Recruit, Transporter Patterns, Officer Depot Tokens")</f>
        <v>Ultra Recruit, Transporter Patterns, Officer Depot Tokens</v>
      </c>
      <c r="I271" s="378">
        <f>IFERROR(__xludf.DUMMYFUNCTION("""COMPUTED_VALUE"""),3.0)</f>
        <v>3</v>
      </c>
      <c r="J271" s="2"/>
      <c r="K271" s="2"/>
    </row>
    <row r="272">
      <c r="A272" s="345"/>
      <c r="B272" s="385"/>
      <c r="C272" s="345"/>
      <c r="D272" s="377" t="str">
        <f>IFERROR(__xludf.DUMMYFUNCTION("""COMPUTED_VALUE"""),"WOK Carol Marcus")</f>
        <v>WOK Carol Marcus</v>
      </c>
      <c r="E272" s="378" t="str">
        <f>IFERROR(__xludf.DUMMYFUNCTION("""COMPUTED_VALUE"""),"Epic")</f>
        <v>Epic</v>
      </c>
      <c r="F272" s="378" t="str">
        <f>IFERROR(__xludf.DUMMYFUNCTION("""COMPUTED_VALUE"""),"Federation")</f>
        <v>Federation</v>
      </c>
      <c r="G272" s="378" t="str">
        <f>IFERROR(__xludf.DUMMYFUNCTION("""COMPUTED_VALUE"""),"Science")</f>
        <v>Science</v>
      </c>
      <c r="H272" s="379" t="str">
        <f>IFERROR(__xludf.DUMMYFUNCTION("""COMPUTED_VALUE"""),"Augment Faction Store")</f>
        <v>Augment Faction Store</v>
      </c>
      <c r="I272" s="378">
        <f>IFERROR(__xludf.DUMMYFUNCTION("""COMPUTED_VALUE"""),1.0)</f>
        <v>1</v>
      </c>
      <c r="J272" s="2"/>
      <c r="K272" s="2"/>
    </row>
    <row r="273">
      <c r="A273" s="345"/>
      <c r="B273" s="385"/>
      <c r="C273" s="345"/>
      <c r="D273" s="377" t="str">
        <f>IFERROR(__xludf.DUMMYFUNCTION("""COMPUTED_VALUE"""),"WOK Joachim")</f>
        <v>WOK Joachim</v>
      </c>
      <c r="E273" s="378" t="str">
        <f>IFERROR(__xludf.DUMMYFUNCTION("""COMPUTED_VALUE"""),"Epic")</f>
        <v>Epic</v>
      </c>
      <c r="F273" s="378" t="str">
        <f>IFERROR(__xludf.DUMMYFUNCTION("""COMPUTED_VALUE"""),"Neutral")</f>
        <v>Neutral</v>
      </c>
      <c r="G273" s="378" t="str">
        <f>IFERROR(__xludf.DUMMYFUNCTION("""COMPUTED_VALUE"""),"Command")</f>
        <v>Command</v>
      </c>
      <c r="H273" s="377" t="str">
        <f>IFERROR(__xludf.DUMMYFUNCTION("""COMPUTED_VALUE"""),"Augment Faction Store")</f>
        <v>Augment Faction Store</v>
      </c>
      <c r="I273" s="378">
        <f>IFERROR(__xludf.DUMMYFUNCTION("""COMPUTED_VALUE"""),1.0)</f>
        <v>1</v>
      </c>
      <c r="J273" s="2"/>
      <c r="K273" s="2"/>
    </row>
    <row r="274">
      <c r="A274" s="345"/>
      <c r="B274" s="385"/>
      <c r="C274" s="345"/>
      <c r="D274" s="377" t="str">
        <f>IFERROR(__xludf.DUMMYFUNCTION("""COMPUTED_VALUE"""),"WOK Leonard McCoy")</f>
        <v>WOK Leonard McCoy</v>
      </c>
      <c r="E274" s="378" t="str">
        <f>IFERROR(__xludf.DUMMYFUNCTION("""COMPUTED_VALUE"""),"Rare")</f>
        <v>Rare</v>
      </c>
      <c r="F274" s="378" t="str">
        <f>IFERROR(__xludf.DUMMYFUNCTION("""COMPUTED_VALUE"""),"Federation")</f>
        <v>Federation</v>
      </c>
      <c r="G274" s="378" t="str">
        <f>IFERROR(__xludf.DUMMYFUNCTION("""COMPUTED_VALUE"""),"Science")</f>
        <v>Science</v>
      </c>
      <c r="H274" s="379" t="str">
        <f>IFERROR(__xludf.DUMMYFUNCTION("""COMPUTED_VALUE"""),"")</f>
        <v/>
      </c>
      <c r="I274" s="378">
        <f>IFERROR(__xludf.DUMMYFUNCTION("""COMPUTED_VALUE"""),0.0)</f>
        <v>0</v>
      </c>
      <c r="J274" s="2"/>
      <c r="K274" s="2"/>
    </row>
    <row r="275">
      <c r="A275" s="345"/>
      <c r="B275" s="385"/>
      <c r="C275" s="345"/>
      <c r="D275" s="377" t="str">
        <f>IFERROR(__xludf.DUMMYFUNCTION("""COMPUTED_VALUE"""),"WOK Montgomery Scott")</f>
        <v>WOK Montgomery Scott</v>
      </c>
      <c r="E275" s="378" t="str">
        <f>IFERROR(__xludf.DUMMYFUNCTION("""COMPUTED_VALUE"""),"Epic")</f>
        <v>Epic</v>
      </c>
      <c r="F275" s="378" t="str">
        <f>IFERROR(__xludf.DUMMYFUNCTION("""COMPUTED_VALUE"""),"Federation")</f>
        <v>Federation</v>
      </c>
      <c r="G275" s="378" t="str">
        <f>IFERROR(__xludf.DUMMYFUNCTION("""COMPUTED_VALUE"""),"Engineering")</f>
        <v>Engineering</v>
      </c>
      <c r="H275" s="379" t="str">
        <f>IFERROR(__xludf.DUMMYFUNCTION("""COMPUTED_VALUE"""),"Augment Faction Store")</f>
        <v>Augment Faction Store</v>
      </c>
      <c r="I275" s="378">
        <f>IFERROR(__xludf.DUMMYFUNCTION("""COMPUTED_VALUE"""),1.0)</f>
        <v>1</v>
      </c>
      <c r="J275" s="2"/>
      <c r="K275" s="2"/>
    </row>
    <row r="276">
      <c r="A276" s="345"/>
      <c r="B276" s="385"/>
      <c r="C276" s="345"/>
      <c r="D276" s="377" t="str">
        <f>IFERROR(__xludf.DUMMYFUNCTION("""COMPUTED_VALUE"""),"WOK Saavik")</f>
        <v>WOK Saavik</v>
      </c>
      <c r="E276" s="378" t="str">
        <f>IFERROR(__xludf.DUMMYFUNCTION("""COMPUTED_VALUE"""),"Rare")</f>
        <v>Rare</v>
      </c>
      <c r="F276" s="378" t="str">
        <f>IFERROR(__xludf.DUMMYFUNCTION("""COMPUTED_VALUE"""),"Federation")</f>
        <v>Federation</v>
      </c>
      <c r="G276" s="378" t="str">
        <f>IFERROR(__xludf.DUMMYFUNCTION("""COMPUTED_VALUE"""),"Science")</f>
        <v>Science</v>
      </c>
      <c r="H276" s="379" t="str">
        <f>IFERROR(__xludf.DUMMYFUNCTION("""COMPUTED_VALUE"""),"Officer Depot Tokens")</f>
        <v>Officer Depot Tokens</v>
      </c>
      <c r="I276" s="378">
        <f>IFERROR(__xludf.DUMMYFUNCTION("""COMPUTED_VALUE"""),1.0)</f>
        <v>1</v>
      </c>
      <c r="J276" s="2"/>
      <c r="K276" s="2"/>
    </row>
    <row r="277">
      <c r="A277" s="345"/>
      <c r="B277" s="385"/>
      <c r="C277" s="345"/>
      <c r="D277" s="377" t="str">
        <f>IFERROR(__xludf.DUMMYFUNCTION("""COMPUTED_VALUE"""),"Worf")</f>
        <v>Worf</v>
      </c>
      <c r="E277" s="378" t="str">
        <f>IFERROR(__xludf.DUMMYFUNCTION("""COMPUTED_VALUE"""),"Rare")</f>
        <v>Rare</v>
      </c>
      <c r="F277" s="378" t="str">
        <f>IFERROR(__xludf.DUMMYFUNCTION("""COMPUTED_VALUE"""),"Federation")</f>
        <v>Federation</v>
      </c>
      <c r="G277" s="378" t="str">
        <f>IFERROR(__xludf.DUMMYFUNCTION("""COMPUTED_VALUE"""),"Command")</f>
        <v>Command</v>
      </c>
      <c r="H277" s="379" t="str">
        <f>IFERROR(__xludf.DUMMYFUNCTION("""COMPUTED_VALUE"""),"Ultra Recruit, Crucible of War, Officer Depot Tokens")</f>
        <v>Ultra Recruit, Crucible of War, Officer Depot Tokens</v>
      </c>
      <c r="I277" s="378">
        <f>IFERROR(__xludf.DUMMYFUNCTION("""COMPUTED_VALUE"""),3.0)</f>
        <v>3</v>
      </c>
      <c r="J277" s="2"/>
      <c r="K277" s="2"/>
    </row>
    <row r="278">
      <c r="A278" s="345"/>
      <c r="B278" s="385"/>
      <c r="C278" s="345"/>
      <c r="D278" s="377" t="str">
        <f>IFERROR(__xludf.DUMMYFUNCTION("""COMPUTED_VALUE"""),"Woteln")</f>
        <v>Woteln</v>
      </c>
      <c r="E278" s="378" t="str">
        <f>IFERROR(__xludf.DUMMYFUNCTION("""COMPUTED_VALUE"""),"Uncommon")</f>
        <v>Uncommon</v>
      </c>
      <c r="F278" s="378" t="str">
        <f>IFERROR(__xludf.DUMMYFUNCTION("""COMPUTED_VALUE"""),"Klingon")</f>
        <v>Klingon</v>
      </c>
      <c r="G278" s="378" t="str">
        <f>IFERROR(__xludf.DUMMYFUNCTION("""COMPUTED_VALUE"""),"Science")</f>
        <v>Science</v>
      </c>
      <c r="H278" s="379" t="str">
        <f>IFERROR(__xludf.DUMMYFUNCTION("""COMPUTED_VALUE"""),"Standard Recruit, Premium Recruit, Crucible of War, Elite Klingon Recruit")</f>
        <v>Standard Recruit, Premium Recruit, Crucible of War, Elite Klingon Recruit</v>
      </c>
      <c r="I278" s="378">
        <f>IFERROR(__xludf.DUMMYFUNCTION("""COMPUTED_VALUE"""),4.0)</f>
        <v>4</v>
      </c>
      <c r="J278" s="2"/>
      <c r="K278" s="2"/>
    </row>
    <row r="279">
      <c r="A279" s="345"/>
      <c r="B279" s="385"/>
      <c r="C279" s="345"/>
      <c r="D279" s="377" t="str">
        <f>IFERROR(__xludf.DUMMYFUNCTION("""COMPUTED_VALUE"""),"Yan'Agh")</f>
        <v>Yan'Agh</v>
      </c>
      <c r="E279" s="378" t="str">
        <f>IFERROR(__xludf.DUMMYFUNCTION("""COMPUTED_VALUE"""),"Uncommon")</f>
        <v>Uncommon</v>
      </c>
      <c r="F279" s="378" t="str">
        <f>IFERROR(__xludf.DUMMYFUNCTION("""COMPUTED_VALUE"""),"Klingon")</f>
        <v>Klingon</v>
      </c>
      <c r="G279" s="378" t="str">
        <f>IFERROR(__xludf.DUMMYFUNCTION("""COMPUTED_VALUE"""),"Engineering")</f>
        <v>Engineering</v>
      </c>
      <c r="H279" s="379" t="str">
        <f>IFERROR(__xludf.DUMMYFUNCTION("""COMPUTED_VALUE"""),"Premium Recruit, Crucible of War, Elite Klingon Recruit")</f>
        <v>Premium Recruit, Crucible of War, Elite Klingon Recruit</v>
      </c>
      <c r="I279" s="378">
        <f>IFERROR(__xludf.DUMMYFUNCTION("""COMPUTED_VALUE"""),3.0)</f>
        <v>3</v>
      </c>
      <c r="J279" s="2"/>
      <c r="K279" s="2"/>
    </row>
    <row r="280">
      <c r="A280" s="345"/>
      <c r="B280" s="385"/>
      <c r="C280" s="345"/>
      <c r="D280" s="377" t="str">
        <f>IFERROR(__xludf.DUMMYFUNCTION("""COMPUTED_VALUE"""),"Yuki")</f>
        <v>Yuki</v>
      </c>
      <c r="E280" s="378" t="str">
        <f>IFERROR(__xludf.DUMMYFUNCTION("""COMPUTED_VALUE"""),"Rare")</f>
        <v>Rare</v>
      </c>
      <c r="F280" s="378" t="str">
        <f>IFERROR(__xludf.DUMMYFUNCTION("""COMPUTED_VALUE"""),"Federation")</f>
        <v>Federation</v>
      </c>
      <c r="G280" s="378" t="str">
        <f>IFERROR(__xludf.DUMMYFUNCTION("""COMPUTED_VALUE"""),"Engineering")</f>
        <v>Engineering</v>
      </c>
      <c r="H280" s="379" t="str">
        <f>IFERROR(__xludf.DUMMYFUNCTION("""COMPUTED_VALUE"""),"Premium Recruit, Ultra Recruit, Crucible of War, Elite Federation Recruit")</f>
        <v>Premium Recruit, Ultra Recruit, Crucible of War, Elite Federation Recruit</v>
      </c>
      <c r="I280" s="378">
        <f>IFERROR(__xludf.DUMMYFUNCTION("""COMPUTED_VALUE"""),4.0)</f>
        <v>4</v>
      </c>
      <c r="J280" s="2"/>
      <c r="K280" s="2"/>
    </row>
    <row r="281">
      <c r="A281" s="345"/>
      <c r="B281" s="7"/>
      <c r="C281" s="2"/>
      <c r="D281" s="392" t="str">
        <f>IFERROR(__xludf.DUMMYFUNCTION("""COMPUTED_VALUE"""),"Zahra")</f>
        <v>Zahra</v>
      </c>
      <c r="E281" s="392" t="str">
        <f>IFERROR(__xludf.DUMMYFUNCTION("""COMPUTED_VALUE"""),"Common")</f>
        <v>Common</v>
      </c>
      <c r="F281" s="392" t="str">
        <f>IFERROR(__xludf.DUMMYFUNCTION("""COMPUTED_VALUE"""),"Federation")</f>
        <v>Federation</v>
      </c>
      <c r="G281" s="392" t="str">
        <f>IFERROR(__xludf.DUMMYFUNCTION("""COMPUTED_VALUE"""),"N/A")</f>
        <v>N/A</v>
      </c>
      <c r="H281" s="392" t="str">
        <f>IFERROR(__xludf.DUMMYFUNCTION("""COMPUTED_VALUE"""),"Standard Recruit")</f>
        <v>Standard Recruit</v>
      </c>
      <c r="I281" s="392">
        <f>IFERROR(__xludf.DUMMYFUNCTION("""COMPUTED_VALUE"""),1.0)</f>
        <v>1</v>
      </c>
      <c r="J281" s="2"/>
      <c r="K281" s="2"/>
    </row>
    <row r="282">
      <c r="A282" s="345"/>
      <c r="B282" s="7"/>
      <c r="C282" s="2"/>
      <c r="D282" s="392" t="str">
        <f>IFERROR(__xludf.DUMMYFUNCTION("""COMPUTED_VALUE"""),"Zeph")</f>
        <v>Zeph</v>
      </c>
      <c r="E282" s="392" t="str">
        <f>IFERROR(__xludf.DUMMYFUNCTION("""COMPUTED_VALUE"""),"Rare")</f>
        <v>Rare</v>
      </c>
      <c r="F282" s="392" t="str">
        <f>IFERROR(__xludf.DUMMYFUNCTION("""COMPUTED_VALUE"""),"Neutral")</f>
        <v>Neutral</v>
      </c>
      <c r="G282" s="392" t="str">
        <f>IFERROR(__xludf.DUMMYFUNCTION("""COMPUTED_VALUE"""),"Engineering")</f>
        <v>Engineering</v>
      </c>
      <c r="H282" s="392" t="str">
        <f>IFERROR(__xludf.DUMMYFUNCTION("""COMPUTED_VALUE"""),"GS-31 Refinery, Officer Depot Tokens")</f>
        <v>GS-31 Refinery, Officer Depot Tokens</v>
      </c>
      <c r="I282" s="392">
        <f>IFERROR(__xludf.DUMMYFUNCTION("""COMPUTED_VALUE"""),2.0)</f>
        <v>2</v>
      </c>
      <c r="J282" s="2"/>
      <c r="K282" s="2"/>
    </row>
    <row r="283">
      <c r="A283" s="345"/>
      <c r="B283" s="7"/>
      <c r="C283" s="2"/>
      <c r="D283" s="392" t="str">
        <f>IFERROR(__xludf.DUMMYFUNCTION("""COMPUTED_VALUE"""),"Zhou")</f>
        <v>Zhou</v>
      </c>
      <c r="E283" s="392" t="str">
        <f>IFERROR(__xludf.DUMMYFUNCTION("""COMPUTED_VALUE"""),"Uncommon")</f>
        <v>Uncommon</v>
      </c>
      <c r="F283" s="392" t="str">
        <f>IFERROR(__xludf.DUMMYFUNCTION("""COMPUTED_VALUE"""),"Federation")</f>
        <v>Federation</v>
      </c>
      <c r="G283" s="392" t="str">
        <f>IFERROR(__xludf.DUMMYFUNCTION("""COMPUTED_VALUE"""),"Command")</f>
        <v>Command</v>
      </c>
      <c r="H283" s="392" t="str">
        <f>IFERROR(__xludf.DUMMYFUNCTION("""COMPUTED_VALUE"""),"Premium Recruit, Crucible of War, Elite Federation Recruit")</f>
        <v>Premium Recruit, Crucible of War, Elite Federation Recruit</v>
      </c>
      <c r="I283" s="392">
        <f>IFERROR(__xludf.DUMMYFUNCTION("""COMPUTED_VALUE"""),3.0)</f>
        <v>3</v>
      </c>
      <c r="J283" s="2"/>
      <c r="K283" s="2"/>
    </row>
    <row r="284">
      <c r="A284" s="345"/>
      <c r="B284" s="7"/>
      <c r="C284" s="2"/>
      <c r="D284" s="392"/>
      <c r="E284" s="392"/>
      <c r="F284" s="392"/>
      <c r="G284" s="392"/>
      <c r="H284" s="392"/>
      <c r="I284" s="392"/>
      <c r="J284" s="2"/>
      <c r="K284" s="2"/>
    </row>
    <row r="285">
      <c r="A285" s="345"/>
      <c r="B285" s="7"/>
      <c r="C285" s="2"/>
      <c r="D285" s="392"/>
      <c r="E285" s="392"/>
      <c r="F285" s="392"/>
      <c r="G285" s="392"/>
      <c r="H285" s="392"/>
      <c r="I285" s="392"/>
      <c r="J285" s="2"/>
      <c r="K285" s="2"/>
    </row>
    <row r="286">
      <c r="A286" s="345"/>
      <c r="B286" s="7"/>
      <c r="C286" s="2"/>
      <c r="D286" s="392"/>
      <c r="E286" s="392"/>
      <c r="F286" s="392"/>
      <c r="G286" s="392"/>
      <c r="H286" s="392"/>
      <c r="I286" s="392"/>
      <c r="J286" s="2"/>
      <c r="K286" s="2"/>
    </row>
    <row r="287">
      <c r="A287" s="345"/>
      <c r="B287" s="7"/>
      <c r="C287" s="2"/>
      <c r="D287" s="392"/>
      <c r="E287" s="392"/>
      <c r="F287" s="392"/>
      <c r="G287" s="392"/>
      <c r="H287" s="392"/>
      <c r="I287" s="392"/>
      <c r="J287" s="2"/>
      <c r="K287" s="2"/>
    </row>
    <row r="288">
      <c r="A288" s="345"/>
      <c r="B288" s="7"/>
      <c r="C288" s="2"/>
      <c r="D288" s="392"/>
      <c r="E288" s="392"/>
      <c r="F288" s="392"/>
      <c r="G288" s="392"/>
      <c r="H288" s="392"/>
      <c r="I288" s="392"/>
      <c r="J288" s="2"/>
      <c r="K288" s="2"/>
    </row>
    <row r="289">
      <c r="A289" s="345"/>
      <c r="B289" s="7"/>
      <c r="C289" s="2"/>
      <c r="D289" s="392"/>
      <c r="E289" s="392"/>
      <c r="F289" s="392"/>
      <c r="G289" s="392"/>
      <c r="H289" s="392"/>
      <c r="I289" s="392"/>
      <c r="J289" s="2"/>
      <c r="K289" s="2"/>
    </row>
    <row r="290">
      <c r="A290" s="345"/>
      <c r="B290" s="7"/>
      <c r="C290" s="2"/>
      <c r="D290" s="392"/>
      <c r="E290" s="392"/>
      <c r="F290" s="392"/>
      <c r="G290" s="392"/>
      <c r="H290" s="392"/>
      <c r="I290" s="392"/>
      <c r="J290" s="2"/>
      <c r="K290" s="2"/>
    </row>
    <row r="291">
      <c r="A291" s="345"/>
      <c r="B291" s="7"/>
      <c r="C291" s="2"/>
      <c r="D291" s="392"/>
      <c r="E291" s="392"/>
      <c r="F291" s="392"/>
      <c r="G291" s="392"/>
      <c r="H291" s="392"/>
      <c r="I291" s="392"/>
      <c r="J291" s="2"/>
      <c r="K291" s="2"/>
    </row>
    <row r="292">
      <c r="A292" s="345"/>
      <c r="B292" s="7"/>
      <c r="C292" s="2"/>
      <c r="D292" s="392"/>
      <c r="E292" s="392"/>
      <c r="F292" s="392"/>
      <c r="G292" s="392"/>
      <c r="H292" s="392"/>
      <c r="I292" s="392"/>
      <c r="J292" s="2"/>
      <c r="K292" s="2"/>
    </row>
    <row r="293">
      <c r="A293" s="345"/>
      <c r="B293" s="7"/>
      <c r="C293" s="2"/>
      <c r="D293" s="392"/>
      <c r="E293" s="392"/>
      <c r="F293" s="392"/>
      <c r="G293" s="392"/>
      <c r="H293" s="392"/>
      <c r="I293" s="392"/>
      <c r="J293" s="2"/>
      <c r="K293" s="2"/>
    </row>
    <row r="294">
      <c r="A294" s="345"/>
      <c r="B294" s="7"/>
      <c r="C294" s="2"/>
      <c r="D294" s="392"/>
      <c r="E294" s="392"/>
      <c r="F294" s="392"/>
      <c r="G294" s="392"/>
      <c r="H294" s="392"/>
      <c r="I294" s="392"/>
      <c r="J294" s="2"/>
      <c r="K294" s="2"/>
    </row>
    <row r="295">
      <c r="A295" s="345"/>
      <c r="B295" s="7"/>
      <c r="C295" s="2"/>
      <c r="D295" s="392"/>
      <c r="E295" s="392"/>
      <c r="F295" s="392"/>
      <c r="G295" s="392"/>
      <c r="H295" s="392"/>
      <c r="I295" s="392"/>
      <c r="J295" s="2"/>
      <c r="K295" s="2"/>
    </row>
    <row r="296">
      <c r="A296" s="345"/>
      <c r="B296" s="7"/>
      <c r="C296" s="2"/>
      <c r="D296" s="392"/>
      <c r="E296" s="392"/>
      <c r="F296" s="392"/>
      <c r="G296" s="392"/>
      <c r="H296" s="392"/>
      <c r="I296" s="392"/>
      <c r="J296" s="2"/>
      <c r="K296" s="2"/>
    </row>
    <row r="297">
      <c r="A297" s="345"/>
      <c r="B297" s="7"/>
      <c r="C297" s="2"/>
      <c r="D297" s="392"/>
      <c r="E297" s="392"/>
      <c r="F297" s="392"/>
      <c r="G297" s="392"/>
      <c r="H297" s="392"/>
      <c r="I297" s="392"/>
      <c r="J297" s="2"/>
      <c r="K297" s="2"/>
    </row>
    <row r="298">
      <c r="A298" s="345"/>
      <c r="B298" s="2"/>
      <c r="C298" s="2"/>
      <c r="D298" s="2"/>
      <c r="E298" s="2"/>
      <c r="F298" s="2"/>
      <c r="G298" s="2"/>
      <c r="H298" s="2"/>
      <c r="I298" s="2"/>
      <c r="J298" s="2"/>
      <c r="K298" s="2"/>
    </row>
    <row r="299">
      <c r="A299" s="345"/>
      <c r="B299" s="2"/>
      <c r="C299" s="2"/>
      <c r="D299" s="2"/>
      <c r="E299" s="2"/>
      <c r="F299" s="2"/>
      <c r="G299" s="2"/>
      <c r="H299" s="2"/>
      <c r="I299" s="2"/>
      <c r="J299" s="2"/>
      <c r="K299" s="2"/>
    </row>
  </sheetData>
  <mergeCells count="1">
    <mergeCell ref="E6:I6"/>
  </mergeCells>
  <conditionalFormatting sqref="C4 G4">
    <cfRule type="expression" dxfId="7" priority="1">
      <formula>$H4="CM"</formula>
    </cfRule>
  </conditionalFormatting>
  <conditionalFormatting sqref="C4 G4">
    <cfRule type="expression" dxfId="8" priority="2">
      <formula>$H4="OA"</formula>
    </cfRule>
  </conditionalFormatting>
  <conditionalFormatting sqref="C4 G4">
    <cfRule type="expression" dxfId="9" priority="3">
      <formula>$H4="BDA"</formula>
    </cfRule>
  </conditionalFormatting>
  <conditionalFormatting sqref="D4 F4">
    <cfRule type="expression" dxfId="3" priority="4">
      <formula>#REF!="Epic"</formula>
    </cfRule>
  </conditionalFormatting>
  <conditionalFormatting sqref="D4 F4">
    <cfRule type="expression" dxfId="4" priority="5">
      <formula>#REF!="Rare"</formula>
    </cfRule>
  </conditionalFormatting>
  <conditionalFormatting sqref="D4 F4">
    <cfRule type="expression" dxfId="5" priority="6">
      <formula>#REF!="Uncommon"</formula>
    </cfRule>
  </conditionalFormatting>
  <conditionalFormatting sqref="D4 F4">
    <cfRule type="expression" dxfId="6" priority="7">
      <formula>#REF!="Common"</formula>
    </cfRule>
  </conditionalFormatting>
  <conditionalFormatting sqref="D4">
    <cfRule type="expression" dxfId="7" priority="8">
      <formula>$I4="CM"</formula>
    </cfRule>
  </conditionalFormatting>
  <conditionalFormatting sqref="D4">
    <cfRule type="expression" dxfId="8" priority="9">
      <formula>$I4="OA"</formula>
    </cfRule>
  </conditionalFormatting>
  <conditionalFormatting sqref="D4">
    <cfRule type="expression" dxfId="9" priority="10">
      <formula>$I4="BDA"</formula>
    </cfRule>
  </conditionalFormatting>
  <conditionalFormatting sqref="I8:I297">
    <cfRule type="cellIs" dxfId="19" priority="11" operator="equal">
      <formula>0</formula>
    </cfRule>
  </conditionalFormatting>
  <conditionalFormatting sqref="D8:I297">
    <cfRule type="expression" dxfId="20" priority="12">
      <formula>$E8="Uncommon"</formula>
    </cfRule>
  </conditionalFormatting>
  <conditionalFormatting sqref="D8:I297">
    <cfRule type="expression" dxfId="21" priority="13">
      <formula>$E8="Rare"</formula>
    </cfRule>
  </conditionalFormatting>
  <conditionalFormatting sqref="D8:I297">
    <cfRule type="expression" dxfId="22" priority="14">
      <formula>$E8="Epic"</formula>
    </cfRule>
  </conditionalFormatting>
  <conditionalFormatting sqref="D8:I297">
    <cfRule type="expression" dxfId="23" priority="15">
      <formula>$E8="Common"</formula>
    </cfRule>
  </conditionalFormatting>
  <conditionalFormatting sqref="D8:I297">
    <cfRule type="expression" dxfId="24" priority="16">
      <formula>ISBLANK($E8)</formula>
    </cfRule>
  </conditionalFormatting>
  <hyperlinks>
    <hyperlink r:id="rId1" ref="G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9.0"/>
    <col customWidth="1" min="2" max="2" width="6.75"/>
    <col customWidth="1" min="3" max="3" width="29.13"/>
    <col customWidth="1" min="4" max="4" width="8.75"/>
    <col customWidth="1" min="5" max="5" width="10.75"/>
    <col customWidth="1" min="6" max="8" width="11.0"/>
    <col customWidth="1" min="9" max="9" width="11.13"/>
    <col customWidth="1" min="10" max="10" width="11.0"/>
    <col customWidth="1" min="11" max="11" width="11.13"/>
    <col customWidth="1" min="12" max="12" width="12.88"/>
    <col customWidth="1" min="13" max="13" width="10.88"/>
    <col customWidth="1" min="14" max="14" width="11.88"/>
    <col customWidth="1" min="15" max="15" width="12.5"/>
    <col customWidth="1" min="16" max="16" width="13.63"/>
    <col customWidth="1" min="17" max="17" width="12.25"/>
    <col customWidth="1" min="18" max="18" width="10.88"/>
    <col customWidth="1" min="19" max="19" width="16.5"/>
    <col customWidth="1" min="20" max="20" width="34.25"/>
    <col customWidth="1" min="21" max="21" width="19.88"/>
    <col customWidth="1" min="22" max="22" width="37.38"/>
    <col customWidth="1" min="23" max="23" width="30.0"/>
    <col customWidth="1" min="24" max="26" width="21.13"/>
    <col customWidth="1" min="27" max="27" width="59.13"/>
    <col customWidth="1" min="28" max="28" width="13.13"/>
    <col customWidth="1" min="29" max="29" width="31.13"/>
    <col customWidth="1" min="30" max="30" width="46.63"/>
    <col customWidth="1" min="31" max="31" width="20.88"/>
    <col customWidth="1" min="32" max="32" width="26.38"/>
    <col customWidth="1" min="33" max="34" width="11.5"/>
    <col customWidth="1" min="35" max="35" width="6.63"/>
    <col customWidth="1" min="36" max="36" width="10.38"/>
  </cols>
  <sheetData>
    <row r="1">
      <c r="A1" s="393"/>
      <c r="B1" s="393"/>
      <c r="C1" s="394"/>
      <c r="E1" s="394"/>
      <c r="F1" s="39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G1" s="394"/>
      <c r="H1" s="394"/>
      <c r="I1" s="396"/>
      <c r="J1" s="394"/>
      <c r="K1" s="396"/>
      <c r="L1" s="396"/>
      <c r="M1" s="393"/>
      <c r="N1" s="396"/>
      <c r="O1" s="396"/>
      <c r="P1" s="393"/>
      <c r="Q1" s="393"/>
      <c r="R1" s="393"/>
      <c r="S1" s="393"/>
      <c r="T1" s="394"/>
      <c r="U1" s="394"/>
      <c r="V1" s="397"/>
      <c r="W1" s="393"/>
      <c r="X1" s="397"/>
      <c r="Y1" s="394"/>
      <c r="Z1" s="394"/>
      <c r="AA1" s="397"/>
      <c r="AB1" s="397"/>
      <c r="AC1" s="398"/>
      <c r="AD1" s="398"/>
      <c r="AE1" s="397"/>
      <c r="AF1" s="399"/>
      <c r="AG1" s="400"/>
      <c r="AH1" s="400"/>
      <c r="AI1" s="401"/>
      <c r="AJ1" s="402"/>
    </row>
    <row r="2" ht="25.5" customHeight="1">
      <c r="A2" s="403"/>
      <c r="B2" s="403"/>
      <c r="C2" s="397"/>
      <c r="D2" s="397"/>
      <c r="E2" s="396"/>
      <c r="F2" s="396"/>
      <c r="G2" s="396"/>
      <c r="H2" s="396"/>
      <c r="I2" s="396"/>
      <c r="J2" s="396"/>
      <c r="K2" s="396"/>
      <c r="L2" s="396"/>
      <c r="M2" s="393"/>
      <c r="N2" s="396"/>
      <c r="O2" s="396"/>
      <c r="P2" s="393"/>
      <c r="Q2" s="393"/>
      <c r="R2" s="393"/>
      <c r="S2" s="393"/>
      <c r="T2" s="394"/>
      <c r="U2" s="394"/>
      <c r="V2" s="397"/>
      <c r="W2" s="394"/>
      <c r="X2" s="397"/>
      <c r="Y2" s="394"/>
      <c r="Z2" s="394"/>
      <c r="AA2" s="397"/>
      <c r="AB2" s="397"/>
      <c r="AC2" s="398"/>
      <c r="AD2" s="398"/>
      <c r="AE2" s="397"/>
      <c r="AF2" s="399"/>
      <c r="AG2" s="404"/>
      <c r="AH2" s="404"/>
      <c r="AI2" s="405"/>
      <c r="AJ2" s="406"/>
    </row>
    <row r="3" ht="42.0" customHeight="1">
      <c r="A3" s="407" t="s">
        <v>515</v>
      </c>
      <c r="B3" s="408" t="s">
        <v>516</v>
      </c>
      <c r="C3" s="409" t="s">
        <v>517</v>
      </c>
      <c r="D3" s="410" t="s">
        <v>518</v>
      </c>
      <c r="E3" s="408" t="s">
        <v>519</v>
      </c>
      <c r="F3" s="408" t="s">
        <v>520</v>
      </c>
      <c r="G3" s="408" t="s">
        <v>53</v>
      </c>
      <c r="H3" s="408" t="s">
        <v>521</v>
      </c>
      <c r="I3" s="411" t="s">
        <v>522</v>
      </c>
      <c r="J3" s="408" t="s">
        <v>523</v>
      </c>
      <c r="K3" s="411" t="s">
        <v>524</v>
      </c>
      <c r="L3" s="411" t="s">
        <v>525</v>
      </c>
      <c r="M3" s="408" t="s">
        <v>526</v>
      </c>
      <c r="N3" s="411" t="s">
        <v>527</v>
      </c>
      <c r="O3" s="411" t="s">
        <v>528</v>
      </c>
      <c r="P3" s="408" t="s">
        <v>529</v>
      </c>
      <c r="Q3" s="408" t="s">
        <v>99</v>
      </c>
      <c r="R3" s="408" t="s">
        <v>530</v>
      </c>
      <c r="S3" s="408" t="s">
        <v>531</v>
      </c>
      <c r="T3" s="408" t="s">
        <v>532</v>
      </c>
      <c r="U3" s="408" t="s">
        <v>130</v>
      </c>
      <c r="V3" s="408" t="s">
        <v>131</v>
      </c>
      <c r="W3" s="408" t="s">
        <v>132</v>
      </c>
      <c r="X3" s="408" t="s">
        <v>133</v>
      </c>
      <c r="Y3" s="408" t="s">
        <v>119</v>
      </c>
      <c r="Z3" s="408" t="s">
        <v>135</v>
      </c>
      <c r="AA3" s="408" t="s">
        <v>72</v>
      </c>
      <c r="AB3" s="408" t="s">
        <v>533</v>
      </c>
      <c r="AC3" s="412" t="s">
        <v>534</v>
      </c>
      <c r="AD3" s="412" t="s">
        <v>535</v>
      </c>
      <c r="AE3" s="408" t="s">
        <v>536</v>
      </c>
      <c r="AF3" s="413" t="s">
        <v>537</v>
      </c>
      <c r="AG3" s="414" t="s">
        <v>538</v>
      </c>
      <c r="AH3" s="414" t="s">
        <v>539</v>
      </c>
      <c r="AI3" s="414" t="s">
        <v>540</v>
      </c>
      <c r="AJ3" s="414" t="s">
        <v>541</v>
      </c>
    </row>
    <row r="4" ht="26.25" customHeight="1">
      <c r="A4" s="415" t="str">
        <f t="array" ref="A4">LEFT(XLOOKUP(LCARS_Tech[BuffID],RawTech[BuffID],RawTech[TechRarity]), 1)</f>
        <v>C</v>
      </c>
      <c r="B4" s="416"/>
      <c r="C4" s="417" t="str">
        <f t="array" ref="C4">XLOOKUP(LCARS_Tech[BuffID],RawTech[BuffID],RawTech[TechName])</f>
        <v>Tetracyanate 622</v>
      </c>
      <c r="D4" s="418">
        <f t="array" ref="D4">XLOOKUP(LCARS_Tech[BuffID],RawTech[BuffID],RawTech[BuffOrder])</f>
        <v>1</v>
      </c>
      <c r="E4" s="419" t="str">
        <f t="array" ref="E4">XLOOKUP(LCARS_Tech[BuffID],RawTech[BuffID],RawTech[TechType])</f>
        <v>FT</v>
      </c>
      <c r="F4" s="420" t="str">
        <f t="array" ref="F4">XLOOKUP(LCARS_Tech[BuffID],RawTech[BuffID],RawTech[Tag_PvPinSpace])</f>
        <v>➖</v>
      </c>
      <c r="G4" s="421" t="str">
        <f t="array" ref="G4">XLOOKUP(LCARS_Tech[BuffID],RawTech[BuffID],RawTech[Tag_PvPStation])</f>
        <v>➖</v>
      </c>
      <c r="H4" s="420" t="str">
        <f t="array" ref="H4">XLOOKUP(LCARS_Tech[BuffID],RawTech[BuffID],RawTech[Tag_NonArmadaHostiles])</f>
        <v>➖</v>
      </c>
      <c r="I4" s="421" t="str">
        <f t="array" ref="I4">XLOOKUP(LCARS_Tech[BuffID],RawTech[BuffID],RawTech[Tag_WaveDefense])</f>
        <v>➖</v>
      </c>
      <c r="J4" s="421" t="str">
        <f t="array" ref="J4">XLOOKUP(LCARS_Tech[BuffID],RawTech[BuffID],RawTech[Tag_QTrial])</f>
        <v>➖</v>
      </c>
      <c r="K4" s="421" t="str">
        <f t="array" ref="K4">XLOOKUP(LCARS_Tech[BuffID],RawTech[BuffID],RawTech[Tag_MissionBosses])</f>
        <v>➖</v>
      </c>
      <c r="L4" s="421" t="str">
        <f t="array" ref="L4">XLOOKUP(LCARS_Tech[BuffID],RawTech[BuffID],RawTech[Tag_GroupArmadas])</f>
        <v>➖</v>
      </c>
      <c r="M4" s="421" t="str">
        <f t="array" ref="M4">XLOOKUP(LCARS_Tech[BuffID],RawTech[BuffID],RawTech[Tag_SoloArmadas])</f>
        <v>➖</v>
      </c>
      <c r="N4" s="421" t="str">
        <f t="array" ref="N4">XLOOKUP(LCARS_Tech[BuffID],RawTech[BuffID],RawTech[Tag_InvadingEntities])</f>
        <v>➖</v>
      </c>
      <c r="O4" s="421" t="str">
        <f t="array" ref="O4">XLOOKUP(LCARS_Tech[BuffID],RawTech[BuffID],RawTech[Tag_Assaults])</f>
        <v>➖</v>
      </c>
      <c r="P4" s="420" t="str">
        <f t="array" ref="P4">XLOOKUP(LCARS_Tech[BuffID],RawTech[BuffID],RawTech[Tag_OutpostArmadas])</f>
        <v>➖</v>
      </c>
      <c r="Q4" s="420" t="str">
        <f t="array" ref="Q4">XLOOKUP(LCARS_Tech[BuffID],RawTech[BuffID],RawTech[Tag_OutpostRetaliators])</f>
        <v>➖</v>
      </c>
      <c r="R4" s="420" t="str">
        <f t="array" ref="R4">XLOOKUP(MasterTech!$AF$4:$AF$214,RawTech!$AO$2:$AO$212,RawTech!$AV$2:$AV$212)</f>
        <v/>
      </c>
      <c r="S4" s="419" t="str">
        <f t="array" ref="S4">XLOOKUP(MasterTech!$AF$4:$AF$214,RawTech!$AO$2:$AO$212,RawTech!$AK$2:$AK$212)</f>
        <v>➖</v>
      </c>
      <c r="T4" s="422" t="str">
        <f t="array" ref="T4">XLOOKUP(MasterTech!$AF$4:$AF$214,RawTech!$AO$2:$AO$212,RawTech!$AM$2:$AM$212)</f>
        <v>✅</v>
      </c>
      <c r="U4" s="423" t="str">
        <f t="array" ref="U4">XLOOKUP(MasterTech!$AF$4:$AF$214,RawTech!$AO$2:$AO$212,RawTech!$D$2:$D$212)</f>
        <v>MiningRate</v>
      </c>
      <c r="V4" s="423" t="str">
        <f t="array" ref="V4">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1586478890, 296474010, 2285412015, 2440004407, 1574840331, 298768773, 141958867]</v>
      </c>
      <c r="W4" s="421" t="str">
        <f t="array" ref="W4">XLOOKUP(MasterTech!$AF$4:$AF$214,RawTech!$AO$2:$AO$212,RawTech!$E$2:$E$212)</f>
        <v/>
      </c>
      <c r="X4" s="423" t="str">
        <f t="array" ref="X4">XLOOKUP(MasterTech!$AF$4:$AF$214,RawTech!$AO$2:$AO$212,RawTech!$F$2:$F$212)</f>
        <v>ShipLaunched</v>
      </c>
      <c r="Y4" s="423" t="str">
        <f t="array" ref="Y4">XLOOKUP(MasterTech!$AF$4:$AF$214,RawTech!$AO$2:$AO$212,RawTech!$G$2:$G$212)</f>
        <v>SelfShip</v>
      </c>
      <c r="Z4" s="423" t="str">
        <f t="array" ref="Z4">XLOOKUP(MasterTech!$AF$4:$AF$214,RawTech!$AO$2:$AO$212,RawTech!$H$2:$H$212)</f>
        <v>MultiplyAdd</v>
      </c>
      <c r="AA4" s="423" t="str">
        <f t="array" ref="AA4">XLOOKUP(MasterTech!$AF$4:$AF$214,RawTech!$AO$2:$AO$212,RawTech!$J$2:$J$212)</f>
        <v>Increases Mining rate X</v>
      </c>
      <c r="AB4" s="424"/>
      <c r="AC4" s="425"/>
      <c r="AD4" s="425"/>
      <c r="AE4" s="426">
        <f t="array" ref="AE4">XLOOKUP(MasterTech!$AF$4:$AF$214,RawTech!$AO$2:$AO$212,RawTech!$AR$2:$AR$212)</f>
        <v>1</v>
      </c>
      <c r="AF4" s="427">
        <v>3.64965504E9</v>
      </c>
      <c r="AG4" s="428"/>
      <c r="AH4" s="428"/>
      <c r="AI4" s="429"/>
      <c r="AJ4" s="430"/>
    </row>
    <row r="5" ht="37.5" customHeight="1">
      <c r="A5" s="415" t="str">
        <f t="array" ref="A5">LEFT(XLOOKUP(LCARS_Tech[BuffID],RawTech[BuffID],RawTech[TechRarity]), 1)</f>
        <v>C</v>
      </c>
      <c r="B5" s="416"/>
      <c r="C5" s="431" t="str">
        <f t="array" ref="C5">HYPERLINK("https://stfc.space/forbidden_and_chaos_tech/" &amp; XLOOKUP(MasterTech!$AF$4:$AF$214,RawTech!$AO$2:$AO$212,RawTech!$AQ$2:$AQ$212), XLOOKUP(MasterTech!$AF$4:$AF$214,RawTech!$AO$2:$AO$212,RawTech!$B$2:$B$212))</f>
        <v>Tetracyanate 622</v>
      </c>
      <c r="D5" s="432">
        <f t="array" ref="D5">XLOOKUP(LCARS_Tech[BuffID],RawTech[BuffID],RawTech[BuffOrder])</f>
        <v>2</v>
      </c>
      <c r="E5" s="433" t="str">
        <f t="array" ref="E5">XLOOKUP(LCARS_Tech[BuffID],RawTech[BuffID],RawTech[TechType])</f>
        <v>FT</v>
      </c>
      <c r="F5" s="433" t="str">
        <f t="array" ref="F5">XLOOKUP(LCARS_Tech[BuffID],RawTech[BuffID],RawTech[Tag_PvPinSpace])</f>
        <v>➖</v>
      </c>
      <c r="G5" s="433" t="str">
        <f t="array" ref="G5">XLOOKUP(LCARS_Tech[BuffID],RawTech[BuffID],RawTech[Tag_PvPStation])</f>
        <v>➖</v>
      </c>
      <c r="H5" s="433" t="str">
        <f t="array" ref="H5">XLOOKUP(LCARS_Tech[BuffID],RawTech[BuffID],RawTech[Tag_NonArmadaHostiles])</f>
        <v>➖</v>
      </c>
      <c r="I5" s="433" t="str">
        <f t="array" ref="I5">XLOOKUP(LCARS_Tech[BuffID],RawTech[BuffID],RawTech[Tag_WaveDefense])</f>
        <v>➖</v>
      </c>
      <c r="J5" s="433" t="str">
        <f t="array" ref="J5">XLOOKUP(LCARS_Tech[BuffID],RawTech[BuffID],RawTech[Tag_QTrial])</f>
        <v>➖</v>
      </c>
      <c r="K5" s="433" t="str">
        <f t="array" ref="K5">XLOOKUP(LCARS_Tech[BuffID],RawTech[BuffID],RawTech[Tag_MissionBosses])</f>
        <v>➖</v>
      </c>
      <c r="L5" s="433" t="str">
        <f t="array" ref="L5">XLOOKUP(LCARS_Tech[BuffID],RawTech[BuffID],RawTech[Tag_GroupArmadas])</f>
        <v>➖</v>
      </c>
      <c r="M5" s="433" t="str">
        <f t="array" ref="M5">XLOOKUP(LCARS_Tech[BuffID],RawTech[BuffID],RawTech[Tag_SoloArmadas])</f>
        <v>➖</v>
      </c>
      <c r="N5" s="433" t="str">
        <f t="array" ref="N5">XLOOKUP(LCARS_Tech[BuffID],RawTech[BuffID],RawTech[Tag_InvadingEntities])</f>
        <v>➖</v>
      </c>
      <c r="O5" s="433" t="str">
        <f t="array" ref="O5">XLOOKUP(LCARS_Tech[BuffID],RawTech[BuffID],RawTech[Tag_Assaults])</f>
        <v>➖</v>
      </c>
      <c r="P5" s="434" t="str">
        <f t="array" ref="P5">XLOOKUP(LCARS_Tech[BuffID],RawTech[BuffID],RawTech[Tag_OutpostArmadas])</f>
        <v>➖</v>
      </c>
      <c r="Q5" s="416" t="str">
        <f t="array" ref="Q5">XLOOKUP(LCARS_Tech[BuffID],RawTech[BuffID],RawTech[Tag_OutpostRetaliators])</f>
        <v>➖</v>
      </c>
      <c r="R5" s="416" t="str">
        <f t="array" ref="R5">XLOOKUP(MasterTech!$AF$4:$AF$214,RawTech!$AO$2:$AO$212,RawTech!$AV$2:$AV$212)</f>
        <v/>
      </c>
      <c r="S5" s="433" t="str">
        <f t="array" ref="S5">XLOOKUP(MasterTech!$AF$4:$AF$214,RawTech!$AO$2:$AO$212,RawTech!$AK$2:$AK$212)</f>
        <v>➖</v>
      </c>
      <c r="T5" s="435" t="str">
        <f t="array" ref="T5">XLOOKUP(MasterTech!$AF$4:$AF$214,RawTech!$AO$2:$AO$212,RawTech!$AM$2:$AM$212)</f>
        <v>✅</v>
      </c>
      <c r="U5" s="436" t="str">
        <f t="array" ref="U5">XLOOKUP(MasterTech!$AF$4:$AF$214,RawTech!$AO$2:$AO$212,RawTech!$D$2:$D$212)</f>
        <v>CargoProtection</v>
      </c>
      <c r="V5" s="416" t="str">
        <f t="array" ref="V5">XLOOKUP(MasterTech!$AF$4:$AF$214,RawTech!$AO$2:$AO$212,RawTech!$I$2:$I$212)</f>
        <v/>
      </c>
      <c r="W5" s="437" t="str">
        <f t="array" ref="W5">XLOOKUP(MasterTech!$AF$4:$AF$214,RawTech!$AO$2:$AO$212,RawTech!$E$2:$E$212)</f>
        <v/>
      </c>
      <c r="X5" s="438" t="str">
        <f t="array" ref="X5">XLOOKUP(MasterTech!$AF$4:$AF$214,RawTech!$AO$2:$AO$212,RawTech!$F$2:$F$212)</f>
        <v>ShipLaunched</v>
      </c>
      <c r="Y5" s="438" t="str">
        <f t="array" ref="Y5">XLOOKUP(MasterTech!$AF$4:$AF$214,RawTech!$AO$2:$AO$212,RawTech!$G$2:$G$212)</f>
        <v>SelfShip</v>
      </c>
      <c r="Z5" s="438" t="str">
        <f t="array" ref="Z5">XLOOKUP(MasterTech!$AF$4:$AF$214,RawTech!$AO$2:$AO$212,RawTech!$H$2:$H$212)</f>
        <v>MultiplyAdd</v>
      </c>
      <c r="AA5" s="438" t="str">
        <f t="array" ref="AA5">XLOOKUP(MasterTech!$AF$4:$AF$214,RawTech!$AO$2:$AO$212,RawTech!$J$2:$J$212)</f>
        <v>Increases Protected Cargo X</v>
      </c>
      <c r="AB5" s="439"/>
      <c r="AC5" s="440"/>
      <c r="AD5" s="440"/>
      <c r="AE5" s="441">
        <f t="array" ref="AE5">XLOOKUP(MasterTech!$AF$4:$AF$214,RawTech!$AO$2:$AO$212,RawTech!$AR$2:$AR$212)</f>
        <v>1</v>
      </c>
      <c r="AF5" s="427">
        <v>3.498848461E9</v>
      </c>
      <c r="AG5" s="428"/>
      <c r="AH5" s="428"/>
      <c r="AI5" s="429"/>
      <c r="AJ5" s="430"/>
    </row>
    <row r="6" ht="37.5" customHeight="1">
      <c r="A6" s="415" t="str">
        <f t="array" ref="A6">LEFT(XLOOKUP(LCARS_Tech[BuffID],RawTech[BuffID],RawTech[TechRarity]), 1)</f>
        <v>C</v>
      </c>
      <c r="B6" s="420"/>
      <c r="C6" s="417" t="str">
        <f t="array" ref="C6">HYPERLINK("https://stfc.space/forbidden_and_chaos_tech/" &amp; XLOOKUP(LCARS_Tech[BuffID],RawTech[BuffID],RawTech[TechId]), XLOOKUP(LCARS_Tech[BuffID],RawTech[BuffID],RawTech[TechName]))</f>
        <v>Ablative Armor</v>
      </c>
      <c r="D6" s="418">
        <f t="array" ref="D6">XLOOKUP(LCARS_Tech[BuffID],RawTech[BuffID],RawTech[BuffOrder])</f>
        <v>1</v>
      </c>
      <c r="E6" s="419" t="str">
        <f t="array" ref="E6">XLOOKUP(LCARS_Tech[BuffID],RawTech[BuffID],RawTech[TechType])</f>
        <v>FT</v>
      </c>
      <c r="F6" s="419" t="str">
        <f t="array" ref="F6">XLOOKUP(LCARS_Tech[BuffID],RawTech[BuffID],RawTech[Tag_PvPinSpace])</f>
        <v>✅</v>
      </c>
      <c r="G6" s="419" t="str">
        <f t="array" ref="G6">XLOOKUP(LCARS_Tech[BuffID],RawTech[BuffID],RawTech[Tag_PvPStation])</f>
        <v>✅</v>
      </c>
      <c r="H6" s="419" t="str">
        <f t="array" ref="H6">XLOOKUP(LCARS_Tech[BuffID],RawTech[BuffID],RawTech[Tag_NonArmadaHostiles])</f>
        <v>✅</v>
      </c>
      <c r="I6" s="419" t="str">
        <f t="array" ref="I6">XLOOKUP(LCARS_Tech[BuffID],RawTech[BuffID],RawTech[Tag_WaveDefense])</f>
        <v>✅</v>
      </c>
      <c r="J6" s="419" t="str">
        <f t="array" ref="J6">XLOOKUP(LCARS_Tech[BuffID],RawTech[BuffID],RawTech[Tag_QTrial])</f>
        <v>✅</v>
      </c>
      <c r="K6" s="419" t="str">
        <f t="array" ref="K6">XLOOKUP(LCARS_Tech[BuffID],RawTech[BuffID],RawTech[Tag_MissionBosses])</f>
        <v>✅</v>
      </c>
      <c r="L6" s="419" t="str">
        <f t="array" ref="L6">XLOOKUP(LCARS_Tech[BuffID],RawTech[BuffID],RawTech[Tag_GroupArmadas])</f>
        <v>✅</v>
      </c>
      <c r="M6" s="419" t="str">
        <f t="array" ref="M6">XLOOKUP(LCARS_Tech[BuffID],RawTech[BuffID],RawTech[Tag_SoloArmadas])</f>
        <v>✅</v>
      </c>
      <c r="N6" s="419" t="str">
        <f t="array" ref="N6">XLOOKUP(LCARS_Tech[BuffID],RawTech[BuffID],RawTech[Tag_InvadingEntities])</f>
        <v>✅</v>
      </c>
      <c r="O6" s="419" t="str">
        <f t="array" ref="O6">XLOOKUP(LCARS_Tech[BuffID],RawTech[BuffID],RawTech[Tag_Assaults])</f>
        <v>✅</v>
      </c>
      <c r="P6" s="442" t="str">
        <f t="array" ref="P6">XLOOKUP(LCARS_Tech[BuffID],RawTech[BuffID],RawTech[Tag_OutpostArmadas])</f>
        <v>✅</v>
      </c>
      <c r="Q6" s="420" t="str">
        <f t="array" ref="Q6">XLOOKUP(LCARS_Tech[BuffID],RawTech[BuffID],RawTech[Tag_OutpostRetaliators])</f>
        <v>✅</v>
      </c>
      <c r="R6" s="420" t="str">
        <f t="array" ref="R6">XLOOKUP(MasterTech!$AF$4:$AF$214,RawTech!$AO$2:$AO$212,RawTech!$AV$2:$AV$212)</f>
        <v/>
      </c>
      <c r="S6" s="419" t="str">
        <f t="array" ref="S6">XLOOKUP(MasterTech!$AF$4:$AF$214,RawTech!$AO$2:$AO$212,RawTech!$AK$2:$AK$212)</f>
        <v>➖</v>
      </c>
      <c r="T6" s="422" t="str">
        <f t="array" ref="T6">XLOOKUP(MasterTech!$AF$4:$AF$214,RawTech!$AO$2:$AO$212,RawTech!$AM$2:$AM$212)</f>
        <v>➖</v>
      </c>
      <c r="U6" s="423" t="str">
        <f t="array" ref="U6">XLOOKUP(MasterTech!$AF$4:$AF$214,RawTech!$AO$2:$AO$212,RawTech!$D$2:$D$212)</f>
        <v>HullHPMax</v>
      </c>
      <c r="V6" s="420" t="str">
        <f t="array" ref="V6">XLOOKUP(MasterTech!$AF$4:$AF$214,RawTech!$AO$2:$AO$212,RawTech!$I$2:$I$212)</f>
        <v/>
      </c>
      <c r="W6" s="421" t="str">
        <f t="array" ref="W6">XLOOKUP(MasterTech!$AF$4:$AF$214,RawTech!$AO$2:$AO$212,RawTech!$E$2:$E$212)</f>
        <v/>
      </c>
      <c r="X6" s="423" t="str">
        <f t="array" ref="X6">XLOOKUP(MasterTech!$AF$4:$AF$214,RawTech!$AO$2:$AO$212,RawTech!$F$2:$F$212)</f>
        <v>ShipLaunched</v>
      </c>
      <c r="Y6" s="423" t="str">
        <f t="array" ref="Y6">XLOOKUP(MasterTech!$AF$4:$AF$214,RawTech!$AO$2:$AO$212,RawTech!$G$2:$G$212)</f>
        <v>SelfShip</v>
      </c>
      <c r="Z6" s="423" t="str">
        <f t="array" ref="Z6">XLOOKUP(MasterTech!$AF$4:$AF$214,RawTech!$AO$2:$AO$212,RawTech!$H$2:$H$212)</f>
        <v>MultiplyAdd</v>
      </c>
      <c r="AA6" s="423" t="str">
        <f t="array" ref="AA6">XLOOKUP(MasterTech!$AF$4:$AF$214,RawTech!$AO$2:$AO$212,RawTech!$J$2:$J$212)</f>
        <v>Increases Hull Health X</v>
      </c>
      <c r="AB6" s="424"/>
      <c r="AC6" s="425"/>
      <c r="AD6" s="425"/>
      <c r="AE6" s="426">
        <f t="array" ref="AE6">XLOOKUP(MasterTech!$AF$4:$AF$214,RawTech!$AO$2:$AO$212,RawTech!$AR$2:$AR$212)</f>
        <v>2</v>
      </c>
      <c r="AF6" s="427">
        <v>4.88045092E8</v>
      </c>
      <c r="AG6" s="428"/>
      <c r="AH6" s="428"/>
      <c r="AI6" s="429"/>
      <c r="AJ6" s="430"/>
    </row>
    <row r="7" ht="37.5" customHeight="1">
      <c r="A7" s="415" t="str">
        <f t="array" ref="A7">LEFT(XLOOKUP(LCARS_Tech[BuffID],RawTech[BuffID],RawTech[TechRarity]), 1)</f>
        <v>C</v>
      </c>
      <c r="B7" s="416"/>
      <c r="C7" s="417" t="str">
        <f t="array" ref="C7">HYPERLINK("https://stfc.space/forbidden_and_chaos_tech/" &amp; XLOOKUP(LCARS_Tech[BuffID],RawTech[BuffID],RawTech[TechId]), XLOOKUP(LCARS_Tech[BuffID],RawTech[BuffID],RawTech[TechName]))</f>
        <v>Ablative Armor</v>
      </c>
      <c r="D7" s="432">
        <f t="array" ref="D7">XLOOKUP(LCARS_Tech[BuffID],RawTech[BuffID],RawTech[BuffOrder])</f>
        <v>2</v>
      </c>
      <c r="E7" s="433" t="str">
        <f t="array" ref="E7">XLOOKUP(LCARS_Tech[BuffID],RawTech[BuffID],RawTech[TechType])</f>
        <v>FT</v>
      </c>
      <c r="F7" s="433" t="str">
        <f t="array" ref="F7">XLOOKUP(LCARS_Tech[BuffID],RawTech[BuffID],RawTech[Tag_PvPinSpace])</f>
        <v>✅</v>
      </c>
      <c r="G7" s="433" t="str">
        <f t="array" ref="G7">XLOOKUP(LCARS_Tech[BuffID],RawTech[BuffID],RawTech[Tag_PvPStation])</f>
        <v>✅</v>
      </c>
      <c r="H7" s="433" t="str">
        <f t="array" ref="H7">XLOOKUP(LCARS_Tech[BuffID],RawTech[BuffID],RawTech[Tag_NonArmadaHostiles])</f>
        <v>✅</v>
      </c>
      <c r="I7" s="433" t="str">
        <f t="array" ref="I7">XLOOKUP(LCARS_Tech[BuffID],RawTech[BuffID],RawTech[Tag_WaveDefense])</f>
        <v>✅</v>
      </c>
      <c r="J7" s="433" t="str">
        <f t="array" ref="J7">XLOOKUP(LCARS_Tech[BuffID],RawTech[BuffID],RawTech[Tag_QTrial])</f>
        <v>✅</v>
      </c>
      <c r="K7" s="433" t="str">
        <f t="array" ref="K7">XLOOKUP(LCARS_Tech[BuffID],RawTech[BuffID],RawTech[Tag_MissionBosses])</f>
        <v>✅</v>
      </c>
      <c r="L7" s="433" t="str">
        <f t="array" ref="L7">XLOOKUP(LCARS_Tech[BuffID],RawTech[BuffID],RawTech[Tag_GroupArmadas])</f>
        <v>✅</v>
      </c>
      <c r="M7" s="433" t="str">
        <f t="array" ref="M7">XLOOKUP(LCARS_Tech[BuffID],RawTech[BuffID],RawTech[Tag_SoloArmadas])</f>
        <v>✅</v>
      </c>
      <c r="N7" s="433" t="str">
        <f t="array" ref="N7">XLOOKUP(LCARS_Tech[BuffID],RawTech[BuffID],RawTech[Tag_InvadingEntities])</f>
        <v>✅</v>
      </c>
      <c r="O7" s="433" t="str">
        <f t="array" ref="O7">XLOOKUP(LCARS_Tech[BuffID],RawTech[BuffID],RawTech[Tag_Assaults])</f>
        <v>✅</v>
      </c>
      <c r="P7" s="434" t="str">
        <f t="array" ref="P7">XLOOKUP(LCARS_Tech[BuffID],RawTech[BuffID],RawTech[Tag_OutpostArmadas])</f>
        <v>✅</v>
      </c>
      <c r="Q7" s="416" t="str">
        <f t="array" ref="Q7">XLOOKUP(LCARS_Tech[BuffID],RawTech[BuffID],RawTech[Tag_OutpostRetaliators])</f>
        <v>✅</v>
      </c>
      <c r="R7" s="416" t="str">
        <f t="array" ref="R7">XLOOKUP(MasterTech!$AF$4:$AF$214,RawTech!$AO$2:$AO$212,RawTech!$AV$2:$AV$212)</f>
        <v/>
      </c>
      <c r="S7" s="433" t="str">
        <f t="array" ref="S7">XLOOKUP(MasterTech!$AF$4:$AF$214,RawTech!$AO$2:$AO$212,RawTech!$AK$2:$AK$212)</f>
        <v>➖</v>
      </c>
      <c r="T7" s="435" t="str">
        <f t="array" ref="T7">XLOOKUP(MasterTech!$AF$4:$AF$214,RawTech!$AO$2:$AO$212,RawTech!$AM$2:$AM$212)</f>
        <v>➖</v>
      </c>
      <c r="U7" s="438" t="str">
        <f t="array" ref="U7">XLOOKUP(MasterTech!$AF$4:$AF$214,RawTech!$AO$2:$AO$212,RawTech!$D$2:$D$212)</f>
        <v>ShieldHPMax</v>
      </c>
      <c r="V7" s="416" t="str">
        <f t="array" ref="V7">XLOOKUP(MasterTech!$AF$4:$AF$214,RawTech!$AO$2:$AO$212,RawTech!$I$2:$I$212)</f>
        <v/>
      </c>
      <c r="W7" s="437" t="str">
        <f t="array" ref="W7">XLOOKUP(MasterTech!$AF$4:$AF$214,RawTech!$AO$2:$AO$212,RawTech!$E$2:$E$212)</f>
        <v/>
      </c>
      <c r="X7" s="438" t="str">
        <f t="array" ref="X7">XLOOKUP(MasterTech!$AF$4:$AF$214,RawTech!$AO$2:$AO$212,RawTech!$F$2:$F$212)</f>
        <v>ShipLaunched</v>
      </c>
      <c r="Y7" s="438" t="str">
        <f t="array" ref="Y7">XLOOKUP(MasterTech!$AF$4:$AF$214,RawTech!$AO$2:$AO$212,RawTech!$G$2:$G$212)</f>
        <v>SelfShip</v>
      </c>
      <c r="Z7" s="438" t="str">
        <f t="array" ref="Z7">XLOOKUP(MasterTech!$AF$4:$AF$214,RawTech!$AO$2:$AO$212,RawTech!$H$2:$H$212)</f>
        <v>MultiplyAdd</v>
      </c>
      <c r="AA7" s="438" t="str">
        <f t="array" ref="AA7">XLOOKUP(MasterTech!$AF$4:$AF$214,RawTech!$AO$2:$AO$212,RawTech!$J$2:$J$212)</f>
        <v>Increases Shield Health X</v>
      </c>
      <c r="AB7" s="439"/>
      <c r="AC7" s="440"/>
      <c r="AD7" s="440"/>
      <c r="AE7" s="441">
        <f t="array" ref="AE7">XLOOKUP(MasterTech!$AF$4:$AF$214,RawTech!$AO$2:$AO$212,RawTech!$AR$2:$AR$212)</f>
        <v>2</v>
      </c>
      <c r="AF7" s="427">
        <v>3.207768523E9</v>
      </c>
      <c r="AG7" s="428"/>
      <c r="AH7" s="428"/>
      <c r="AI7" s="429"/>
      <c r="AJ7" s="430"/>
    </row>
    <row r="8" ht="37.5" customHeight="1">
      <c r="A8" s="415" t="str">
        <f t="array" ref="A8">LEFT(XLOOKUP(LCARS_Tech[BuffID],RawTech[BuffID],RawTech[TechRarity]), 1)</f>
        <v>C</v>
      </c>
      <c r="B8" s="420"/>
      <c r="C8" s="417" t="str">
        <f t="array" ref="C8">HYPERLINK("https://stfc.space/forbidden_and_chaos_tech/" &amp; XLOOKUP(MasterTech!$AF$4:$AF$214,RawTech!$AO$2:$AO$212,RawTech!$AQ$2:$AQ$212), XLOOKUP(MasterTech!$AF$4:$AF$214,RawTech!$AO$2:$AO$212,RawTech!$B$2:$B$212))</f>
        <v>Orion Seismic Charges</v>
      </c>
      <c r="D8" s="418">
        <f t="array" ref="D8">XLOOKUP(LCARS_Tech[BuffID],RawTech[BuffID],RawTech[BuffOrder])</f>
        <v>1</v>
      </c>
      <c r="E8" s="419" t="str">
        <f t="array" ref="E8">XLOOKUP(LCARS_Tech[BuffID],RawTech[BuffID],RawTech[TechType])</f>
        <v>FT</v>
      </c>
      <c r="F8" s="419" t="str">
        <f t="array" ref="F8">XLOOKUP(LCARS_Tech[BuffID],RawTech[BuffID],RawTech[Tag_PvPinSpace])</f>
        <v>➖</v>
      </c>
      <c r="G8" s="419" t="str">
        <f t="array" ref="G8">XLOOKUP(LCARS_Tech[BuffID],RawTech[BuffID],RawTech[Tag_PvPStation])</f>
        <v>➖</v>
      </c>
      <c r="H8" s="419" t="str">
        <f t="array" ref="H8">XLOOKUP(LCARS_Tech[BuffID],RawTech[BuffID],RawTech[Tag_NonArmadaHostiles])</f>
        <v>✅</v>
      </c>
      <c r="I8" s="419" t="str">
        <f t="array" ref="I8">XLOOKUP(LCARS_Tech[BuffID],RawTech[BuffID],RawTech[Tag_WaveDefense])</f>
        <v>✅</v>
      </c>
      <c r="J8" s="419" t="str">
        <f t="array" ref="J8">XLOOKUP(LCARS_Tech[BuffID],RawTech[BuffID],RawTech[Tag_QTrial])</f>
        <v>✅</v>
      </c>
      <c r="K8" s="419" t="str">
        <f t="array" ref="K8">XLOOKUP(LCARS_Tech[BuffID],RawTech[BuffID],RawTech[Tag_MissionBosses])</f>
        <v>➖</v>
      </c>
      <c r="L8" s="419" t="str">
        <f t="array" ref="L8">XLOOKUP(LCARS_Tech[BuffID],RawTech[BuffID],RawTech[Tag_GroupArmadas])</f>
        <v>➖</v>
      </c>
      <c r="M8" s="419" t="str">
        <f t="array" ref="M8">XLOOKUP(LCARS_Tech[BuffID],RawTech[BuffID],RawTech[Tag_SoloArmadas])</f>
        <v>➖</v>
      </c>
      <c r="N8" s="419" t="str">
        <f t="array" ref="N8">XLOOKUP(LCARS_Tech[BuffID],RawTech[BuffID],RawTech[Tag_InvadingEntities])</f>
        <v>➖</v>
      </c>
      <c r="O8" s="419" t="str">
        <f t="array" ref="O8">XLOOKUP(LCARS_Tech[BuffID],RawTech[BuffID],RawTech[Tag_Assaults])</f>
        <v>➖</v>
      </c>
      <c r="P8" s="442" t="str">
        <f t="array" ref="P8">XLOOKUP(LCARS_Tech[BuffID],RawTech[BuffID],RawTech[Tag_OutpostArmadas])</f>
        <v>➖</v>
      </c>
      <c r="Q8" s="420" t="str">
        <f t="array" ref="Q8">XLOOKUP(LCARS_Tech[BuffID],RawTech[BuffID],RawTech[Tag_OutpostRetaliators])</f>
        <v>➖</v>
      </c>
      <c r="R8" s="420" t="str">
        <f t="array" ref="R8">XLOOKUP(MasterTech!$AF$4:$AF$214,RawTech!$AO$2:$AO$212,RawTech!$AV$2:$AV$212)</f>
        <v/>
      </c>
      <c r="S8" s="419" t="str">
        <f t="array" ref="S8">XLOOKUP(MasterTech!$AF$4:$AF$214,RawTech!$AO$2:$AO$212,RawTech!$AK$2:$AK$212)</f>
        <v>➖</v>
      </c>
      <c r="T8" s="422" t="str">
        <f t="array" ref="T8">XLOOKUP(MasterTech!$AF$4:$AF$214,RawTech!$AO$2:$AO$212,RawTech!$AM$2:$AM$212)</f>
        <v>➖</v>
      </c>
      <c r="U8" s="423" t="str">
        <f t="array" ref="U8">XLOOKUP(MasterTech!$AF$4:$AF$214,RawTech!$AO$2:$AO$212,RawTech!$D$2:$D$212)</f>
        <v>AllDamage</v>
      </c>
      <c r="V8" s="420" t="str">
        <f t="array" ref="V8">XLOOKUP(MasterTech!$AF$4:$AF$214,RawTech!$AO$2:$AO$212,RawTech!$I$2:$I$212)</f>
        <v/>
      </c>
      <c r="W8" s="443" t="str">
        <f t="array" ref="W8">XLOOKUP(MasterTech!$AF$4:$AF$214,RawTech!$AO$2:$AO$212,RawTech!$E$2:$E$212)</f>
        <v>EnemyHostile, TargetNotArmada</v>
      </c>
      <c r="X8" s="423" t="str">
        <f t="array" ref="X8">XLOOKUP(MasterTech!$AF$4:$AF$214,RawTech!$AO$2:$AO$212,RawTech!$F$2:$F$212)</f>
        <v>CombatStart</v>
      </c>
      <c r="Y8" s="423" t="str">
        <f t="array" ref="Y8">XLOOKUP(MasterTech!$AF$4:$AF$214,RawTech!$AO$2:$AO$212,RawTech!$G$2:$G$212)</f>
        <v>SelfShip</v>
      </c>
      <c r="Z8" s="423" t="str">
        <f t="array" ref="Z8">XLOOKUP(MasterTech!$AF$4:$AF$214,RawTech!$AO$2:$AO$212,RawTech!$H$2:$H$212)</f>
        <v>MultiplyAdd</v>
      </c>
      <c r="AA8" s="423" t="str">
        <f t="array" ref="AA8">XLOOKUP(MasterTech!$AF$4:$AF$214,RawTech!$AO$2:$AO$212,RawTech!$J$2:$J$212)</f>
        <v>Increases Damage against hostiles X</v>
      </c>
      <c r="AB8" s="424"/>
      <c r="AC8" s="425"/>
      <c r="AD8" s="425"/>
      <c r="AE8" s="426">
        <f t="array" ref="AE8">XLOOKUP(MasterTech!$AF$4:$AF$214,RawTech!$AO$2:$AO$212,RawTech!$AR$2:$AR$212)</f>
        <v>3</v>
      </c>
      <c r="AF8" s="427">
        <v>5.2715685E7</v>
      </c>
      <c r="AG8" s="428"/>
      <c r="AH8" s="428"/>
      <c r="AI8" s="429"/>
      <c r="AJ8" s="430"/>
    </row>
    <row r="9" ht="37.5" customHeight="1">
      <c r="A9" s="415" t="str">
        <f t="array" ref="A9">LEFT(XLOOKUP(LCARS_Tech[BuffID],RawTech[BuffID],RawTech[TechRarity]), 1)</f>
        <v>C</v>
      </c>
      <c r="B9" s="416"/>
      <c r="C9" s="431" t="str">
        <f t="array" ref="C9">HYPERLINK("https://stfc.space/forbidden_and_chaos_tech/" &amp; XLOOKUP(MasterTech!$AF$4:$AF$214,RawTech!$AO$2:$AO$212,RawTech!$AQ$2:$AQ$212), XLOOKUP(MasterTech!$AF$4:$AF$214,RawTech!$AO$2:$AO$212,RawTech!$B$2:$B$212))</f>
        <v>Orion Seismic Charges</v>
      </c>
      <c r="D9" s="432">
        <f t="array" ref="D9">XLOOKUP(LCARS_Tech[BuffID],RawTech[BuffID],RawTech[BuffOrder])</f>
        <v>2</v>
      </c>
      <c r="E9" s="433" t="str">
        <f t="array" ref="E9">XLOOKUP(LCARS_Tech[BuffID],RawTech[BuffID],RawTech[TechType])</f>
        <v>FT</v>
      </c>
      <c r="F9" s="433" t="str">
        <f t="array" ref="F9">XLOOKUP(LCARS_Tech[BuffID],RawTech[BuffID],RawTech[Tag_PvPinSpace])</f>
        <v>➖</v>
      </c>
      <c r="G9" s="433" t="str">
        <f t="array" ref="G9">XLOOKUP(LCARS_Tech[BuffID],RawTech[BuffID],RawTech[Tag_PvPStation])</f>
        <v>➖</v>
      </c>
      <c r="H9" s="433" t="str">
        <f t="array" ref="H9">XLOOKUP(LCARS_Tech[BuffID],RawTech[BuffID],RawTech[Tag_NonArmadaHostiles])</f>
        <v>➖</v>
      </c>
      <c r="I9" s="433" t="str">
        <f t="array" ref="I9">XLOOKUP(LCARS_Tech[BuffID],RawTech[BuffID],RawTech[Tag_WaveDefense])</f>
        <v>➖</v>
      </c>
      <c r="J9" s="433" t="str">
        <f t="array" ref="J9">XLOOKUP(LCARS_Tech[BuffID],RawTech[BuffID],RawTech[Tag_QTrial])</f>
        <v>➖</v>
      </c>
      <c r="K9" s="433" t="str">
        <f t="array" ref="K9">XLOOKUP(LCARS_Tech[BuffID],RawTech[BuffID],RawTech[Tag_MissionBosses])</f>
        <v>➖</v>
      </c>
      <c r="L9" s="433" t="str">
        <f t="array" ref="L9">XLOOKUP(LCARS_Tech[BuffID],RawTech[BuffID],RawTech[Tag_GroupArmadas])</f>
        <v>➖</v>
      </c>
      <c r="M9" s="433" t="str">
        <f t="array" ref="M9">XLOOKUP(LCARS_Tech[BuffID],RawTech[BuffID],RawTech[Tag_SoloArmadas])</f>
        <v>➖</v>
      </c>
      <c r="N9" s="433" t="str">
        <f t="array" ref="N9">XLOOKUP(LCARS_Tech[BuffID],RawTech[BuffID],RawTech[Tag_InvadingEntities])</f>
        <v>➖</v>
      </c>
      <c r="O9" s="433" t="str">
        <f t="array" ref="O9">XLOOKUP(LCARS_Tech[BuffID],RawTech[BuffID],RawTech[Tag_Assaults])</f>
        <v>➖</v>
      </c>
      <c r="P9" s="434" t="str">
        <f t="array" ref="P9">XLOOKUP(LCARS_Tech[BuffID],RawTech[BuffID],RawTech[Tag_OutpostArmadas])</f>
        <v>➖</v>
      </c>
      <c r="Q9" s="416" t="str">
        <f t="array" ref="Q9">XLOOKUP(LCARS_Tech[BuffID],RawTech[BuffID],RawTech[Tag_OutpostRetaliators])</f>
        <v>➖</v>
      </c>
      <c r="R9" s="416" t="str">
        <f t="array" ref="R9">XLOOKUP(MasterTech!$AF$4:$AF$214,RawTech!$AO$2:$AO$212,RawTech!$AV$2:$AV$212)</f>
        <v/>
      </c>
      <c r="S9" s="433" t="str">
        <f t="array" ref="S9">XLOOKUP(MasterTech!$AF$4:$AF$214,RawTech!$AO$2:$AO$212,RawTech!$AK$2:$AK$212)</f>
        <v>➖</v>
      </c>
      <c r="T9" s="435" t="str">
        <f t="array" ref="T9">XLOOKUP(MasterTech!$AF$4:$AF$214,RawTech!$AO$2:$AO$212,RawTech!$AM$2:$AM$212)</f>
        <v>✅</v>
      </c>
      <c r="U9" s="438" t="str">
        <f t="array" ref="U9">XLOOKUP(MasterTech!$AF$4:$AF$214,RawTech!$AO$2:$AO$212,RawTech!$D$2:$D$212)</f>
        <v>CombatXPReward</v>
      </c>
      <c r="V9" s="416" t="str">
        <f t="array" ref="V9">XLOOKUP(MasterTech!$AF$4:$AF$214,RawTech!$AO$2:$AO$212,RawTech!$I$2:$I$212)</f>
        <v/>
      </c>
      <c r="W9" s="437" t="str">
        <f t="array" ref="W9">XLOOKUP(MasterTech!$AF$4:$AF$214,RawTech!$AO$2:$AO$212,RawTech!$E$2:$E$212)</f>
        <v/>
      </c>
      <c r="X9" s="438" t="str">
        <f t="array" ref="X9">XLOOKUP(MasterTech!$AF$4:$AF$214,RawTech!$AO$2:$AO$212,RawTech!$F$2:$F$212)</f>
        <v>ShipLaunched</v>
      </c>
      <c r="Y9" s="438" t="str">
        <f t="array" ref="Y9">XLOOKUP(MasterTech!$AF$4:$AF$214,RawTech!$AO$2:$AO$212,RawTech!$G$2:$G$212)</f>
        <v>SelfShip</v>
      </c>
      <c r="Z9" s="438" t="str">
        <f t="array" ref="Z9">XLOOKUP(MasterTech!$AF$4:$AF$214,RawTech!$AO$2:$AO$212,RawTech!$H$2:$H$212)</f>
        <v>MultiplyAdd</v>
      </c>
      <c r="AA9" s="438" t="str">
        <f t="array" ref="AA9">XLOOKUP(MasterTech!$AF$4:$AF$214,RawTech!$AO$2:$AO$212,RawTech!$J$2:$J$212)</f>
        <v>Increases Ship Experience hostile rewards X</v>
      </c>
      <c r="AB9" s="439"/>
      <c r="AC9" s="440"/>
      <c r="AD9" s="440"/>
      <c r="AE9" s="441">
        <f t="array" ref="AE9">XLOOKUP(MasterTech!$AF$4:$AF$214,RawTech!$AO$2:$AO$212,RawTech!$AR$2:$AR$212)</f>
        <v>3</v>
      </c>
      <c r="AF9" s="427">
        <v>2.789756285E9</v>
      </c>
      <c r="AG9" s="428"/>
      <c r="AH9" s="428"/>
      <c r="AI9" s="429"/>
      <c r="AJ9" s="430"/>
    </row>
    <row r="10" ht="37.5" customHeight="1">
      <c r="A10" s="415" t="str">
        <f t="array" ref="A10">LEFT(XLOOKUP(LCARS_Tech[BuffID],RawTech[BuffID],RawTech[TechRarity]), 1)</f>
        <v>U</v>
      </c>
      <c r="B10" s="420"/>
      <c r="C10" s="444" t="str">
        <f t="array" ref="C10">HYPERLINK("https://stfc.space/forbidden_and_chaos_tech/" &amp; XLOOKUP(MasterTech!$AF$4:$AF$214,RawTech!$AO$2:$AO$212,RawTech!$AQ$2:$AQ$212), XLOOKUP(MasterTech!$AF$4:$AF$214,RawTech!$AO$2:$AO$212,RawTech!$B$2:$B$212))</f>
        <v>Transphasic Torpedoes</v>
      </c>
      <c r="D10" s="418">
        <f t="array" ref="D10">XLOOKUP(LCARS_Tech[BuffID],RawTech[BuffID],RawTech[BuffOrder])</f>
        <v>1</v>
      </c>
      <c r="E10" s="419" t="str">
        <f t="array" ref="E10">XLOOKUP(LCARS_Tech[BuffID],RawTech[BuffID],RawTech[TechType])</f>
        <v>FT</v>
      </c>
      <c r="F10" s="419" t="str">
        <f t="array" ref="F10">XLOOKUP(LCARS_Tech[BuffID],RawTech[BuffID],RawTech[Tag_PvPinSpace])</f>
        <v>➖</v>
      </c>
      <c r="G10" s="419" t="str">
        <f t="array" ref="G10">XLOOKUP(LCARS_Tech[BuffID],RawTech[BuffID],RawTech[Tag_PvPStation])</f>
        <v>➖</v>
      </c>
      <c r="H10" s="419" t="str">
        <f t="array" ref="H10">XLOOKUP(LCARS_Tech[BuffID],RawTech[BuffID],RawTech[Tag_NonArmadaHostiles])</f>
        <v>➖</v>
      </c>
      <c r="I10" s="419" t="str">
        <f t="array" ref="I10">XLOOKUP(LCARS_Tech[BuffID],RawTech[BuffID],RawTech[Tag_WaveDefense])</f>
        <v>➖</v>
      </c>
      <c r="J10" s="419" t="str">
        <f t="array" ref="J10">XLOOKUP(LCARS_Tech[BuffID],RawTech[BuffID],RawTech[Tag_QTrial])</f>
        <v>➖</v>
      </c>
      <c r="K10" s="419" t="str">
        <f t="array" ref="K10">XLOOKUP(LCARS_Tech[BuffID],RawTech[BuffID],RawTech[Tag_MissionBosses])</f>
        <v>➖</v>
      </c>
      <c r="L10" s="419" t="str">
        <f t="array" ref="L10">XLOOKUP(LCARS_Tech[BuffID],RawTech[BuffID],RawTech[Tag_GroupArmadas])</f>
        <v>➖</v>
      </c>
      <c r="M10" s="419" t="str">
        <f t="array" ref="M10">XLOOKUP(LCARS_Tech[BuffID],RawTech[BuffID],RawTech[Tag_SoloArmadas])</f>
        <v>➖</v>
      </c>
      <c r="N10" s="419" t="str">
        <f t="array" ref="N10">XLOOKUP(LCARS_Tech[BuffID],RawTech[BuffID],RawTech[Tag_InvadingEntities])</f>
        <v>➖</v>
      </c>
      <c r="O10" s="419" t="str">
        <f t="array" ref="O10">XLOOKUP(LCARS_Tech[BuffID],RawTech[BuffID],RawTech[Tag_Assaults])</f>
        <v>➖</v>
      </c>
      <c r="P10" s="442" t="str">
        <f t="array" ref="P10">XLOOKUP(LCARS_Tech[BuffID],RawTech[BuffID],RawTech[Tag_OutpostArmadas])</f>
        <v>➖</v>
      </c>
      <c r="Q10" s="420" t="str">
        <f t="array" ref="Q10">XLOOKUP(LCARS_Tech[BuffID],RawTech[BuffID],RawTech[Tag_OutpostRetaliators])</f>
        <v>➖</v>
      </c>
      <c r="R10" s="420" t="str">
        <f t="array" ref="R10">XLOOKUP(MasterTech!$AF$4:$AF$214,RawTech!$AO$2:$AO$212,RawTech!$AV$2:$AV$212)</f>
        <v/>
      </c>
      <c r="S10" s="419" t="str">
        <f t="array" ref="S10">XLOOKUP(MasterTech!$AF$4:$AF$214,RawTech!$AO$2:$AO$212,RawTech!$AK$2:$AK$212)</f>
        <v>➖</v>
      </c>
      <c r="T10" s="422" t="str">
        <f t="array" ref="T10">XLOOKUP(MasterTech!$AF$4:$AF$214,RawTech!$AO$2:$AO$212,RawTech!$AM$2:$AM$212)</f>
        <v>➖</v>
      </c>
      <c r="U10" s="423" t="str">
        <f t="array" ref="U10">XLOOKUP(MasterTech!$AF$4:$AF$214,RawTech!$AO$2:$AO$212,RawTech!$D$2:$D$212)</f>
        <v>AllDamage</v>
      </c>
      <c r="V10" s="420" t="str">
        <f t="array" ref="V10">XLOOKUP(MasterTech!$AF$4:$AF$214,RawTech!$AO$2:$AO$212,RawTech!$I$2:$I$212)</f>
        <v/>
      </c>
      <c r="W10" s="443" t="str">
        <f t="array" ref="W10">XLOOKUP(MasterTech!$AF$4:$AF$214,RawTech!$AO$2:$AO$212,RawTech!$E$2:$E$212)</f>
        <v>TargetNotSoloArmada, TargetIsArmada</v>
      </c>
      <c r="X10" s="423" t="str">
        <f t="array" ref="X10">XLOOKUP(MasterTech!$AF$4:$AF$214,RawTech!$AO$2:$AO$212,RawTech!$F$2:$F$212)</f>
        <v>CombatStart</v>
      </c>
      <c r="Y10" s="423" t="str">
        <f t="array" ref="Y10">XLOOKUP(MasterTech!$AF$4:$AF$214,RawTech!$AO$2:$AO$212,RawTech!$G$2:$G$212)</f>
        <v>SelfShip</v>
      </c>
      <c r="Z10" s="423" t="str">
        <f t="array" ref="Z10">XLOOKUP(MasterTech!$AF$4:$AF$214,RawTech!$AO$2:$AO$212,RawTech!$H$2:$H$212)</f>
        <v>MultiplyAdd</v>
      </c>
      <c r="AA10" s="423" t="str">
        <f t="array" ref="AA10">XLOOKUP(MasterTech!$AF$4:$AF$214,RawTech!$AO$2:$AO$212,RawTech!$J$2:$J$212)</f>
        <v>Increases Damage against Group Armadas X</v>
      </c>
      <c r="AB10" s="424"/>
      <c r="AC10" s="425"/>
      <c r="AD10" s="425"/>
      <c r="AE10" s="445">
        <f t="array" ref="AE10">XLOOKUP(MasterTech!$AF$4:$AF$214,RawTech!$AO$2:$AO$212,RawTech!$AR$2:$AR$212)</f>
        <v>4</v>
      </c>
      <c r="AF10" s="427">
        <v>1.167602957E9</v>
      </c>
      <c r="AG10" s="428"/>
      <c r="AH10" s="428"/>
      <c r="AI10" s="429"/>
      <c r="AJ10" s="430"/>
    </row>
    <row r="11" ht="37.5" customHeight="1">
      <c r="A11" s="415" t="str">
        <f t="array" ref="A11">LEFT(XLOOKUP(LCARS_Tech[BuffID],RawTech[BuffID],RawTech[TechRarity]), 1)</f>
        <v>U</v>
      </c>
      <c r="B11" s="416"/>
      <c r="C11" s="446" t="str">
        <f t="array" ref="C11">HYPERLINK("https://stfc.space/forbidden_and_chaos_tech/" &amp; XLOOKUP(MasterTech!$AF$4:$AF$214,RawTech!$AO$2:$AO$212,RawTech!$AQ$2:$AQ$212), XLOOKUP(MasterTech!$AF$4:$AF$214,RawTech!$AO$2:$AO$212,RawTech!$B$2:$B$212))</f>
        <v>Transphasic Torpedoes</v>
      </c>
      <c r="D11" s="432">
        <f t="array" ref="D11">XLOOKUP(LCARS_Tech[BuffID],RawTech[BuffID],RawTech[BuffOrder])</f>
        <v>2</v>
      </c>
      <c r="E11" s="433" t="str">
        <f t="array" ref="E11">XLOOKUP(LCARS_Tech[BuffID],RawTech[BuffID],RawTech[TechType])</f>
        <v>FT</v>
      </c>
      <c r="F11" s="433" t="str">
        <f t="array" ref="F11">XLOOKUP(LCARS_Tech[BuffID],RawTech[BuffID],RawTech[Tag_PvPinSpace])</f>
        <v>➖</v>
      </c>
      <c r="G11" s="433" t="str">
        <f t="array" ref="G11">XLOOKUP(LCARS_Tech[BuffID],RawTech[BuffID],RawTech[Tag_PvPStation])</f>
        <v>➖</v>
      </c>
      <c r="H11" s="433" t="str">
        <f t="array" ref="H11">XLOOKUP(LCARS_Tech[BuffID],RawTech[BuffID],RawTech[Tag_NonArmadaHostiles])</f>
        <v>➖</v>
      </c>
      <c r="I11" s="433" t="str">
        <f t="array" ref="I11">XLOOKUP(LCARS_Tech[BuffID],RawTech[BuffID],RawTech[Tag_WaveDefense])</f>
        <v>➖</v>
      </c>
      <c r="J11" s="433" t="str">
        <f t="array" ref="J11">XLOOKUP(LCARS_Tech[BuffID],RawTech[BuffID],RawTech[Tag_QTrial])</f>
        <v>➖</v>
      </c>
      <c r="K11" s="433" t="str">
        <f t="array" ref="K11">XLOOKUP(LCARS_Tech[BuffID],RawTech[BuffID],RawTech[Tag_MissionBosses])</f>
        <v>➖</v>
      </c>
      <c r="L11" s="433" t="str">
        <f t="array" ref="L11">XLOOKUP(LCARS_Tech[BuffID],RawTech[BuffID],RawTech[Tag_GroupArmadas])</f>
        <v>➖</v>
      </c>
      <c r="M11" s="433" t="str">
        <f t="array" ref="M11">XLOOKUP(LCARS_Tech[BuffID],RawTech[BuffID],RawTech[Tag_SoloArmadas])</f>
        <v>➖</v>
      </c>
      <c r="N11" s="433" t="str">
        <f t="array" ref="N11">XLOOKUP(LCARS_Tech[BuffID],RawTech[BuffID],RawTech[Tag_InvadingEntities])</f>
        <v>➖</v>
      </c>
      <c r="O11" s="433" t="str">
        <f t="array" ref="O11">XLOOKUP(LCARS_Tech[BuffID],RawTech[BuffID],RawTech[Tag_Assaults])</f>
        <v>➖</v>
      </c>
      <c r="P11" s="434" t="str">
        <f t="array" ref="P11">XLOOKUP(LCARS_Tech[BuffID],RawTech[BuffID],RawTech[Tag_OutpostArmadas])</f>
        <v>➖</v>
      </c>
      <c r="Q11" s="416" t="str">
        <f t="array" ref="Q11">XLOOKUP(LCARS_Tech[BuffID],RawTech[BuffID],RawTech[Tag_OutpostRetaliators])</f>
        <v>➖</v>
      </c>
      <c r="R11" s="416" t="str">
        <f t="array" ref="R11">XLOOKUP(MasterTech!$AF$4:$AF$214,RawTech!$AO$2:$AO$212,RawTech!$AV$2:$AV$212)</f>
        <v/>
      </c>
      <c r="S11" s="433" t="str">
        <f t="array" ref="S11">XLOOKUP(MasterTech!$AF$4:$AF$214,RawTech!$AO$2:$AO$212,RawTech!$AK$2:$AK$212)</f>
        <v>➖</v>
      </c>
      <c r="T11" s="435" t="str">
        <f t="array" ref="T11">XLOOKUP(MasterTech!$AF$4:$AF$214,RawTech!$AO$2:$AO$212,RawTech!$AM$2:$AM$212)</f>
        <v>➖</v>
      </c>
      <c r="U11" s="438" t="str">
        <f t="array" ref="U11">XLOOKUP(MasterTech!$AF$4:$AF$214,RawTech!$AO$2:$AO$212,RawTech!$D$2:$D$212)</f>
        <v>AllPiercing</v>
      </c>
      <c r="V11" s="416" t="str">
        <f t="array" ref="V11">XLOOKUP(MasterTech!$AF$4:$AF$214,RawTech!$AO$2:$AO$212,RawTech!$I$2:$I$212)</f>
        <v/>
      </c>
      <c r="W11" s="447" t="str">
        <f t="array" ref="W11">XLOOKUP(MasterTech!$AF$4:$AF$214,RawTech!$AO$2:$AO$212,RawTech!$E$2:$E$212)</f>
        <v>TargetNotSoloArmada, TargetIsArmada</v>
      </c>
      <c r="X11" s="438" t="str">
        <f t="array" ref="X11">XLOOKUP(MasterTech!$AF$4:$AF$214,RawTech!$AO$2:$AO$212,RawTech!$F$2:$F$212)</f>
        <v>CombatStart</v>
      </c>
      <c r="Y11" s="438" t="str">
        <f t="array" ref="Y11">XLOOKUP(MasterTech!$AF$4:$AF$214,RawTech!$AO$2:$AO$212,RawTech!$G$2:$G$212)</f>
        <v>SelfShip</v>
      </c>
      <c r="Z11" s="438" t="str">
        <f t="array" ref="Z11">XLOOKUP(MasterTech!$AF$4:$AF$214,RawTech!$AO$2:$AO$212,RawTech!$H$2:$H$212)</f>
        <v>MultiplyAdd</v>
      </c>
      <c r="AA11" s="438" t="str">
        <f t="array" ref="AA11">XLOOKUP(MasterTech!$AF$4:$AF$214,RawTech!$AO$2:$AO$212,RawTech!$J$2:$J$212)</f>
        <v>Increases Armor Pierce, Shield Pierce, and Accuracy against Group Armadas X</v>
      </c>
      <c r="AB11" s="439"/>
      <c r="AC11" s="440"/>
      <c r="AD11" s="440"/>
      <c r="AE11" s="448">
        <f t="array" ref="AE11">XLOOKUP(MasterTech!$AF$4:$AF$214,RawTech!$AO$2:$AO$212,RawTech!$AR$2:$AR$212)</f>
        <v>4</v>
      </c>
      <c r="AF11" s="427">
        <v>2.657192585E9</v>
      </c>
      <c r="AG11" s="428"/>
      <c r="AH11" s="428"/>
      <c r="AI11" s="429"/>
      <c r="AJ11" s="430"/>
    </row>
    <row r="12" ht="37.5" customHeight="1">
      <c r="A12" s="415" t="str">
        <f t="array" ref="A12">LEFT(XLOOKUP(LCARS_Tech[BuffID],RawTech[BuffID],RawTech[TechRarity]), 1)</f>
        <v>U</v>
      </c>
      <c r="B12" s="420"/>
      <c r="C12" s="444" t="str">
        <f t="array" ref="C12">HYPERLINK("https://stfc.space/forbidden_and_chaos_tech/" &amp; XLOOKUP(MasterTech!$AF$4:$AF$214,RawTech!$AO$2:$AO$212,RawTech!$AQ$2:$AQ$212), XLOOKUP(MasterTech!$AF$4:$AF$214,RawTech!$AO$2:$AO$212,RawTech!$B$2:$B$212))</f>
        <v>Transphasic Torpedoes</v>
      </c>
      <c r="D12" s="418">
        <f t="array" ref="D12">XLOOKUP(LCARS_Tech[BuffID],RawTech[BuffID],RawTech[BuffOrder])</f>
        <v>3</v>
      </c>
      <c r="E12" s="419" t="str">
        <f t="array" ref="E12">XLOOKUP(LCARS_Tech[BuffID],RawTech[BuffID],RawTech[TechType])</f>
        <v>FT</v>
      </c>
      <c r="F12" s="419" t="str">
        <f t="array" ref="F12">XLOOKUP(LCARS_Tech[BuffID],RawTech[BuffID],RawTech[Tag_PvPinSpace])</f>
        <v>➖</v>
      </c>
      <c r="G12" s="419" t="str">
        <f t="array" ref="G12">XLOOKUP(LCARS_Tech[BuffID],RawTech[BuffID],RawTech[Tag_PvPStation])</f>
        <v>➖</v>
      </c>
      <c r="H12" s="419" t="str">
        <f t="array" ref="H12">XLOOKUP(LCARS_Tech[BuffID],RawTech[BuffID],RawTech[Tag_NonArmadaHostiles])</f>
        <v>➖</v>
      </c>
      <c r="I12" s="419" t="str">
        <f t="array" ref="I12">XLOOKUP(LCARS_Tech[BuffID],RawTech[BuffID],RawTech[Tag_WaveDefense])</f>
        <v>➖</v>
      </c>
      <c r="J12" s="419" t="str">
        <f t="array" ref="J12">XLOOKUP(LCARS_Tech[BuffID],RawTech[BuffID],RawTech[Tag_QTrial])</f>
        <v>➖</v>
      </c>
      <c r="K12" s="419" t="str">
        <f t="array" ref="K12">XLOOKUP(LCARS_Tech[BuffID],RawTech[BuffID],RawTech[Tag_MissionBosses])</f>
        <v>➖</v>
      </c>
      <c r="L12" s="419" t="str">
        <f t="array" ref="L12">XLOOKUP(LCARS_Tech[BuffID],RawTech[BuffID],RawTech[Tag_GroupArmadas])</f>
        <v>➖</v>
      </c>
      <c r="M12" s="419" t="str">
        <f t="array" ref="M12">XLOOKUP(LCARS_Tech[BuffID],RawTech[BuffID],RawTech[Tag_SoloArmadas])</f>
        <v>➖</v>
      </c>
      <c r="N12" s="419" t="str">
        <f t="array" ref="N12">XLOOKUP(LCARS_Tech[BuffID],RawTech[BuffID],RawTech[Tag_InvadingEntities])</f>
        <v>➖</v>
      </c>
      <c r="O12" s="419" t="str">
        <f t="array" ref="O12">XLOOKUP(LCARS_Tech[BuffID],RawTech[BuffID],RawTech[Tag_Assaults])</f>
        <v>➖</v>
      </c>
      <c r="P12" s="442" t="str">
        <f t="array" ref="P12">XLOOKUP(LCARS_Tech[BuffID],RawTech[BuffID],RawTech[Tag_OutpostArmadas])</f>
        <v>➖</v>
      </c>
      <c r="Q12" s="420" t="str">
        <f t="array" ref="Q12">XLOOKUP(LCARS_Tech[BuffID],RawTech[BuffID],RawTech[Tag_OutpostRetaliators])</f>
        <v>➖</v>
      </c>
      <c r="R12" s="420" t="str">
        <f t="array" ref="R12">XLOOKUP(MasterTech!$AF$4:$AF$214,RawTech!$AO$2:$AO$212,RawTech!$AV$2:$AV$212)</f>
        <v/>
      </c>
      <c r="S12" s="419" t="str">
        <f t="array" ref="S12">XLOOKUP(MasterTech!$AF$4:$AF$214,RawTech!$AO$2:$AO$212,RawTech!$AK$2:$AK$212)</f>
        <v>➖</v>
      </c>
      <c r="T12" s="422" t="str">
        <f t="array" ref="T12">XLOOKUP(MasterTech!$AF$4:$AF$214,RawTech!$AO$2:$AO$212,RawTech!$AM$2:$AM$212)</f>
        <v>➖</v>
      </c>
      <c r="U12" s="423" t="str">
        <f t="array" ref="U12">XLOOKUP(MasterTech!$AF$4:$AF$214,RawTech!$AO$2:$AO$212,RawTech!$D$2:$D$212)</f>
        <v>CritDamage</v>
      </c>
      <c r="V12" s="420" t="str">
        <f t="array" ref="V12">XLOOKUP(MasterTech!$AF$4:$AF$214,RawTech!$AO$2:$AO$212,RawTech!$I$2:$I$212)</f>
        <v/>
      </c>
      <c r="W12" s="443" t="str">
        <f t="array" ref="W12">XLOOKUP(MasterTech!$AF$4:$AF$214,RawTech!$AO$2:$AO$212,RawTech!$E$2:$E$212)</f>
        <v>TargetNotSoloArmada, TargetIsArmada</v>
      </c>
      <c r="X12" s="423" t="str">
        <f t="array" ref="X12">XLOOKUP(MasterTech!$AF$4:$AF$214,RawTech!$AO$2:$AO$212,RawTech!$F$2:$F$212)</f>
        <v>CombatStart</v>
      </c>
      <c r="Y12" s="423" t="str">
        <f t="array" ref="Y12">XLOOKUP(MasterTech!$AF$4:$AF$214,RawTech!$AO$2:$AO$212,RawTech!$G$2:$G$212)</f>
        <v>SelfShip</v>
      </c>
      <c r="Z12" s="423" t="str">
        <f t="array" ref="Z12">XLOOKUP(MasterTech!$AF$4:$AF$214,RawTech!$AO$2:$AO$212,RawTech!$H$2:$H$212)</f>
        <v>Add</v>
      </c>
      <c r="AA12" s="423" t="str">
        <f t="array" ref="AA12">XLOOKUP(MasterTech!$AF$4:$AF$214,RawTech!$AO$2:$AO$212,RawTech!$J$2:$J$212)</f>
        <v>Increases Critical Damage against Group Armadas X</v>
      </c>
      <c r="AB12" s="424"/>
      <c r="AC12" s="425"/>
      <c r="AD12" s="425"/>
      <c r="AE12" s="445">
        <f t="array" ref="AE12">XLOOKUP(MasterTech!$AF$4:$AF$214,RawTech!$AO$2:$AO$212,RawTech!$AR$2:$AR$212)</f>
        <v>4</v>
      </c>
      <c r="AF12" s="427">
        <v>4.232340445E9</v>
      </c>
      <c r="AG12" s="428"/>
      <c r="AH12" s="428"/>
      <c r="AI12" s="429"/>
      <c r="AJ12" s="430"/>
    </row>
    <row r="13" ht="37.5" customHeight="1">
      <c r="A13" s="415" t="str">
        <f t="array" ref="A13">LEFT(XLOOKUP(LCARS_Tech[BuffID],RawTech[BuffID],RawTech[TechRarity]), 1)</f>
        <v>U</v>
      </c>
      <c r="B13" s="416"/>
      <c r="C13" s="417" t="str">
        <f t="array" ref="C13">HYPERLINK("https://stfc.space/forbidden_and_chaos_tech/" &amp; XLOOKUP(LCARS_Tech[BuffID],RawTech[BuffID],RawTech[TechId]), XLOOKUP(LCARS_Tech[BuffID],RawTech[BuffID],RawTech[TechName]))</f>
        <v>Subnucleonic Beam</v>
      </c>
      <c r="D13" s="432">
        <f t="array" ref="D13">XLOOKUP(LCARS_Tech[BuffID],RawTech[BuffID],RawTech[BuffOrder])</f>
        <v>1</v>
      </c>
      <c r="E13" s="433" t="str">
        <f t="array" ref="E13">XLOOKUP(LCARS_Tech[BuffID],RawTech[BuffID],RawTech[TechType])</f>
        <v>FT</v>
      </c>
      <c r="F13" s="433" t="str">
        <f t="array" ref="F13">XLOOKUP(LCARS_Tech[BuffID],RawTech[BuffID],RawTech[Tag_PvPinSpace])</f>
        <v>✅</v>
      </c>
      <c r="G13" s="433" t="str">
        <f t="array" ref="G13">XLOOKUP(LCARS_Tech[BuffID],RawTech[BuffID],RawTech[Tag_PvPStation])</f>
        <v>✅</v>
      </c>
      <c r="H13" s="433" t="str">
        <f t="array" ref="H13">XLOOKUP(LCARS_Tech[BuffID],RawTech[BuffID],RawTech[Tag_NonArmadaHostiles])</f>
        <v>✅</v>
      </c>
      <c r="I13" s="433" t="str">
        <f t="array" ref="I13">XLOOKUP(LCARS_Tech[BuffID],RawTech[BuffID],RawTech[Tag_WaveDefense])</f>
        <v>✅</v>
      </c>
      <c r="J13" s="433" t="str">
        <f t="array" ref="J13">XLOOKUP(LCARS_Tech[BuffID],RawTech[BuffID],RawTech[Tag_QTrial])</f>
        <v>✅</v>
      </c>
      <c r="K13" s="433" t="str">
        <f t="array" ref="K13">XLOOKUP(LCARS_Tech[BuffID],RawTech[BuffID],RawTech[Tag_MissionBosses])</f>
        <v>✅</v>
      </c>
      <c r="L13" s="433" t="str">
        <f t="array" ref="L13">XLOOKUP(LCARS_Tech[BuffID],RawTech[BuffID],RawTech[Tag_GroupArmadas])</f>
        <v>✅</v>
      </c>
      <c r="M13" s="433" t="str">
        <f t="array" ref="M13">XLOOKUP(LCARS_Tech[BuffID],RawTech[BuffID],RawTech[Tag_SoloArmadas])</f>
        <v>✅</v>
      </c>
      <c r="N13" s="433" t="str">
        <f t="array" ref="N13">XLOOKUP(LCARS_Tech[BuffID],RawTech[BuffID],RawTech[Tag_InvadingEntities])</f>
        <v>✅</v>
      </c>
      <c r="O13" s="433" t="str">
        <f t="array" ref="O13">XLOOKUP(LCARS_Tech[BuffID],RawTech[BuffID],RawTech[Tag_Assaults])</f>
        <v>✅</v>
      </c>
      <c r="P13" s="434" t="str">
        <f t="array" ref="P13">XLOOKUP(LCARS_Tech[BuffID],RawTech[BuffID],RawTech[Tag_OutpostArmadas])</f>
        <v>✅</v>
      </c>
      <c r="Q13" s="416" t="str">
        <f t="array" ref="Q13">XLOOKUP(LCARS_Tech[BuffID],RawTech[BuffID],RawTech[Tag_OutpostRetaliators])</f>
        <v>✅</v>
      </c>
      <c r="R13" s="416" t="str">
        <f t="array" ref="R13">XLOOKUP(MasterTech!$AF$4:$AF$214,RawTech!$AO$2:$AO$212,RawTech!$AV$2:$AV$212)</f>
        <v/>
      </c>
      <c r="S13" s="433" t="str">
        <f t="array" ref="S13">XLOOKUP(MasterTech!$AF$4:$AF$214,RawTech!$AO$2:$AO$212,RawTech!$AK$2:$AK$212)</f>
        <v>➖</v>
      </c>
      <c r="T13" s="435" t="str">
        <f t="array" ref="T13">XLOOKUP(MasterTech!$AF$4:$AF$214,RawTech!$AO$2:$AO$212,RawTech!$AM$2:$AM$212)</f>
        <v>➖</v>
      </c>
      <c r="U13" s="438" t="str">
        <f t="array" ref="U13">XLOOKUP(MasterTech!$AF$4:$AF$214,RawTech!$AO$2:$AO$212,RawTech!$D$2:$D$212)</f>
        <v>ShieldHPMax</v>
      </c>
      <c r="V13" s="416" t="str">
        <f t="array" ref="V13">XLOOKUP(MasterTech!$AF$4:$AF$214,RawTech!$AO$2:$AO$212,RawTech!$I$2:$I$212)</f>
        <v/>
      </c>
      <c r="W13" s="437" t="str">
        <f t="array" ref="W13">XLOOKUP(MasterTech!$AF$4:$AF$214,RawTech!$AO$2:$AO$212,RawTech!$E$2:$E$212)</f>
        <v/>
      </c>
      <c r="X13" s="438" t="str">
        <f t="array" ref="X13">XLOOKUP(MasterTech!$AF$4:$AF$214,RawTech!$AO$2:$AO$212,RawTech!$F$2:$F$212)</f>
        <v>ShipLaunched</v>
      </c>
      <c r="Y13" s="438" t="str">
        <f t="array" ref="Y13">XLOOKUP(MasterTech!$AF$4:$AF$214,RawTech!$AO$2:$AO$212,RawTech!$G$2:$G$212)</f>
        <v>SelfShip</v>
      </c>
      <c r="Z13" s="438" t="str">
        <f t="array" ref="Z13">XLOOKUP(MasterTech!$AF$4:$AF$214,RawTech!$AO$2:$AO$212,RawTech!$H$2:$H$212)</f>
        <v>MultiplyAdd</v>
      </c>
      <c r="AA13" s="438" t="str">
        <f t="array" ref="AA13">XLOOKUP(MasterTech!$AF$4:$AF$214,RawTech!$AO$2:$AO$212,RawTech!$J$2:$J$212)</f>
        <v>Increases Shield Health X</v>
      </c>
      <c r="AB13" s="439"/>
      <c r="AC13" s="449"/>
      <c r="AD13" s="449"/>
      <c r="AE13" s="448">
        <f t="array" ref="AE13">XLOOKUP(MasterTech!$AF$4:$AF$214,RawTech!$AO$2:$AO$212,RawTech!$AR$2:$AR$212)</f>
        <v>5</v>
      </c>
      <c r="AF13" s="427">
        <v>1.545583564E9</v>
      </c>
      <c r="AG13" s="428"/>
      <c r="AH13" s="428"/>
      <c r="AI13" s="429"/>
      <c r="AJ13" s="430"/>
    </row>
    <row r="14" ht="37.5" customHeight="1">
      <c r="A14" s="415" t="str">
        <f t="array" ref="A14">LEFT(XLOOKUP(LCARS_Tech[BuffID],RawTech[BuffID],RawTech[TechRarity]), 1)</f>
        <v>U</v>
      </c>
      <c r="B14" s="420"/>
      <c r="C14" s="417" t="str">
        <f t="array" ref="C14">HYPERLINK("https://stfc.space/forbidden_and_chaos_tech/" &amp; XLOOKUP(LCARS_Tech[BuffID],RawTech[BuffID],RawTech[TechId]), XLOOKUP(LCARS_Tech[BuffID],RawTech[BuffID],RawTech[TechName]))</f>
        <v>Subnucleonic Beam</v>
      </c>
      <c r="D14" s="418">
        <f t="array" ref="D14">XLOOKUP(LCARS_Tech[BuffID],RawTech[BuffID],RawTech[BuffOrder])</f>
        <v>2</v>
      </c>
      <c r="E14" s="419" t="str">
        <f t="array" ref="E14">XLOOKUP(LCARS_Tech[BuffID],RawTech[BuffID],RawTech[TechType])</f>
        <v>FT</v>
      </c>
      <c r="F14" s="419" t="str">
        <f t="array" ref="F14">XLOOKUP(LCARS_Tech[BuffID],RawTech[BuffID],RawTech[Tag_PvPinSpace])</f>
        <v>➖</v>
      </c>
      <c r="G14" s="419" t="str">
        <f t="array" ref="G14">XLOOKUP(LCARS_Tech[BuffID],RawTech[BuffID],RawTech[Tag_PvPStation])</f>
        <v>➖</v>
      </c>
      <c r="H14" s="419" t="str">
        <f t="array" ref="H14">XLOOKUP(LCARS_Tech[BuffID],RawTech[BuffID],RawTech[Tag_NonArmadaHostiles])</f>
        <v>✴️</v>
      </c>
      <c r="I14" s="419" t="str">
        <f t="array" ref="I14">XLOOKUP(LCARS_Tech[BuffID],RawTech[BuffID],RawTech[Tag_WaveDefense])</f>
        <v>✴️</v>
      </c>
      <c r="J14" s="419" t="str">
        <f t="array" ref="J14">XLOOKUP(LCARS_Tech[BuffID],RawTech[BuffID],RawTech[Tag_QTrial])</f>
        <v>✴️</v>
      </c>
      <c r="K14" s="419" t="str">
        <f t="array" ref="K14">XLOOKUP(LCARS_Tech[BuffID],RawTech[BuffID],RawTech[Tag_MissionBosses])</f>
        <v>✴️</v>
      </c>
      <c r="L14" s="419" t="str">
        <f t="array" ref="L14">XLOOKUP(LCARS_Tech[BuffID],RawTech[BuffID],RawTech[Tag_GroupArmadas])</f>
        <v>✴️</v>
      </c>
      <c r="M14" s="419" t="str">
        <f t="array" ref="M14">XLOOKUP(LCARS_Tech[BuffID],RawTech[BuffID],RawTech[Tag_SoloArmadas])</f>
        <v>✴️</v>
      </c>
      <c r="N14" s="419" t="str">
        <f t="array" ref="N14">XLOOKUP(LCARS_Tech[BuffID],RawTech[BuffID],RawTech[Tag_InvadingEntities])</f>
        <v>➖</v>
      </c>
      <c r="O14" s="419" t="str">
        <f t="array" ref="O14">XLOOKUP(LCARS_Tech[BuffID],RawTech[BuffID],RawTech[Tag_Assaults])</f>
        <v>✴️</v>
      </c>
      <c r="P14" s="442" t="str">
        <f t="array" ref="P14">XLOOKUP(LCARS_Tech[BuffID],RawTech[BuffID],RawTech[Tag_OutpostArmadas])</f>
        <v>➖</v>
      </c>
      <c r="Q14" s="450" t="str">
        <f t="array" ref="Q14">XLOOKUP(LCARS_Tech[BuffID],RawTech[BuffID],RawTech[Tag_OutpostRetaliators])</f>
        <v>➖</v>
      </c>
      <c r="R14" s="450" t="str">
        <f t="array" ref="R14">XLOOKUP(MasterTech!$AF$4:$AF$214,RawTech!$AO$2:$AO$212,RawTech!$AV$2:$AV$212)</f>
        <v>Swarm</v>
      </c>
      <c r="S14" s="419" t="str">
        <f t="array" ref="S14">XLOOKUP(MasterTech!$AF$4:$AF$214,RawTech!$AO$2:$AO$212,RawTech!$AK$2:$AK$212)</f>
        <v>➖</v>
      </c>
      <c r="T14" s="422" t="str">
        <f t="array" ref="T14">XLOOKUP(MasterTech!$AF$4:$AF$214,RawTech!$AO$2:$AO$212,RawTech!$AM$2:$AM$212)</f>
        <v>➖</v>
      </c>
      <c r="U14" s="423" t="str">
        <f t="array" ref="U14">XLOOKUP(MasterTech!$AF$4:$AF$214,RawTech!$AO$2:$AO$212,RawTech!$D$2:$D$212)</f>
        <v>CritChance</v>
      </c>
      <c r="V14" s="423" t="str">
        <f t="array" ref="V14">XLOOKUP(MasterTech!$AF$4:$AF$214,RawTech!$AO$2:$AO$212,RawTech!$I$2:$I$212)</f>
        <v>faction_id=2489857622</v>
      </c>
      <c r="W14" s="443" t="str">
        <f t="array" ref="W14">XLOOKUP(MasterTech!$AF$4:$AF$214,RawTech!$AO$2:$AO$212,RawTech!$E$2:$E$212)</f>
        <v>EnemyHullFaction</v>
      </c>
      <c r="X14" s="423" t="str">
        <f t="array" ref="X14">XLOOKUP(MasterTech!$AF$4:$AF$214,RawTech!$AO$2:$AO$212,RawTech!$F$2:$F$212)</f>
        <v>CombatStart</v>
      </c>
      <c r="Y14" s="423" t="str">
        <f t="array" ref="Y14">XLOOKUP(MasterTech!$AF$4:$AF$214,RawTech!$AO$2:$AO$212,RawTech!$G$2:$G$212)</f>
        <v>SelfShip</v>
      </c>
      <c r="Z14" s="423" t="str">
        <f t="array" ref="Z14">XLOOKUP(MasterTech!$AF$4:$AF$214,RawTech!$AO$2:$AO$212,RawTech!$H$2:$H$212)</f>
        <v>Add</v>
      </c>
      <c r="AA14" s="423" t="str">
        <f t="array" ref="AA14">XLOOKUP(MasterTech!$AF$4:$AF$214,RawTech!$AO$2:$AO$212,RawTech!$J$2:$J$212)</f>
        <v>Increases Critical Hit chance against Swarm hostiles X</v>
      </c>
      <c r="AB14" s="424"/>
      <c r="AC14" s="425"/>
      <c r="AD14" s="425"/>
      <c r="AE14" s="445">
        <f t="array" ref="AE14">XLOOKUP(MasterTech!$AF$4:$AF$214,RawTech!$AO$2:$AO$212,RawTech!$AR$2:$AR$212)</f>
        <v>5</v>
      </c>
      <c r="AF14" s="427">
        <v>1.75024905E8</v>
      </c>
      <c r="AG14" s="428"/>
      <c r="AH14" s="428"/>
      <c r="AI14" s="429"/>
      <c r="AJ14" s="430"/>
    </row>
    <row r="15" ht="37.5" customHeight="1">
      <c r="A15" s="415" t="str">
        <f t="array" ref="A15">LEFT(XLOOKUP(LCARS_Tech[BuffID],RawTech[BuffID],RawTech[TechRarity]), 1)</f>
        <v>U</v>
      </c>
      <c r="B15" s="416"/>
      <c r="C15" s="417" t="str">
        <f t="array" ref="C15">HYPERLINK("https://stfc.space/forbidden_and_chaos_tech/" &amp; XLOOKUP(LCARS_Tech[BuffID],RawTech[BuffID],RawTech[TechId]), XLOOKUP(LCARS_Tech[BuffID],RawTech[BuffID],RawTech[TechName]))</f>
        <v>Subnucleonic Beam</v>
      </c>
      <c r="D15" s="432">
        <f t="array" ref="D15">XLOOKUP(LCARS_Tech[BuffID],RawTech[BuffID],RawTech[BuffOrder])</f>
        <v>3</v>
      </c>
      <c r="E15" s="433" t="str">
        <f t="array" ref="E15">XLOOKUP(LCARS_Tech[BuffID],RawTech[BuffID],RawTech[TechType])</f>
        <v>FT</v>
      </c>
      <c r="F15" s="433" t="str">
        <f t="array" ref="F15">XLOOKUP(LCARS_Tech[BuffID],RawTech[BuffID],RawTech[Tag_PvPinSpace])</f>
        <v>➖</v>
      </c>
      <c r="G15" s="433" t="str">
        <f t="array" ref="G15">XLOOKUP(LCARS_Tech[BuffID],RawTech[BuffID],RawTech[Tag_PvPStation])</f>
        <v>➖</v>
      </c>
      <c r="H15" s="433" t="str">
        <f t="array" ref="H15">XLOOKUP(LCARS_Tech[BuffID],RawTech[BuffID],RawTech[Tag_NonArmadaHostiles])</f>
        <v>✴️</v>
      </c>
      <c r="I15" s="433" t="str">
        <f t="array" ref="I15">XLOOKUP(LCARS_Tech[BuffID],RawTech[BuffID],RawTech[Tag_WaveDefense])</f>
        <v>✴️</v>
      </c>
      <c r="J15" s="433" t="str">
        <f t="array" ref="J15">XLOOKUP(LCARS_Tech[BuffID],RawTech[BuffID],RawTech[Tag_QTrial])</f>
        <v>✴️</v>
      </c>
      <c r="K15" s="433" t="str">
        <f t="array" ref="K15">XLOOKUP(LCARS_Tech[BuffID],RawTech[BuffID],RawTech[Tag_MissionBosses])</f>
        <v>✴️</v>
      </c>
      <c r="L15" s="433" t="str">
        <f t="array" ref="L15">XLOOKUP(LCARS_Tech[BuffID],RawTech[BuffID],RawTech[Tag_GroupArmadas])</f>
        <v>✴️</v>
      </c>
      <c r="M15" s="433" t="str">
        <f t="array" ref="M15">XLOOKUP(LCARS_Tech[BuffID],RawTech[BuffID],RawTech[Tag_SoloArmadas])</f>
        <v>✴️</v>
      </c>
      <c r="N15" s="433" t="str">
        <f t="array" ref="N15">XLOOKUP(LCARS_Tech[BuffID],RawTech[BuffID],RawTech[Tag_InvadingEntities])</f>
        <v>➖</v>
      </c>
      <c r="O15" s="433" t="str">
        <f t="array" ref="O15">XLOOKUP(LCARS_Tech[BuffID],RawTech[BuffID],RawTech[Tag_Assaults])</f>
        <v>✴️</v>
      </c>
      <c r="P15" s="434" t="str">
        <f t="array" ref="P15">XLOOKUP(LCARS_Tech[BuffID],RawTech[BuffID],RawTech[Tag_OutpostArmadas])</f>
        <v>➖</v>
      </c>
      <c r="Q15" s="451" t="str">
        <f t="array" ref="Q15">XLOOKUP(LCARS_Tech[BuffID],RawTech[BuffID],RawTech[Tag_OutpostRetaliators])</f>
        <v>➖</v>
      </c>
      <c r="R15" s="451" t="str">
        <f t="array" ref="R15">XLOOKUP(MasterTech!$AF$4:$AF$214,RawTech!$AO$2:$AO$212,RawTech!$AV$2:$AV$212)</f>
        <v>Dominion</v>
      </c>
      <c r="S15" s="433" t="str">
        <f t="array" ref="S15">XLOOKUP(MasterTech!$AF$4:$AF$214,RawTech!$AO$2:$AO$212,RawTech!$AK$2:$AK$212)</f>
        <v>➖</v>
      </c>
      <c r="T15" s="435" t="str">
        <f t="array" ref="T15">XLOOKUP(MasterTech!$AF$4:$AF$214,RawTech!$AO$2:$AO$212,RawTech!$AM$2:$AM$212)</f>
        <v>➖</v>
      </c>
      <c r="U15" s="438" t="str">
        <f t="array" ref="U15">XLOOKUP(MasterTech!$AF$4:$AF$214,RawTech!$AO$2:$AO$212,RawTech!$D$2:$D$212)</f>
        <v>CritChance</v>
      </c>
      <c r="V15" s="438" t="str">
        <f t="array" ref="V15">XLOOKUP(MasterTech!$AF$4:$AF$214,RawTech!$AO$2:$AO$212,RawTech!$I$2:$I$212)</f>
        <v>faction_id=1530685377</v>
      </c>
      <c r="W15" s="447" t="str">
        <f t="array" ref="W15">XLOOKUP(MasterTech!$AF$4:$AF$214,RawTech!$AO$2:$AO$212,RawTech!$E$2:$E$212)</f>
        <v>EnemyHullFaction</v>
      </c>
      <c r="X15" s="438" t="str">
        <f t="array" ref="X15">XLOOKUP(MasterTech!$AF$4:$AF$214,RawTech!$AO$2:$AO$212,RawTech!$F$2:$F$212)</f>
        <v>CombatStart</v>
      </c>
      <c r="Y15" s="438" t="str">
        <f t="array" ref="Y15">XLOOKUP(MasterTech!$AF$4:$AF$214,RawTech!$AO$2:$AO$212,RawTech!$G$2:$G$212)</f>
        <v>SelfShip</v>
      </c>
      <c r="Z15" s="438" t="str">
        <f t="array" ref="Z15">XLOOKUP(MasterTech!$AF$4:$AF$214,RawTech!$AO$2:$AO$212,RawTech!$H$2:$H$212)</f>
        <v>Add</v>
      </c>
      <c r="AA15" s="438" t="str">
        <f t="array" ref="AA15">XLOOKUP(MasterTech!$AF$4:$AF$214,RawTech!$AO$2:$AO$212,RawTech!$J$2:$J$212)</f>
        <v>Increases Critical Hit chance against Dominion hostiles X</v>
      </c>
      <c r="AB15" s="439"/>
      <c r="AC15" s="440"/>
      <c r="AD15" s="440"/>
      <c r="AE15" s="448">
        <f t="array" ref="AE15">XLOOKUP(MasterTech!$AF$4:$AF$214,RawTech!$AO$2:$AO$212,RawTech!$AR$2:$AR$212)</f>
        <v>5</v>
      </c>
      <c r="AF15" s="427">
        <v>7.01484054E8</v>
      </c>
      <c r="AG15" s="428"/>
      <c r="AH15" s="428"/>
      <c r="AI15" s="429"/>
      <c r="AJ15" s="430"/>
    </row>
    <row r="16" ht="37.5" customHeight="1">
      <c r="A16" s="415" t="str">
        <f t="array" ref="A16">LEFT(XLOOKUP(LCARS_Tech[BuffID],RawTech[BuffID],RawTech[TechRarity]), 1)</f>
        <v>R</v>
      </c>
      <c r="B16" s="420"/>
      <c r="C16" s="452" t="str">
        <f t="array" ref="C16">HYPERLINK("https://stfc.space/forbidden_and_chaos_tech/" &amp; XLOOKUP(MasterTech!$AF$4:$AF$214,RawTech!$AO$2:$AO$212,RawTech!$AQ$2:$AQ$212), XLOOKUP(MasterTech!$AF$4:$AF$214,RawTech!$AO$2:$AO$212,RawTech!$B$2:$B$212))</f>
        <v>Borg Nanoplating</v>
      </c>
      <c r="D16" s="418">
        <f t="array" ref="D16">XLOOKUP(LCARS_Tech[BuffID],RawTech[BuffID],RawTech[BuffOrder])</f>
        <v>1</v>
      </c>
      <c r="E16" s="419" t="str">
        <f t="array" ref="E16">XLOOKUP(LCARS_Tech[BuffID],RawTech[BuffID],RawTech[TechType])</f>
        <v>FT</v>
      </c>
      <c r="F16" s="419" t="str">
        <f t="array" ref="F16">XLOOKUP(LCARS_Tech[BuffID],RawTech[BuffID],RawTech[Tag_PvPinSpace])</f>
        <v>➖</v>
      </c>
      <c r="G16" s="419" t="str">
        <f t="array" ref="G16">XLOOKUP(LCARS_Tech[BuffID],RawTech[BuffID],RawTech[Tag_PvPStation])</f>
        <v>➖</v>
      </c>
      <c r="H16" s="419" t="str">
        <f t="array" ref="H16">XLOOKUP(LCARS_Tech[BuffID],RawTech[BuffID],RawTech[Tag_NonArmadaHostiles])</f>
        <v>➖</v>
      </c>
      <c r="I16" s="419" t="str">
        <f t="array" ref="I16">XLOOKUP(LCARS_Tech[BuffID],RawTech[BuffID],RawTech[Tag_WaveDefense])</f>
        <v>➖</v>
      </c>
      <c r="J16" s="419" t="str">
        <f t="array" ref="J16">XLOOKUP(LCARS_Tech[BuffID],RawTech[BuffID],RawTech[Tag_QTrial])</f>
        <v>➖</v>
      </c>
      <c r="K16" s="419" t="str">
        <f t="array" ref="K16">XLOOKUP(LCARS_Tech[BuffID],RawTech[BuffID],RawTech[Tag_MissionBosses])</f>
        <v>➖</v>
      </c>
      <c r="L16" s="419" t="str">
        <f t="array" ref="L16">XLOOKUP(LCARS_Tech[BuffID],RawTech[BuffID],RawTech[Tag_GroupArmadas])</f>
        <v>➖</v>
      </c>
      <c r="M16" s="419" t="str">
        <f t="array" ref="M16">XLOOKUP(LCARS_Tech[BuffID],RawTech[BuffID],RawTech[Tag_SoloArmadas])</f>
        <v>✅</v>
      </c>
      <c r="N16" s="419" t="str">
        <f t="array" ref="N16">XLOOKUP(LCARS_Tech[BuffID],RawTech[BuffID],RawTech[Tag_InvadingEntities])</f>
        <v>➖</v>
      </c>
      <c r="O16" s="419" t="str">
        <f t="array" ref="O16">XLOOKUP(LCARS_Tech[BuffID],RawTech[BuffID],RawTech[Tag_Assaults])</f>
        <v>➖</v>
      </c>
      <c r="P16" s="442" t="str">
        <f t="array" ref="P16">XLOOKUP(LCARS_Tech[BuffID],RawTech[BuffID],RawTech[Tag_OutpostArmadas])</f>
        <v>➖</v>
      </c>
      <c r="Q16" s="420" t="str">
        <f t="array" ref="Q16">XLOOKUP(LCARS_Tech[BuffID],RawTech[BuffID],RawTech[Tag_OutpostRetaliators])</f>
        <v>➖</v>
      </c>
      <c r="R16" s="420" t="str">
        <f t="array" ref="R16">XLOOKUP(MasterTech!$AF$4:$AF$214,RawTech!$AO$2:$AO$212,RawTech!$AV$2:$AV$212)</f>
        <v/>
      </c>
      <c r="S16" s="419" t="str">
        <f t="array" ref="S16">XLOOKUP(MasterTech!$AF$4:$AF$214,RawTech!$AO$2:$AO$212,RawTech!$AK$2:$AK$212)</f>
        <v>➖</v>
      </c>
      <c r="T16" s="422" t="str">
        <f t="array" ref="T16">XLOOKUP(MasterTech!$AF$4:$AF$214,RawTech!$AO$2:$AO$212,RawTech!$AM$2:$AM$212)</f>
        <v>➖</v>
      </c>
      <c r="U16" s="423" t="str">
        <f t="array" ref="U16">XLOOKUP(MasterTech!$AF$4:$AF$214,RawTech!$AO$2:$AO$212,RawTech!$D$2:$D$212)</f>
        <v>CritChance</v>
      </c>
      <c r="V16" s="420" t="str">
        <f t="array" ref="V16">XLOOKUP(MasterTech!$AF$4:$AF$214,RawTech!$AO$2:$AO$212,RawTech!$I$2:$I$212)</f>
        <v/>
      </c>
      <c r="W16" s="443" t="str">
        <f t="array" ref="W16">XLOOKUP(MasterTech!$AF$4:$AF$214,RawTech!$AO$2:$AO$212,RawTech!$E$2:$E$212)</f>
        <v>SelfAtSoloArmada</v>
      </c>
      <c r="X16" s="423" t="str">
        <f t="array" ref="X16">XLOOKUP(MasterTech!$AF$4:$AF$214,RawTech!$AO$2:$AO$212,RawTech!$F$2:$F$212)</f>
        <v>CombatStart</v>
      </c>
      <c r="Y16" s="423" t="str">
        <f t="array" ref="Y16">XLOOKUP(MasterTech!$AF$4:$AF$214,RawTech!$AO$2:$AO$212,RawTech!$G$2:$G$212)</f>
        <v>SelfShip</v>
      </c>
      <c r="Z16" s="423" t="str">
        <f t="array" ref="Z16">XLOOKUP(MasterTech!$AF$4:$AF$214,RawTech!$AO$2:$AO$212,RawTech!$H$2:$H$212)</f>
        <v>Add</v>
      </c>
      <c r="AA16" s="423" t="str">
        <f t="array" ref="AA16">XLOOKUP(MasterTech!$AF$4:$AF$214,RawTech!$AO$2:$AO$212,RawTech!$J$2:$J$212)</f>
        <v>Increases Critical Hit chance against Solo Armadas X</v>
      </c>
      <c r="AB16" s="424"/>
      <c r="AC16" s="425"/>
      <c r="AD16" s="425"/>
      <c r="AE16" s="453">
        <f t="array" ref="AE16">XLOOKUP(MasterTech!$AF$4:$AF$214,RawTech!$AO$2:$AO$212,RawTech!$AR$2:$AR$212)</f>
        <v>6</v>
      </c>
      <c r="AF16" s="427">
        <v>7.54343173E8</v>
      </c>
      <c r="AG16" s="428"/>
      <c r="AH16" s="428"/>
      <c r="AI16" s="429"/>
      <c r="AJ16" s="430"/>
    </row>
    <row r="17" ht="37.5" customHeight="1">
      <c r="A17" s="415" t="str">
        <f t="array" ref="A17">LEFT(XLOOKUP(LCARS_Tech[BuffID],RawTech[BuffID],RawTech[TechRarity]), 1)</f>
        <v>R</v>
      </c>
      <c r="B17" s="416"/>
      <c r="C17" s="454" t="str">
        <f t="array" ref="C17">HYPERLINK("https://stfc.space/forbidden_and_chaos_tech/" &amp; XLOOKUP(MasterTech!$AF$4:$AF$214,RawTech!$AO$2:$AO$212,RawTech!$AQ$2:$AQ$212), XLOOKUP(MasterTech!$AF$4:$AF$214,RawTech!$AO$2:$AO$212,RawTech!$B$2:$B$212))</f>
        <v>Borg Nanoplating</v>
      </c>
      <c r="D17" s="432">
        <f t="array" ref="D17">XLOOKUP(LCARS_Tech[BuffID],RawTech[BuffID],RawTech[BuffOrder])</f>
        <v>2</v>
      </c>
      <c r="E17" s="433" t="str">
        <f t="array" ref="E17">XLOOKUP(LCARS_Tech[BuffID],RawTech[BuffID],RawTech[TechType])</f>
        <v>FT</v>
      </c>
      <c r="F17" s="433" t="str">
        <f t="array" ref="F17">XLOOKUP(LCARS_Tech[BuffID],RawTech[BuffID],RawTech[Tag_PvPinSpace])</f>
        <v>➖</v>
      </c>
      <c r="G17" s="433" t="str">
        <f t="array" ref="G17">XLOOKUP(LCARS_Tech[BuffID],RawTech[BuffID],RawTech[Tag_PvPStation])</f>
        <v>➖</v>
      </c>
      <c r="H17" s="433" t="str">
        <f t="array" ref="H17">XLOOKUP(LCARS_Tech[BuffID],RawTech[BuffID],RawTech[Tag_NonArmadaHostiles])</f>
        <v>➖</v>
      </c>
      <c r="I17" s="433" t="str">
        <f t="array" ref="I17">XLOOKUP(LCARS_Tech[BuffID],RawTech[BuffID],RawTech[Tag_WaveDefense])</f>
        <v>➖</v>
      </c>
      <c r="J17" s="433" t="str">
        <f t="array" ref="J17">XLOOKUP(LCARS_Tech[BuffID],RawTech[BuffID],RawTech[Tag_QTrial])</f>
        <v>➖</v>
      </c>
      <c r="K17" s="433" t="str">
        <f t="array" ref="K17">XLOOKUP(LCARS_Tech[BuffID],RawTech[BuffID],RawTech[Tag_MissionBosses])</f>
        <v>➖</v>
      </c>
      <c r="L17" s="433" t="str">
        <f t="array" ref="L17">XLOOKUP(LCARS_Tech[BuffID],RawTech[BuffID],RawTech[Tag_GroupArmadas])</f>
        <v>➖</v>
      </c>
      <c r="M17" s="433" t="str">
        <f t="array" ref="M17">XLOOKUP(LCARS_Tech[BuffID],RawTech[BuffID],RawTech[Tag_SoloArmadas])</f>
        <v>✅</v>
      </c>
      <c r="N17" s="433" t="str">
        <f t="array" ref="N17">XLOOKUP(LCARS_Tech[BuffID],RawTech[BuffID],RawTech[Tag_InvadingEntities])</f>
        <v>➖</v>
      </c>
      <c r="O17" s="433" t="str">
        <f t="array" ref="O17">XLOOKUP(LCARS_Tech[BuffID],RawTech[BuffID],RawTech[Tag_Assaults])</f>
        <v>➖</v>
      </c>
      <c r="P17" s="434" t="str">
        <f t="array" ref="P17">XLOOKUP(LCARS_Tech[BuffID],RawTech[BuffID],RawTech[Tag_OutpostArmadas])</f>
        <v>➖</v>
      </c>
      <c r="Q17" s="416" t="str">
        <f t="array" ref="Q17">XLOOKUP(LCARS_Tech[BuffID],RawTech[BuffID],RawTech[Tag_OutpostRetaliators])</f>
        <v>➖</v>
      </c>
      <c r="R17" s="416" t="str">
        <f t="array" ref="R17">XLOOKUP(MasterTech!$AF$4:$AF$214,RawTech!$AO$2:$AO$212,RawTech!$AV$2:$AV$212)</f>
        <v/>
      </c>
      <c r="S17" s="433" t="str">
        <f t="array" ref="S17">XLOOKUP(MasterTech!$AF$4:$AF$214,RawTech!$AO$2:$AO$212,RawTech!$AK$2:$AK$212)</f>
        <v>➖</v>
      </c>
      <c r="T17" s="435" t="str">
        <f t="array" ref="T17">XLOOKUP(MasterTech!$AF$4:$AF$214,RawTech!$AO$2:$AO$212,RawTech!$AM$2:$AM$212)</f>
        <v>➖</v>
      </c>
      <c r="U17" s="438" t="str">
        <f t="array" ref="U17">XLOOKUP(MasterTech!$AF$4:$AF$214,RawTech!$AO$2:$AO$212,RawTech!$D$2:$D$212)</f>
        <v>AllPiercing</v>
      </c>
      <c r="V17" s="416" t="str">
        <f t="array" ref="V17">XLOOKUP(MasterTech!$AF$4:$AF$214,RawTech!$AO$2:$AO$212,RawTech!$I$2:$I$212)</f>
        <v/>
      </c>
      <c r="W17" s="447" t="str">
        <f t="array" ref="W17">XLOOKUP(MasterTech!$AF$4:$AF$214,RawTech!$AO$2:$AO$212,RawTech!$E$2:$E$212)</f>
        <v>SelfAtSoloArmada</v>
      </c>
      <c r="X17" s="438" t="str">
        <f t="array" ref="X17">XLOOKUP(MasterTech!$AF$4:$AF$214,RawTech!$AO$2:$AO$212,RawTech!$F$2:$F$212)</f>
        <v>CombatStart</v>
      </c>
      <c r="Y17" s="438" t="str">
        <f t="array" ref="Y17">XLOOKUP(MasterTech!$AF$4:$AF$214,RawTech!$AO$2:$AO$212,RawTech!$G$2:$G$212)</f>
        <v>SelfShip</v>
      </c>
      <c r="Z17" s="438" t="str">
        <f t="array" ref="Z17">XLOOKUP(MasterTech!$AF$4:$AF$214,RawTech!$AO$2:$AO$212,RawTech!$H$2:$H$212)</f>
        <v>MultiplyAdd</v>
      </c>
      <c r="AA17" s="438" t="str">
        <f t="array" ref="AA17">XLOOKUP(MasterTech!$AF$4:$AF$214,RawTech!$AO$2:$AO$212,RawTech!$J$2:$J$212)</f>
        <v>Increases Armor Pierce, Shield Pierce, and Accuracy against Solo Armadas X</v>
      </c>
      <c r="AB17" s="439"/>
      <c r="AC17" s="440"/>
      <c r="AD17" s="440"/>
      <c r="AE17" s="455">
        <f t="array" ref="AE17">XLOOKUP(MasterTech!$AF$4:$AF$214,RawTech!$AO$2:$AO$212,RawTech!$AR$2:$AR$212)</f>
        <v>6</v>
      </c>
      <c r="AF17" s="427">
        <v>1.365575953E9</v>
      </c>
      <c r="AG17" s="428"/>
      <c r="AH17" s="428"/>
      <c r="AI17" s="429"/>
      <c r="AJ17" s="430"/>
    </row>
    <row r="18" ht="37.5" customHeight="1">
      <c r="A18" s="415" t="str">
        <f t="array" ref="A18">LEFT(XLOOKUP(LCARS_Tech[BuffID],RawTech[BuffID],RawTech[TechRarity]), 1)</f>
        <v>R</v>
      </c>
      <c r="B18" s="420"/>
      <c r="C18" s="452" t="str">
        <f t="array" ref="C18">HYPERLINK("https://stfc.space/forbidden_and_chaos_tech/" &amp; XLOOKUP(MasterTech!$AF$4:$AF$214,RawTech!$AO$2:$AO$212,RawTech!$AQ$2:$AQ$212), XLOOKUP(MasterTech!$AF$4:$AF$214,RawTech!$AO$2:$AO$212,RawTech!$B$2:$B$212))</f>
        <v>Borg Nanoplating</v>
      </c>
      <c r="D18" s="418">
        <f t="array" ref="D18">XLOOKUP(LCARS_Tech[BuffID],RawTech[BuffID],RawTech[BuffOrder])</f>
        <v>3</v>
      </c>
      <c r="E18" s="419" t="str">
        <f t="array" ref="E18">XLOOKUP(LCARS_Tech[BuffID],RawTech[BuffID],RawTech[TechType])</f>
        <v>FT</v>
      </c>
      <c r="F18" s="419" t="str">
        <f t="array" ref="F18">XLOOKUP(LCARS_Tech[BuffID],RawTech[BuffID],RawTech[Tag_PvPinSpace])</f>
        <v>➖</v>
      </c>
      <c r="G18" s="419" t="str">
        <f t="array" ref="G18">XLOOKUP(LCARS_Tech[BuffID],RawTech[BuffID],RawTech[Tag_PvPStation])</f>
        <v>➖</v>
      </c>
      <c r="H18" s="419" t="str">
        <f t="array" ref="H18">XLOOKUP(LCARS_Tech[BuffID],RawTech[BuffID],RawTech[Tag_NonArmadaHostiles])</f>
        <v>➖</v>
      </c>
      <c r="I18" s="419" t="str">
        <f t="array" ref="I18">XLOOKUP(LCARS_Tech[BuffID],RawTech[BuffID],RawTech[Tag_WaveDefense])</f>
        <v>➖</v>
      </c>
      <c r="J18" s="419" t="str">
        <f t="array" ref="J18">XLOOKUP(LCARS_Tech[BuffID],RawTech[BuffID],RawTech[Tag_QTrial])</f>
        <v>➖</v>
      </c>
      <c r="K18" s="419" t="str">
        <f t="array" ref="K18">XLOOKUP(LCARS_Tech[BuffID],RawTech[BuffID],RawTech[Tag_MissionBosses])</f>
        <v>➖</v>
      </c>
      <c r="L18" s="419" t="str">
        <f t="array" ref="L18">XLOOKUP(LCARS_Tech[BuffID],RawTech[BuffID],RawTech[Tag_GroupArmadas])</f>
        <v>➖</v>
      </c>
      <c r="M18" s="419" t="str">
        <f t="array" ref="M18">XLOOKUP(LCARS_Tech[BuffID],RawTech[BuffID],RawTech[Tag_SoloArmadas])</f>
        <v>✅</v>
      </c>
      <c r="N18" s="419" t="str">
        <f t="array" ref="N18">XLOOKUP(LCARS_Tech[BuffID],RawTech[BuffID],RawTech[Tag_InvadingEntities])</f>
        <v>➖</v>
      </c>
      <c r="O18" s="419" t="str">
        <f t="array" ref="O18">XLOOKUP(LCARS_Tech[BuffID],RawTech[BuffID],RawTech[Tag_Assaults])</f>
        <v>➖</v>
      </c>
      <c r="P18" s="442" t="str">
        <f t="array" ref="P18">XLOOKUP(LCARS_Tech[BuffID],RawTech[BuffID],RawTech[Tag_OutpostArmadas])</f>
        <v>➖</v>
      </c>
      <c r="Q18" s="420" t="str">
        <f t="array" ref="Q18">XLOOKUP(LCARS_Tech[BuffID],RawTech[BuffID],RawTech[Tag_OutpostRetaliators])</f>
        <v>➖</v>
      </c>
      <c r="R18" s="420" t="str">
        <f t="array" ref="R18">XLOOKUP(MasterTech!$AF$4:$AF$214,RawTech!$AO$2:$AO$212,RawTech!$AV$2:$AV$212)</f>
        <v/>
      </c>
      <c r="S18" s="419" t="str">
        <f t="array" ref="S18">XLOOKUP(MasterTech!$AF$4:$AF$214,RawTech!$AO$2:$AO$212,RawTech!$AK$2:$AK$212)</f>
        <v>➖</v>
      </c>
      <c r="T18" s="422" t="str">
        <f t="array" ref="T18">XLOOKUP(MasterTech!$AF$4:$AF$214,RawTech!$AO$2:$AO$212,RawTech!$AM$2:$AM$212)</f>
        <v>➖</v>
      </c>
      <c r="U18" s="423" t="str">
        <f t="array" ref="U18">XLOOKUP(MasterTech!$AF$4:$AF$214,RawTech!$AO$2:$AO$212,RawTech!$D$2:$D$212)</f>
        <v>AllDefenses</v>
      </c>
      <c r="V18" s="420" t="str">
        <f t="array" ref="V18">XLOOKUP(MasterTech!$AF$4:$AF$214,RawTech!$AO$2:$AO$212,RawTech!$I$2:$I$212)</f>
        <v/>
      </c>
      <c r="W18" s="443" t="str">
        <f t="array" ref="W18">XLOOKUP(MasterTech!$AF$4:$AF$214,RawTech!$AO$2:$AO$212,RawTech!$E$2:$E$212)</f>
        <v>SelfAtSoloArmada</v>
      </c>
      <c r="X18" s="423" t="str">
        <f t="array" ref="X18">XLOOKUP(MasterTech!$AF$4:$AF$214,RawTech!$AO$2:$AO$212,RawTech!$F$2:$F$212)</f>
        <v>CombatStart</v>
      </c>
      <c r="Y18" s="423" t="str">
        <f t="array" ref="Y18">XLOOKUP(MasterTech!$AF$4:$AF$214,RawTech!$AO$2:$AO$212,RawTech!$G$2:$G$212)</f>
        <v>SelfShip</v>
      </c>
      <c r="Z18" s="423" t="str">
        <f t="array" ref="Z18">XLOOKUP(MasterTech!$AF$4:$AF$214,RawTech!$AO$2:$AO$212,RawTech!$H$2:$H$212)</f>
        <v>MultiplyAdd</v>
      </c>
      <c r="AA18" s="423" t="str">
        <f t="array" ref="AA18">XLOOKUP(MasterTech!$AF$4:$AF$214,RawTech!$AO$2:$AO$212,RawTech!$J$2:$J$212)</f>
        <v>Increases Armor, Shield Deflection, and Dodge against Solo Armadas X</v>
      </c>
      <c r="AB18" s="424"/>
      <c r="AC18" s="425"/>
      <c r="AD18" s="425"/>
      <c r="AE18" s="453">
        <f t="array" ref="AE18">XLOOKUP(MasterTech!$AF$4:$AF$214,RawTech!$AO$2:$AO$212,RawTech!$AR$2:$AR$212)</f>
        <v>6</v>
      </c>
      <c r="AF18" s="427">
        <v>7.73118145E8</v>
      </c>
      <c r="AG18" s="428"/>
      <c r="AH18" s="428"/>
      <c r="AI18" s="429"/>
      <c r="AJ18" s="430"/>
    </row>
    <row r="19" ht="37.5" customHeight="1">
      <c r="A19" s="415" t="str">
        <f t="array" ref="A19">LEFT(XLOOKUP(LCARS_Tech[BuffID],RawTech[BuffID],RawTech[TechRarity]), 1)</f>
        <v>R</v>
      </c>
      <c r="B19" s="416"/>
      <c r="C19" s="454" t="str">
        <f t="array" ref="C19">HYPERLINK("https://stfc.space/forbidden_and_chaos_tech/" &amp; XLOOKUP(MasterTech!$AF$4:$AF$214,RawTech!$AO$2:$AO$212,RawTech!$AQ$2:$AQ$212), XLOOKUP(MasterTech!$AF$4:$AF$214,RawTech!$AO$2:$AO$212,RawTech!$B$2:$B$212))</f>
        <v>Borg Nanoplating</v>
      </c>
      <c r="D19" s="432">
        <f t="array" ref="D19">XLOOKUP(LCARS_Tech[BuffID],RawTech[BuffID],RawTech[BuffOrder])</f>
        <v>4</v>
      </c>
      <c r="E19" s="433" t="str">
        <f t="array" ref="E19">XLOOKUP(LCARS_Tech[BuffID],RawTech[BuffID],RawTech[TechType])</f>
        <v>FT</v>
      </c>
      <c r="F19" s="433" t="str">
        <f t="array" ref="F19">XLOOKUP(LCARS_Tech[BuffID],RawTech[BuffID],RawTech[Tag_PvPinSpace])</f>
        <v>➖</v>
      </c>
      <c r="G19" s="433" t="str">
        <f t="array" ref="G19">XLOOKUP(LCARS_Tech[BuffID],RawTech[BuffID],RawTech[Tag_PvPStation])</f>
        <v>➖</v>
      </c>
      <c r="H19" s="433" t="str">
        <f t="array" ref="H19">XLOOKUP(LCARS_Tech[BuffID],RawTech[BuffID],RawTech[Tag_NonArmadaHostiles])</f>
        <v>➖</v>
      </c>
      <c r="I19" s="433" t="str">
        <f t="array" ref="I19">XLOOKUP(LCARS_Tech[BuffID],RawTech[BuffID],RawTech[Tag_WaveDefense])</f>
        <v>➖</v>
      </c>
      <c r="J19" s="433" t="str">
        <f t="array" ref="J19">XLOOKUP(LCARS_Tech[BuffID],RawTech[BuffID],RawTech[Tag_QTrial])</f>
        <v>➖</v>
      </c>
      <c r="K19" s="433" t="str">
        <f t="array" ref="K19">XLOOKUP(LCARS_Tech[BuffID],RawTech[BuffID],RawTech[Tag_MissionBosses])</f>
        <v>➖</v>
      </c>
      <c r="L19" s="433" t="str">
        <f t="array" ref="L19">XLOOKUP(LCARS_Tech[BuffID],RawTech[BuffID],RawTech[Tag_GroupArmadas])</f>
        <v>➖</v>
      </c>
      <c r="M19" s="433" t="str">
        <f t="array" ref="M19">XLOOKUP(LCARS_Tech[BuffID],RawTech[BuffID],RawTech[Tag_SoloArmadas])</f>
        <v>✅</v>
      </c>
      <c r="N19" s="433" t="str">
        <f t="array" ref="N19">XLOOKUP(LCARS_Tech[BuffID],RawTech[BuffID],RawTech[Tag_InvadingEntities])</f>
        <v>➖</v>
      </c>
      <c r="O19" s="433" t="str">
        <f t="array" ref="O19">XLOOKUP(LCARS_Tech[BuffID],RawTech[BuffID],RawTech[Tag_Assaults])</f>
        <v>➖</v>
      </c>
      <c r="P19" s="434" t="str">
        <f t="array" ref="P19">XLOOKUP(LCARS_Tech[BuffID],RawTech[BuffID],RawTech[Tag_OutpostArmadas])</f>
        <v>➖</v>
      </c>
      <c r="Q19" s="416" t="str">
        <f t="array" ref="Q19">XLOOKUP(LCARS_Tech[BuffID],RawTech[BuffID],RawTech[Tag_OutpostRetaliators])</f>
        <v>➖</v>
      </c>
      <c r="R19" s="416" t="str">
        <f t="array" ref="R19">XLOOKUP(MasterTech!$AF$4:$AF$214,RawTech!$AO$2:$AO$212,RawTech!$AV$2:$AV$212)</f>
        <v/>
      </c>
      <c r="S19" s="433" t="str">
        <f t="array" ref="S19">XLOOKUP(MasterTech!$AF$4:$AF$214,RawTech!$AO$2:$AO$212,RawTech!$AK$2:$AK$212)</f>
        <v>➖</v>
      </c>
      <c r="T19" s="435" t="str">
        <f t="array" ref="T19">XLOOKUP(MasterTech!$AF$4:$AF$214,RawTech!$AO$2:$AO$212,RawTech!$AM$2:$AM$212)</f>
        <v>➖</v>
      </c>
      <c r="U19" s="438" t="str">
        <f t="array" ref="U19">XLOOKUP(MasterTech!$AF$4:$AF$214,RawTech!$AO$2:$AO$212,RawTech!$D$2:$D$212)</f>
        <v>CritDamage</v>
      </c>
      <c r="V19" s="416" t="str">
        <f t="array" ref="V19">XLOOKUP(MasterTech!$AF$4:$AF$214,RawTech!$AO$2:$AO$212,RawTech!$I$2:$I$212)</f>
        <v/>
      </c>
      <c r="W19" s="447" t="str">
        <f t="array" ref="W19">XLOOKUP(MasterTech!$AF$4:$AF$214,RawTech!$AO$2:$AO$212,RawTech!$E$2:$E$212)</f>
        <v>SelfAtSoloArmada</v>
      </c>
      <c r="X19" s="438" t="str">
        <f t="array" ref="X19">XLOOKUP(MasterTech!$AF$4:$AF$214,RawTech!$AO$2:$AO$212,RawTech!$F$2:$F$212)</f>
        <v>CombatStart</v>
      </c>
      <c r="Y19" s="438" t="str">
        <f t="array" ref="Y19">XLOOKUP(MasterTech!$AF$4:$AF$214,RawTech!$AO$2:$AO$212,RawTech!$G$2:$G$212)</f>
        <v>SelfShip</v>
      </c>
      <c r="Z19" s="438" t="str">
        <f t="array" ref="Z19">XLOOKUP(MasterTech!$AF$4:$AF$214,RawTech!$AO$2:$AO$212,RawTech!$H$2:$H$212)</f>
        <v>Add</v>
      </c>
      <c r="AA19" s="438" t="str">
        <f t="array" ref="AA19">XLOOKUP(MasterTech!$AF$4:$AF$214,RawTech!$AO$2:$AO$212,RawTech!$J$2:$J$212)</f>
        <v>Increases Critical Damage against Solo Armadas X</v>
      </c>
      <c r="AB19" s="439"/>
      <c r="AC19" s="440"/>
      <c r="AD19" s="440"/>
      <c r="AE19" s="455">
        <f t="array" ref="AE19">XLOOKUP(MasterTech!$AF$4:$AF$214,RawTech!$AO$2:$AO$212,RawTech!$AR$2:$AR$212)</f>
        <v>6</v>
      </c>
      <c r="AF19" s="427">
        <v>3.246390176E9</v>
      </c>
      <c r="AG19" s="428"/>
      <c r="AH19" s="428"/>
      <c r="AI19" s="429"/>
      <c r="AJ19" s="430"/>
    </row>
    <row r="20" ht="37.5" customHeight="1">
      <c r="A20" s="415" t="str">
        <f t="array" ref="A20">LEFT(XLOOKUP(LCARS_Tech[BuffID],RawTech[BuffID],RawTech[TechRarity]), 1)</f>
        <v>R</v>
      </c>
      <c r="B20" s="420"/>
      <c r="C20" s="452" t="str">
        <f t="array" ref="C20">HYPERLINK("https://stfc.space/forbidden_and_chaos_tech/" &amp; XLOOKUP(MasterTech!$AF$4:$AF$214,RawTech!$AO$2:$AO$212,RawTech!$AQ$2:$AQ$212), XLOOKUP(MasterTech!$AF$4:$AF$214,RawTech!$AO$2:$AO$212,RawTech!$B$2:$B$212))</f>
        <v>Romulan Mining Laser</v>
      </c>
      <c r="D20" s="418">
        <f t="array" ref="D20">XLOOKUP(LCARS_Tech[BuffID],RawTech[BuffID],RawTech[BuffOrder])</f>
        <v>1</v>
      </c>
      <c r="E20" s="419" t="str">
        <f t="array" ref="E20">XLOOKUP(LCARS_Tech[BuffID],RawTech[BuffID],RawTech[TechType])</f>
        <v>FT</v>
      </c>
      <c r="F20" s="419" t="str">
        <f t="array" ref="F20">XLOOKUP(LCARS_Tech[BuffID],RawTech[BuffID],RawTech[Tag_PvPinSpace])</f>
        <v>➖</v>
      </c>
      <c r="G20" s="419" t="str">
        <f t="array" ref="G20">XLOOKUP(LCARS_Tech[BuffID],RawTech[BuffID],RawTech[Tag_PvPStation])</f>
        <v>➖</v>
      </c>
      <c r="H20" s="419" t="str">
        <f t="array" ref="H20">XLOOKUP(LCARS_Tech[BuffID],RawTech[BuffID],RawTech[Tag_NonArmadaHostiles])</f>
        <v>➖</v>
      </c>
      <c r="I20" s="419" t="str">
        <f t="array" ref="I20">XLOOKUP(LCARS_Tech[BuffID],RawTech[BuffID],RawTech[Tag_WaveDefense])</f>
        <v>➖</v>
      </c>
      <c r="J20" s="419" t="str">
        <f t="array" ref="J20">XLOOKUP(LCARS_Tech[BuffID],RawTech[BuffID],RawTech[Tag_QTrial])</f>
        <v>➖</v>
      </c>
      <c r="K20" s="419" t="str">
        <f t="array" ref="K20">XLOOKUP(LCARS_Tech[BuffID],RawTech[BuffID],RawTech[Tag_MissionBosses])</f>
        <v>➖</v>
      </c>
      <c r="L20" s="419" t="str">
        <f t="array" ref="L20">XLOOKUP(LCARS_Tech[BuffID],RawTech[BuffID],RawTech[Tag_GroupArmadas])</f>
        <v>➖</v>
      </c>
      <c r="M20" s="419" t="str">
        <f t="array" ref="M20">XLOOKUP(LCARS_Tech[BuffID],RawTech[BuffID],RawTech[Tag_SoloArmadas])</f>
        <v>➖</v>
      </c>
      <c r="N20" s="419" t="str">
        <f t="array" ref="N20">XLOOKUP(LCARS_Tech[BuffID],RawTech[BuffID],RawTech[Tag_InvadingEntities])</f>
        <v>➖</v>
      </c>
      <c r="O20" s="419" t="str">
        <f t="array" ref="O20">XLOOKUP(LCARS_Tech[BuffID],RawTech[BuffID],RawTech[Tag_Assaults])</f>
        <v>➖</v>
      </c>
      <c r="P20" s="442" t="str">
        <f t="array" ref="P20">XLOOKUP(LCARS_Tech[BuffID],RawTech[BuffID],RawTech[Tag_OutpostArmadas])</f>
        <v>➖</v>
      </c>
      <c r="Q20" s="420" t="str">
        <f t="array" ref="Q20">XLOOKUP(LCARS_Tech[BuffID],RawTech[BuffID],RawTech[Tag_OutpostRetaliators])</f>
        <v>➖</v>
      </c>
      <c r="R20" s="420" t="str">
        <f t="array" ref="R20">XLOOKUP(MasterTech!$AF$4:$AF$214,RawTech!$AO$2:$AO$212,RawTech!$AV$2:$AV$212)</f>
        <v/>
      </c>
      <c r="S20" s="419" t="str">
        <f t="array" ref="S20">XLOOKUP(MasterTech!$AF$4:$AF$214,RawTech!$AO$2:$AO$212,RawTech!$AK$2:$AK$212)</f>
        <v>➖</v>
      </c>
      <c r="T20" s="422" t="str">
        <f t="array" ref="T20">XLOOKUP(MasterTech!$AF$4:$AF$214,RawTech!$AO$2:$AO$212,RawTech!$AM$2:$AM$212)</f>
        <v>✅</v>
      </c>
      <c r="U20" s="423" t="str">
        <f t="array" ref="U20">XLOOKUP(MasterTech!$AF$4:$AF$214,RawTech!$AO$2:$AO$212,RawTech!$D$2:$D$212)</f>
        <v>MiningRate</v>
      </c>
      <c r="V20" s="423" t="str">
        <f t="array" ref="V20">XLOOKUP(MasterTech!$AF$4:$AF$214,RawTech!$AO$2:$AO$212,RawTech!$I$2:$I$212)</f>
        <v>resources=[1908242242, 84292608, 802509572, 2905009151, 3842158911, 1586478890]</v>
      </c>
      <c r="W20" s="421" t="str">
        <f t="array" ref="W20">XLOOKUP(MasterTech!$AF$4:$AF$214,RawTech!$AO$2:$AO$212,RawTech!$E$2:$E$212)</f>
        <v/>
      </c>
      <c r="X20" s="423" t="str">
        <f t="array" ref="X20">XLOOKUP(MasterTech!$AF$4:$AF$214,RawTech!$AO$2:$AO$212,RawTech!$F$2:$F$212)</f>
        <v>ShipLaunched</v>
      </c>
      <c r="Y20" s="423" t="str">
        <f t="array" ref="Y20">XLOOKUP(MasterTech!$AF$4:$AF$214,RawTech!$AO$2:$AO$212,RawTech!$G$2:$G$212)</f>
        <v>SelfShip</v>
      </c>
      <c r="Z20" s="423" t="str">
        <f t="array" ref="Z20">XLOOKUP(MasterTech!$AF$4:$AF$214,RawTech!$AO$2:$AO$212,RawTech!$H$2:$H$212)</f>
        <v>MultiplyAdd</v>
      </c>
      <c r="AA20" s="423" t="str">
        <f t="array" ref="AA20">XLOOKUP(MasterTech!$AF$4:$AF$214,RawTech!$AO$2:$AO$212,RawTech!$J$2:$J$212)</f>
        <v>Increases Ore Mining rate X</v>
      </c>
      <c r="AB20" s="424"/>
      <c r="AC20" s="425"/>
      <c r="AD20" s="425"/>
      <c r="AE20" s="453">
        <f t="array" ref="AE20">XLOOKUP(MasterTech!$AF$4:$AF$214,RawTech!$AO$2:$AO$212,RawTech!$AR$2:$AR$212)</f>
        <v>7</v>
      </c>
      <c r="AF20" s="427">
        <v>3.279237699E9</v>
      </c>
      <c r="AG20" s="428"/>
      <c r="AH20" s="428"/>
      <c r="AI20" s="429"/>
      <c r="AJ20" s="430"/>
    </row>
    <row r="21" ht="37.5" customHeight="1">
      <c r="A21" s="415" t="str">
        <f t="array" ref="A21">LEFT(XLOOKUP(LCARS_Tech[BuffID],RawTech[BuffID],RawTech[TechRarity]), 1)</f>
        <v>R</v>
      </c>
      <c r="B21" s="416"/>
      <c r="C21" s="454" t="str">
        <f t="array" ref="C21">HYPERLINK("https://stfc.space/forbidden_and_chaos_tech/" &amp; XLOOKUP(MasterTech!$AF$4:$AF$214,RawTech!$AO$2:$AO$212,RawTech!$AQ$2:$AQ$212), XLOOKUP(MasterTech!$AF$4:$AF$214,RawTech!$AO$2:$AO$212,RawTech!$B$2:$B$212))</f>
        <v>Romulan Mining Laser</v>
      </c>
      <c r="D21" s="432">
        <f t="array" ref="D21">XLOOKUP(LCARS_Tech[BuffID],RawTech[BuffID],RawTech[BuffOrder])</f>
        <v>2</v>
      </c>
      <c r="E21" s="433" t="str">
        <f t="array" ref="E21">XLOOKUP(LCARS_Tech[BuffID],RawTech[BuffID],RawTech[TechType])</f>
        <v>FT</v>
      </c>
      <c r="F21" s="433" t="str">
        <f t="array" ref="F21">XLOOKUP(LCARS_Tech[BuffID],RawTech[BuffID],RawTech[Tag_PvPinSpace])</f>
        <v>➖</v>
      </c>
      <c r="G21" s="433" t="str">
        <f t="array" ref="G21">XLOOKUP(LCARS_Tech[BuffID],RawTech[BuffID],RawTech[Tag_PvPStation])</f>
        <v>➖</v>
      </c>
      <c r="H21" s="433" t="str">
        <f t="array" ref="H21">XLOOKUP(LCARS_Tech[BuffID],RawTech[BuffID],RawTech[Tag_NonArmadaHostiles])</f>
        <v>➖</v>
      </c>
      <c r="I21" s="433" t="str">
        <f t="array" ref="I21">XLOOKUP(LCARS_Tech[BuffID],RawTech[BuffID],RawTech[Tag_WaveDefense])</f>
        <v>➖</v>
      </c>
      <c r="J21" s="433" t="str">
        <f t="array" ref="J21">XLOOKUP(LCARS_Tech[BuffID],RawTech[BuffID],RawTech[Tag_QTrial])</f>
        <v>➖</v>
      </c>
      <c r="K21" s="433" t="str">
        <f t="array" ref="K21">XLOOKUP(LCARS_Tech[BuffID],RawTech[BuffID],RawTech[Tag_MissionBosses])</f>
        <v>➖</v>
      </c>
      <c r="L21" s="433" t="str">
        <f t="array" ref="L21">XLOOKUP(LCARS_Tech[BuffID],RawTech[BuffID],RawTech[Tag_GroupArmadas])</f>
        <v>➖</v>
      </c>
      <c r="M21" s="433" t="str">
        <f t="array" ref="M21">XLOOKUP(LCARS_Tech[BuffID],RawTech[BuffID],RawTech[Tag_SoloArmadas])</f>
        <v>➖</v>
      </c>
      <c r="N21" s="433" t="str">
        <f t="array" ref="N21">XLOOKUP(LCARS_Tech[BuffID],RawTech[BuffID],RawTech[Tag_InvadingEntities])</f>
        <v>➖</v>
      </c>
      <c r="O21" s="433" t="str">
        <f t="array" ref="O21">XLOOKUP(LCARS_Tech[BuffID],RawTech[BuffID],RawTech[Tag_Assaults])</f>
        <v>➖</v>
      </c>
      <c r="P21" s="434" t="str">
        <f t="array" ref="P21">XLOOKUP(LCARS_Tech[BuffID],RawTech[BuffID],RawTech[Tag_OutpostArmadas])</f>
        <v>➖</v>
      </c>
      <c r="Q21" s="416" t="str">
        <f t="array" ref="Q21">XLOOKUP(LCARS_Tech[BuffID],RawTech[BuffID],RawTech[Tag_OutpostRetaliators])</f>
        <v>➖</v>
      </c>
      <c r="R21" s="416" t="str">
        <f t="array" ref="R21">XLOOKUP(MasterTech!$AF$4:$AF$214,RawTech!$AO$2:$AO$212,RawTech!$AV$2:$AV$212)</f>
        <v/>
      </c>
      <c r="S21" s="433" t="str">
        <f t="array" ref="S21">XLOOKUP(MasterTech!$AF$4:$AF$214,RawTech!$AO$2:$AO$212,RawTech!$AK$2:$AK$212)</f>
        <v>➖</v>
      </c>
      <c r="T21" s="435" t="str">
        <f t="array" ref="T21">XLOOKUP(MasterTech!$AF$4:$AF$214,RawTech!$AO$2:$AO$212,RawTech!$AM$2:$AM$212)</f>
        <v>✅</v>
      </c>
      <c r="U21" s="438" t="str">
        <f t="array" ref="U21">XLOOKUP(MasterTech!$AF$4:$AF$214,RawTech!$AO$2:$AO$212,RawTech!$D$2:$D$212)</f>
        <v>CargoCapacity</v>
      </c>
      <c r="V21" s="416" t="str">
        <f t="array" ref="V21">XLOOKUP(MasterTech!$AF$4:$AF$214,RawTech!$AO$2:$AO$212,RawTech!$I$2:$I$212)</f>
        <v/>
      </c>
      <c r="W21" s="437" t="str">
        <f t="array" ref="W21">XLOOKUP(MasterTech!$AF$4:$AF$214,RawTech!$AO$2:$AO$212,RawTech!$E$2:$E$212)</f>
        <v/>
      </c>
      <c r="X21" s="438" t="str">
        <f t="array" ref="X21">XLOOKUP(MasterTech!$AF$4:$AF$214,RawTech!$AO$2:$AO$212,RawTech!$F$2:$F$212)</f>
        <v>ShipLaunched</v>
      </c>
      <c r="Y21" s="438" t="str">
        <f t="array" ref="Y21">XLOOKUP(MasterTech!$AF$4:$AF$214,RawTech!$AO$2:$AO$212,RawTech!$G$2:$G$212)</f>
        <v>SelfShip</v>
      </c>
      <c r="Z21" s="438" t="str">
        <f t="array" ref="Z21">XLOOKUP(MasterTech!$AF$4:$AF$214,RawTech!$AO$2:$AO$212,RawTech!$H$2:$H$212)</f>
        <v>MultiplyAdd</v>
      </c>
      <c r="AA21" s="438" t="str">
        <f t="array" ref="AA21">XLOOKUP(MasterTech!$AF$4:$AF$214,RawTech!$AO$2:$AO$212,RawTech!$J$2:$J$212)</f>
        <v>Increases Cargo capacity X</v>
      </c>
      <c r="AB21" s="439"/>
      <c r="AC21" s="440"/>
      <c r="AD21" s="440"/>
      <c r="AE21" s="455">
        <f t="array" ref="AE21">XLOOKUP(MasterTech!$AF$4:$AF$214,RawTech!$AO$2:$AO$212,RawTech!$AR$2:$AR$212)</f>
        <v>7</v>
      </c>
      <c r="AF21" s="427">
        <v>2.378877032E9</v>
      </c>
      <c r="AG21" s="428"/>
      <c r="AH21" s="428"/>
      <c r="AI21" s="429"/>
      <c r="AJ21" s="430"/>
    </row>
    <row r="22" ht="37.5" customHeight="1">
      <c r="A22" s="415" t="str">
        <f t="array" ref="A22">LEFT(XLOOKUP(LCARS_Tech[BuffID],RawTech[BuffID],RawTech[TechRarity]), 1)</f>
        <v>R</v>
      </c>
      <c r="B22" s="420"/>
      <c r="C22" s="452" t="str">
        <f t="array" ref="C22">HYPERLINK("https://stfc.space/forbidden_and_chaos_tech/" &amp; XLOOKUP(MasterTech!$AF$4:$AF$214,RawTech!$AO$2:$AO$212,RawTech!$AQ$2:$AQ$212), XLOOKUP(MasterTech!$AF$4:$AF$214,RawTech!$AO$2:$AO$212,RawTech!$B$2:$B$212))</f>
        <v>Romulan Mining Laser</v>
      </c>
      <c r="D22" s="418">
        <f t="array" ref="D22">XLOOKUP(LCARS_Tech[BuffID],RawTech[BuffID],RawTech[BuffOrder])</f>
        <v>3</v>
      </c>
      <c r="E22" s="419" t="str">
        <f t="array" ref="E22">XLOOKUP(LCARS_Tech[BuffID],RawTech[BuffID],RawTech[TechType])</f>
        <v>FT</v>
      </c>
      <c r="F22" s="419" t="str">
        <f t="array" ref="F22">XLOOKUP(LCARS_Tech[BuffID],RawTech[BuffID],RawTech[Tag_PvPinSpace])</f>
        <v>➖</v>
      </c>
      <c r="G22" s="419" t="str">
        <f t="array" ref="G22">XLOOKUP(LCARS_Tech[BuffID],RawTech[BuffID],RawTech[Tag_PvPStation])</f>
        <v>➖</v>
      </c>
      <c r="H22" s="419" t="str">
        <f t="array" ref="H22">XLOOKUP(LCARS_Tech[BuffID],RawTech[BuffID],RawTech[Tag_NonArmadaHostiles])</f>
        <v>➖</v>
      </c>
      <c r="I22" s="419" t="str">
        <f t="array" ref="I22">XLOOKUP(LCARS_Tech[BuffID],RawTech[BuffID],RawTech[Tag_WaveDefense])</f>
        <v>➖</v>
      </c>
      <c r="J22" s="419" t="str">
        <f t="array" ref="J22">XLOOKUP(LCARS_Tech[BuffID],RawTech[BuffID],RawTech[Tag_QTrial])</f>
        <v>➖</v>
      </c>
      <c r="K22" s="419" t="str">
        <f t="array" ref="K22">XLOOKUP(LCARS_Tech[BuffID],RawTech[BuffID],RawTech[Tag_MissionBosses])</f>
        <v>➖</v>
      </c>
      <c r="L22" s="419" t="str">
        <f t="array" ref="L22">XLOOKUP(LCARS_Tech[BuffID],RawTech[BuffID],RawTech[Tag_GroupArmadas])</f>
        <v>➖</v>
      </c>
      <c r="M22" s="419" t="str">
        <f t="array" ref="M22">XLOOKUP(LCARS_Tech[BuffID],RawTech[BuffID],RawTech[Tag_SoloArmadas])</f>
        <v>➖</v>
      </c>
      <c r="N22" s="419" t="str">
        <f t="array" ref="N22">XLOOKUP(LCARS_Tech[BuffID],RawTech[BuffID],RawTech[Tag_InvadingEntities])</f>
        <v>➖</v>
      </c>
      <c r="O22" s="419" t="str">
        <f t="array" ref="O22">XLOOKUP(LCARS_Tech[BuffID],RawTech[BuffID],RawTech[Tag_Assaults])</f>
        <v>➖</v>
      </c>
      <c r="P22" s="442" t="str">
        <f t="array" ref="P22">XLOOKUP(LCARS_Tech[BuffID],RawTech[BuffID],RawTech[Tag_OutpostArmadas])</f>
        <v>➖</v>
      </c>
      <c r="Q22" s="420" t="str">
        <f t="array" ref="Q22">XLOOKUP(LCARS_Tech[BuffID],RawTech[BuffID],RawTech[Tag_OutpostRetaliators])</f>
        <v>➖</v>
      </c>
      <c r="R22" s="420" t="str">
        <f t="array" ref="R22">XLOOKUP(MasterTech!$AF$4:$AF$214,RawTech!$AO$2:$AO$212,RawTech!$AV$2:$AV$212)</f>
        <v/>
      </c>
      <c r="S22" s="419" t="str">
        <f t="array" ref="S22">XLOOKUP(MasterTech!$AF$4:$AF$214,RawTech!$AO$2:$AO$212,RawTech!$AK$2:$AK$212)</f>
        <v>➖</v>
      </c>
      <c r="T22" s="422" t="str">
        <f t="array" ref="T22">XLOOKUP(MasterTech!$AF$4:$AF$214,RawTech!$AO$2:$AO$212,RawTech!$AM$2:$AM$212)</f>
        <v>✅</v>
      </c>
      <c r="U22" s="423" t="str">
        <f t="array" ref="U22">XLOOKUP(MasterTech!$AF$4:$AF$214,RawTech!$AO$2:$AO$212,RawTech!$D$2:$D$212)</f>
        <v>MiningRate</v>
      </c>
      <c r="V22" s="423" t="str">
        <f t="array" ref="V22">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22" s="421" t="str">
        <f t="array" ref="W22">XLOOKUP(MasterTech!$AF$4:$AF$214,RawTech!$AO$2:$AO$212,RawTech!$E$2:$E$212)</f>
        <v/>
      </c>
      <c r="X22" s="423" t="str">
        <f t="array" ref="X22">XLOOKUP(MasterTech!$AF$4:$AF$214,RawTech!$AO$2:$AO$212,RawTech!$F$2:$F$212)</f>
        <v>ShipLaunched</v>
      </c>
      <c r="Y22" s="423" t="str">
        <f t="array" ref="Y22">XLOOKUP(MasterTech!$AF$4:$AF$214,RawTech!$AO$2:$AO$212,RawTech!$G$2:$G$212)</f>
        <v>SelfShip</v>
      </c>
      <c r="Z22" s="423" t="str">
        <f t="array" ref="Z22">XLOOKUP(MasterTech!$AF$4:$AF$214,RawTech!$AO$2:$AO$212,RawTech!$H$2:$H$212)</f>
        <v>MultiplyAdd</v>
      </c>
      <c r="AA22" s="423" t="str">
        <f t="array" ref="AA22">XLOOKUP(MasterTech!$AF$4:$AF$214,RawTech!$AO$2:$AO$212,RawTech!$J$2:$J$212)</f>
        <v>Increases Mining rate X</v>
      </c>
      <c r="AB22" s="424"/>
      <c r="AC22" s="425"/>
      <c r="AD22" s="425"/>
      <c r="AE22" s="453">
        <f t="array" ref="AE22">XLOOKUP(MasterTech!$AF$4:$AF$214,RawTech!$AO$2:$AO$212,RawTech!$AR$2:$AR$212)</f>
        <v>7</v>
      </c>
      <c r="AF22" s="427">
        <v>3.3374454E8</v>
      </c>
      <c r="AG22" s="428"/>
      <c r="AH22" s="428"/>
      <c r="AI22" s="429"/>
      <c r="AJ22" s="430"/>
    </row>
    <row r="23" ht="37.5" customHeight="1">
      <c r="A23" s="415" t="str">
        <f t="array" ref="A23">LEFT(XLOOKUP(LCARS_Tech[BuffID],RawTech[BuffID],RawTech[TechRarity]), 1)</f>
        <v>R</v>
      </c>
      <c r="B23" s="416"/>
      <c r="C23" s="454" t="str">
        <f t="array" ref="C23">HYPERLINK("https://stfc.space/forbidden_and_chaos_tech/" &amp; XLOOKUP(MasterTech!$AF$4:$AF$214,RawTech!$AO$2:$AO$212,RawTech!$AQ$2:$AQ$212), XLOOKUP(MasterTech!$AF$4:$AF$214,RawTech!$AO$2:$AO$212,RawTech!$B$2:$B$212))</f>
        <v>Romulan Mining Laser</v>
      </c>
      <c r="D23" s="432">
        <f t="array" ref="D23">XLOOKUP(LCARS_Tech[BuffID],RawTech[BuffID],RawTech[BuffOrder])</f>
        <v>4</v>
      </c>
      <c r="E23" s="433" t="str">
        <f t="array" ref="E23">XLOOKUP(LCARS_Tech[BuffID],RawTech[BuffID],RawTech[TechType])</f>
        <v>FT</v>
      </c>
      <c r="F23" s="433" t="str">
        <f t="array" ref="F23">XLOOKUP(LCARS_Tech[BuffID],RawTech[BuffID],RawTech[Tag_PvPinSpace])</f>
        <v>➖</v>
      </c>
      <c r="G23" s="433" t="str">
        <f t="array" ref="G23">XLOOKUP(LCARS_Tech[BuffID],RawTech[BuffID],RawTech[Tag_PvPStation])</f>
        <v>➖</v>
      </c>
      <c r="H23" s="433" t="str">
        <f t="array" ref="H23">XLOOKUP(LCARS_Tech[BuffID],RawTech[BuffID],RawTech[Tag_NonArmadaHostiles])</f>
        <v>➖</v>
      </c>
      <c r="I23" s="433" t="str">
        <f t="array" ref="I23">XLOOKUP(LCARS_Tech[BuffID],RawTech[BuffID],RawTech[Tag_WaveDefense])</f>
        <v>➖</v>
      </c>
      <c r="J23" s="433" t="str">
        <f t="array" ref="J23">XLOOKUP(LCARS_Tech[BuffID],RawTech[BuffID],RawTech[Tag_QTrial])</f>
        <v>➖</v>
      </c>
      <c r="K23" s="433" t="str">
        <f t="array" ref="K23">XLOOKUP(LCARS_Tech[BuffID],RawTech[BuffID],RawTech[Tag_MissionBosses])</f>
        <v>➖</v>
      </c>
      <c r="L23" s="433" t="str">
        <f t="array" ref="L23">XLOOKUP(LCARS_Tech[BuffID],RawTech[BuffID],RawTech[Tag_GroupArmadas])</f>
        <v>➖</v>
      </c>
      <c r="M23" s="433" t="str">
        <f t="array" ref="M23">XLOOKUP(LCARS_Tech[BuffID],RawTech[BuffID],RawTech[Tag_SoloArmadas])</f>
        <v>➖</v>
      </c>
      <c r="N23" s="433" t="str">
        <f t="array" ref="N23">XLOOKUP(LCARS_Tech[BuffID],RawTech[BuffID],RawTech[Tag_InvadingEntities])</f>
        <v>➖</v>
      </c>
      <c r="O23" s="433" t="str">
        <f t="array" ref="O23">XLOOKUP(LCARS_Tech[BuffID],RawTech[BuffID],RawTech[Tag_Assaults])</f>
        <v>➖</v>
      </c>
      <c r="P23" s="434" t="str">
        <f t="array" ref="P23">XLOOKUP(LCARS_Tech[BuffID],RawTech[BuffID],RawTech[Tag_OutpostArmadas])</f>
        <v>➖</v>
      </c>
      <c r="Q23" s="416" t="str">
        <f t="array" ref="Q23">XLOOKUP(LCARS_Tech[BuffID],RawTech[BuffID],RawTech[Tag_OutpostRetaliators])</f>
        <v>➖</v>
      </c>
      <c r="R23" s="416" t="str">
        <f t="array" ref="R23">XLOOKUP(MasterTech!$AF$4:$AF$214,RawTech!$AO$2:$AO$212,RawTech!$AV$2:$AV$212)</f>
        <v/>
      </c>
      <c r="S23" s="433" t="str">
        <f t="array" ref="S23">XLOOKUP(MasterTech!$AF$4:$AF$214,RawTech!$AO$2:$AO$212,RawTech!$AK$2:$AK$212)</f>
        <v>➖</v>
      </c>
      <c r="T23" s="435" t="str">
        <f t="array" ref="T23">XLOOKUP(MasterTech!$AF$4:$AF$214,RawTech!$AO$2:$AO$212,RawTech!$AM$2:$AM$212)</f>
        <v>✅</v>
      </c>
      <c r="U23" s="438" t="str">
        <f t="array" ref="U23">XLOOKUP(MasterTech!$AF$4:$AF$214,RawTech!$AO$2:$AO$212,RawTech!$D$2:$D$212)</f>
        <v>CargoProtection</v>
      </c>
      <c r="V23" s="416" t="str">
        <f t="array" ref="V23">XLOOKUP(MasterTech!$AF$4:$AF$214,RawTech!$AO$2:$AO$212,RawTech!$I$2:$I$212)</f>
        <v/>
      </c>
      <c r="W23" s="437" t="str">
        <f t="array" ref="W23">XLOOKUP(MasterTech!$AF$4:$AF$214,RawTech!$AO$2:$AO$212,RawTech!$E$2:$E$212)</f>
        <v/>
      </c>
      <c r="X23" s="438" t="str">
        <f t="array" ref="X23">XLOOKUP(MasterTech!$AF$4:$AF$214,RawTech!$AO$2:$AO$212,RawTech!$F$2:$F$212)</f>
        <v>ShipLaunched</v>
      </c>
      <c r="Y23" s="438" t="str">
        <f t="array" ref="Y23">XLOOKUP(MasterTech!$AF$4:$AF$214,RawTech!$AO$2:$AO$212,RawTech!$G$2:$G$212)</f>
        <v>SelfShip</v>
      </c>
      <c r="Z23" s="438" t="str">
        <f t="array" ref="Z23">XLOOKUP(MasterTech!$AF$4:$AF$214,RawTech!$AO$2:$AO$212,RawTech!$H$2:$H$212)</f>
        <v>MultiplyAdd</v>
      </c>
      <c r="AA23" s="438" t="str">
        <f t="array" ref="AA23">XLOOKUP(MasterTech!$AF$4:$AF$214,RawTech!$AO$2:$AO$212,RawTech!$J$2:$J$212)</f>
        <v>Increases Protected Cargo X</v>
      </c>
      <c r="AB23" s="439"/>
      <c r="AC23" s="440"/>
      <c r="AD23" s="440"/>
      <c r="AE23" s="455">
        <f t="array" ref="AE23">XLOOKUP(MasterTech!$AF$4:$AF$214,RawTech!$AO$2:$AO$212,RawTech!$AR$2:$AR$212)</f>
        <v>7</v>
      </c>
      <c r="AF23" s="427">
        <v>1.619675909E9</v>
      </c>
      <c r="AG23" s="428"/>
      <c r="AH23" s="428"/>
      <c r="AI23" s="429"/>
      <c r="AJ23" s="430"/>
    </row>
    <row r="24" ht="37.5" customHeight="1">
      <c r="A24" s="415" t="str">
        <f t="array" ref="A24">LEFT(XLOOKUP(LCARS_Tech[BuffID],RawTech[BuffID],RawTech[TechRarity]), 1)</f>
        <v>R</v>
      </c>
      <c r="B24" s="420"/>
      <c r="C24" s="452" t="str">
        <f t="array" ref="C24">HYPERLINK("https://stfc.space/forbidden_and_chaos_tech/" &amp; XLOOKUP(MasterTech!$AF$4:$AF$214,RawTech!$AO$2:$AO$212,RawTech!$AQ$2:$AQ$212), XLOOKUP(MasterTech!$AF$4:$AF$214,RawTech!$AO$2:$AO$212,RawTech!$B$2:$B$212))</f>
        <v>Malon Extractor</v>
      </c>
      <c r="D24" s="418">
        <f t="array" ref="D24">XLOOKUP(LCARS_Tech[BuffID],RawTech[BuffID],RawTech[BuffOrder])</f>
        <v>1</v>
      </c>
      <c r="E24" s="419" t="str">
        <f t="array" ref="E24">XLOOKUP(LCARS_Tech[BuffID],RawTech[BuffID],RawTech[TechType])</f>
        <v>FT</v>
      </c>
      <c r="F24" s="419" t="str">
        <f t="array" ref="F24">XLOOKUP(LCARS_Tech[BuffID],RawTech[BuffID],RawTech[Tag_PvPinSpace])</f>
        <v>➖</v>
      </c>
      <c r="G24" s="419" t="str">
        <f t="array" ref="G24">XLOOKUP(LCARS_Tech[BuffID],RawTech[BuffID],RawTech[Tag_PvPStation])</f>
        <v>➖</v>
      </c>
      <c r="H24" s="419" t="str">
        <f t="array" ref="H24">XLOOKUP(LCARS_Tech[BuffID],RawTech[BuffID],RawTech[Tag_NonArmadaHostiles])</f>
        <v>➖</v>
      </c>
      <c r="I24" s="419" t="str">
        <f t="array" ref="I24">XLOOKUP(LCARS_Tech[BuffID],RawTech[BuffID],RawTech[Tag_WaveDefense])</f>
        <v>➖</v>
      </c>
      <c r="J24" s="419" t="str">
        <f t="array" ref="J24">XLOOKUP(LCARS_Tech[BuffID],RawTech[BuffID],RawTech[Tag_QTrial])</f>
        <v>➖</v>
      </c>
      <c r="K24" s="419" t="str">
        <f t="array" ref="K24">XLOOKUP(LCARS_Tech[BuffID],RawTech[BuffID],RawTech[Tag_MissionBosses])</f>
        <v>➖</v>
      </c>
      <c r="L24" s="419" t="str">
        <f t="array" ref="L24">XLOOKUP(LCARS_Tech[BuffID],RawTech[BuffID],RawTech[Tag_GroupArmadas])</f>
        <v>➖</v>
      </c>
      <c r="M24" s="419" t="str">
        <f t="array" ref="M24">XLOOKUP(LCARS_Tech[BuffID],RawTech[BuffID],RawTech[Tag_SoloArmadas])</f>
        <v>➖</v>
      </c>
      <c r="N24" s="419" t="str">
        <f t="array" ref="N24">XLOOKUP(LCARS_Tech[BuffID],RawTech[BuffID],RawTech[Tag_InvadingEntities])</f>
        <v>➖</v>
      </c>
      <c r="O24" s="419" t="str">
        <f t="array" ref="O24">XLOOKUP(LCARS_Tech[BuffID],RawTech[BuffID],RawTech[Tag_Assaults])</f>
        <v>➖</v>
      </c>
      <c r="P24" s="442" t="str">
        <f t="array" ref="P24">XLOOKUP(LCARS_Tech[BuffID],RawTech[BuffID],RawTech[Tag_OutpostArmadas])</f>
        <v>➖</v>
      </c>
      <c r="Q24" s="420" t="str">
        <f t="array" ref="Q24">XLOOKUP(LCARS_Tech[BuffID],RawTech[BuffID],RawTech[Tag_OutpostRetaliators])</f>
        <v>➖</v>
      </c>
      <c r="R24" s="420" t="str">
        <f t="array" ref="R24">XLOOKUP(MasterTech!$AF$4:$AF$214,RawTech!$AO$2:$AO$212,RawTech!$AV$2:$AV$212)</f>
        <v/>
      </c>
      <c r="S24" s="419" t="str">
        <f t="array" ref="S24">XLOOKUP(MasterTech!$AF$4:$AF$214,RawTech!$AO$2:$AO$212,RawTech!$AK$2:$AK$212)</f>
        <v>➖</v>
      </c>
      <c r="T24" s="422" t="str">
        <f t="array" ref="T24">XLOOKUP(MasterTech!$AF$4:$AF$214,RawTech!$AO$2:$AO$212,RawTech!$AM$2:$AM$212)</f>
        <v>✅</v>
      </c>
      <c r="U24" s="423" t="str">
        <f t="array" ref="U24">XLOOKUP(MasterTech!$AF$4:$AF$214,RawTech!$AO$2:$AO$212,RawTech!$D$2:$D$212)</f>
        <v>MiningRate</v>
      </c>
      <c r="V24" s="423" t="str">
        <f t="array" ref="V24">XLOOKUP(MasterTech!$AF$4:$AF$214,RawTech!$AO$2:$AO$212,RawTech!$I$2:$I$212)</f>
        <v>resources=[96209859, 1779416627, 2964093937, 1349464922, 2002611017, 296474010]</v>
      </c>
      <c r="W24" s="421" t="str">
        <f t="array" ref="W24">XLOOKUP(MasterTech!$AF$4:$AF$214,RawTech!$AO$2:$AO$212,RawTech!$E$2:$E$212)</f>
        <v/>
      </c>
      <c r="X24" s="423" t="str">
        <f t="array" ref="X24">XLOOKUP(MasterTech!$AF$4:$AF$214,RawTech!$AO$2:$AO$212,RawTech!$F$2:$F$212)</f>
        <v>ShipLaunched</v>
      </c>
      <c r="Y24" s="423" t="str">
        <f t="array" ref="Y24">XLOOKUP(MasterTech!$AF$4:$AF$214,RawTech!$AO$2:$AO$212,RawTech!$G$2:$G$212)</f>
        <v>SelfShip</v>
      </c>
      <c r="Z24" s="423" t="str">
        <f t="array" ref="Z24">XLOOKUP(MasterTech!$AF$4:$AF$214,RawTech!$AO$2:$AO$212,RawTech!$H$2:$H$212)</f>
        <v>MultiplyAdd</v>
      </c>
      <c r="AA24" s="423" t="str">
        <f t="array" ref="AA24">XLOOKUP(MasterTech!$AF$4:$AF$214,RawTech!$AO$2:$AO$212,RawTech!$J$2:$J$212)</f>
        <v>Increases Gas Mining rate X</v>
      </c>
      <c r="AB24" s="424"/>
      <c r="AC24" s="425"/>
      <c r="AD24" s="425"/>
      <c r="AE24" s="453">
        <f t="array" ref="AE24">XLOOKUP(MasterTech!$AF$4:$AF$214,RawTech!$AO$2:$AO$212,RawTech!$AR$2:$AR$212)</f>
        <v>8</v>
      </c>
      <c r="AF24" s="427">
        <v>8.50425054E8</v>
      </c>
      <c r="AG24" s="428"/>
      <c r="AH24" s="428"/>
      <c r="AI24" s="429"/>
      <c r="AJ24" s="430"/>
    </row>
    <row r="25" ht="37.5" customHeight="1">
      <c r="A25" s="415" t="str">
        <f t="array" ref="A25">LEFT(XLOOKUP(LCARS_Tech[BuffID],RawTech[BuffID],RawTech[TechRarity]), 1)</f>
        <v>R</v>
      </c>
      <c r="B25" s="416"/>
      <c r="C25" s="454" t="str">
        <f t="array" ref="C25">HYPERLINK("https://stfc.space/forbidden_and_chaos_tech/" &amp; XLOOKUP(MasterTech!$AF$4:$AF$214,RawTech!$AO$2:$AO$212,RawTech!$AQ$2:$AQ$212), XLOOKUP(MasterTech!$AF$4:$AF$214,RawTech!$AO$2:$AO$212,RawTech!$B$2:$B$212))</f>
        <v>Malon Extractor</v>
      </c>
      <c r="D25" s="432">
        <f t="array" ref="D25">XLOOKUP(LCARS_Tech[BuffID],RawTech[BuffID],RawTech[BuffOrder])</f>
        <v>2</v>
      </c>
      <c r="E25" s="433" t="str">
        <f t="array" ref="E25">XLOOKUP(LCARS_Tech[BuffID],RawTech[BuffID],RawTech[TechType])</f>
        <v>FT</v>
      </c>
      <c r="F25" s="433" t="str">
        <f t="array" ref="F25">XLOOKUP(LCARS_Tech[BuffID],RawTech[BuffID],RawTech[Tag_PvPinSpace])</f>
        <v>➖</v>
      </c>
      <c r="G25" s="433" t="str">
        <f t="array" ref="G25">XLOOKUP(LCARS_Tech[BuffID],RawTech[BuffID],RawTech[Tag_PvPStation])</f>
        <v>➖</v>
      </c>
      <c r="H25" s="433" t="str">
        <f t="array" ref="H25">XLOOKUP(LCARS_Tech[BuffID],RawTech[BuffID],RawTech[Tag_NonArmadaHostiles])</f>
        <v>➖</v>
      </c>
      <c r="I25" s="433" t="str">
        <f t="array" ref="I25">XLOOKUP(LCARS_Tech[BuffID],RawTech[BuffID],RawTech[Tag_WaveDefense])</f>
        <v>➖</v>
      </c>
      <c r="J25" s="433" t="str">
        <f t="array" ref="J25">XLOOKUP(LCARS_Tech[BuffID],RawTech[BuffID],RawTech[Tag_QTrial])</f>
        <v>➖</v>
      </c>
      <c r="K25" s="433" t="str">
        <f t="array" ref="K25">XLOOKUP(LCARS_Tech[BuffID],RawTech[BuffID],RawTech[Tag_MissionBosses])</f>
        <v>➖</v>
      </c>
      <c r="L25" s="433" t="str">
        <f t="array" ref="L25">XLOOKUP(LCARS_Tech[BuffID],RawTech[BuffID],RawTech[Tag_GroupArmadas])</f>
        <v>➖</v>
      </c>
      <c r="M25" s="433" t="str">
        <f t="array" ref="M25">XLOOKUP(LCARS_Tech[BuffID],RawTech[BuffID],RawTech[Tag_SoloArmadas])</f>
        <v>➖</v>
      </c>
      <c r="N25" s="433" t="str">
        <f t="array" ref="N25">XLOOKUP(LCARS_Tech[BuffID],RawTech[BuffID],RawTech[Tag_InvadingEntities])</f>
        <v>➖</v>
      </c>
      <c r="O25" s="433" t="str">
        <f t="array" ref="O25">XLOOKUP(LCARS_Tech[BuffID],RawTech[BuffID],RawTech[Tag_Assaults])</f>
        <v>➖</v>
      </c>
      <c r="P25" s="434" t="str">
        <f t="array" ref="P25">XLOOKUP(LCARS_Tech[BuffID],RawTech[BuffID],RawTech[Tag_OutpostArmadas])</f>
        <v>➖</v>
      </c>
      <c r="Q25" s="416" t="str">
        <f t="array" ref="Q25">XLOOKUP(LCARS_Tech[BuffID],RawTech[BuffID],RawTech[Tag_OutpostRetaliators])</f>
        <v>➖</v>
      </c>
      <c r="R25" s="416" t="str">
        <f t="array" ref="R25">XLOOKUP(MasterTech!$AF$4:$AF$214,RawTech!$AO$2:$AO$212,RawTech!$AV$2:$AV$212)</f>
        <v/>
      </c>
      <c r="S25" s="433" t="str">
        <f t="array" ref="S25">XLOOKUP(MasterTech!$AF$4:$AF$214,RawTech!$AO$2:$AO$212,RawTech!$AK$2:$AK$212)</f>
        <v>➖</v>
      </c>
      <c r="T25" s="435" t="str">
        <f t="array" ref="T25">XLOOKUP(MasterTech!$AF$4:$AF$214,RawTech!$AO$2:$AO$212,RawTech!$AM$2:$AM$212)</f>
        <v>✅</v>
      </c>
      <c r="U25" s="438" t="str">
        <f t="array" ref="U25">XLOOKUP(MasterTech!$AF$4:$AF$214,RawTech!$AO$2:$AO$212,RawTech!$D$2:$D$212)</f>
        <v>CargoCapacity</v>
      </c>
      <c r="V25" s="416" t="str">
        <f t="array" ref="V25">XLOOKUP(MasterTech!$AF$4:$AF$214,RawTech!$AO$2:$AO$212,RawTech!$I$2:$I$212)</f>
        <v/>
      </c>
      <c r="W25" s="437" t="str">
        <f t="array" ref="W25">XLOOKUP(MasterTech!$AF$4:$AF$214,RawTech!$AO$2:$AO$212,RawTech!$E$2:$E$212)</f>
        <v/>
      </c>
      <c r="X25" s="438" t="str">
        <f t="array" ref="X25">XLOOKUP(MasterTech!$AF$4:$AF$214,RawTech!$AO$2:$AO$212,RawTech!$F$2:$F$212)</f>
        <v>ShipLaunched</v>
      </c>
      <c r="Y25" s="438" t="str">
        <f t="array" ref="Y25">XLOOKUP(MasterTech!$AF$4:$AF$214,RawTech!$AO$2:$AO$212,RawTech!$G$2:$G$212)</f>
        <v>SelfShip</v>
      </c>
      <c r="Z25" s="438" t="str">
        <f t="array" ref="Z25">XLOOKUP(MasterTech!$AF$4:$AF$214,RawTech!$AO$2:$AO$212,RawTech!$H$2:$H$212)</f>
        <v>MultiplyAdd</v>
      </c>
      <c r="AA25" s="438" t="str">
        <f t="array" ref="AA25">XLOOKUP(MasterTech!$AF$4:$AF$214,RawTech!$AO$2:$AO$212,RawTech!$J$2:$J$212)</f>
        <v>Increases Cargo capacity X</v>
      </c>
      <c r="AB25" s="439"/>
      <c r="AC25" s="440"/>
      <c r="AD25" s="440"/>
      <c r="AE25" s="455">
        <f t="array" ref="AE25">XLOOKUP(MasterTech!$AF$4:$AF$214,RawTech!$AO$2:$AO$212,RawTech!$AR$2:$AR$212)</f>
        <v>8</v>
      </c>
      <c r="AF25" s="427">
        <v>2.168896816E9</v>
      </c>
      <c r="AG25" s="428"/>
      <c r="AH25" s="428"/>
      <c r="AI25" s="429"/>
      <c r="AJ25" s="430"/>
    </row>
    <row r="26" ht="37.5" customHeight="1">
      <c r="A26" s="415" t="str">
        <f t="array" ref="A26">LEFT(XLOOKUP(LCARS_Tech[BuffID],RawTech[BuffID],RawTech[TechRarity]), 1)</f>
        <v>R</v>
      </c>
      <c r="B26" s="420"/>
      <c r="C26" s="452" t="str">
        <f t="array" ref="C26">HYPERLINK("https://stfc.space/forbidden_and_chaos_tech/" &amp; XLOOKUP(MasterTech!$AF$4:$AF$214,RawTech!$AO$2:$AO$212,RawTech!$AQ$2:$AQ$212), XLOOKUP(MasterTech!$AF$4:$AF$214,RawTech!$AO$2:$AO$212,RawTech!$B$2:$B$212))</f>
        <v>Malon Extractor</v>
      </c>
      <c r="D26" s="418">
        <f t="array" ref="D26">XLOOKUP(LCARS_Tech[BuffID],RawTech[BuffID],RawTech[BuffOrder])</f>
        <v>3</v>
      </c>
      <c r="E26" s="419" t="str">
        <f t="array" ref="E26">XLOOKUP(LCARS_Tech[BuffID],RawTech[BuffID],RawTech[TechType])</f>
        <v>FT</v>
      </c>
      <c r="F26" s="419" t="str">
        <f t="array" ref="F26">XLOOKUP(LCARS_Tech[BuffID],RawTech[BuffID],RawTech[Tag_PvPinSpace])</f>
        <v>➖</v>
      </c>
      <c r="G26" s="419" t="str">
        <f t="array" ref="G26">XLOOKUP(LCARS_Tech[BuffID],RawTech[BuffID],RawTech[Tag_PvPStation])</f>
        <v>➖</v>
      </c>
      <c r="H26" s="419" t="str">
        <f t="array" ref="H26">XLOOKUP(LCARS_Tech[BuffID],RawTech[BuffID],RawTech[Tag_NonArmadaHostiles])</f>
        <v>➖</v>
      </c>
      <c r="I26" s="419" t="str">
        <f t="array" ref="I26">XLOOKUP(LCARS_Tech[BuffID],RawTech[BuffID],RawTech[Tag_WaveDefense])</f>
        <v>➖</v>
      </c>
      <c r="J26" s="419" t="str">
        <f t="array" ref="J26">XLOOKUP(LCARS_Tech[BuffID],RawTech[BuffID],RawTech[Tag_QTrial])</f>
        <v>➖</v>
      </c>
      <c r="K26" s="419" t="str">
        <f t="array" ref="K26">XLOOKUP(LCARS_Tech[BuffID],RawTech[BuffID],RawTech[Tag_MissionBosses])</f>
        <v>➖</v>
      </c>
      <c r="L26" s="419" t="str">
        <f t="array" ref="L26">XLOOKUP(LCARS_Tech[BuffID],RawTech[BuffID],RawTech[Tag_GroupArmadas])</f>
        <v>➖</v>
      </c>
      <c r="M26" s="419" t="str">
        <f t="array" ref="M26">XLOOKUP(LCARS_Tech[BuffID],RawTech[BuffID],RawTech[Tag_SoloArmadas])</f>
        <v>➖</v>
      </c>
      <c r="N26" s="419" t="str">
        <f t="array" ref="N26">XLOOKUP(LCARS_Tech[BuffID],RawTech[BuffID],RawTech[Tag_InvadingEntities])</f>
        <v>➖</v>
      </c>
      <c r="O26" s="419" t="str">
        <f t="array" ref="O26">XLOOKUP(LCARS_Tech[BuffID],RawTech[BuffID],RawTech[Tag_Assaults])</f>
        <v>➖</v>
      </c>
      <c r="P26" s="442" t="str">
        <f t="array" ref="P26">XLOOKUP(LCARS_Tech[BuffID],RawTech[BuffID],RawTech[Tag_OutpostArmadas])</f>
        <v>➖</v>
      </c>
      <c r="Q26" s="420" t="str">
        <f t="array" ref="Q26">XLOOKUP(LCARS_Tech[BuffID],RawTech[BuffID],RawTech[Tag_OutpostRetaliators])</f>
        <v>➖</v>
      </c>
      <c r="R26" s="420" t="str">
        <f t="array" ref="R26">XLOOKUP(MasterTech!$AF$4:$AF$214,RawTech!$AO$2:$AO$212,RawTech!$AV$2:$AV$212)</f>
        <v/>
      </c>
      <c r="S26" s="419" t="str">
        <f t="array" ref="S26">XLOOKUP(MasterTech!$AF$4:$AF$214,RawTech!$AO$2:$AO$212,RawTech!$AK$2:$AK$212)</f>
        <v>➖</v>
      </c>
      <c r="T26" s="422" t="str">
        <f t="array" ref="T26">XLOOKUP(MasterTech!$AF$4:$AF$214,RawTech!$AO$2:$AO$212,RawTech!$AM$2:$AM$212)</f>
        <v>✅</v>
      </c>
      <c r="U26" s="423" t="str">
        <f t="array" ref="U26">XLOOKUP(MasterTech!$AF$4:$AF$214,RawTech!$AO$2:$AO$212,RawTech!$D$2:$D$212)</f>
        <v>MiningRate</v>
      </c>
      <c r="V26" s="423" t="str">
        <f t="array" ref="V26">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26" s="421" t="str">
        <f t="array" ref="W26">XLOOKUP(MasterTech!$AF$4:$AF$214,RawTech!$AO$2:$AO$212,RawTech!$E$2:$E$212)</f>
        <v/>
      </c>
      <c r="X26" s="423" t="str">
        <f t="array" ref="X26">XLOOKUP(MasterTech!$AF$4:$AF$214,RawTech!$AO$2:$AO$212,RawTech!$F$2:$F$212)</f>
        <v>ShipLaunched</v>
      </c>
      <c r="Y26" s="423" t="str">
        <f t="array" ref="Y26">XLOOKUP(MasterTech!$AF$4:$AF$214,RawTech!$AO$2:$AO$212,RawTech!$G$2:$G$212)</f>
        <v>SelfShip</v>
      </c>
      <c r="Z26" s="423" t="str">
        <f t="array" ref="Z26">XLOOKUP(MasterTech!$AF$4:$AF$214,RawTech!$AO$2:$AO$212,RawTech!$H$2:$H$212)</f>
        <v>MultiplyAdd</v>
      </c>
      <c r="AA26" s="423" t="str">
        <f t="array" ref="AA26">XLOOKUP(MasterTech!$AF$4:$AF$214,RawTech!$AO$2:$AO$212,RawTech!$J$2:$J$212)</f>
        <v>Increases Mining rate X</v>
      </c>
      <c r="AB26" s="424"/>
      <c r="AC26" s="425"/>
      <c r="AD26" s="425"/>
      <c r="AE26" s="453">
        <f t="array" ref="AE26">XLOOKUP(MasterTech!$AF$4:$AF$214,RawTech!$AO$2:$AO$212,RawTech!$AR$2:$AR$212)</f>
        <v>8</v>
      </c>
      <c r="AF26" s="427">
        <v>3.70342095E8</v>
      </c>
      <c r="AG26" s="428"/>
      <c r="AH26" s="428"/>
      <c r="AI26" s="429"/>
      <c r="AJ26" s="430"/>
    </row>
    <row r="27" ht="37.5" customHeight="1">
      <c r="A27" s="415" t="str">
        <f t="array" ref="A27">LEFT(XLOOKUP(LCARS_Tech[BuffID],RawTech[BuffID],RawTech[TechRarity]), 1)</f>
        <v>R</v>
      </c>
      <c r="B27" s="416"/>
      <c r="C27" s="454" t="str">
        <f t="array" ref="C27">HYPERLINK("https://stfc.space/forbidden_and_chaos_tech/" &amp; XLOOKUP(MasterTech!$AF$4:$AF$214,RawTech!$AO$2:$AO$212,RawTech!$AQ$2:$AQ$212), XLOOKUP(MasterTech!$AF$4:$AF$214,RawTech!$AO$2:$AO$212,RawTech!$B$2:$B$212))</f>
        <v>Malon Extractor</v>
      </c>
      <c r="D27" s="432">
        <f t="array" ref="D27">XLOOKUP(LCARS_Tech[BuffID],RawTech[BuffID],RawTech[BuffOrder])</f>
        <v>4</v>
      </c>
      <c r="E27" s="433" t="str">
        <f t="array" ref="E27">XLOOKUP(LCARS_Tech[BuffID],RawTech[BuffID],RawTech[TechType])</f>
        <v>FT</v>
      </c>
      <c r="F27" s="433" t="str">
        <f t="array" ref="F27">XLOOKUP(LCARS_Tech[BuffID],RawTech[BuffID],RawTech[Tag_PvPinSpace])</f>
        <v>➖</v>
      </c>
      <c r="G27" s="433" t="str">
        <f t="array" ref="G27">XLOOKUP(LCARS_Tech[BuffID],RawTech[BuffID],RawTech[Tag_PvPStation])</f>
        <v>➖</v>
      </c>
      <c r="H27" s="433" t="str">
        <f t="array" ref="H27">XLOOKUP(LCARS_Tech[BuffID],RawTech[BuffID],RawTech[Tag_NonArmadaHostiles])</f>
        <v>➖</v>
      </c>
      <c r="I27" s="433" t="str">
        <f t="array" ref="I27">XLOOKUP(LCARS_Tech[BuffID],RawTech[BuffID],RawTech[Tag_WaveDefense])</f>
        <v>➖</v>
      </c>
      <c r="J27" s="433" t="str">
        <f t="array" ref="J27">XLOOKUP(LCARS_Tech[BuffID],RawTech[BuffID],RawTech[Tag_QTrial])</f>
        <v>➖</v>
      </c>
      <c r="K27" s="433" t="str">
        <f t="array" ref="K27">XLOOKUP(LCARS_Tech[BuffID],RawTech[BuffID],RawTech[Tag_MissionBosses])</f>
        <v>➖</v>
      </c>
      <c r="L27" s="433" t="str">
        <f t="array" ref="L27">XLOOKUP(LCARS_Tech[BuffID],RawTech[BuffID],RawTech[Tag_GroupArmadas])</f>
        <v>➖</v>
      </c>
      <c r="M27" s="433" t="str">
        <f t="array" ref="M27">XLOOKUP(LCARS_Tech[BuffID],RawTech[BuffID],RawTech[Tag_SoloArmadas])</f>
        <v>➖</v>
      </c>
      <c r="N27" s="433" t="str">
        <f t="array" ref="N27">XLOOKUP(LCARS_Tech[BuffID],RawTech[BuffID],RawTech[Tag_InvadingEntities])</f>
        <v>➖</v>
      </c>
      <c r="O27" s="433" t="str">
        <f t="array" ref="O27">XLOOKUP(LCARS_Tech[BuffID],RawTech[BuffID],RawTech[Tag_Assaults])</f>
        <v>➖</v>
      </c>
      <c r="P27" s="434" t="str">
        <f t="array" ref="P27">XLOOKUP(LCARS_Tech[BuffID],RawTech[BuffID],RawTech[Tag_OutpostArmadas])</f>
        <v>➖</v>
      </c>
      <c r="Q27" s="416" t="str">
        <f t="array" ref="Q27">XLOOKUP(LCARS_Tech[BuffID],RawTech[BuffID],RawTech[Tag_OutpostRetaliators])</f>
        <v>➖</v>
      </c>
      <c r="R27" s="416" t="str">
        <f t="array" ref="R27">XLOOKUP(MasterTech!$AF$4:$AF$214,RawTech!$AO$2:$AO$212,RawTech!$AV$2:$AV$212)</f>
        <v/>
      </c>
      <c r="S27" s="433" t="str">
        <f t="array" ref="S27">XLOOKUP(MasterTech!$AF$4:$AF$214,RawTech!$AO$2:$AO$212,RawTech!$AK$2:$AK$212)</f>
        <v>➖</v>
      </c>
      <c r="T27" s="435" t="str">
        <f t="array" ref="T27">XLOOKUP(MasterTech!$AF$4:$AF$214,RawTech!$AO$2:$AO$212,RawTech!$AM$2:$AM$212)</f>
        <v>✅</v>
      </c>
      <c r="U27" s="438" t="str">
        <f t="array" ref="U27">XLOOKUP(MasterTech!$AF$4:$AF$214,RawTech!$AO$2:$AO$212,RawTech!$D$2:$D$212)</f>
        <v>CargoProtection</v>
      </c>
      <c r="V27" s="416" t="str">
        <f t="array" ref="V27">XLOOKUP(MasterTech!$AF$4:$AF$214,RawTech!$AO$2:$AO$212,RawTech!$I$2:$I$212)</f>
        <v/>
      </c>
      <c r="W27" s="437" t="str">
        <f t="array" ref="W27">XLOOKUP(MasterTech!$AF$4:$AF$214,RawTech!$AO$2:$AO$212,RawTech!$E$2:$E$212)</f>
        <v/>
      </c>
      <c r="X27" s="438" t="str">
        <f t="array" ref="X27">XLOOKUP(MasterTech!$AF$4:$AF$214,RawTech!$AO$2:$AO$212,RawTech!$F$2:$F$212)</f>
        <v>ShipLaunched</v>
      </c>
      <c r="Y27" s="438" t="str">
        <f t="array" ref="Y27">XLOOKUP(MasterTech!$AF$4:$AF$214,RawTech!$AO$2:$AO$212,RawTech!$G$2:$G$212)</f>
        <v>SelfShip</v>
      </c>
      <c r="Z27" s="438" t="str">
        <f t="array" ref="Z27">XLOOKUP(MasterTech!$AF$4:$AF$214,RawTech!$AO$2:$AO$212,RawTech!$H$2:$H$212)</f>
        <v>MultiplyAdd</v>
      </c>
      <c r="AA27" s="438" t="str">
        <f t="array" ref="AA27">XLOOKUP(MasterTech!$AF$4:$AF$214,RawTech!$AO$2:$AO$212,RawTech!$J$2:$J$212)</f>
        <v>Increases Protected Cargo X</v>
      </c>
      <c r="AB27" s="439"/>
      <c r="AC27" s="440"/>
      <c r="AD27" s="440"/>
      <c r="AE27" s="455">
        <f t="array" ref="AE27">XLOOKUP(MasterTech!$AF$4:$AF$214,RawTech!$AO$2:$AO$212,RawTech!$AR$2:$AR$212)</f>
        <v>8</v>
      </c>
      <c r="AF27" s="427">
        <v>2.55682826E8</v>
      </c>
      <c r="AG27" s="428"/>
      <c r="AH27" s="428"/>
      <c r="AI27" s="429"/>
      <c r="AJ27" s="430"/>
    </row>
    <row r="28" ht="37.5" customHeight="1">
      <c r="A28" s="415" t="str">
        <f t="array" ref="A28">LEFT(XLOOKUP(LCARS_Tech[BuffID],RawTech[BuffID],RawTech[TechRarity]), 1)</f>
        <v>R</v>
      </c>
      <c r="B28" s="420"/>
      <c r="C28" s="452" t="str">
        <f t="array" ref="C28">HYPERLINK("https://stfc.space/forbidden_and_chaos_tech/" &amp; XLOOKUP(MasterTech!$AF$4:$AF$214,RawTech!$AO$2:$AO$212,RawTech!$AQ$2:$AQ$212), XLOOKUP(MasterTech!$AF$4:$AF$214,RawTech!$AO$2:$AO$212,RawTech!$B$2:$B$212))</f>
        <v>Klingon Mining Drill</v>
      </c>
      <c r="D28" s="418">
        <f t="array" ref="D28">XLOOKUP(LCARS_Tech[BuffID],RawTech[BuffID],RawTech[BuffOrder])</f>
        <v>1</v>
      </c>
      <c r="E28" s="419" t="str">
        <f t="array" ref="E28">XLOOKUP(LCARS_Tech[BuffID],RawTech[BuffID],RawTech[TechType])</f>
        <v>FT</v>
      </c>
      <c r="F28" s="419" t="str">
        <f t="array" ref="F28">XLOOKUP(LCARS_Tech[BuffID],RawTech[BuffID],RawTech[Tag_PvPinSpace])</f>
        <v>➖</v>
      </c>
      <c r="G28" s="419" t="str">
        <f t="array" ref="G28">XLOOKUP(LCARS_Tech[BuffID],RawTech[BuffID],RawTech[Tag_PvPStation])</f>
        <v>➖</v>
      </c>
      <c r="H28" s="419" t="str">
        <f t="array" ref="H28">XLOOKUP(LCARS_Tech[BuffID],RawTech[BuffID],RawTech[Tag_NonArmadaHostiles])</f>
        <v>➖</v>
      </c>
      <c r="I28" s="419" t="str">
        <f t="array" ref="I28">XLOOKUP(LCARS_Tech[BuffID],RawTech[BuffID],RawTech[Tag_WaveDefense])</f>
        <v>➖</v>
      </c>
      <c r="J28" s="419" t="str">
        <f t="array" ref="J28">XLOOKUP(LCARS_Tech[BuffID],RawTech[BuffID],RawTech[Tag_QTrial])</f>
        <v>➖</v>
      </c>
      <c r="K28" s="419" t="str">
        <f t="array" ref="K28">XLOOKUP(LCARS_Tech[BuffID],RawTech[BuffID],RawTech[Tag_MissionBosses])</f>
        <v>➖</v>
      </c>
      <c r="L28" s="419" t="str">
        <f t="array" ref="L28">XLOOKUP(LCARS_Tech[BuffID],RawTech[BuffID],RawTech[Tag_GroupArmadas])</f>
        <v>➖</v>
      </c>
      <c r="M28" s="419" t="str">
        <f t="array" ref="M28">XLOOKUP(LCARS_Tech[BuffID],RawTech[BuffID],RawTech[Tag_SoloArmadas])</f>
        <v>➖</v>
      </c>
      <c r="N28" s="419" t="str">
        <f t="array" ref="N28">XLOOKUP(LCARS_Tech[BuffID],RawTech[BuffID],RawTech[Tag_InvadingEntities])</f>
        <v>➖</v>
      </c>
      <c r="O28" s="419" t="str">
        <f t="array" ref="O28">XLOOKUP(LCARS_Tech[BuffID],RawTech[BuffID],RawTech[Tag_Assaults])</f>
        <v>➖</v>
      </c>
      <c r="P28" s="442" t="str">
        <f t="array" ref="P28">XLOOKUP(LCARS_Tech[BuffID],RawTech[BuffID],RawTech[Tag_OutpostArmadas])</f>
        <v>➖</v>
      </c>
      <c r="Q28" s="420" t="str">
        <f t="array" ref="Q28">XLOOKUP(LCARS_Tech[BuffID],RawTech[BuffID],RawTech[Tag_OutpostRetaliators])</f>
        <v>➖</v>
      </c>
      <c r="R28" s="420" t="str">
        <f t="array" ref="R28">XLOOKUP(MasterTech!$AF$4:$AF$214,RawTech!$AO$2:$AO$212,RawTech!$AV$2:$AV$212)</f>
        <v/>
      </c>
      <c r="S28" s="419" t="str">
        <f t="array" ref="S28">XLOOKUP(MasterTech!$AF$4:$AF$214,RawTech!$AO$2:$AO$212,RawTech!$AK$2:$AK$212)</f>
        <v>➖</v>
      </c>
      <c r="T28" s="422" t="str">
        <f t="array" ref="T28">XLOOKUP(MasterTech!$AF$4:$AF$214,RawTech!$AO$2:$AO$212,RawTech!$AM$2:$AM$212)</f>
        <v>✅</v>
      </c>
      <c r="U28" s="423" t="str">
        <f t="array" ref="U28">XLOOKUP(MasterTech!$AF$4:$AF$214,RawTech!$AO$2:$AO$212,RawTech!$D$2:$D$212)</f>
        <v>MiningRate</v>
      </c>
      <c r="V28" s="423" t="str">
        <f t="array" ref="V28">XLOOKUP(MasterTech!$AF$4:$AF$214,RawTech!$AO$2:$AO$212,RawTech!$I$2:$I$212)</f>
        <v>resources=[1371898528, 680796905, 3735331456, 3598797204, 3739531165, 2285412015]</v>
      </c>
      <c r="W28" s="421" t="str">
        <f t="array" ref="W28">XLOOKUP(MasterTech!$AF$4:$AF$214,RawTech!$AO$2:$AO$212,RawTech!$E$2:$E$212)</f>
        <v/>
      </c>
      <c r="X28" s="423" t="str">
        <f t="array" ref="X28">XLOOKUP(MasterTech!$AF$4:$AF$214,RawTech!$AO$2:$AO$212,RawTech!$F$2:$F$212)</f>
        <v>ShipLaunched</v>
      </c>
      <c r="Y28" s="423" t="str">
        <f t="array" ref="Y28">XLOOKUP(MasterTech!$AF$4:$AF$214,RawTech!$AO$2:$AO$212,RawTech!$G$2:$G$212)</f>
        <v>SelfShip</v>
      </c>
      <c r="Z28" s="423" t="str">
        <f t="array" ref="Z28">XLOOKUP(MasterTech!$AF$4:$AF$214,RawTech!$AO$2:$AO$212,RawTech!$H$2:$H$212)</f>
        <v>MultiplyAdd</v>
      </c>
      <c r="AA28" s="423" t="str">
        <f t="array" ref="AA28">XLOOKUP(MasterTech!$AF$4:$AF$214,RawTech!$AO$2:$AO$212,RawTech!$J$2:$J$212)</f>
        <v>Increases Crystal Mining rate X</v>
      </c>
      <c r="AB28" s="424"/>
      <c r="AC28" s="425"/>
      <c r="AD28" s="425"/>
      <c r="AE28" s="453">
        <f t="array" ref="AE28">XLOOKUP(MasterTech!$AF$4:$AF$214,RawTech!$AO$2:$AO$212,RawTech!$AR$2:$AR$212)</f>
        <v>9</v>
      </c>
      <c r="AF28" s="427">
        <v>8.62629388E8</v>
      </c>
      <c r="AG28" s="428"/>
      <c r="AH28" s="428"/>
      <c r="AI28" s="429"/>
      <c r="AJ28" s="430"/>
    </row>
    <row r="29" ht="37.5" customHeight="1">
      <c r="A29" s="415" t="str">
        <f t="array" ref="A29">LEFT(XLOOKUP(LCARS_Tech[BuffID],RawTech[BuffID],RawTech[TechRarity]), 1)</f>
        <v>R</v>
      </c>
      <c r="B29" s="416"/>
      <c r="C29" s="454" t="str">
        <f t="array" ref="C29">HYPERLINK("https://stfc.space/forbidden_and_chaos_tech/" &amp; XLOOKUP(MasterTech!$AF$4:$AF$214,RawTech!$AO$2:$AO$212,RawTech!$AQ$2:$AQ$212), XLOOKUP(MasterTech!$AF$4:$AF$214,RawTech!$AO$2:$AO$212,RawTech!$B$2:$B$212))</f>
        <v>Klingon Mining Drill</v>
      </c>
      <c r="D29" s="432">
        <f t="array" ref="D29">XLOOKUP(LCARS_Tech[BuffID],RawTech[BuffID],RawTech[BuffOrder])</f>
        <v>2</v>
      </c>
      <c r="E29" s="433" t="str">
        <f t="array" ref="E29">XLOOKUP(LCARS_Tech[BuffID],RawTech[BuffID],RawTech[TechType])</f>
        <v>FT</v>
      </c>
      <c r="F29" s="433" t="str">
        <f t="array" ref="F29">XLOOKUP(LCARS_Tech[BuffID],RawTech[BuffID],RawTech[Tag_PvPinSpace])</f>
        <v>➖</v>
      </c>
      <c r="G29" s="433" t="str">
        <f t="array" ref="G29">XLOOKUP(LCARS_Tech[BuffID],RawTech[BuffID],RawTech[Tag_PvPStation])</f>
        <v>➖</v>
      </c>
      <c r="H29" s="433" t="str">
        <f t="array" ref="H29">XLOOKUP(LCARS_Tech[BuffID],RawTech[BuffID],RawTech[Tag_NonArmadaHostiles])</f>
        <v>➖</v>
      </c>
      <c r="I29" s="433" t="str">
        <f t="array" ref="I29">XLOOKUP(LCARS_Tech[BuffID],RawTech[BuffID],RawTech[Tag_WaveDefense])</f>
        <v>➖</v>
      </c>
      <c r="J29" s="433" t="str">
        <f t="array" ref="J29">XLOOKUP(LCARS_Tech[BuffID],RawTech[BuffID],RawTech[Tag_QTrial])</f>
        <v>➖</v>
      </c>
      <c r="K29" s="433" t="str">
        <f t="array" ref="K29">XLOOKUP(LCARS_Tech[BuffID],RawTech[BuffID],RawTech[Tag_MissionBosses])</f>
        <v>➖</v>
      </c>
      <c r="L29" s="433" t="str">
        <f t="array" ref="L29">XLOOKUP(LCARS_Tech[BuffID],RawTech[BuffID],RawTech[Tag_GroupArmadas])</f>
        <v>➖</v>
      </c>
      <c r="M29" s="433" t="str">
        <f t="array" ref="M29">XLOOKUP(LCARS_Tech[BuffID],RawTech[BuffID],RawTech[Tag_SoloArmadas])</f>
        <v>➖</v>
      </c>
      <c r="N29" s="433" t="str">
        <f t="array" ref="N29">XLOOKUP(LCARS_Tech[BuffID],RawTech[BuffID],RawTech[Tag_InvadingEntities])</f>
        <v>➖</v>
      </c>
      <c r="O29" s="433" t="str">
        <f t="array" ref="O29">XLOOKUP(LCARS_Tech[BuffID],RawTech[BuffID],RawTech[Tag_Assaults])</f>
        <v>➖</v>
      </c>
      <c r="P29" s="434" t="str">
        <f t="array" ref="P29">XLOOKUP(LCARS_Tech[BuffID],RawTech[BuffID],RawTech[Tag_OutpostArmadas])</f>
        <v>➖</v>
      </c>
      <c r="Q29" s="416" t="str">
        <f t="array" ref="Q29">XLOOKUP(LCARS_Tech[BuffID],RawTech[BuffID],RawTech[Tag_OutpostRetaliators])</f>
        <v>➖</v>
      </c>
      <c r="R29" s="416" t="str">
        <f t="array" ref="R29">XLOOKUP(MasterTech!$AF$4:$AF$214,RawTech!$AO$2:$AO$212,RawTech!$AV$2:$AV$212)</f>
        <v/>
      </c>
      <c r="S29" s="433" t="str">
        <f t="array" ref="S29">XLOOKUP(MasterTech!$AF$4:$AF$214,RawTech!$AO$2:$AO$212,RawTech!$AK$2:$AK$212)</f>
        <v>➖</v>
      </c>
      <c r="T29" s="435" t="str">
        <f t="array" ref="T29">XLOOKUP(MasterTech!$AF$4:$AF$214,RawTech!$AO$2:$AO$212,RawTech!$AM$2:$AM$212)</f>
        <v>✅</v>
      </c>
      <c r="U29" s="438" t="str">
        <f t="array" ref="U29">XLOOKUP(MasterTech!$AF$4:$AF$214,RawTech!$AO$2:$AO$212,RawTech!$D$2:$D$212)</f>
        <v>CargoCapacity</v>
      </c>
      <c r="V29" s="416" t="str">
        <f t="array" ref="V29">XLOOKUP(MasterTech!$AF$4:$AF$214,RawTech!$AO$2:$AO$212,RawTech!$I$2:$I$212)</f>
        <v/>
      </c>
      <c r="W29" s="437" t="str">
        <f t="array" ref="W29">XLOOKUP(MasterTech!$AF$4:$AF$214,RawTech!$AO$2:$AO$212,RawTech!$E$2:$E$212)</f>
        <v/>
      </c>
      <c r="X29" s="438" t="str">
        <f t="array" ref="X29">XLOOKUP(MasterTech!$AF$4:$AF$214,RawTech!$AO$2:$AO$212,RawTech!$F$2:$F$212)</f>
        <v>ShipLaunched</v>
      </c>
      <c r="Y29" s="438" t="str">
        <f t="array" ref="Y29">XLOOKUP(MasterTech!$AF$4:$AF$214,RawTech!$AO$2:$AO$212,RawTech!$G$2:$G$212)</f>
        <v>SelfShip</v>
      </c>
      <c r="Z29" s="438" t="str">
        <f t="array" ref="Z29">XLOOKUP(MasterTech!$AF$4:$AF$214,RawTech!$AO$2:$AO$212,RawTech!$H$2:$H$212)</f>
        <v>MultiplyAdd</v>
      </c>
      <c r="AA29" s="438" t="str">
        <f t="array" ref="AA29">XLOOKUP(MasterTech!$AF$4:$AF$214,RawTech!$AO$2:$AO$212,RawTech!$J$2:$J$212)</f>
        <v>Increases Cargo capacity X</v>
      </c>
      <c r="AB29" s="439"/>
      <c r="AC29" s="440"/>
      <c r="AD29" s="440"/>
      <c r="AE29" s="455">
        <f t="array" ref="AE29">XLOOKUP(MasterTech!$AF$4:$AF$214,RawTech!$AO$2:$AO$212,RawTech!$AR$2:$AR$212)</f>
        <v>9</v>
      </c>
      <c r="AF29" s="427">
        <v>2.446284329E9</v>
      </c>
      <c r="AG29" s="428"/>
      <c r="AH29" s="428"/>
      <c r="AI29" s="429"/>
      <c r="AJ29" s="430"/>
    </row>
    <row r="30" ht="37.5" customHeight="1">
      <c r="A30" s="415" t="str">
        <f t="array" ref="A30">LEFT(XLOOKUP(LCARS_Tech[BuffID],RawTech[BuffID],RawTech[TechRarity]), 1)</f>
        <v>R</v>
      </c>
      <c r="B30" s="420"/>
      <c r="C30" s="452" t="str">
        <f t="array" ref="C30">HYPERLINK("https://stfc.space/forbidden_and_chaos_tech/" &amp; XLOOKUP(MasterTech!$AF$4:$AF$214,RawTech!$AO$2:$AO$212,RawTech!$AQ$2:$AQ$212), XLOOKUP(MasterTech!$AF$4:$AF$214,RawTech!$AO$2:$AO$212,RawTech!$B$2:$B$212))</f>
        <v>Klingon Mining Drill</v>
      </c>
      <c r="D30" s="418">
        <f t="array" ref="D30">XLOOKUP(LCARS_Tech[BuffID],RawTech[BuffID],RawTech[BuffOrder])</f>
        <v>3</v>
      </c>
      <c r="E30" s="419" t="str">
        <f t="array" ref="E30">XLOOKUP(LCARS_Tech[BuffID],RawTech[BuffID],RawTech[TechType])</f>
        <v>FT</v>
      </c>
      <c r="F30" s="419" t="str">
        <f t="array" ref="F30">XLOOKUP(LCARS_Tech[BuffID],RawTech[BuffID],RawTech[Tag_PvPinSpace])</f>
        <v>➖</v>
      </c>
      <c r="G30" s="419" t="str">
        <f t="array" ref="G30">XLOOKUP(LCARS_Tech[BuffID],RawTech[BuffID],RawTech[Tag_PvPStation])</f>
        <v>➖</v>
      </c>
      <c r="H30" s="419" t="str">
        <f t="array" ref="H30">XLOOKUP(LCARS_Tech[BuffID],RawTech[BuffID],RawTech[Tag_NonArmadaHostiles])</f>
        <v>➖</v>
      </c>
      <c r="I30" s="419" t="str">
        <f t="array" ref="I30">XLOOKUP(LCARS_Tech[BuffID],RawTech[BuffID],RawTech[Tag_WaveDefense])</f>
        <v>➖</v>
      </c>
      <c r="J30" s="419" t="str">
        <f t="array" ref="J30">XLOOKUP(LCARS_Tech[BuffID],RawTech[BuffID],RawTech[Tag_QTrial])</f>
        <v>➖</v>
      </c>
      <c r="K30" s="419" t="str">
        <f t="array" ref="K30">XLOOKUP(LCARS_Tech[BuffID],RawTech[BuffID],RawTech[Tag_MissionBosses])</f>
        <v>➖</v>
      </c>
      <c r="L30" s="419" t="str">
        <f t="array" ref="L30">XLOOKUP(LCARS_Tech[BuffID],RawTech[BuffID],RawTech[Tag_GroupArmadas])</f>
        <v>➖</v>
      </c>
      <c r="M30" s="419" t="str">
        <f t="array" ref="M30">XLOOKUP(LCARS_Tech[BuffID],RawTech[BuffID],RawTech[Tag_SoloArmadas])</f>
        <v>➖</v>
      </c>
      <c r="N30" s="419" t="str">
        <f t="array" ref="N30">XLOOKUP(LCARS_Tech[BuffID],RawTech[BuffID],RawTech[Tag_InvadingEntities])</f>
        <v>➖</v>
      </c>
      <c r="O30" s="419" t="str">
        <f t="array" ref="O30">XLOOKUP(LCARS_Tech[BuffID],RawTech[BuffID],RawTech[Tag_Assaults])</f>
        <v>➖</v>
      </c>
      <c r="P30" s="442" t="str">
        <f t="array" ref="P30">XLOOKUP(LCARS_Tech[BuffID],RawTech[BuffID],RawTech[Tag_OutpostArmadas])</f>
        <v>➖</v>
      </c>
      <c r="Q30" s="420" t="str">
        <f t="array" ref="Q30">XLOOKUP(LCARS_Tech[BuffID],RawTech[BuffID],RawTech[Tag_OutpostRetaliators])</f>
        <v>➖</v>
      </c>
      <c r="R30" s="420" t="str">
        <f t="array" ref="R30">XLOOKUP(MasterTech!$AF$4:$AF$214,RawTech!$AO$2:$AO$212,RawTech!$AV$2:$AV$212)</f>
        <v/>
      </c>
      <c r="S30" s="419" t="str">
        <f t="array" ref="S30">XLOOKUP(MasterTech!$AF$4:$AF$214,RawTech!$AO$2:$AO$212,RawTech!$AK$2:$AK$212)</f>
        <v>➖</v>
      </c>
      <c r="T30" s="422" t="str">
        <f t="array" ref="T30">XLOOKUP(MasterTech!$AF$4:$AF$214,RawTech!$AO$2:$AO$212,RawTech!$AM$2:$AM$212)</f>
        <v>✅</v>
      </c>
      <c r="U30" s="423" t="str">
        <f t="array" ref="U30">XLOOKUP(MasterTech!$AF$4:$AF$214,RawTech!$AO$2:$AO$212,RawTech!$D$2:$D$212)</f>
        <v>MiningRate</v>
      </c>
      <c r="V30" s="423" t="str">
        <f t="array" ref="V30">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30" s="421" t="str">
        <f t="array" ref="W30">XLOOKUP(MasterTech!$AF$4:$AF$214,RawTech!$AO$2:$AO$212,RawTech!$E$2:$E$212)</f>
        <v/>
      </c>
      <c r="X30" s="423" t="str">
        <f t="array" ref="X30">XLOOKUP(MasterTech!$AF$4:$AF$214,RawTech!$AO$2:$AO$212,RawTech!$F$2:$F$212)</f>
        <v>ShipLaunched</v>
      </c>
      <c r="Y30" s="423" t="str">
        <f t="array" ref="Y30">XLOOKUP(MasterTech!$AF$4:$AF$214,RawTech!$AO$2:$AO$212,RawTech!$G$2:$G$212)</f>
        <v>SelfShip</v>
      </c>
      <c r="Z30" s="423" t="str">
        <f t="array" ref="Z30">XLOOKUP(MasterTech!$AF$4:$AF$214,RawTech!$AO$2:$AO$212,RawTech!$H$2:$H$212)</f>
        <v>MultiplyAdd</v>
      </c>
      <c r="AA30" s="423" t="str">
        <f t="array" ref="AA30">XLOOKUP(MasterTech!$AF$4:$AF$214,RawTech!$AO$2:$AO$212,RawTech!$J$2:$J$212)</f>
        <v>Increases Mining rate X</v>
      </c>
      <c r="AB30" s="424"/>
      <c r="AC30" s="425"/>
      <c r="AD30" s="425"/>
      <c r="AE30" s="453">
        <f t="array" ref="AE30">XLOOKUP(MasterTech!$AF$4:$AF$214,RawTech!$AO$2:$AO$212,RawTech!$AR$2:$AR$212)</f>
        <v>9</v>
      </c>
      <c r="AF30" s="427">
        <v>5.5128439E7</v>
      </c>
      <c r="AG30" s="428"/>
      <c r="AH30" s="428"/>
      <c r="AI30" s="429"/>
      <c r="AJ30" s="430"/>
    </row>
    <row r="31" ht="37.5" customHeight="1">
      <c r="A31" s="415" t="str">
        <f t="array" ref="A31">LEFT(XLOOKUP(LCARS_Tech[BuffID],RawTech[BuffID],RawTech[TechRarity]), 1)</f>
        <v>R</v>
      </c>
      <c r="B31" s="416"/>
      <c r="C31" s="454" t="str">
        <f t="array" ref="C31">HYPERLINK("https://stfc.space/forbidden_and_chaos_tech/" &amp; XLOOKUP(MasterTech!$AF$4:$AF$214,RawTech!$AO$2:$AO$212,RawTech!$AQ$2:$AQ$212), XLOOKUP(MasterTech!$AF$4:$AF$214,RawTech!$AO$2:$AO$212,RawTech!$B$2:$B$212))</f>
        <v>Klingon Mining Drill</v>
      </c>
      <c r="D31" s="432">
        <f t="array" ref="D31">XLOOKUP(LCARS_Tech[BuffID],RawTech[BuffID],RawTech[BuffOrder])</f>
        <v>4</v>
      </c>
      <c r="E31" s="433" t="str">
        <f t="array" ref="E31">XLOOKUP(LCARS_Tech[BuffID],RawTech[BuffID],RawTech[TechType])</f>
        <v>FT</v>
      </c>
      <c r="F31" s="433" t="str">
        <f t="array" ref="F31">XLOOKUP(LCARS_Tech[BuffID],RawTech[BuffID],RawTech[Tag_PvPinSpace])</f>
        <v>➖</v>
      </c>
      <c r="G31" s="433" t="str">
        <f t="array" ref="G31">XLOOKUP(LCARS_Tech[BuffID],RawTech[BuffID],RawTech[Tag_PvPStation])</f>
        <v>➖</v>
      </c>
      <c r="H31" s="433" t="str">
        <f t="array" ref="H31">XLOOKUP(LCARS_Tech[BuffID],RawTech[BuffID],RawTech[Tag_NonArmadaHostiles])</f>
        <v>➖</v>
      </c>
      <c r="I31" s="433" t="str">
        <f t="array" ref="I31">XLOOKUP(LCARS_Tech[BuffID],RawTech[BuffID],RawTech[Tag_WaveDefense])</f>
        <v>➖</v>
      </c>
      <c r="J31" s="433" t="str">
        <f t="array" ref="J31">XLOOKUP(LCARS_Tech[BuffID],RawTech[BuffID],RawTech[Tag_QTrial])</f>
        <v>➖</v>
      </c>
      <c r="K31" s="433" t="str">
        <f t="array" ref="K31">XLOOKUP(LCARS_Tech[BuffID],RawTech[BuffID],RawTech[Tag_MissionBosses])</f>
        <v>➖</v>
      </c>
      <c r="L31" s="433" t="str">
        <f t="array" ref="L31">XLOOKUP(LCARS_Tech[BuffID],RawTech[BuffID],RawTech[Tag_GroupArmadas])</f>
        <v>➖</v>
      </c>
      <c r="M31" s="433" t="str">
        <f t="array" ref="M31">XLOOKUP(LCARS_Tech[BuffID],RawTech[BuffID],RawTech[Tag_SoloArmadas])</f>
        <v>➖</v>
      </c>
      <c r="N31" s="433" t="str">
        <f t="array" ref="N31">XLOOKUP(LCARS_Tech[BuffID],RawTech[BuffID],RawTech[Tag_InvadingEntities])</f>
        <v>➖</v>
      </c>
      <c r="O31" s="433" t="str">
        <f t="array" ref="O31">XLOOKUP(LCARS_Tech[BuffID],RawTech[BuffID],RawTech[Tag_Assaults])</f>
        <v>➖</v>
      </c>
      <c r="P31" s="434" t="str">
        <f t="array" ref="P31">XLOOKUP(LCARS_Tech[BuffID],RawTech[BuffID],RawTech[Tag_OutpostArmadas])</f>
        <v>➖</v>
      </c>
      <c r="Q31" s="416" t="str">
        <f t="array" ref="Q31">XLOOKUP(LCARS_Tech[BuffID],RawTech[BuffID],RawTech[Tag_OutpostRetaliators])</f>
        <v>➖</v>
      </c>
      <c r="R31" s="416" t="str">
        <f t="array" ref="R31">XLOOKUP(MasterTech!$AF$4:$AF$214,RawTech!$AO$2:$AO$212,RawTech!$AV$2:$AV$212)</f>
        <v/>
      </c>
      <c r="S31" s="433" t="str">
        <f t="array" ref="S31">XLOOKUP(MasterTech!$AF$4:$AF$214,RawTech!$AO$2:$AO$212,RawTech!$AK$2:$AK$212)</f>
        <v>➖</v>
      </c>
      <c r="T31" s="435" t="str">
        <f t="array" ref="T31">XLOOKUP(MasterTech!$AF$4:$AF$214,RawTech!$AO$2:$AO$212,RawTech!$AM$2:$AM$212)</f>
        <v>✅</v>
      </c>
      <c r="U31" s="438" t="str">
        <f t="array" ref="U31">XLOOKUP(MasterTech!$AF$4:$AF$214,RawTech!$AO$2:$AO$212,RawTech!$D$2:$D$212)</f>
        <v>CargoProtection</v>
      </c>
      <c r="V31" s="416" t="str">
        <f t="array" ref="V31">XLOOKUP(MasterTech!$AF$4:$AF$214,RawTech!$AO$2:$AO$212,RawTech!$I$2:$I$212)</f>
        <v/>
      </c>
      <c r="W31" s="437" t="str">
        <f t="array" ref="W31">XLOOKUP(MasterTech!$AF$4:$AF$214,RawTech!$AO$2:$AO$212,RawTech!$E$2:$E$212)</f>
        <v/>
      </c>
      <c r="X31" s="438" t="str">
        <f t="array" ref="X31">XLOOKUP(MasterTech!$AF$4:$AF$214,RawTech!$AO$2:$AO$212,RawTech!$F$2:$F$212)</f>
        <v>ShipLaunched</v>
      </c>
      <c r="Y31" s="438" t="str">
        <f t="array" ref="Y31">XLOOKUP(MasterTech!$AF$4:$AF$214,RawTech!$AO$2:$AO$212,RawTech!$G$2:$G$212)</f>
        <v>SelfShip</v>
      </c>
      <c r="Z31" s="438" t="str">
        <f t="array" ref="Z31">XLOOKUP(MasterTech!$AF$4:$AF$214,RawTech!$AO$2:$AO$212,RawTech!$H$2:$H$212)</f>
        <v>MultiplyAdd</v>
      </c>
      <c r="AA31" s="438" t="str">
        <f t="array" ref="AA31">XLOOKUP(MasterTech!$AF$4:$AF$214,RawTech!$AO$2:$AO$212,RawTech!$J$2:$J$212)</f>
        <v>Increases Protected Cargo X</v>
      </c>
      <c r="AB31" s="439"/>
      <c r="AC31" s="440"/>
      <c r="AD31" s="440"/>
      <c r="AE31" s="455">
        <f t="array" ref="AE31">XLOOKUP(MasterTech!$AF$4:$AF$214,RawTech!$AO$2:$AO$212,RawTech!$AR$2:$AR$212)</f>
        <v>9</v>
      </c>
      <c r="AF31" s="427">
        <v>2.753903607E9</v>
      </c>
      <c r="AG31" s="428"/>
      <c r="AH31" s="428"/>
      <c r="AI31" s="429"/>
      <c r="AJ31" s="430"/>
    </row>
    <row r="32" ht="37.5" customHeight="1">
      <c r="A32" s="415" t="str">
        <f t="array" ref="A32">LEFT(XLOOKUP(LCARS_Tech[BuffID],RawTech[BuffID],RawTech[TechRarity]), 1)</f>
        <v>R</v>
      </c>
      <c r="B32" s="420"/>
      <c r="C32" s="417" t="str">
        <f t="array" ref="C32">HYPERLINK("https://stfc.space/forbidden_and_chaos_tech/" &amp; XLOOKUP(LCARS_Tech[BuffID],RawTech[BuffID],RawTech[TechId]), XLOOKUP(LCARS_Tech[BuffID],RawTech[BuffID],RawTech[TechName]))</f>
        <v>Borg Alcove</v>
      </c>
      <c r="D32" s="418">
        <f t="array" ref="D32">XLOOKUP(LCARS_Tech[BuffID],RawTech[BuffID],RawTech[BuffOrder])</f>
        <v>1</v>
      </c>
      <c r="E32" s="419" t="str">
        <f t="array" ref="E32">XLOOKUP(LCARS_Tech[BuffID],RawTech[BuffID],RawTech[TechType])</f>
        <v>FT</v>
      </c>
      <c r="F32" s="419" t="str">
        <f t="array" ref="F32">XLOOKUP(LCARS_Tech[BuffID],RawTech[BuffID],RawTech[Tag_PvPinSpace])</f>
        <v>➖</v>
      </c>
      <c r="G32" s="419" t="str">
        <f t="array" ref="G32">XLOOKUP(LCARS_Tech[BuffID],RawTech[BuffID],RawTech[Tag_PvPStation])</f>
        <v>➖</v>
      </c>
      <c r="H32" s="419" t="str">
        <f t="array" ref="H32">XLOOKUP(LCARS_Tech[BuffID],RawTech[BuffID],RawTech[Tag_NonArmadaHostiles])</f>
        <v>✴️</v>
      </c>
      <c r="I32" s="419" t="str">
        <f t="array" ref="I32">XLOOKUP(LCARS_Tech[BuffID],RawTech[BuffID],RawTech[Tag_WaveDefense])</f>
        <v>✴️</v>
      </c>
      <c r="J32" s="419" t="str">
        <f t="array" ref="J32">XLOOKUP(LCARS_Tech[BuffID],RawTech[BuffID],RawTech[Tag_QTrial])</f>
        <v>✴️</v>
      </c>
      <c r="K32" s="419" t="str">
        <f t="array" ref="K32">XLOOKUP(LCARS_Tech[BuffID],RawTech[BuffID],RawTech[Tag_MissionBosses])</f>
        <v>✴️</v>
      </c>
      <c r="L32" s="419" t="str">
        <f t="array" ref="L32">XLOOKUP(LCARS_Tech[BuffID],RawTech[BuffID],RawTech[Tag_GroupArmadas])</f>
        <v>✴️</v>
      </c>
      <c r="M32" s="419" t="str">
        <f t="array" ref="M32">XLOOKUP(LCARS_Tech[BuffID],RawTech[BuffID],RawTech[Tag_SoloArmadas])</f>
        <v>✴️</v>
      </c>
      <c r="N32" s="419" t="str">
        <f t="array" ref="N32">XLOOKUP(LCARS_Tech[BuffID],RawTech[BuffID],RawTech[Tag_InvadingEntities])</f>
        <v>➖</v>
      </c>
      <c r="O32" s="419" t="str">
        <f t="array" ref="O32">XLOOKUP(LCARS_Tech[BuffID],RawTech[BuffID],RawTech[Tag_Assaults])</f>
        <v>✴️</v>
      </c>
      <c r="P32" s="442" t="str">
        <f t="array" ref="P32">XLOOKUP(LCARS_Tech[BuffID],RawTech[BuffID],RawTech[Tag_OutpostArmadas])</f>
        <v>➖</v>
      </c>
      <c r="Q32" s="450" t="str">
        <f t="array" ref="Q32">XLOOKUP(LCARS_Tech[BuffID],RawTech[BuffID],RawTech[Tag_OutpostRetaliators])</f>
        <v>➖</v>
      </c>
      <c r="R32" s="450" t="str">
        <f t="array" ref="R32">XLOOKUP(MasterTech!$AF$4:$AF$214,RawTech!$AO$2:$AO$212,RawTech!$AV$2:$AV$212)</f>
        <v>DeltaQuadrant</v>
      </c>
      <c r="S32" s="419" t="str">
        <f t="array" ref="S32">XLOOKUP(MasterTech!$AF$4:$AF$214,RawTech!$AO$2:$AO$212,RawTech!$AK$2:$AK$212)</f>
        <v>➖</v>
      </c>
      <c r="T32" s="422" t="str">
        <f t="array" ref="T32">XLOOKUP(MasterTech!$AF$4:$AF$214,RawTech!$AO$2:$AO$212,RawTech!$AM$2:$AM$212)</f>
        <v>➖</v>
      </c>
      <c r="U32" s="423" t="str">
        <f t="array" ref="U32">XLOOKUP(MasterTech!$AF$4:$AF$214,RawTech!$AO$2:$AO$212,RawTech!$D$2:$D$212)</f>
        <v>CritChance</v>
      </c>
      <c r="V32" s="423" t="str">
        <f t="array" ref="V32">XLOOKUP(MasterTech!$AF$4:$AF$214,RawTech!$AO$2:$AO$212,RawTech!$I$2:$I$212)</f>
        <v>faction_id=2385047502</v>
      </c>
      <c r="W32" s="443" t="str">
        <f t="array" ref="W32">XLOOKUP(MasterTech!$AF$4:$AF$214,RawTech!$AO$2:$AO$212,RawTech!$E$2:$E$212)</f>
        <v>EnemyHullFaction</v>
      </c>
      <c r="X32" s="423" t="str">
        <f t="array" ref="X32">XLOOKUP(MasterTech!$AF$4:$AF$214,RawTech!$AO$2:$AO$212,RawTech!$F$2:$F$212)</f>
        <v>CombatStart</v>
      </c>
      <c r="Y32" s="423" t="str">
        <f t="array" ref="Y32">XLOOKUP(MasterTech!$AF$4:$AF$214,RawTech!$AO$2:$AO$212,RawTech!$G$2:$G$212)</f>
        <v>SelfShip</v>
      </c>
      <c r="Z32" s="423" t="str">
        <f t="array" ref="Z32">XLOOKUP(MasterTech!$AF$4:$AF$214,RawTech!$AO$2:$AO$212,RawTech!$H$2:$H$212)</f>
        <v>Add</v>
      </c>
      <c r="AA32" s="423" t="str">
        <f t="array" ref="AA32">XLOOKUP(MasterTech!$AF$4:$AF$214,RawTech!$AO$2:$AO$212,RawTech!$J$2:$J$212)</f>
        <v>Increases Voyager Critical Hit chance against Delta Quadrant hostiles X</v>
      </c>
      <c r="AB32" s="424"/>
      <c r="AC32" s="425"/>
      <c r="AD32" s="425"/>
      <c r="AE32" s="453">
        <f t="array" ref="AE32">XLOOKUP(MasterTech!$AF$4:$AF$214,RawTech!$AO$2:$AO$212,RawTech!$AR$2:$AR$212)</f>
        <v>10</v>
      </c>
      <c r="AF32" s="427">
        <v>3.097069859E9</v>
      </c>
      <c r="AG32" s="428"/>
      <c r="AH32" s="428"/>
      <c r="AI32" s="429"/>
      <c r="AJ32" s="430"/>
    </row>
    <row r="33" ht="37.5" customHeight="1">
      <c r="A33" s="415" t="str">
        <f t="array" ref="A33">LEFT(XLOOKUP(LCARS_Tech[BuffID],RawTech[BuffID],RawTech[TechRarity]), 1)</f>
        <v>R</v>
      </c>
      <c r="B33" s="416"/>
      <c r="C33" s="454" t="str">
        <f t="array" ref="C33">HYPERLINK("https://stfc.space/forbidden_and_chaos_tech/" &amp; XLOOKUP(MasterTech!$AF$4:$AF$214,RawTech!$AO$2:$AO$212,RawTech!$AQ$2:$AQ$212), XLOOKUP(MasterTech!$AF$4:$AF$214,RawTech!$AO$2:$AO$212,RawTech!$B$2:$B$212))</f>
        <v>Borg Alcove</v>
      </c>
      <c r="D33" s="432">
        <f t="array" ref="D33">XLOOKUP(LCARS_Tech[BuffID],RawTech[BuffID],RawTech[BuffOrder])</f>
        <v>2</v>
      </c>
      <c r="E33" s="433" t="str">
        <f t="array" ref="E33">XLOOKUP(LCARS_Tech[BuffID],RawTech[BuffID],RawTech[TechType])</f>
        <v>FT</v>
      </c>
      <c r="F33" s="433" t="str">
        <f t="array" ref="F33">XLOOKUP(LCARS_Tech[BuffID],RawTech[BuffID],RawTech[Tag_PvPinSpace])</f>
        <v>➖</v>
      </c>
      <c r="G33" s="433" t="str">
        <f t="array" ref="G33">XLOOKUP(LCARS_Tech[BuffID],RawTech[BuffID],RawTech[Tag_PvPStation])</f>
        <v>➖</v>
      </c>
      <c r="H33" s="433" t="str">
        <f t="array" ref="H33">XLOOKUP(LCARS_Tech[BuffID],RawTech[BuffID],RawTech[Tag_NonArmadaHostiles])</f>
        <v>➖</v>
      </c>
      <c r="I33" s="433" t="str">
        <f t="array" ref="I33">XLOOKUP(LCARS_Tech[BuffID],RawTech[BuffID],RawTech[Tag_WaveDefense])</f>
        <v>➖</v>
      </c>
      <c r="J33" s="433" t="str">
        <f t="array" ref="J33">XLOOKUP(LCARS_Tech[BuffID],RawTech[BuffID],RawTech[Tag_QTrial])</f>
        <v>➖</v>
      </c>
      <c r="K33" s="433" t="str">
        <f t="array" ref="K33">XLOOKUP(LCARS_Tech[BuffID],RawTech[BuffID],RawTech[Tag_MissionBosses])</f>
        <v>➖</v>
      </c>
      <c r="L33" s="433" t="str">
        <f t="array" ref="L33">XLOOKUP(LCARS_Tech[BuffID],RawTech[BuffID],RawTech[Tag_GroupArmadas])</f>
        <v>➖</v>
      </c>
      <c r="M33" s="433" t="str">
        <f t="array" ref="M33">XLOOKUP(LCARS_Tech[BuffID],RawTech[BuffID],RawTech[Tag_SoloArmadas])</f>
        <v>➖</v>
      </c>
      <c r="N33" s="433" t="str">
        <f t="array" ref="N33">XLOOKUP(LCARS_Tech[BuffID],RawTech[BuffID],RawTech[Tag_InvadingEntities])</f>
        <v>➖</v>
      </c>
      <c r="O33" s="433" t="str">
        <f t="array" ref="O33">XLOOKUP(LCARS_Tech[BuffID],RawTech[BuffID],RawTech[Tag_Assaults])</f>
        <v>➖</v>
      </c>
      <c r="P33" s="434" t="str">
        <f t="array" ref="P33">XLOOKUP(LCARS_Tech[BuffID],RawTech[BuffID],RawTech[Tag_OutpostArmadas])</f>
        <v>➖</v>
      </c>
      <c r="Q33" s="416" t="str">
        <f t="array" ref="Q33">XLOOKUP(LCARS_Tech[BuffID],RawTech[BuffID],RawTech[Tag_OutpostRetaliators])</f>
        <v>➖</v>
      </c>
      <c r="R33" s="416" t="str">
        <f t="array" ref="R33">XLOOKUP(MasterTech!$AF$4:$AF$214,RawTech!$AO$2:$AO$212,RawTech!$AV$2:$AV$212)</f>
        <v/>
      </c>
      <c r="S33" s="433" t="str">
        <f t="array" ref="S33">XLOOKUP(MasterTech!$AF$4:$AF$214,RawTech!$AO$2:$AO$212,RawTech!$AK$2:$AK$212)</f>
        <v>➖</v>
      </c>
      <c r="T33" s="435" t="str">
        <f t="array" ref="T33">XLOOKUP(MasterTech!$AF$4:$AF$214,RawTech!$AO$2:$AO$212,RawTech!$AM$2:$AM$212)</f>
        <v>➖</v>
      </c>
      <c r="U33" s="438" t="str">
        <f t="array" ref="U33">XLOOKUP(MasterTech!$AF$4:$AF$214,RawTech!$AO$2:$AO$212,RawTech!$D$2:$D$212)</f>
        <v>HullHPMax</v>
      </c>
      <c r="V33" s="416" t="str">
        <f t="array" ref="V33">XLOOKUP(MasterTech!$AF$4:$AF$214,RawTech!$AO$2:$AO$212,RawTech!$I$2:$I$212)</f>
        <v/>
      </c>
      <c r="W33" s="447" t="str">
        <f t="array" ref="W33">XLOOKUP(MasterTech!$AF$4:$AF$214,RawTech!$AO$2:$AO$212,RawTech!$E$2:$E$212)</f>
        <v>SelfHullVoyager</v>
      </c>
      <c r="X33" s="438" t="str">
        <f t="array" ref="X33">XLOOKUP(MasterTech!$AF$4:$AF$214,RawTech!$AO$2:$AO$212,RawTech!$F$2:$F$212)</f>
        <v>ShipLaunched</v>
      </c>
      <c r="Y33" s="438" t="str">
        <f t="array" ref="Y33">XLOOKUP(MasterTech!$AF$4:$AF$214,RawTech!$AO$2:$AO$212,RawTech!$G$2:$G$212)</f>
        <v>SelfShip</v>
      </c>
      <c r="Z33" s="438" t="str">
        <f t="array" ref="Z33">XLOOKUP(MasterTech!$AF$4:$AF$214,RawTech!$AO$2:$AO$212,RawTech!$H$2:$H$212)</f>
        <v>MultiplyAdd</v>
      </c>
      <c r="AA33" s="438" t="str">
        <f t="array" ref="AA33">XLOOKUP(MasterTech!$AF$4:$AF$214,RawTech!$AO$2:$AO$212,RawTech!$J$2:$J$212)</f>
        <v>Increases Hull Health on Voyager X</v>
      </c>
      <c r="AB33" s="439"/>
      <c r="AC33" s="440"/>
      <c r="AD33" s="440"/>
      <c r="AE33" s="455">
        <f t="array" ref="AE33">XLOOKUP(MasterTech!$AF$4:$AF$214,RawTech!$AO$2:$AO$212,RawTech!$AR$2:$AR$212)</f>
        <v>10</v>
      </c>
      <c r="AF33" s="427">
        <v>9.51355866E8</v>
      </c>
      <c r="AG33" s="428"/>
      <c r="AH33" s="428"/>
      <c r="AI33" s="429"/>
      <c r="AJ33" s="430"/>
    </row>
    <row r="34" ht="37.5" customHeight="1">
      <c r="A34" s="415" t="str">
        <f t="array" ref="A34">LEFT(XLOOKUP(LCARS_Tech[BuffID],RawTech[BuffID],RawTech[TechRarity]), 1)</f>
        <v>R</v>
      </c>
      <c r="B34" s="420"/>
      <c r="C34" s="452" t="str">
        <f t="array" ref="C34">HYPERLINK("https://stfc.space/forbidden_and_chaos_tech/" &amp; XLOOKUP(MasterTech!$AF$4:$AF$214,RawTech!$AO$2:$AO$212,RawTech!$AQ$2:$AQ$212), XLOOKUP(MasterTech!$AF$4:$AF$214,RawTech!$AO$2:$AO$212,RawTech!$B$2:$B$212))</f>
        <v>Borg Alcove</v>
      </c>
      <c r="D34" s="418">
        <f t="array" ref="D34">XLOOKUP(LCARS_Tech[BuffID],RawTech[BuffID],RawTech[BuffOrder])</f>
        <v>3</v>
      </c>
      <c r="E34" s="419" t="str">
        <f t="array" ref="E34">XLOOKUP(LCARS_Tech[BuffID],RawTech[BuffID],RawTech[TechType])</f>
        <v>FT</v>
      </c>
      <c r="F34" s="419" t="str">
        <f t="array" ref="F34">XLOOKUP(LCARS_Tech[BuffID],RawTech[BuffID],RawTech[Tag_PvPinSpace])</f>
        <v>➖</v>
      </c>
      <c r="G34" s="419" t="str">
        <f t="array" ref="G34">XLOOKUP(LCARS_Tech[BuffID],RawTech[BuffID],RawTech[Tag_PvPStation])</f>
        <v>➖</v>
      </c>
      <c r="H34" s="419" t="str">
        <f t="array" ref="H34">XLOOKUP(LCARS_Tech[BuffID],RawTech[BuffID],RawTech[Tag_NonArmadaHostiles])</f>
        <v>✅</v>
      </c>
      <c r="I34" s="419" t="str">
        <f t="array" ref="I34">XLOOKUP(LCARS_Tech[BuffID],RawTech[BuffID],RawTech[Tag_WaveDefense])</f>
        <v>➖</v>
      </c>
      <c r="J34" s="419" t="str">
        <f t="array" ref="J34">XLOOKUP(LCARS_Tech[BuffID],RawTech[BuffID],RawTech[Tag_QTrial])</f>
        <v>➖</v>
      </c>
      <c r="K34" s="419" t="str">
        <f t="array" ref="K34">XLOOKUP(LCARS_Tech[BuffID],RawTech[BuffID],RawTech[Tag_MissionBosses])</f>
        <v>➖</v>
      </c>
      <c r="L34" s="419" t="str">
        <f t="array" ref="L34">XLOOKUP(LCARS_Tech[BuffID],RawTech[BuffID],RawTech[Tag_GroupArmadas])</f>
        <v>✅</v>
      </c>
      <c r="M34" s="419" t="str">
        <f t="array" ref="M34">XLOOKUP(LCARS_Tech[BuffID],RawTech[BuffID],RawTech[Tag_SoloArmadas])</f>
        <v>✅</v>
      </c>
      <c r="N34" s="419" t="str">
        <f t="array" ref="N34">XLOOKUP(LCARS_Tech[BuffID],RawTech[BuffID],RawTech[Tag_InvadingEntities])</f>
        <v>✅</v>
      </c>
      <c r="O34" s="419" t="str">
        <f t="array" ref="O34">XLOOKUP(LCARS_Tech[BuffID],RawTech[BuffID],RawTech[Tag_Assaults])</f>
        <v>➖</v>
      </c>
      <c r="P34" s="442" t="str">
        <f t="array" ref="P34">XLOOKUP(LCARS_Tech[BuffID],RawTech[BuffID],RawTech[Tag_OutpostArmadas])</f>
        <v>✅</v>
      </c>
      <c r="Q34" s="420" t="str">
        <f t="array" ref="Q34">XLOOKUP(LCARS_Tech[BuffID],RawTech[BuffID],RawTech[Tag_OutpostRetaliators])</f>
        <v>✅</v>
      </c>
      <c r="R34" s="420" t="str">
        <f t="array" ref="R34">XLOOKUP(MasterTech!$AF$4:$AF$214,RawTech!$AO$2:$AO$212,RawTech!$AV$2:$AV$212)</f>
        <v/>
      </c>
      <c r="S34" s="419" t="str">
        <f t="array" ref="S34">XLOOKUP(MasterTech!$AF$4:$AF$214,RawTech!$AO$2:$AO$212,RawTech!$AK$2:$AK$212)</f>
        <v>✅</v>
      </c>
      <c r="T34" s="422" t="str">
        <f t="array" ref="T34">XLOOKUP(MasterTech!$AF$4:$AF$214,RawTech!$AO$2:$AO$212,RawTech!$AM$2:$AM$212)</f>
        <v>➖</v>
      </c>
      <c r="U34" s="423" t="str">
        <f t="array" ref="U34">XLOOKUP(MasterTech!$AF$4:$AF$214,RawTech!$AO$2:$AO$212,RawTech!$D$2:$D$212)</f>
        <v>CombatPveRewards</v>
      </c>
      <c r="V34" s="420" t="str">
        <f t="array" ref="V34">XLOOKUP(MasterTech!$AF$4:$AF$214,RawTech!$AO$2:$AO$212,RawTech!$I$2:$I$212)</f>
        <v/>
      </c>
      <c r="W34" s="421" t="str">
        <f t="array" ref="W34">XLOOKUP(MasterTech!$AF$4:$AF$214,RawTech!$AO$2:$AO$212,RawTech!$E$2:$E$212)</f>
        <v/>
      </c>
      <c r="X34" s="423" t="str">
        <f t="array" ref="X34">XLOOKUP(MasterTech!$AF$4:$AF$214,RawTech!$AO$2:$AO$212,RawTech!$F$2:$F$212)</f>
        <v>ShipLaunched</v>
      </c>
      <c r="Y34" s="423" t="str">
        <f t="array" ref="Y34">XLOOKUP(MasterTech!$AF$4:$AF$214,RawTech!$AO$2:$AO$212,RawTech!$G$2:$G$212)</f>
        <v>SelfShip</v>
      </c>
      <c r="Z34" s="423" t="str">
        <f t="array" ref="Z34">XLOOKUP(MasterTech!$AF$4:$AF$214,RawTech!$AO$2:$AO$212,RawTech!$H$2:$H$212)</f>
        <v>MultiplyAdd</v>
      </c>
      <c r="AA34" s="456" t="str">
        <f t="array" ref="AA34">XLOOKUP(MasterTech!$AF$4:$AF$214,RawTech!$AO$2:$AO$212,RawTech!$J$2:$J$212)</f>
        <v>Increases hostile rewards X</v>
      </c>
      <c r="AB34" s="457" t="b">
        <v>1</v>
      </c>
      <c r="AC34" s="458" t="s">
        <v>542</v>
      </c>
      <c r="AD34" s="458" t="s">
        <v>543</v>
      </c>
      <c r="AE34" s="453">
        <f t="array" ref="AE34">XLOOKUP(MasterTech!$AF$4:$AF$214,RawTech!$AO$2:$AO$212,RawTech!$AR$2:$AR$212)</f>
        <v>10</v>
      </c>
      <c r="AF34" s="427">
        <v>4.177071656E9</v>
      </c>
      <c r="AG34" s="428"/>
      <c r="AH34" s="428"/>
      <c r="AI34" s="429"/>
      <c r="AJ34" s="430"/>
    </row>
    <row r="35" ht="37.5" customHeight="1">
      <c r="A35" s="415" t="str">
        <f t="array" ref="A35">LEFT(XLOOKUP(LCARS_Tech[BuffID],RawTech[BuffID],RawTech[TechRarity]), 1)</f>
        <v>R</v>
      </c>
      <c r="B35" s="416"/>
      <c r="C35" s="454" t="str">
        <f t="array" ref="C35">HYPERLINK("https://stfc.space/forbidden_and_chaos_tech/" &amp; XLOOKUP(MasterTech!$AF$4:$AF$214,RawTech!$AO$2:$AO$212,RawTech!$AQ$2:$AQ$212), XLOOKUP(MasterTech!$AF$4:$AF$214,RawTech!$AO$2:$AO$212,RawTech!$B$2:$B$212))</f>
        <v>Borg Alcove</v>
      </c>
      <c r="D35" s="432">
        <f t="array" ref="D35">XLOOKUP(LCARS_Tech[BuffID],RawTech[BuffID],RawTech[BuffOrder])</f>
        <v>4</v>
      </c>
      <c r="E35" s="433" t="str">
        <f t="array" ref="E35">XLOOKUP(LCARS_Tech[BuffID],RawTech[BuffID],RawTech[TechType])</f>
        <v>FT</v>
      </c>
      <c r="F35" s="433" t="str">
        <f t="array" ref="F35">XLOOKUP(LCARS_Tech[BuffID],RawTech[BuffID],RawTech[Tag_PvPinSpace])</f>
        <v>➖</v>
      </c>
      <c r="G35" s="433" t="str">
        <f t="array" ref="G35">XLOOKUP(LCARS_Tech[BuffID],RawTech[BuffID],RawTech[Tag_PvPStation])</f>
        <v>➖</v>
      </c>
      <c r="H35" s="433" t="str">
        <f t="array" ref="H35">XLOOKUP(LCARS_Tech[BuffID],RawTech[BuffID],RawTech[Tag_NonArmadaHostiles])</f>
        <v>✅</v>
      </c>
      <c r="I35" s="433" t="str">
        <f t="array" ref="I35">XLOOKUP(LCARS_Tech[BuffID],RawTech[BuffID],RawTech[Tag_WaveDefense])</f>
        <v>✅</v>
      </c>
      <c r="J35" s="433" t="str">
        <f t="array" ref="J35">XLOOKUP(LCARS_Tech[BuffID],RawTech[BuffID],RawTech[Tag_QTrial])</f>
        <v>✅</v>
      </c>
      <c r="K35" s="433" t="str">
        <f t="array" ref="K35">XLOOKUP(LCARS_Tech[BuffID],RawTech[BuffID],RawTech[Tag_MissionBosses])</f>
        <v>➖</v>
      </c>
      <c r="L35" s="433" t="str">
        <f t="array" ref="L35">XLOOKUP(LCARS_Tech[BuffID],RawTech[BuffID],RawTech[Tag_GroupArmadas])</f>
        <v>➖</v>
      </c>
      <c r="M35" s="433" t="str">
        <f t="array" ref="M35">XLOOKUP(LCARS_Tech[BuffID],RawTech[BuffID],RawTech[Tag_SoloArmadas])</f>
        <v>➖</v>
      </c>
      <c r="N35" s="433" t="str">
        <f t="array" ref="N35">XLOOKUP(LCARS_Tech[BuffID],RawTech[BuffID],RawTech[Tag_InvadingEntities])</f>
        <v>➖</v>
      </c>
      <c r="O35" s="433" t="str">
        <f t="array" ref="O35">XLOOKUP(LCARS_Tech[BuffID],RawTech[BuffID],RawTech[Tag_Assaults])</f>
        <v>➖</v>
      </c>
      <c r="P35" s="434" t="str">
        <f t="array" ref="P35">XLOOKUP(LCARS_Tech[BuffID],RawTech[BuffID],RawTech[Tag_OutpostArmadas])</f>
        <v>➖</v>
      </c>
      <c r="Q35" s="416" t="str">
        <f t="array" ref="Q35">XLOOKUP(LCARS_Tech[BuffID],RawTech[BuffID],RawTech[Tag_OutpostRetaliators])</f>
        <v>➖</v>
      </c>
      <c r="R35" s="416" t="str">
        <f t="array" ref="R35">XLOOKUP(MasterTech!$AF$4:$AF$214,RawTech!$AO$2:$AO$212,RawTech!$AV$2:$AV$212)</f>
        <v/>
      </c>
      <c r="S35" s="433" t="str">
        <f t="array" ref="S35">XLOOKUP(MasterTech!$AF$4:$AF$214,RawTech!$AO$2:$AO$212,RawTech!$AK$2:$AK$212)</f>
        <v>➖</v>
      </c>
      <c r="T35" s="435" t="str">
        <f t="array" ref="T35">XLOOKUP(MasterTech!$AF$4:$AF$214,RawTech!$AO$2:$AO$212,RawTech!$AM$2:$AM$212)</f>
        <v>➖</v>
      </c>
      <c r="U35" s="438" t="str">
        <f t="array" ref="U35">XLOOKUP(MasterTech!$AF$4:$AF$214,RawTech!$AO$2:$AO$212,RawTech!$D$2:$D$212)</f>
        <v>CritDamage</v>
      </c>
      <c r="V35" s="416" t="str">
        <f t="array" ref="V35">XLOOKUP(MasterTech!$AF$4:$AF$214,RawTech!$AO$2:$AO$212,RawTech!$I$2:$I$212)</f>
        <v/>
      </c>
      <c r="W35" s="447" t="str">
        <f t="array" ref="W35">XLOOKUP(MasterTech!$AF$4:$AF$214,RawTech!$AO$2:$AO$212,RawTech!$E$2:$E$212)</f>
        <v>EnemyHostile, TargetNotArmada</v>
      </c>
      <c r="X35" s="438" t="str">
        <f t="array" ref="X35">XLOOKUP(MasterTech!$AF$4:$AF$214,RawTech!$AO$2:$AO$212,RawTech!$F$2:$F$212)</f>
        <v>CombatStart</v>
      </c>
      <c r="Y35" s="438" t="str">
        <f t="array" ref="Y35">XLOOKUP(MasterTech!$AF$4:$AF$214,RawTech!$AO$2:$AO$212,RawTech!$G$2:$G$212)</f>
        <v>SelfShip</v>
      </c>
      <c r="Z35" s="438" t="str">
        <f t="array" ref="Z35">XLOOKUP(MasterTech!$AF$4:$AF$214,RawTech!$AO$2:$AO$212,RawTech!$H$2:$H$212)</f>
        <v>Add</v>
      </c>
      <c r="AA35" s="456" t="str">
        <f t="array" ref="AA35">XLOOKUP(MasterTech!$AF$4:$AF$214,RawTech!$AO$2:$AO$212,RawTech!$J$2:$J$212)</f>
        <v>Increases Critical Damage against hostiles X</v>
      </c>
      <c r="AB35" s="459" t="b">
        <v>1</v>
      </c>
      <c r="AC35" s="438" t="s">
        <v>544</v>
      </c>
      <c r="AD35" s="440"/>
      <c r="AE35" s="455">
        <f t="array" ref="AE35">XLOOKUP(MasterTech!$AF$4:$AF$214,RawTech!$AO$2:$AO$212,RawTech!$AR$2:$AR$212)</f>
        <v>10</v>
      </c>
      <c r="AF35" s="427">
        <v>3.47924183E9</v>
      </c>
      <c r="AG35" s="428"/>
      <c r="AH35" s="428"/>
      <c r="AI35" s="429"/>
      <c r="AJ35" s="430"/>
    </row>
    <row r="36" ht="37.5" customHeight="1">
      <c r="A36" s="415" t="str">
        <f t="array" ref="A36">LEFT(XLOOKUP(LCARS_Tech[BuffID],RawTech[BuffID],RawTech[TechRarity]), 1)</f>
        <v>R</v>
      </c>
      <c r="B36" s="420"/>
      <c r="C36" s="452" t="str">
        <f t="array" ref="C36">HYPERLINK("https://stfc.space/forbidden_and_chaos_tech/" &amp; XLOOKUP(MasterTech!$AF$4:$AF$214,RawTech!$AO$2:$AO$212,RawTech!$AQ$2:$AQ$212), XLOOKUP(MasterTech!$AF$4:$AF$214,RawTech!$AO$2:$AO$212,RawTech!$B$2:$B$212))</f>
        <v>Interphase Cloaking Device</v>
      </c>
      <c r="D36" s="418">
        <f t="array" ref="D36">XLOOKUP(LCARS_Tech[BuffID],RawTech[BuffID],RawTech[BuffOrder])</f>
        <v>1</v>
      </c>
      <c r="E36" s="419" t="str">
        <f t="array" ref="E36">XLOOKUP(LCARS_Tech[BuffID],RawTech[BuffID],RawTech[TechType])</f>
        <v>FT</v>
      </c>
      <c r="F36" s="419" t="str">
        <f t="array" ref="F36">XLOOKUP(LCARS_Tech[BuffID],RawTech[BuffID],RawTech[Tag_PvPinSpace])</f>
        <v>✅</v>
      </c>
      <c r="G36" s="419" t="str">
        <f t="array" ref="G36">XLOOKUP(LCARS_Tech[BuffID],RawTech[BuffID],RawTech[Tag_PvPStation])</f>
        <v>➖</v>
      </c>
      <c r="H36" s="419" t="str">
        <f t="array" ref="H36">XLOOKUP(LCARS_Tech[BuffID],RawTech[BuffID],RawTech[Tag_NonArmadaHostiles])</f>
        <v>➖</v>
      </c>
      <c r="I36" s="419" t="str">
        <f t="array" ref="I36">XLOOKUP(LCARS_Tech[BuffID],RawTech[BuffID],RawTech[Tag_WaveDefense])</f>
        <v>➖</v>
      </c>
      <c r="J36" s="419" t="str">
        <f t="array" ref="J36">XLOOKUP(LCARS_Tech[BuffID],RawTech[BuffID],RawTech[Tag_QTrial])</f>
        <v>➖</v>
      </c>
      <c r="K36" s="419" t="str">
        <f t="array" ref="K36">XLOOKUP(LCARS_Tech[BuffID],RawTech[BuffID],RawTech[Tag_MissionBosses])</f>
        <v>➖</v>
      </c>
      <c r="L36" s="419" t="str">
        <f t="array" ref="L36">XLOOKUP(LCARS_Tech[BuffID],RawTech[BuffID],RawTech[Tag_GroupArmadas])</f>
        <v>➖</v>
      </c>
      <c r="M36" s="419" t="str">
        <f t="array" ref="M36">XLOOKUP(LCARS_Tech[BuffID],RawTech[BuffID],RawTech[Tag_SoloArmadas])</f>
        <v>➖</v>
      </c>
      <c r="N36" s="419" t="str">
        <f t="array" ref="N36">XLOOKUP(LCARS_Tech[BuffID],RawTech[BuffID],RawTech[Tag_InvadingEntities])</f>
        <v>➖</v>
      </c>
      <c r="O36" s="419" t="str">
        <f t="array" ref="O36">XLOOKUP(LCARS_Tech[BuffID],RawTech[BuffID],RawTech[Tag_Assaults])</f>
        <v>➖</v>
      </c>
      <c r="P36" s="442" t="str">
        <f t="array" ref="P36">XLOOKUP(LCARS_Tech[BuffID],RawTech[BuffID],RawTech[Tag_OutpostArmadas])</f>
        <v>➖</v>
      </c>
      <c r="Q36" s="420" t="str">
        <f t="array" ref="Q36">XLOOKUP(LCARS_Tech[BuffID],RawTech[BuffID],RawTech[Tag_OutpostRetaliators])</f>
        <v>➖</v>
      </c>
      <c r="R36" s="420" t="str">
        <f t="array" ref="R36">XLOOKUP(MasterTech!$AF$4:$AF$214,RawTech!$AO$2:$AO$212,RawTech!$AV$2:$AV$212)</f>
        <v/>
      </c>
      <c r="S36" s="419" t="str">
        <f t="array" ref="S36">XLOOKUP(MasterTech!$AF$4:$AF$214,RawTech!$AO$2:$AO$212,RawTech!$AK$2:$AK$212)</f>
        <v>➖</v>
      </c>
      <c r="T36" s="422" t="str">
        <f t="array" ref="T36">XLOOKUP(MasterTech!$AF$4:$AF$214,RawTech!$AO$2:$AO$212,RawTech!$AM$2:$AM$212)</f>
        <v>➖</v>
      </c>
      <c r="U36" s="423" t="str">
        <f t="array" ref="U36">XLOOKUP(MasterTech!$AF$4:$AF$214,RawTech!$AO$2:$AO$212,RawTech!$D$2:$D$212)</f>
        <v>AllDamage</v>
      </c>
      <c r="V36" s="420" t="str">
        <f t="array" ref="V36">XLOOKUP(MasterTech!$AF$4:$AF$214,RawTech!$AO$2:$AO$212,RawTech!$I$2:$I$212)</f>
        <v/>
      </c>
      <c r="W36" s="443" t="str">
        <f t="array" ref="W36">XLOOKUP(MasterTech!$AF$4:$AF$214,RawTech!$AO$2:$AO$212,RawTech!$E$2:$E$212)</f>
        <v>SelfCloaked, EnemyPlayer</v>
      </c>
      <c r="X36" s="423" t="str">
        <f t="array" ref="X36">XLOOKUP(MasterTech!$AF$4:$AF$214,RawTech!$AO$2:$AO$212,RawTech!$F$2:$F$212)</f>
        <v>CombatStart</v>
      </c>
      <c r="Y36" s="423" t="str">
        <f t="array" ref="Y36">XLOOKUP(MasterTech!$AF$4:$AF$214,RawTech!$AO$2:$AO$212,RawTech!$G$2:$G$212)</f>
        <v>SelfShip</v>
      </c>
      <c r="Z36" s="423" t="str">
        <f t="array" ref="Z36">XLOOKUP(MasterTech!$AF$4:$AF$214,RawTech!$AO$2:$AO$212,RawTech!$H$2:$H$212)</f>
        <v>MultiplyAdd</v>
      </c>
      <c r="AA36" s="423" t="str">
        <f t="array" ref="AA36">XLOOKUP(MasterTech!$AF$4:$AF$214,RawTech!$AO$2:$AO$212,RawTech!$J$2:$J$212)</f>
        <v>Increases Damage when Cloaked X</v>
      </c>
      <c r="AB36" s="424"/>
      <c r="AC36" s="425"/>
      <c r="AD36" s="425"/>
      <c r="AE36" s="453">
        <f t="array" ref="AE36">XLOOKUP(MasterTech!$AF$4:$AF$214,RawTech!$AO$2:$AO$212,RawTech!$AR$2:$AR$212)</f>
        <v>11</v>
      </c>
      <c r="AF36" s="427">
        <v>2.865653071E9</v>
      </c>
      <c r="AG36" s="428"/>
      <c r="AH36" s="428"/>
      <c r="AI36" s="429"/>
      <c r="AJ36" s="430"/>
    </row>
    <row r="37" ht="37.5" customHeight="1">
      <c r="A37" s="415" t="str">
        <f t="array" ref="A37">LEFT(XLOOKUP(LCARS_Tech[BuffID],RawTech[BuffID],RawTech[TechRarity]), 1)</f>
        <v>R</v>
      </c>
      <c r="B37" s="416"/>
      <c r="C37" s="454" t="str">
        <f t="array" ref="C37">HYPERLINK("https://stfc.space/forbidden_and_chaos_tech/" &amp; XLOOKUP(MasterTech!$AF$4:$AF$214,RawTech!$AO$2:$AO$212,RawTech!$AQ$2:$AQ$212), XLOOKUP(MasterTech!$AF$4:$AF$214,RawTech!$AO$2:$AO$212,RawTech!$B$2:$B$212))</f>
        <v>Interphase Cloaking Device</v>
      </c>
      <c r="D37" s="432">
        <f t="array" ref="D37">XLOOKUP(LCARS_Tech[BuffID],RawTech[BuffID],RawTech[BuffOrder])</f>
        <v>2</v>
      </c>
      <c r="E37" s="433" t="str">
        <f t="array" ref="E37">XLOOKUP(LCARS_Tech[BuffID],RawTech[BuffID],RawTech[TechType])</f>
        <v>FT</v>
      </c>
      <c r="F37" s="433" t="str">
        <f t="array" ref="F37">XLOOKUP(LCARS_Tech[BuffID],RawTech[BuffID],RawTech[Tag_PvPinSpace])</f>
        <v>✅</v>
      </c>
      <c r="G37" s="433" t="str">
        <f t="array" ref="G37">XLOOKUP(LCARS_Tech[BuffID],RawTech[BuffID],RawTech[Tag_PvPStation])</f>
        <v>➖</v>
      </c>
      <c r="H37" s="433" t="str">
        <f t="array" ref="H37">XLOOKUP(LCARS_Tech[BuffID],RawTech[BuffID],RawTech[Tag_NonArmadaHostiles])</f>
        <v>➖</v>
      </c>
      <c r="I37" s="433" t="str">
        <f t="array" ref="I37">XLOOKUP(LCARS_Tech[BuffID],RawTech[BuffID],RawTech[Tag_WaveDefense])</f>
        <v>➖</v>
      </c>
      <c r="J37" s="433" t="str">
        <f t="array" ref="J37">XLOOKUP(LCARS_Tech[BuffID],RawTech[BuffID],RawTech[Tag_QTrial])</f>
        <v>➖</v>
      </c>
      <c r="K37" s="433" t="str">
        <f t="array" ref="K37">XLOOKUP(LCARS_Tech[BuffID],RawTech[BuffID],RawTech[Tag_MissionBosses])</f>
        <v>➖</v>
      </c>
      <c r="L37" s="433" t="str">
        <f t="array" ref="L37">XLOOKUP(LCARS_Tech[BuffID],RawTech[BuffID],RawTech[Tag_GroupArmadas])</f>
        <v>➖</v>
      </c>
      <c r="M37" s="433" t="str">
        <f t="array" ref="M37">XLOOKUP(LCARS_Tech[BuffID],RawTech[BuffID],RawTech[Tag_SoloArmadas])</f>
        <v>➖</v>
      </c>
      <c r="N37" s="433" t="str">
        <f t="array" ref="N37">XLOOKUP(LCARS_Tech[BuffID],RawTech[BuffID],RawTech[Tag_InvadingEntities])</f>
        <v>➖</v>
      </c>
      <c r="O37" s="433" t="str">
        <f t="array" ref="O37">XLOOKUP(LCARS_Tech[BuffID],RawTech[BuffID],RawTech[Tag_Assaults])</f>
        <v>➖</v>
      </c>
      <c r="P37" s="434" t="str">
        <f t="array" ref="P37">XLOOKUP(LCARS_Tech[BuffID],RawTech[BuffID],RawTech[Tag_OutpostArmadas])</f>
        <v>➖</v>
      </c>
      <c r="Q37" s="416" t="str">
        <f t="array" ref="Q37">XLOOKUP(LCARS_Tech[BuffID],RawTech[BuffID],RawTech[Tag_OutpostRetaliators])</f>
        <v>➖</v>
      </c>
      <c r="R37" s="416" t="str">
        <f t="array" ref="R37">XLOOKUP(MasterTech!$AF$4:$AF$214,RawTech!$AO$2:$AO$212,RawTech!$AV$2:$AV$212)</f>
        <v/>
      </c>
      <c r="S37" s="433" t="str">
        <f t="array" ref="S37">XLOOKUP(MasterTech!$AF$4:$AF$214,RawTech!$AO$2:$AO$212,RawTech!$AK$2:$AK$212)</f>
        <v>➖</v>
      </c>
      <c r="T37" s="435" t="str">
        <f t="array" ref="T37">XLOOKUP(MasterTech!$AF$4:$AF$214,RawTech!$AO$2:$AO$212,RawTech!$AM$2:$AM$212)</f>
        <v>➖</v>
      </c>
      <c r="U37" s="438" t="str">
        <f t="array" ref="U37">XLOOKUP(MasterTech!$AF$4:$AF$214,RawTech!$AO$2:$AO$212,RawTech!$D$2:$D$212)</f>
        <v>AllDefenses</v>
      </c>
      <c r="V37" s="416" t="str">
        <f t="array" ref="V37">XLOOKUP(MasterTech!$AF$4:$AF$214,RawTech!$AO$2:$AO$212,RawTech!$I$2:$I$212)</f>
        <v/>
      </c>
      <c r="W37" s="447" t="str">
        <f t="array" ref="W37">XLOOKUP(MasterTech!$AF$4:$AF$214,RawTech!$AO$2:$AO$212,RawTech!$E$2:$E$212)</f>
        <v>SelfCloaked, EnemyPlayer</v>
      </c>
      <c r="X37" s="438" t="str">
        <f t="array" ref="X37">XLOOKUP(MasterTech!$AF$4:$AF$214,RawTech!$AO$2:$AO$212,RawTech!$F$2:$F$212)</f>
        <v>CombatStart</v>
      </c>
      <c r="Y37" s="438" t="str">
        <f t="array" ref="Y37">XLOOKUP(MasterTech!$AF$4:$AF$214,RawTech!$AO$2:$AO$212,RawTech!$G$2:$G$212)</f>
        <v>SelfShip</v>
      </c>
      <c r="Z37" s="438" t="str">
        <f t="array" ref="Z37">XLOOKUP(MasterTech!$AF$4:$AF$214,RawTech!$AO$2:$AO$212,RawTech!$H$2:$H$212)</f>
        <v>MultiplyAdd</v>
      </c>
      <c r="AA37" s="438" t="str">
        <f t="array" ref="AA37">XLOOKUP(MasterTech!$AF$4:$AF$214,RawTech!$AO$2:$AO$212,RawTech!$J$2:$J$212)</f>
        <v>Increases Armor, Shield Deflection, and Dodge against players when Cloaked X</v>
      </c>
      <c r="AB37" s="439"/>
      <c r="AC37" s="440"/>
      <c r="AD37" s="440"/>
      <c r="AE37" s="455">
        <f t="array" ref="AE37">XLOOKUP(MasterTech!$AF$4:$AF$214,RawTech!$AO$2:$AO$212,RawTech!$AR$2:$AR$212)</f>
        <v>11</v>
      </c>
      <c r="AF37" s="427">
        <v>1.040449258E9</v>
      </c>
      <c r="AG37" s="428"/>
      <c r="AH37" s="428"/>
      <c r="AI37" s="429"/>
      <c r="AJ37" s="430"/>
    </row>
    <row r="38" ht="37.5" customHeight="1">
      <c r="A38" s="415" t="str">
        <f t="array" ref="A38">LEFT(XLOOKUP(LCARS_Tech[BuffID],RawTech[BuffID],RawTech[TechRarity]), 1)</f>
        <v>R</v>
      </c>
      <c r="B38" s="420"/>
      <c r="C38" s="452" t="str">
        <f t="array" ref="C38">HYPERLINK("https://stfc.space/forbidden_and_chaos_tech/" &amp; XLOOKUP(MasterTech!$AF$4:$AF$214,RawTech!$AO$2:$AO$212,RawTech!$AQ$2:$AQ$212), XLOOKUP(MasterTech!$AF$4:$AF$214,RawTech!$AO$2:$AO$212,RawTech!$B$2:$B$212))</f>
        <v>Interphase Cloaking Device</v>
      </c>
      <c r="D38" s="418">
        <f t="array" ref="D38">XLOOKUP(LCARS_Tech[BuffID],RawTech[BuffID],RawTech[BuffOrder])</f>
        <v>3</v>
      </c>
      <c r="E38" s="419" t="str">
        <f t="array" ref="E38">XLOOKUP(LCARS_Tech[BuffID],RawTech[BuffID],RawTech[TechType])</f>
        <v>FT</v>
      </c>
      <c r="F38" s="419" t="str">
        <f t="array" ref="F38">XLOOKUP(LCARS_Tech[BuffID],RawTech[BuffID],RawTech[Tag_PvPinSpace])</f>
        <v>✅</v>
      </c>
      <c r="G38" s="419" t="str">
        <f t="array" ref="G38">XLOOKUP(LCARS_Tech[BuffID],RawTech[BuffID],RawTech[Tag_PvPStation])</f>
        <v>➖</v>
      </c>
      <c r="H38" s="419" t="str">
        <f t="array" ref="H38">XLOOKUP(LCARS_Tech[BuffID],RawTech[BuffID],RawTech[Tag_NonArmadaHostiles])</f>
        <v>➖</v>
      </c>
      <c r="I38" s="419" t="str">
        <f t="array" ref="I38">XLOOKUP(LCARS_Tech[BuffID],RawTech[BuffID],RawTech[Tag_WaveDefense])</f>
        <v>➖</v>
      </c>
      <c r="J38" s="419" t="str">
        <f t="array" ref="J38">XLOOKUP(LCARS_Tech[BuffID],RawTech[BuffID],RawTech[Tag_QTrial])</f>
        <v>➖</v>
      </c>
      <c r="K38" s="419" t="str">
        <f t="array" ref="K38">XLOOKUP(LCARS_Tech[BuffID],RawTech[BuffID],RawTech[Tag_MissionBosses])</f>
        <v>➖</v>
      </c>
      <c r="L38" s="419" t="str">
        <f t="array" ref="L38">XLOOKUP(LCARS_Tech[BuffID],RawTech[BuffID],RawTech[Tag_GroupArmadas])</f>
        <v>➖</v>
      </c>
      <c r="M38" s="419" t="str">
        <f t="array" ref="M38">XLOOKUP(LCARS_Tech[BuffID],RawTech[BuffID],RawTech[Tag_SoloArmadas])</f>
        <v>➖</v>
      </c>
      <c r="N38" s="419" t="str">
        <f t="array" ref="N38">XLOOKUP(LCARS_Tech[BuffID],RawTech[BuffID],RawTech[Tag_InvadingEntities])</f>
        <v>➖</v>
      </c>
      <c r="O38" s="419" t="str">
        <f t="array" ref="O38">XLOOKUP(LCARS_Tech[BuffID],RawTech[BuffID],RawTech[Tag_Assaults])</f>
        <v>➖</v>
      </c>
      <c r="P38" s="442" t="str">
        <f t="array" ref="P38">XLOOKUP(LCARS_Tech[BuffID],RawTech[BuffID],RawTech[Tag_OutpostArmadas])</f>
        <v>➖</v>
      </c>
      <c r="Q38" s="420" t="str">
        <f t="array" ref="Q38">XLOOKUP(LCARS_Tech[BuffID],RawTech[BuffID],RawTech[Tag_OutpostRetaliators])</f>
        <v>➖</v>
      </c>
      <c r="R38" s="420" t="str">
        <f t="array" ref="R38">XLOOKUP(MasterTech!$AF$4:$AF$214,RawTech!$AO$2:$AO$212,RawTech!$AV$2:$AV$212)</f>
        <v/>
      </c>
      <c r="S38" s="419" t="str">
        <f t="array" ref="S38">XLOOKUP(MasterTech!$AF$4:$AF$214,RawTech!$AO$2:$AO$212,RawTech!$AK$2:$AK$212)</f>
        <v>➖</v>
      </c>
      <c r="T38" s="422" t="str">
        <f t="array" ref="T38">XLOOKUP(MasterTech!$AF$4:$AF$214,RawTech!$AO$2:$AO$212,RawTech!$AM$2:$AM$212)</f>
        <v>➖</v>
      </c>
      <c r="U38" s="423" t="str">
        <f t="array" ref="U38">XLOOKUP(MasterTech!$AF$4:$AF$214,RawTech!$AO$2:$AO$212,RawTech!$D$2:$D$212)</f>
        <v>CritChance</v>
      </c>
      <c r="V38" s="423" t="str">
        <f t="array" ref="V38">XLOOKUP(MasterTech!$AF$4:$AF$214,RawTech!$AO$2:$AO$212,RawTech!$I$2:$I$212)</f>
        <v>num_rounds=2</v>
      </c>
      <c r="W38" s="443" t="str">
        <f t="array" ref="W38">XLOOKUP(MasterTech!$AF$4:$AF$214,RawTech!$AO$2:$AO$212,RawTech!$E$2:$E$212)</f>
        <v>SelfCloaked, EnemyPlayer</v>
      </c>
      <c r="X38" s="423" t="str">
        <f t="array" ref="X38">XLOOKUP(MasterTech!$AF$4:$AF$214,RawTech!$AO$2:$AO$212,RawTech!$F$2:$F$212)</f>
        <v>CriticalShotTaken</v>
      </c>
      <c r="Y38" s="423" t="str">
        <f t="array" ref="Y38">XLOOKUP(MasterTech!$AF$4:$AF$214,RawTech!$AO$2:$AO$212,RawTech!$G$2:$G$212)</f>
        <v>EnemyShip</v>
      </c>
      <c r="Z38" s="423" t="str">
        <f t="array" ref="Z38">XLOOKUP(MasterTech!$AF$4:$AF$214,RawTech!$AO$2:$AO$212,RawTech!$H$2:$H$212)</f>
        <v>Sub</v>
      </c>
      <c r="AA38" s="423" t="str">
        <f t="array" ref="AA38">XLOOKUP(MasterTech!$AF$4:$AF$214,RawTech!$AO$2:$AO$212,RawTech!$J$2:$J$212)</f>
        <v>When the ship receives a Critical Hit, Decrease Opponent's Critical Hit chance for 2 rounds when Cloaked X</v>
      </c>
      <c r="AB38" s="424"/>
      <c r="AC38" s="425"/>
      <c r="AD38" s="425"/>
      <c r="AE38" s="453">
        <f t="array" ref="AE38">XLOOKUP(MasterTech!$AF$4:$AF$214,RawTech!$AO$2:$AO$212,RawTech!$AR$2:$AR$212)</f>
        <v>11</v>
      </c>
      <c r="AF38" s="427">
        <v>1.825445793E9</v>
      </c>
      <c r="AG38" s="428"/>
      <c r="AH38" s="428"/>
      <c r="AI38" s="429"/>
      <c r="AJ38" s="430"/>
    </row>
    <row r="39" ht="37.5" customHeight="1">
      <c r="A39" s="415" t="str">
        <f t="array" ref="A39">LEFT(XLOOKUP(LCARS_Tech[BuffID],RawTech[BuffID],RawTech[TechRarity]), 1)</f>
        <v>R</v>
      </c>
      <c r="B39" s="416"/>
      <c r="C39" s="454" t="str">
        <f t="array" ref="C39">HYPERLINK("https://stfc.space/forbidden_and_chaos_tech/" &amp; XLOOKUP(MasterTech!$AF$4:$AF$214,RawTech!$AO$2:$AO$212,RawTech!$AQ$2:$AQ$212), XLOOKUP(MasterTech!$AF$4:$AF$214,RawTech!$AO$2:$AO$212,RawTech!$B$2:$B$212))</f>
        <v>Interphase Cloaking Device</v>
      </c>
      <c r="D39" s="432">
        <f t="array" ref="D39">XLOOKUP(LCARS_Tech[BuffID],RawTech[BuffID],RawTech[BuffOrder])</f>
        <v>4</v>
      </c>
      <c r="E39" s="433" t="str">
        <f t="array" ref="E39">XLOOKUP(LCARS_Tech[BuffID],RawTech[BuffID],RawTech[TechType])</f>
        <v>FT</v>
      </c>
      <c r="F39" s="433" t="str">
        <f t="array" ref="F39">XLOOKUP(LCARS_Tech[BuffID],RawTech[BuffID],RawTech[Tag_PvPinSpace])</f>
        <v>✅</v>
      </c>
      <c r="G39" s="433" t="str">
        <f t="array" ref="G39">XLOOKUP(LCARS_Tech[BuffID],RawTech[BuffID],RawTech[Tag_PvPStation])</f>
        <v>➖</v>
      </c>
      <c r="H39" s="433" t="str">
        <f t="array" ref="H39">XLOOKUP(LCARS_Tech[BuffID],RawTech[BuffID],RawTech[Tag_NonArmadaHostiles])</f>
        <v>➖</v>
      </c>
      <c r="I39" s="433" t="str">
        <f t="array" ref="I39">XLOOKUP(LCARS_Tech[BuffID],RawTech[BuffID],RawTech[Tag_WaveDefense])</f>
        <v>➖</v>
      </c>
      <c r="J39" s="433" t="str">
        <f t="array" ref="J39">XLOOKUP(LCARS_Tech[BuffID],RawTech[BuffID],RawTech[Tag_QTrial])</f>
        <v>➖</v>
      </c>
      <c r="K39" s="433" t="str">
        <f t="array" ref="K39">XLOOKUP(LCARS_Tech[BuffID],RawTech[BuffID],RawTech[Tag_MissionBosses])</f>
        <v>➖</v>
      </c>
      <c r="L39" s="433" t="str">
        <f t="array" ref="L39">XLOOKUP(LCARS_Tech[BuffID],RawTech[BuffID],RawTech[Tag_GroupArmadas])</f>
        <v>➖</v>
      </c>
      <c r="M39" s="433" t="str">
        <f t="array" ref="M39">XLOOKUP(LCARS_Tech[BuffID],RawTech[BuffID],RawTech[Tag_SoloArmadas])</f>
        <v>➖</v>
      </c>
      <c r="N39" s="433" t="str">
        <f t="array" ref="N39">XLOOKUP(LCARS_Tech[BuffID],RawTech[BuffID],RawTech[Tag_InvadingEntities])</f>
        <v>➖</v>
      </c>
      <c r="O39" s="433" t="str">
        <f t="array" ref="O39">XLOOKUP(LCARS_Tech[BuffID],RawTech[BuffID],RawTech[Tag_Assaults])</f>
        <v>➖</v>
      </c>
      <c r="P39" s="434" t="str">
        <f t="array" ref="P39">XLOOKUP(LCARS_Tech[BuffID],RawTech[BuffID],RawTech[Tag_OutpostArmadas])</f>
        <v>➖</v>
      </c>
      <c r="Q39" s="416" t="str">
        <f t="array" ref="Q39">XLOOKUP(LCARS_Tech[BuffID],RawTech[BuffID],RawTech[Tag_OutpostRetaliators])</f>
        <v>➖</v>
      </c>
      <c r="R39" s="416" t="str">
        <f t="array" ref="R39">XLOOKUP(MasterTech!$AF$4:$AF$214,RawTech!$AO$2:$AO$212,RawTech!$AV$2:$AV$212)</f>
        <v/>
      </c>
      <c r="S39" s="433" t="str">
        <f t="array" ref="S39">XLOOKUP(MasterTech!$AF$4:$AF$214,RawTech!$AO$2:$AO$212,RawTech!$AK$2:$AK$212)</f>
        <v>➖</v>
      </c>
      <c r="T39" s="435" t="str">
        <f t="array" ref="T39">XLOOKUP(MasterTech!$AF$4:$AF$214,RawTech!$AO$2:$AO$212,RawTech!$AM$2:$AM$212)</f>
        <v>➖</v>
      </c>
      <c r="U39" s="438" t="str">
        <f t="array" ref="U39">XLOOKUP(MasterTech!$AF$4:$AF$214,RawTech!$AO$2:$AO$212,RawTech!$D$2:$D$212)</f>
        <v>CritDamage</v>
      </c>
      <c r="V39" s="416" t="str">
        <f t="array" ref="V39">XLOOKUP(MasterTech!$AF$4:$AF$214,RawTech!$AO$2:$AO$212,RawTech!$I$2:$I$212)</f>
        <v/>
      </c>
      <c r="W39" s="447" t="str">
        <f t="array" ref="W39">XLOOKUP(MasterTech!$AF$4:$AF$214,RawTech!$AO$2:$AO$212,RawTech!$E$2:$E$212)</f>
        <v>SelfCloaked, EnemyPlayer</v>
      </c>
      <c r="X39" s="438" t="str">
        <f t="array" ref="X39">XLOOKUP(MasterTech!$AF$4:$AF$214,RawTech!$AO$2:$AO$212,RawTech!$F$2:$F$212)</f>
        <v>CombatStart</v>
      </c>
      <c r="Y39" s="438" t="str">
        <f t="array" ref="Y39">XLOOKUP(MasterTech!$AF$4:$AF$214,RawTech!$AO$2:$AO$212,RawTech!$G$2:$G$212)</f>
        <v>SelfShip</v>
      </c>
      <c r="Z39" s="438" t="str">
        <f t="array" ref="Z39">XLOOKUP(MasterTech!$AF$4:$AF$214,RawTech!$AO$2:$AO$212,RawTech!$H$2:$H$212)</f>
        <v>Add</v>
      </c>
      <c r="AA39" s="438" t="str">
        <f t="array" ref="AA39">XLOOKUP(MasterTech!$AF$4:$AF$214,RawTech!$AO$2:$AO$212,RawTech!$J$2:$J$212)</f>
        <v>Increases Critical Damage against players when Cloaked X</v>
      </c>
      <c r="AB39" s="439"/>
      <c r="AC39" s="440"/>
      <c r="AD39" s="440"/>
      <c r="AE39" s="455">
        <f t="array" ref="AE39">XLOOKUP(MasterTech!$AF$4:$AF$214,RawTech!$AO$2:$AO$212,RawTech!$AR$2:$AR$212)</f>
        <v>11</v>
      </c>
      <c r="AF39" s="427">
        <v>5281195.0</v>
      </c>
      <c r="AG39" s="428"/>
      <c r="AH39" s="428"/>
      <c r="AI39" s="429"/>
      <c r="AJ39" s="430"/>
    </row>
    <row r="40" ht="37.5" customHeight="1">
      <c r="A40" s="415" t="str">
        <f t="array" ref="A40">LEFT(XLOOKUP(LCARS_Tech[BuffID],RawTech[BuffID],RawTech[TechRarity]), 1)</f>
        <v>E</v>
      </c>
      <c r="B40" s="420"/>
      <c r="C40" s="460" t="str">
        <f t="array" ref="C40">HYPERLINK("https://stfc.space/forbidden_and_chaos_tech/" &amp; XLOOKUP(MasterTech!$AF$4:$AF$214,RawTech!$AO$2:$AO$212,RawTech!$AQ$2:$AQ$212), XLOOKUP(MasterTech!$AF$4:$AF$214,RawTech!$AO$2:$AO$212,RawTech!$B$2:$B$212))</f>
        <v>Thalaron Radiation</v>
      </c>
      <c r="D40" s="418">
        <f t="array" ref="D40">XLOOKUP(LCARS_Tech[BuffID],RawTech[BuffID],RawTech[BuffOrder])</f>
        <v>1</v>
      </c>
      <c r="E40" s="419" t="str">
        <f t="array" ref="E40">XLOOKUP(LCARS_Tech[BuffID],RawTech[BuffID],RawTech[TechType])</f>
        <v>FT</v>
      </c>
      <c r="F40" s="419" t="str">
        <f t="array" ref="F40">XLOOKUP(LCARS_Tech[BuffID],RawTech[BuffID],RawTech[Tag_PvPinSpace])</f>
        <v>✅</v>
      </c>
      <c r="G40" s="419" t="str">
        <f t="array" ref="G40">XLOOKUP(LCARS_Tech[BuffID],RawTech[BuffID],RawTech[Tag_PvPStation])</f>
        <v>✅</v>
      </c>
      <c r="H40" s="419" t="str">
        <f t="array" ref="H40">XLOOKUP(LCARS_Tech[BuffID],RawTech[BuffID],RawTech[Tag_NonArmadaHostiles])</f>
        <v>➖</v>
      </c>
      <c r="I40" s="419" t="str">
        <f t="array" ref="I40">XLOOKUP(LCARS_Tech[BuffID],RawTech[BuffID],RawTech[Tag_WaveDefense])</f>
        <v>➖</v>
      </c>
      <c r="J40" s="419" t="str">
        <f t="array" ref="J40">XLOOKUP(LCARS_Tech[BuffID],RawTech[BuffID],RawTech[Tag_QTrial])</f>
        <v>➖</v>
      </c>
      <c r="K40" s="419" t="str">
        <f t="array" ref="K40">XLOOKUP(LCARS_Tech[BuffID],RawTech[BuffID],RawTech[Tag_MissionBosses])</f>
        <v>➖</v>
      </c>
      <c r="L40" s="419" t="str">
        <f t="array" ref="L40">XLOOKUP(LCARS_Tech[BuffID],RawTech[BuffID],RawTech[Tag_GroupArmadas])</f>
        <v>➖</v>
      </c>
      <c r="M40" s="419" t="str">
        <f t="array" ref="M40">XLOOKUP(LCARS_Tech[BuffID],RawTech[BuffID],RawTech[Tag_SoloArmadas])</f>
        <v>➖</v>
      </c>
      <c r="N40" s="419" t="str">
        <f t="array" ref="N40">XLOOKUP(LCARS_Tech[BuffID],RawTech[BuffID],RawTech[Tag_InvadingEntities])</f>
        <v>➖</v>
      </c>
      <c r="O40" s="419" t="str">
        <f t="array" ref="O40">XLOOKUP(LCARS_Tech[BuffID],RawTech[BuffID],RawTech[Tag_Assaults])</f>
        <v>➖</v>
      </c>
      <c r="P40" s="442" t="str">
        <f t="array" ref="P40">XLOOKUP(LCARS_Tech[BuffID],RawTech[BuffID],RawTech[Tag_OutpostArmadas])</f>
        <v>➖</v>
      </c>
      <c r="Q40" s="420" t="str">
        <f t="array" ref="Q40">XLOOKUP(LCARS_Tech[BuffID],RawTech[BuffID],RawTech[Tag_OutpostRetaliators])</f>
        <v>➖</v>
      </c>
      <c r="R40" s="420" t="str">
        <f t="array" ref="R40">XLOOKUP(MasterTech!$AF$4:$AF$214,RawTech!$AO$2:$AO$212,RawTech!$AV$2:$AV$212)</f>
        <v/>
      </c>
      <c r="S40" s="419" t="str">
        <f t="array" ref="S40">XLOOKUP(MasterTech!$AF$4:$AF$214,RawTech!$AO$2:$AO$212,RawTech!$AK$2:$AK$212)</f>
        <v>➖</v>
      </c>
      <c r="T40" s="422" t="str">
        <f t="array" ref="T40">XLOOKUP(MasterTech!$AF$4:$AF$214,RawTech!$AO$2:$AO$212,RawTech!$AM$2:$AM$212)</f>
        <v>➖</v>
      </c>
      <c r="U40" s="423" t="str">
        <f t="array" ref="U40">XLOOKUP(MasterTech!$AF$4:$AF$214,RawTech!$AO$2:$AO$212,RawTech!$D$2:$D$212)</f>
        <v>AllDamage</v>
      </c>
      <c r="V40" s="420" t="str">
        <f t="array" ref="V40">XLOOKUP(MasterTech!$AF$4:$AF$214,RawTech!$AO$2:$AO$212,RawTech!$I$2:$I$212)</f>
        <v/>
      </c>
      <c r="W40" s="443" t="str">
        <f t="array" ref="W40">XLOOKUP(MasterTech!$AF$4:$AF$214,RawTech!$AO$2:$AO$212,RawTech!$E$2:$E$212)</f>
        <v>EnemyPlayer</v>
      </c>
      <c r="X40" s="423" t="str">
        <f t="array" ref="X40">XLOOKUP(MasterTech!$AF$4:$AF$214,RawTech!$AO$2:$AO$212,RawTech!$F$2:$F$212)</f>
        <v>CombatStart</v>
      </c>
      <c r="Y40" s="423" t="str">
        <f t="array" ref="Y40">XLOOKUP(MasterTech!$AF$4:$AF$214,RawTech!$AO$2:$AO$212,RawTech!$G$2:$G$212)</f>
        <v>SelfShip</v>
      </c>
      <c r="Z40" s="423" t="str">
        <f t="array" ref="Z40">XLOOKUP(MasterTech!$AF$4:$AF$214,RawTech!$AO$2:$AO$212,RawTech!$H$2:$H$212)</f>
        <v>MultiplyAdd</v>
      </c>
      <c r="AA40" s="423" t="str">
        <f t="array" ref="AA40">XLOOKUP(MasterTech!$AF$4:$AF$214,RawTech!$AO$2:$AO$212,RawTech!$J$2:$J$212)</f>
        <v>Increases Damage against players X</v>
      </c>
      <c r="AB40" s="424"/>
      <c r="AC40" s="425"/>
      <c r="AD40" s="425"/>
      <c r="AE40" s="461">
        <f t="array" ref="AE40">XLOOKUP(MasterTech!$AF$4:$AF$214,RawTech!$AO$2:$AO$212,RawTech!$AR$2:$AR$212)</f>
        <v>12</v>
      </c>
      <c r="AF40" s="427">
        <v>2.74083612E8</v>
      </c>
      <c r="AG40" s="428"/>
      <c r="AH40" s="428"/>
      <c r="AI40" s="429"/>
      <c r="AJ40" s="430"/>
    </row>
    <row r="41" ht="37.5" customHeight="1">
      <c r="A41" s="415" t="str">
        <f t="array" ref="A41">LEFT(XLOOKUP(LCARS_Tech[BuffID],RawTech[BuffID],RawTech[TechRarity]), 1)</f>
        <v>E</v>
      </c>
      <c r="B41" s="416"/>
      <c r="C41" s="417" t="str">
        <f t="array" ref="C41">HYPERLINK("https://stfc.space/forbidden_and_chaos_tech/" &amp; XLOOKUP(LCARS_Tech[BuffID],RawTech[BuffID],RawTech[TechId]), XLOOKUP(LCARS_Tech[BuffID],RawTech[BuffID],RawTech[TechName]))</f>
        <v>Thalaron Radiation</v>
      </c>
      <c r="D41" s="432">
        <f t="array" ref="D41">XLOOKUP(LCARS_Tech[BuffID],RawTech[BuffID],RawTech[BuffOrder])</f>
        <v>2</v>
      </c>
      <c r="E41" s="433" t="str">
        <f t="array" ref="E41">XLOOKUP(LCARS_Tech[BuffID],RawTech[BuffID],RawTech[TechType])</f>
        <v>FT</v>
      </c>
      <c r="F41" s="433" t="str">
        <f t="array" ref="F41">XLOOKUP(LCARS_Tech[BuffID],RawTech[BuffID],RawTech[Tag_PvPinSpace])</f>
        <v>✅</v>
      </c>
      <c r="G41" s="433" t="str">
        <f t="array" ref="G41">XLOOKUP(LCARS_Tech[BuffID],RawTech[BuffID],RawTech[Tag_PvPStation])</f>
        <v>✅</v>
      </c>
      <c r="H41" s="433" t="str">
        <f t="array" ref="H41">XLOOKUP(LCARS_Tech[BuffID],RawTech[BuffID],RawTech[Tag_NonArmadaHostiles])</f>
        <v>✅</v>
      </c>
      <c r="I41" s="433" t="str">
        <f t="array" ref="I41">XLOOKUP(LCARS_Tech[BuffID],RawTech[BuffID],RawTech[Tag_WaveDefense])</f>
        <v>✅</v>
      </c>
      <c r="J41" s="433" t="str">
        <f t="array" ref="J41">XLOOKUP(LCARS_Tech[BuffID],RawTech[BuffID],RawTech[Tag_QTrial])</f>
        <v>✅</v>
      </c>
      <c r="K41" s="433" t="str">
        <f t="array" ref="K41">XLOOKUP(LCARS_Tech[BuffID],RawTech[BuffID],RawTech[Tag_MissionBosses])</f>
        <v>✅</v>
      </c>
      <c r="L41" s="433" t="str">
        <f t="array" ref="L41">XLOOKUP(LCARS_Tech[BuffID],RawTech[BuffID],RawTech[Tag_GroupArmadas])</f>
        <v>✅</v>
      </c>
      <c r="M41" s="433" t="str">
        <f t="array" ref="M41">XLOOKUP(LCARS_Tech[BuffID],RawTech[BuffID],RawTech[Tag_SoloArmadas])</f>
        <v>✅</v>
      </c>
      <c r="N41" s="433" t="str">
        <f t="array" ref="N41">XLOOKUP(LCARS_Tech[BuffID],RawTech[BuffID],RawTech[Tag_InvadingEntities])</f>
        <v>✅</v>
      </c>
      <c r="O41" s="433" t="str">
        <f t="array" ref="O41">XLOOKUP(LCARS_Tech[BuffID],RawTech[BuffID],RawTech[Tag_Assaults])</f>
        <v>✅</v>
      </c>
      <c r="P41" s="434" t="str">
        <f t="array" ref="P41">XLOOKUP(LCARS_Tech[BuffID],RawTech[BuffID],RawTech[Tag_OutpostArmadas])</f>
        <v>✅</v>
      </c>
      <c r="Q41" s="416" t="str">
        <f t="array" ref="Q41">XLOOKUP(LCARS_Tech[BuffID],RawTech[BuffID],RawTech[Tag_OutpostRetaliators])</f>
        <v>✅</v>
      </c>
      <c r="R41" s="416" t="str">
        <f t="array" ref="R41">XLOOKUP(MasterTech!$AF$4:$AF$214,RawTech!$AO$2:$AO$212,RawTech!$AV$2:$AV$212)</f>
        <v/>
      </c>
      <c r="S41" s="433" t="str">
        <f t="array" ref="S41">XLOOKUP(MasterTech!$AF$4:$AF$214,RawTech!$AO$2:$AO$212,RawTech!$AK$2:$AK$212)</f>
        <v>➖</v>
      </c>
      <c r="T41" s="435" t="str">
        <f t="array" ref="T41">XLOOKUP(MasterTech!$AF$4:$AF$214,RawTech!$AO$2:$AO$212,RawTech!$AM$2:$AM$212)</f>
        <v>➖</v>
      </c>
      <c r="U41" s="438" t="str">
        <f t="array" ref="U41">XLOOKUP(MasterTech!$AF$4:$AF$214,RawTech!$AO$2:$AO$212,RawTech!$D$2:$D$212)</f>
        <v>HullHPMax</v>
      </c>
      <c r="V41" s="416" t="str">
        <f t="array" ref="V41">XLOOKUP(MasterTech!$AF$4:$AF$214,RawTech!$AO$2:$AO$212,RawTech!$I$2:$I$212)</f>
        <v/>
      </c>
      <c r="W41" s="437" t="str">
        <f t="array" ref="W41">XLOOKUP(MasterTech!$AF$4:$AF$214,RawTech!$AO$2:$AO$212,RawTech!$E$2:$E$212)</f>
        <v/>
      </c>
      <c r="X41" s="438" t="str">
        <f t="array" ref="X41">XLOOKUP(MasterTech!$AF$4:$AF$214,RawTech!$AO$2:$AO$212,RawTech!$F$2:$F$212)</f>
        <v>ShipLaunched</v>
      </c>
      <c r="Y41" s="438" t="str">
        <f t="array" ref="Y41">XLOOKUP(MasterTech!$AF$4:$AF$214,RawTech!$AO$2:$AO$212,RawTech!$G$2:$G$212)</f>
        <v>SelfShip</v>
      </c>
      <c r="Z41" s="438" t="str">
        <f t="array" ref="Z41">XLOOKUP(MasterTech!$AF$4:$AF$214,RawTech!$AO$2:$AO$212,RawTech!$H$2:$H$212)</f>
        <v>MultiplyAdd</v>
      </c>
      <c r="AA41" s="438" t="str">
        <f t="array" ref="AA41">XLOOKUP(MasterTech!$AF$4:$AF$214,RawTech!$AO$2:$AO$212,RawTech!$J$2:$J$212)</f>
        <v>Increases Hull Health X</v>
      </c>
      <c r="AB41" s="439"/>
      <c r="AC41" s="440"/>
      <c r="AD41" s="440"/>
      <c r="AE41" s="462">
        <f t="array" ref="AE41">XLOOKUP(MasterTech!$AF$4:$AF$214,RawTech!$AO$2:$AO$212,RawTech!$AR$2:$AR$212)</f>
        <v>12</v>
      </c>
      <c r="AF41" s="427">
        <v>2.073002029E9</v>
      </c>
      <c r="AG41" s="428"/>
      <c r="AH41" s="428"/>
      <c r="AI41" s="429"/>
      <c r="AJ41" s="430"/>
    </row>
    <row r="42" ht="37.5" customHeight="1">
      <c r="A42" s="415" t="str">
        <f t="array" ref="A42">LEFT(XLOOKUP(LCARS_Tech[BuffID],RawTech[BuffID],RawTech[TechRarity]), 1)</f>
        <v>E</v>
      </c>
      <c r="B42" s="420"/>
      <c r="C42" s="460" t="str">
        <f t="array" ref="C42">HYPERLINK("https://stfc.space/forbidden_and_chaos_tech/" &amp; XLOOKUP(MasterTech!$AF$4:$AF$214,RawTech!$AO$2:$AO$212,RawTech!$AQ$2:$AQ$212), XLOOKUP(MasterTech!$AF$4:$AF$214,RawTech!$AO$2:$AO$212,RawTech!$B$2:$B$212))</f>
        <v>Thalaron Radiation</v>
      </c>
      <c r="D42" s="418">
        <f t="array" ref="D42">XLOOKUP(LCARS_Tech[BuffID],RawTech[BuffID],RawTech[BuffOrder])</f>
        <v>3</v>
      </c>
      <c r="E42" s="419" t="str">
        <f t="array" ref="E42">XLOOKUP(LCARS_Tech[BuffID],RawTech[BuffID],RawTech[TechType])</f>
        <v>FT</v>
      </c>
      <c r="F42" s="419" t="str">
        <f t="array" ref="F42">XLOOKUP(LCARS_Tech[BuffID],RawTech[BuffID],RawTech[Tag_PvPinSpace])</f>
        <v>✅</v>
      </c>
      <c r="G42" s="419" t="str">
        <f t="array" ref="G42">XLOOKUP(LCARS_Tech[BuffID],RawTech[BuffID],RawTech[Tag_PvPStation])</f>
        <v>➖</v>
      </c>
      <c r="H42" s="419" t="str">
        <f t="array" ref="H42">XLOOKUP(LCARS_Tech[BuffID],RawTech[BuffID],RawTech[Tag_NonArmadaHostiles])</f>
        <v>➖</v>
      </c>
      <c r="I42" s="419" t="str">
        <f t="array" ref="I42">XLOOKUP(LCARS_Tech[BuffID],RawTech[BuffID],RawTech[Tag_WaveDefense])</f>
        <v>➖</v>
      </c>
      <c r="J42" s="419" t="str">
        <f t="array" ref="J42">XLOOKUP(LCARS_Tech[BuffID],RawTech[BuffID],RawTech[Tag_QTrial])</f>
        <v>➖</v>
      </c>
      <c r="K42" s="419" t="str">
        <f t="array" ref="K42">XLOOKUP(LCARS_Tech[BuffID],RawTech[BuffID],RawTech[Tag_MissionBosses])</f>
        <v>➖</v>
      </c>
      <c r="L42" s="419" t="str">
        <f t="array" ref="L42">XLOOKUP(LCARS_Tech[BuffID],RawTech[BuffID],RawTech[Tag_GroupArmadas])</f>
        <v>➖</v>
      </c>
      <c r="M42" s="419" t="str">
        <f t="array" ref="M42">XLOOKUP(LCARS_Tech[BuffID],RawTech[BuffID],RawTech[Tag_SoloArmadas])</f>
        <v>➖</v>
      </c>
      <c r="N42" s="419" t="str">
        <f t="array" ref="N42">XLOOKUP(LCARS_Tech[BuffID],RawTech[BuffID],RawTech[Tag_InvadingEntities])</f>
        <v>➖</v>
      </c>
      <c r="O42" s="419" t="str">
        <f t="array" ref="O42">XLOOKUP(LCARS_Tech[BuffID],RawTech[BuffID],RawTech[Tag_Assaults])</f>
        <v>➖</v>
      </c>
      <c r="P42" s="442" t="str">
        <f t="array" ref="P42">XLOOKUP(LCARS_Tech[BuffID],RawTech[BuffID],RawTech[Tag_OutpostArmadas])</f>
        <v>➖</v>
      </c>
      <c r="Q42" s="420" t="str">
        <f t="array" ref="Q42">XLOOKUP(LCARS_Tech[BuffID],RawTech[BuffID],RawTech[Tag_OutpostRetaliators])</f>
        <v>➖</v>
      </c>
      <c r="R42" s="420" t="str">
        <f t="array" ref="R42">XLOOKUP(MasterTech!$AF$4:$AF$214,RawTech!$AO$2:$AO$212,RawTech!$AV$2:$AV$212)</f>
        <v/>
      </c>
      <c r="S42" s="419" t="str">
        <f t="array" ref="S42">XLOOKUP(MasterTech!$AF$4:$AF$214,RawTech!$AO$2:$AO$212,RawTech!$AK$2:$AK$212)</f>
        <v>➖</v>
      </c>
      <c r="T42" s="422" t="str">
        <f t="array" ref="T42">XLOOKUP(MasterTech!$AF$4:$AF$214,RawTech!$AO$2:$AO$212,RawTech!$AM$2:$AM$212)</f>
        <v>➖</v>
      </c>
      <c r="U42" s="423" t="str">
        <f t="array" ref="U42">XLOOKUP(MasterTech!$AF$4:$AF$214,RawTech!$AO$2:$AO$212,RawTech!$D$2:$D$212)</f>
        <v>CritDamage</v>
      </c>
      <c r="V42" s="420" t="str">
        <f t="array" ref="V42">XLOOKUP(MasterTech!$AF$4:$AF$214,RawTech!$AO$2:$AO$212,RawTech!$I$2:$I$212)</f>
        <v/>
      </c>
      <c r="W42" s="443" t="str">
        <f t="array" ref="W42">XLOOKUP(MasterTech!$AF$4:$AF$214,RawTech!$AO$2:$AO$212,RawTech!$E$2:$E$212)</f>
        <v>SelfCloaked, EnemyPlayer</v>
      </c>
      <c r="X42" s="423" t="str">
        <f t="array" ref="X42">XLOOKUP(MasterTech!$AF$4:$AF$214,RawTech!$AO$2:$AO$212,RawTech!$F$2:$F$212)</f>
        <v>CombatStart</v>
      </c>
      <c r="Y42" s="423" t="str">
        <f t="array" ref="Y42">XLOOKUP(MasterTech!$AF$4:$AF$214,RawTech!$AO$2:$AO$212,RawTech!$G$2:$G$212)</f>
        <v>SelfShip</v>
      </c>
      <c r="Z42" s="423" t="str">
        <f t="array" ref="Z42">XLOOKUP(MasterTech!$AF$4:$AF$214,RawTech!$AO$2:$AO$212,RawTech!$H$2:$H$212)</f>
        <v>Add</v>
      </c>
      <c r="AA42" s="423" t="str">
        <f t="array" ref="AA42">XLOOKUP(MasterTech!$AF$4:$AF$214,RawTech!$AO$2:$AO$212,RawTech!$J$2:$J$212)</f>
        <v>Increases Critical Damage against players when Cloaked X</v>
      </c>
      <c r="AB42" s="424"/>
      <c r="AC42" s="463"/>
      <c r="AD42" s="463"/>
      <c r="AE42" s="461">
        <f t="array" ref="AE42">XLOOKUP(MasterTech!$AF$4:$AF$214,RawTech!$AO$2:$AO$212,RawTech!$AR$2:$AR$212)</f>
        <v>12</v>
      </c>
      <c r="AF42" s="427">
        <v>3.082560784E9</v>
      </c>
      <c r="AG42" s="428"/>
      <c r="AH42" s="428"/>
      <c r="AI42" s="429"/>
      <c r="AJ42" s="430"/>
    </row>
    <row r="43" ht="37.5" customHeight="1">
      <c r="A43" s="415" t="str">
        <f t="array" ref="A43">LEFT(XLOOKUP(LCARS_Tech[BuffID],RawTech[BuffID],RawTech[TechRarity]), 1)</f>
        <v>E</v>
      </c>
      <c r="B43" s="416"/>
      <c r="C43" s="464" t="str">
        <f t="array" ref="C43">HYPERLINK("https://stfc.space/forbidden_and_chaos_tech/" &amp; XLOOKUP(MasterTech!$AF$4:$AF$214,RawTech!$AO$2:$AO$212,RawTech!$AQ$2:$AQ$212), XLOOKUP(MasterTech!$AF$4:$AF$214,RawTech!$AO$2:$AO$212,RawTech!$B$2:$B$212))</f>
        <v>Thalaron Radiation</v>
      </c>
      <c r="D43" s="432">
        <f t="array" ref="D43">XLOOKUP(LCARS_Tech[BuffID],RawTech[BuffID],RawTech[BuffOrder])</f>
        <v>4</v>
      </c>
      <c r="E43" s="433" t="str">
        <f t="array" ref="E43">XLOOKUP(LCARS_Tech[BuffID],RawTech[BuffID],RawTech[TechType])</f>
        <v>FT</v>
      </c>
      <c r="F43" s="433" t="str">
        <f t="array" ref="F43">XLOOKUP(LCARS_Tech[BuffID],RawTech[BuffID],RawTech[Tag_PvPinSpace])</f>
        <v>➖</v>
      </c>
      <c r="G43" s="433" t="str">
        <f t="array" ref="G43">XLOOKUP(LCARS_Tech[BuffID],RawTech[BuffID],RawTech[Tag_PvPStation])</f>
        <v>➖</v>
      </c>
      <c r="H43" s="433" t="str">
        <f t="array" ref="H43">XLOOKUP(LCARS_Tech[BuffID],RawTech[BuffID],RawTech[Tag_NonArmadaHostiles])</f>
        <v>➖</v>
      </c>
      <c r="I43" s="433" t="str">
        <f t="array" ref="I43">XLOOKUP(LCARS_Tech[BuffID],RawTech[BuffID],RawTech[Tag_WaveDefense])</f>
        <v>➖</v>
      </c>
      <c r="J43" s="433" t="str">
        <f t="array" ref="J43">XLOOKUP(LCARS_Tech[BuffID],RawTech[BuffID],RawTech[Tag_QTrial])</f>
        <v>➖</v>
      </c>
      <c r="K43" s="433" t="str">
        <f t="array" ref="K43">XLOOKUP(LCARS_Tech[BuffID],RawTech[BuffID],RawTech[Tag_MissionBosses])</f>
        <v>➖</v>
      </c>
      <c r="L43" s="433" t="str">
        <f t="array" ref="L43">XLOOKUP(LCARS_Tech[BuffID],RawTech[BuffID],RawTech[Tag_GroupArmadas])</f>
        <v>➖</v>
      </c>
      <c r="M43" s="433" t="str">
        <f t="array" ref="M43">XLOOKUP(LCARS_Tech[BuffID],RawTech[BuffID],RawTech[Tag_SoloArmadas])</f>
        <v>➖</v>
      </c>
      <c r="N43" s="433" t="str">
        <f t="array" ref="N43">XLOOKUP(LCARS_Tech[BuffID],RawTech[BuffID],RawTech[Tag_InvadingEntities])</f>
        <v>➖</v>
      </c>
      <c r="O43" s="433" t="str">
        <f t="array" ref="O43">XLOOKUP(LCARS_Tech[BuffID],RawTech[BuffID],RawTech[Tag_Assaults])</f>
        <v>➖</v>
      </c>
      <c r="P43" s="434" t="str">
        <f t="array" ref="P43">XLOOKUP(LCARS_Tech[BuffID],RawTech[BuffID],RawTech[Tag_OutpostArmadas])</f>
        <v>➖</v>
      </c>
      <c r="Q43" s="416" t="str">
        <f t="array" ref="Q43">XLOOKUP(LCARS_Tech[BuffID],RawTech[BuffID],RawTech[Tag_OutpostRetaliators])</f>
        <v>➖</v>
      </c>
      <c r="R43" s="416" t="str">
        <f t="array" ref="R43">XLOOKUP(MasterTech!$AF$4:$AF$214,RawTech!$AO$2:$AO$212,RawTech!$AV$2:$AV$212)</f>
        <v/>
      </c>
      <c r="S43" s="433" t="str">
        <f t="array" ref="S43">XLOOKUP(MasterTech!$AF$4:$AF$214,RawTech!$AO$2:$AO$212,RawTech!$AK$2:$AK$212)</f>
        <v>➖</v>
      </c>
      <c r="T43" s="435" t="str">
        <f t="array" ref="T43">XLOOKUP(MasterTech!$AF$4:$AF$214,RawTech!$AO$2:$AO$212,RawTech!$AM$2:$AM$212)</f>
        <v>➖</v>
      </c>
      <c r="U43" s="438" t="str">
        <f t="array" ref="U43">XLOOKUP(MasterTech!$AF$4:$AF$214,RawTech!$AO$2:$AO$212,RawTech!$D$2:$D$212)</f>
        <v>AllDamage</v>
      </c>
      <c r="V43" s="416" t="str">
        <f t="array" ref="V43">XLOOKUP(MasterTech!$AF$4:$AF$214,RawTech!$AO$2:$AO$212,RawTech!$I$2:$I$212)</f>
        <v/>
      </c>
      <c r="W43" s="447" t="str">
        <f t="array" ref="W43">XLOOKUP(MasterTech!$AF$4:$AF$214,RawTech!$AO$2:$AO$212,RawTech!$E$2:$E$212)</f>
        <v>EnemyPlayer, SelfIsRomulan</v>
      </c>
      <c r="X43" s="438" t="str">
        <f t="array" ref="X43">XLOOKUP(MasterTech!$AF$4:$AF$214,RawTech!$AO$2:$AO$212,RawTech!$F$2:$F$212)</f>
        <v>CombatStart</v>
      </c>
      <c r="Y43" s="438" t="str">
        <f t="array" ref="Y43">XLOOKUP(MasterTech!$AF$4:$AF$214,RawTech!$AO$2:$AO$212,RawTech!$G$2:$G$212)</f>
        <v>SelfShip</v>
      </c>
      <c r="Z43" s="438" t="str">
        <f t="array" ref="Z43">XLOOKUP(MasterTech!$AF$4:$AF$214,RawTech!$AO$2:$AO$212,RawTech!$H$2:$H$212)</f>
        <v>MultiplyAdd</v>
      </c>
      <c r="AA43" s="438" t="str">
        <f t="array" ref="AA43">XLOOKUP(MasterTech!$AF$4:$AF$214,RawTech!$AO$2:$AO$212,RawTech!$J$2:$J$212)</f>
        <v>Increases Romulan ship Damage against other players X</v>
      </c>
      <c r="AB43" s="439"/>
      <c r="AC43" s="440"/>
      <c r="AD43" s="440"/>
      <c r="AE43" s="462">
        <f t="array" ref="AE43">XLOOKUP(MasterTech!$AF$4:$AF$214,RawTech!$AO$2:$AO$212,RawTech!$AR$2:$AR$212)</f>
        <v>12</v>
      </c>
      <c r="AF43" s="427">
        <v>2.867004475E9</v>
      </c>
      <c r="AG43" s="428"/>
      <c r="AH43" s="428"/>
      <c r="AI43" s="429"/>
      <c r="AJ43" s="430"/>
    </row>
    <row r="44" ht="37.5" customHeight="1">
      <c r="A44" s="415" t="str">
        <f t="array" ref="A44">LEFT(XLOOKUP(LCARS_Tech[BuffID],RawTech[BuffID],RawTech[TechRarity]), 1)</f>
        <v>E</v>
      </c>
      <c r="B44" s="420"/>
      <c r="C44" s="460" t="str">
        <f t="array" ref="C44">HYPERLINK("https://stfc.space/forbidden_and_chaos_tech/" &amp; XLOOKUP(MasterTech!$AF$4:$AF$214,RawTech!$AO$2:$AO$212,RawTech!$AQ$2:$AQ$212), XLOOKUP(MasterTech!$AF$4:$AF$214,RawTech!$AO$2:$AO$212,RawTech!$B$2:$B$212))</f>
        <v>Red Matter</v>
      </c>
      <c r="D44" s="418">
        <f t="array" ref="D44">XLOOKUP(LCARS_Tech[BuffID],RawTech[BuffID],RawTech[BuffOrder])</f>
        <v>1</v>
      </c>
      <c r="E44" s="419" t="str">
        <f t="array" ref="E44">XLOOKUP(LCARS_Tech[BuffID],RawTech[BuffID],RawTech[TechType])</f>
        <v>FT</v>
      </c>
      <c r="F44" s="419" t="str">
        <f t="array" ref="F44">XLOOKUP(LCARS_Tech[BuffID],RawTech[BuffID],RawTech[Tag_PvPinSpace])</f>
        <v>✅</v>
      </c>
      <c r="G44" s="419" t="str">
        <f t="array" ref="G44">XLOOKUP(LCARS_Tech[BuffID],RawTech[BuffID],RawTech[Tag_PvPStation])</f>
        <v>✅</v>
      </c>
      <c r="H44" s="419" t="str">
        <f t="array" ref="H44">XLOOKUP(LCARS_Tech[BuffID],RawTech[BuffID],RawTech[Tag_NonArmadaHostiles])</f>
        <v>➖</v>
      </c>
      <c r="I44" s="419" t="str">
        <f t="array" ref="I44">XLOOKUP(LCARS_Tech[BuffID],RawTech[BuffID],RawTech[Tag_WaveDefense])</f>
        <v>➖</v>
      </c>
      <c r="J44" s="419" t="str">
        <f t="array" ref="J44">XLOOKUP(LCARS_Tech[BuffID],RawTech[BuffID],RawTech[Tag_QTrial])</f>
        <v>➖</v>
      </c>
      <c r="K44" s="419" t="str">
        <f t="array" ref="K44">XLOOKUP(LCARS_Tech[BuffID],RawTech[BuffID],RawTech[Tag_MissionBosses])</f>
        <v>➖</v>
      </c>
      <c r="L44" s="419" t="str">
        <f t="array" ref="L44">XLOOKUP(LCARS_Tech[BuffID],RawTech[BuffID],RawTech[Tag_GroupArmadas])</f>
        <v>➖</v>
      </c>
      <c r="M44" s="419" t="str">
        <f t="array" ref="M44">XLOOKUP(LCARS_Tech[BuffID],RawTech[BuffID],RawTech[Tag_SoloArmadas])</f>
        <v>➖</v>
      </c>
      <c r="N44" s="419" t="str">
        <f t="array" ref="N44">XLOOKUP(LCARS_Tech[BuffID],RawTech[BuffID],RawTech[Tag_InvadingEntities])</f>
        <v>➖</v>
      </c>
      <c r="O44" s="419" t="str">
        <f t="array" ref="O44">XLOOKUP(LCARS_Tech[BuffID],RawTech[BuffID],RawTech[Tag_Assaults])</f>
        <v>➖</v>
      </c>
      <c r="P44" s="442" t="str">
        <f t="array" ref="P44">XLOOKUP(LCARS_Tech[BuffID],RawTech[BuffID],RawTech[Tag_OutpostArmadas])</f>
        <v>➖</v>
      </c>
      <c r="Q44" s="420" t="str">
        <f t="array" ref="Q44">XLOOKUP(LCARS_Tech[BuffID],RawTech[BuffID],RawTech[Tag_OutpostRetaliators])</f>
        <v>➖</v>
      </c>
      <c r="R44" s="420" t="str">
        <f t="array" ref="R44">XLOOKUP(MasterTech!$AF$4:$AF$214,RawTech!$AO$2:$AO$212,RawTech!$AV$2:$AV$212)</f>
        <v/>
      </c>
      <c r="S44" s="419" t="str">
        <f t="array" ref="S44">XLOOKUP(MasterTech!$AF$4:$AF$214,RawTech!$AO$2:$AO$212,RawTech!$AK$2:$AK$212)</f>
        <v>➖</v>
      </c>
      <c r="T44" s="422" t="str">
        <f t="array" ref="T44">XLOOKUP(MasterTech!$AF$4:$AF$214,RawTech!$AO$2:$AO$212,RawTech!$AM$2:$AM$212)</f>
        <v>➖</v>
      </c>
      <c r="U44" s="423" t="str">
        <f t="array" ref="U44">XLOOKUP(MasterTech!$AF$4:$AF$214,RawTech!$AO$2:$AO$212,RawTech!$D$2:$D$212)</f>
        <v>AllDamage</v>
      </c>
      <c r="V44" s="420" t="str">
        <f t="array" ref="V44">XLOOKUP(MasterTech!$AF$4:$AF$214,RawTech!$AO$2:$AO$212,RawTech!$I$2:$I$212)</f>
        <v/>
      </c>
      <c r="W44" s="443" t="str">
        <f t="array" ref="W44">XLOOKUP(MasterTech!$AF$4:$AF$214,RawTech!$AO$2:$AO$212,RawTech!$E$2:$E$212)</f>
        <v>EnemyPlayer</v>
      </c>
      <c r="X44" s="423" t="str">
        <f t="array" ref="X44">XLOOKUP(MasterTech!$AF$4:$AF$214,RawTech!$AO$2:$AO$212,RawTech!$F$2:$F$212)</f>
        <v>CombatStart</v>
      </c>
      <c r="Y44" s="423" t="str">
        <f t="array" ref="Y44">XLOOKUP(MasterTech!$AF$4:$AF$214,RawTech!$AO$2:$AO$212,RawTech!$G$2:$G$212)</f>
        <v>SelfShip</v>
      </c>
      <c r="Z44" s="423" t="str">
        <f t="array" ref="Z44">XLOOKUP(MasterTech!$AF$4:$AF$214,RawTech!$AO$2:$AO$212,RawTech!$H$2:$H$212)</f>
        <v>MultiplyAdd</v>
      </c>
      <c r="AA44" s="423" t="str">
        <f t="array" ref="AA44">XLOOKUP(MasterTech!$AF$4:$AF$214,RawTech!$AO$2:$AO$212,RawTech!$J$2:$J$212)</f>
        <v>Increases Damage against players X</v>
      </c>
      <c r="AB44" s="424"/>
      <c r="AC44" s="425"/>
      <c r="AD44" s="425"/>
      <c r="AE44" s="461">
        <f t="array" ref="AE44">XLOOKUP(MasterTech!$AF$4:$AF$214,RawTech!$AO$2:$AO$212,RawTech!$AR$2:$AR$212)</f>
        <v>13</v>
      </c>
      <c r="AF44" s="427">
        <v>1.19934526E8</v>
      </c>
      <c r="AG44" s="428"/>
      <c r="AH44" s="428"/>
      <c r="AI44" s="429"/>
      <c r="AJ44" s="430"/>
    </row>
    <row r="45" ht="37.5" customHeight="1">
      <c r="A45" s="415" t="str">
        <f t="array" ref="A45">LEFT(XLOOKUP(LCARS_Tech[BuffID],RawTech[BuffID],RawTech[TechRarity]), 1)</f>
        <v>E</v>
      </c>
      <c r="B45" s="416"/>
      <c r="C45" s="417" t="str">
        <f t="array" ref="C45">HYPERLINK("https://stfc.space/forbidden_and_chaos_tech/" &amp; XLOOKUP(LCARS_Tech[BuffID],RawTech[BuffID],RawTech[TechId]), XLOOKUP(LCARS_Tech[BuffID],RawTech[BuffID],RawTech[TechName]))</f>
        <v>Red Matter</v>
      </c>
      <c r="D45" s="432">
        <f t="array" ref="D45">XLOOKUP(LCARS_Tech[BuffID],RawTech[BuffID],RawTech[BuffOrder])</f>
        <v>2</v>
      </c>
      <c r="E45" s="433" t="str">
        <f t="array" ref="E45">XLOOKUP(LCARS_Tech[BuffID],RawTech[BuffID],RawTech[TechType])</f>
        <v>FT</v>
      </c>
      <c r="F45" s="433" t="str">
        <f t="array" ref="F45">XLOOKUP(LCARS_Tech[BuffID],RawTech[BuffID],RawTech[Tag_PvPinSpace])</f>
        <v>✅</v>
      </c>
      <c r="G45" s="433" t="str">
        <f t="array" ref="G45">XLOOKUP(LCARS_Tech[BuffID],RawTech[BuffID],RawTech[Tag_PvPStation])</f>
        <v>✅</v>
      </c>
      <c r="H45" s="433" t="str">
        <f t="array" ref="H45">XLOOKUP(LCARS_Tech[BuffID],RawTech[BuffID],RawTech[Tag_NonArmadaHostiles])</f>
        <v>✅</v>
      </c>
      <c r="I45" s="433" t="str">
        <f t="array" ref="I45">XLOOKUP(LCARS_Tech[BuffID],RawTech[BuffID],RawTech[Tag_WaveDefense])</f>
        <v>✅</v>
      </c>
      <c r="J45" s="433" t="str">
        <f t="array" ref="J45">XLOOKUP(LCARS_Tech[BuffID],RawTech[BuffID],RawTech[Tag_QTrial])</f>
        <v>✅</v>
      </c>
      <c r="K45" s="433" t="str">
        <f t="array" ref="K45">XLOOKUP(LCARS_Tech[BuffID],RawTech[BuffID],RawTech[Tag_MissionBosses])</f>
        <v>✅</v>
      </c>
      <c r="L45" s="433" t="str">
        <f t="array" ref="L45">XLOOKUP(LCARS_Tech[BuffID],RawTech[BuffID],RawTech[Tag_GroupArmadas])</f>
        <v>✅</v>
      </c>
      <c r="M45" s="433" t="str">
        <f t="array" ref="M45">XLOOKUP(LCARS_Tech[BuffID],RawTech[BuffID],RawTech[Tag_SoloArmadas])</f>
        <v>✅</v>
      </c>
      <c r="N45" s="433" t="str">
        <f t="array" ref="N45">XLOOKUP(LCARS_Tech[BuffID],RawTech[BuffID],RawTech[Tag_InvadingEntities])</f>
        <v>✅</v>
      </c>
      <c r="O45" s="433" t="str">
        <f t="array" ref="O45">XLOOKUP(LCARS_Tech[BuffID],RawTech[BuffID],RawTech[Tag_Assaults])</f>
        <v>✅</v>
      </c>
      <c r="P45" s="434" t="str">
        <f t="array" ref="P45">XLOOKUP(LCARS_Tech[BuffID],RawTech[BuffID],RawTech[Tag_OutpostArmadas])</f>
        <v>✅</v>
      </c>
      <c r="Q45" s="416" t="str">
        <f t="array" ref="Q45">XLOOKUP(LCARS_Tech[BuffID],RawTech[BuffID],RawTech[Tag_OutpostRetaliators])</f>
        <v>✅</v>
      </c>
      <c r="R45" s="416" t="str">
        <f t="array" ref="R45">XLOOKUP(MasterTech!$AF$4:$AF$214,RawTech!$AO$2:$AO$212,RawTech!$AV$2:$AV$212)</f>
        <v/>
      </c>
      <c r="S45" s="433" t="str">
        <f t="array" ref="S45">XLOOKUP(MasterTech!$AF$4:$AF$214,RawTech!$AO$2:$AO$212,RawTech!$AK$2:$AK$212)</f>
        <v>➖</v>
      </c>
      <c r="T45" s="435" t="str">
        <f t="array" ref="T45">XLOOKUP(MasterTech!$AF$4:$AF$214,RawTech!$AO$2:$AO$212,RawTech!$AM$2:$AM$212)</f>
        <v>➖</v>
      </c>
      <c r="U45" s="438" t="str">
        <f t="array" ref="U45">XLOOKUP(MasterTech!$AF$4:$AF$214,RawTech!$AO$2:$AO$212,RawTech!$D$2:$D$212)</f>
        <v>HullHPMax</v>
      </c>
      <c r="V45" s="416" t="str">
        <f t="array" ref="V45">XLOOKUP(MasterTech!$AF$4:$AF$214,RawTech!$AO$2:$AO$212,RawTech!$I$2:$I$212)</f>
        <v/>
      </c>
      <c r="W45" s="437" t="str">
        <f t="array" ref="W45">XLOOKUP(MasterTech!$AF$4:$AF$214,RawTech!$AO$2:$AO$212,RawTech!$E$2:$E$212)</f>
        <v/>
      </c>
      <c r="X45" s="438" t="str">
        <f t="array" ref="X45">XLOOKUP(MasterTech!$AF$4:$AF$214,RawTech!$AO$2:$AO$212,RawTech!$F$2:$F$212)</f>
        <v>ShipLaunched</v>
      </c>
      <c r="Y45" s="438" t="str">
        <f t="array" ref="Y45">XLOOKUP(MasterTech!$AF$4:$AF$214,RawTech!$AO$2:$AO$212,RawTech!$G$2:$G$212)</f>
        <v>SelfShip</v>
      </c>
      <c r="Z45" s="438" t="str">
        <f t="array" ref="Z45">XLOOKUP(MasterTech!$AF$4:$AF$214,RawTech!$AO$2:$AO$212,RawTech!$H$2:$H$212)</f>
        <v>MultiplyAdd</v>
      </c>
      <c r="AA45" s="438" t="str">
        <f t="array" ref="AA45">XLOOKUP(MasterTech!$AF$4:$AF$214,RawTech!$AO$2:$AO$212,RawTech!$J$2:$J$212)</f>
        <v>Increases Hull Health X</v>
      </c>
      <c r="AB45" s="439"/>
      <c r="AC45" s="440"/>
      <c r="AD45" s="440"/>
      <c r="AE45" s="462">
        <f t="array" ref="AE45">XLOOKUP(MasterTech!$AF$4:$AF$214,RawTech!$AO$2:$AO$212,RawTech!$AR$2:$AR$212)</f>
        <v>13</v>
      </c>
      <c r="AF45" s="427">
        <v>4.063817401E9</v>
      </c>
      <c r="AG45" s="428"/>
      <c r="AH45" s="428"/>
      <c r="AI45" s="429"/>
      <c r="AJ45" s="430"/>
    </row>
    <row r="46" ht="37.5" customHeight="1">
      <c r="A46" s="415" t="str">
        <f t="array" ref="A46">LEFT(XLOOKUP(LCARS_Tech[BuffID],RawTech[BuffID],RawTech[TechRarity]), 1)</f>
        <v>E</v>
      </c>
      <c r="B46" s="420"/>
      <c r="C46" s="460" t="str">
        <f t="array" ref="C46">HYPERLINK("https://stfc.space/forbidden_and_chaos_tech/" &amp; XLOOKUP(MasterTech!$AF$4:$AF$214,RawTech!$AO$2:$AO$212,RawTech!$AQ$2:$AQ$212), XLOOKUP(MasterTech!$AF$4:$AF$214,RawTech!$AO$2:$AO$212,RawTech!$B$2:$B$212))</f>
        <v>Red Matter</v>
      </c>
      <c r="D46" s="418">
        <f t="array" ref="D46">XLOOKUP(LCARS_Tech[BuffID],RawTech[BuffID],RawTech[BuffOrder])</f>
        <v>3</v>
      </c>
      <c r="E46" s="419" t="str">
        <f t="array" ref="E46">XLOOKUP(LCARS_Tech[BuffID],RawTech[BuffID],RawTech[TechType])</f>
        <v>FT</v>
      </c>
      <c r="F46" s="419" t="str">
        <f t="array" ref="F46">XLOOKUP(LCARS_Tech[BuffID],RawTech[BuffID],RawTech[Tag_PvPinSpace])</f>
        <v>✅</v>
      </c>
      <c r="G46" s="419" t="str">
        <f t="array" ref="G46">XLOOKUP(LCARS_Tech[BuffID],RawTech[BuffID],RawTech[Tag_PvPStation])</f>
        <v>✅</v>
      </c>
      <c r="H46" s="419" t="str">
        <f t="array" ref="H46">XLOOKUP(LCARS_Tech[BuffID],RawTech[BuffID],RawTech[Tag_NonArmadaHostiles])</f>
        <v>➖</v>
      </c>
      <c r="I46" s="419" t="str">
        <f t="array" ref="I46">XLOOKUP(LCARS_Tech[BuffID],RawTech[BuffID],RawTech[Tag_WaveDefense])</f>
        <v>➖</v>
      </c>
      <c r="J46" s="419" t="str">
        <f t="array" ref="J46">XLOOKUP(LCARS_Tech[BuffID],RawTech[BuffID],RawTech[Tag_QTrial])</f>
        <v>➖</v>
      </c>
      <c r="K46" s="419" t="str">
        <f t="array" ref="K46">XLOOKUP(LCARS_Tech[BuffID],RawTech[BuffID],RawTech[Tag_MissionBosses])</f>
        <v>➖</v>
      </c>
      <c r="L46" s="419" t="str">
        <f t="array" ref="L46">XLOOKUP(LCARS_Tech[BuffID],RawTech[BuffID],RawTech[Tag_GroupArmadas])</f>
        <v>➖</v>
      </c>
      <c r="M46" s="419" t="str">
        <f t="array" ref="M46">XLOOKUP(LCARS_Tech[BuffID],RawTech[BuffID],RawTech[Tag_SoloArmadas])</f>
        <v>➖</v>
      </c>
      <c r="N46" s="419" t="str">
        <f t="array" ref="N46">XLOOKUP(LCARS_Tech[BuffID],RawTech[BuffID],RawTech[Tag_InvadingEntities])</f>
        <v>➖</v>
      </c>
      <c r="O46" s="419" t="str">
        <f t="array" ref="O46">XLOOKUP(LCARS_Tech[BuffID],RawTech[BuffID],RawTech[Tag_Assaults])</f>
        <v>➖</v>
      </c>
      <c r="P46" s="442" t="str">
        <f t="array" ref="P46">XLOOKUP(LCARS_Tech[BuffID],RawTech[BuffID],RawTech[Tag_OutpostArmadas])</f>
        <v>➖</v>
      </c>
      <c r="Q46" s="420" t="str">
        <f t="array" ref="Q46">XLOOKUP(LCARS_Tech[BuffID],RawTech[BuffID],RawTech[Tag_OutpostRetaliators])</f>
        <v>➖</v>
      </c>
      <c r="R46" s="420" t="str">
        <f t="array" ref="R46">XLOOKUP(MasterTech!$AF$4:$AF$214,RawTech!$AO$2:$AO$212,RawTech!$AV$2:$AV$212)</f>
        <v/>
      </c>
      <c r="S46" s="419" t="str">
        <f t="array" ref="S46">XLOOKUP(MasterTech!$AF$4:$AF$214,RawTech!$AO$2:$AO$212,RawTech!$AK$2:$AK$212)</f>
        <v>➖</v>
      </c>
      <c r="T46" s="422" t="str">
        <f t="array" ref="T46">XLOOKUP(MasterTech!$AF$4:$AF$214,RawTech!$AO$2:$AO$212,RawTech!$AM$2:$AM$212)</f>
        <v>➖</v>
      </c>
      <c r="U46" s="423" t="str">
        <f t="array" ref="U46">XLOOKUP(MasterTech!$AF$4:$AF$214,RawTech!$AO$2:$AO$212,RawTech!$D$2:$D$212)</f>
        <v>AllDamage</v>
      </c>
      <c r="V46" s="423" t="str">
        <f t="array" ref="V46">XLOOKUP(MasterTech!$AF$4:$AF$214,RawTech!$AO$2:$AO$212,RawTech!$I$2:$I$212)</f>
        <v>num_rounds=5</v>
      </c>
      <c r="W46" s="443" t="str">
        <f t="array" ref="W46">XLOOKUP(MasterTech!$AF$4:$AF$214,RawTech!$AO$2:$AO$212,RawTech!$E$2:$E$212)</f>
        <v>EnemyPlayer</v>
      </c>
      <c r="X46" s="423" t="str">
        <f t="array" ref="X46">XLOOKUP(MasterTech!$AF$4:$AF$214,RawTech!$AO$2:$AO$212,RawTech!$F$2:$F$212)</f>
        <v>ShieldDamageTaken</v>
      </c>
      <c r="Y46" s="423" t="str">
        <f t="array" ref="Y46">XLOOKUP(MasterTech!$AF$4:$AF$214,RawTech!$AO$2:$AO$212,RawTech!$G$2:$G$212)</f>
        <v>SelfShip</v>
      </c>
      <c r="Z46" s="423" t="str">
        <f t="array" ref="Z46">XLOOKUP(MasterTech!$AF$4:$AF$214,RawTech!$AO$2:$AO$212,RawTech!$H$2:$H$212)</f>
        <v>MultiplyAdd</v>
      </c>
      <c r="AA46" s="423" t="str">
        <f t="array" ref="AA46">XLOOKUP(MasterTech!$AF$4:$AF$214,RawTech!$AO$2:$AO$212,RawTech!$J$2:$J$212)</f>
        <v>When the ship loses Shield Health from a weapon attack, increase Damage against players for 5 rounds X</v>
      </c>
      <c r="AB46" s="424"/>
      <c r="AC46" s="425"/>
      <c r="AD46" s="425"/>
      <c r="AE46" s="461">
        <f t="array" ref="AE46">XLOOKUP(MasterTech!$AF$4:$AF$214,RawTech!$AO$2:$AO$212,RawTech!$AR$2:$AR$212)</f>
        <v>13</v>
      </c>
      <c r="AF46" s="427">
        <v>3.602421416E9</v>
      </c>
      <c r="AG46" s="428"/>
      <c r="AH46" s="428"/>
      <c r="AI46" s="429"/>
      <c r="AJ46" s="430"/>
    </row>
    <row r="47" ht="37.5" customHeight="1">
      <c r="A47" s="415" t="str">
        <f t="array" ref="A47">LEFT(XLOOKUP(LCARS_Tech[BuffID],RawTech[BuffID],RawTech[TechRarity]), 1)</f>
        <v>E</v>
      </c>
      <c r="B47" s="416"/>
      <c r="C47" s="464" t="str">
        <f t="array" ref="C47">HYPERLINK("https://stfc.space/forbidden_and_chaos_tech/" &amp; XLOOKUP(MasterTech!$AF$4:$AF$214,RawTech!$AO$2:$AO$212,RawTech!$AQ$2:$AQ$212), XLOOKUP(MasterTech!$AF$4:$AF$214,RawTech!$AO$2:$AO$212,RawTech!$B$2:$B$212))</f>
        <v>Red Matter</v>
      </c>
      <c r="D47" s="432">
        <f t="array" ref="D47">XLOOKUP(LCARS_Tech[BuffID],RawTech[BuffID],RawTech[BuffOrder])</f>
        <v>4</v>
      </c>
      <c r="E47" s="433" t="str">
        <f t="array" ref="E47">XLOOKUP(LCARS_Tech[BuffID],RawTech[BuffID],RawTech[TechType])</f>
        <v>FT</v>
      </c>
      <c r="F47" s="433" t="str">
        <f t="array" ref="F47">XLOOKUP(LCARS_Tech[BuffID],RawTech[BuffID],RawTech[Tag_PvPinSpace])</f>
        <v>➖</v>
      </c>
      <c r="G47" s="433" t="str">
        <f t="array" ref="G47">XLOOKUP(LCARS_Tech[BuffID],RawTech[BuffID],RawTech[Tag_PvPStation])</f>
        <v>➖</v>
      </c>
      <c r="H47" s="433" t="str">
        <f t="array" ref="H47">XLOOKUP(LCARS_Tech[BuffID],RawTech[BuffID],RawTech[Tag_NonArmadaHostiles])</f>
        <v>➖</v>
      </c>
      <c r="I47" s="433" t="str">
        <f t="array" ref="I47">XLOOKUP(LCARS_Tech[BuffID],RawTech[BuffID],RawTech[Tag_WaveDefense])</f>
        <v>➖</v>
      </c>
      <c r="J47" s="433" t="str">
        <f t="array" ref="J47">XLOOKUP(LCARS_Tech[BuffID],RawTech[BuffID],RawTech[Tag_QTrial])</f>
        <v>➖</v>
      </c>
      <c r="K47" s="433" t="str">
        <f t="array" ref="K47">XLOOKUP(LCARS_Tech[BuffID],RawTech[BuffID],RawTech[Tag_MissionBosses])</f>
        <v>➖</v>
      </c>
      <c r="L47" s="433" t="str">
        <f t="array" ref="L47">XLOOKUP(LCARS_Tech[BuffID],RawTech[BuffID],RawTech[Tag_GroupArmadas])</f>
        <v>➖</v>
      </c>
      <c r="M47" s="433" t="str">
        <f t="array" ref="M47">XLOOKUP(LCARS_Tech[BuffID],RawTech[BuffID],RawTech[Tag_SoloArmadas])</f>
        <v>➖</v>
      </c>
      <c r="N47" s="433" t="str">
        <f t="array" ref="N47">XLOOKUP(LCARS_Tech[BuffID],RawTech[BuffID],RawTech[Tag_InvadingEntities])</f>
        <v>➖</v>
      </c>
      <c r="O47" s="433" t="str">
        <f t="array" ref="O47">XLOOKUP(LCARS_Tech[BuffID],RawTech[BuffID],RawTech[Tag_Assaults])</f>
        <v>➖</v>
      </c>
      <c r="P47" s="434" t="str">
        <f t="array" ref="P47">XLOOKUP(LCARS_Tech[BuffID],RawTech[BuffID],RawTech[Tag_OutpostArmadas])</f>
        <v>➖</v>
      </c>
      <c r="Q47" s="416" t="str">
        <f t="array" ref="Q47">XLOOKUP(LCARS_Tech[BuffID],RawTech[BuffID],RawTech[Tag_OutpostRetaliators])</f>
        <v>➖</v>
      </c>
      <c r="R47" s="416" t="str">
        <f t="array" ref="R47">XLOOKUP(MasterTech!$AF$4:$AF$214,RawTech!$AO$2:$AO$212,RawTech!$AV$2:$AV$212)</f>
        <v/>
      </c>
      <c r="S47" s="433" t="str">
        <f t="array" ref="S47">XLOOKUP(MasterTech!$AF$4:$AF$214,RawTech!$AO$2:$AO$212,RawTech!$AK$2:$AK$212)</f>
        <v>➖</v>
      </c>
      <c r="T47" s="435" t="str">
        <f t="array" ref="T47">XLOOKUP(MasterTech!$AF$4:$AF$214,RawTech!$AO$2:$AO$212,RawTech!$AM$2:$AM$212)</f>
        <v>➖</v>
      </c>
      <c r="U47" s="438" t="str">
        <f t="array" ref="U47">XLOOKUP(MasterTech!$AF$4:$AF$214,RawTech!$AO$2:$AO$212,RawTech!$D$2:$D$212)</f>
        <v>AllDamage</v>
      </c>
      <c r="V47" s="416" t="str">
        <f t="array" ref="V47">XLOOKUP(MasterTech!$AF$4:$AF$214,RawTech!$AO$2:$AO$212,RawTech!$I$2:$I$212)</f>
        <v/>
      </c>
      <c r="W47" s="447" t="str">
        <f t="array" ref="W47">XLOOKUP(MasterTech!$AF$4:$AF$214,RawTech!$AO$2:$AO$212,RawTech!$E$2:$E$212)</f>
        <v>SelfIsFederation, EnemyPlayer</v>
      </c>
      <c r="X47" s="438" t="str">
        <f t="array" ref="X47">XLOOKUP(MasterTech!$AF$4:$AF$214,RawTech!$AO$2:$AO$212,RawTech!$F$2:$F$212)</f>
        <v>CombatStart</v>
      </c>
      <c r="Y47" s="438" t="str">
        <f t="array" ref="Y47">XLOOKUP(MasterTech!$AF$4:$AF$214,RawTech!$AO$2:$AO$212,RawTech!$G$2:$G$212)</f>
        <v>SelfShip</v>
      </c>
      <c r="Z47" s="438" t="str">
        <f t="array" ref="Z47">XLOOKUP(MasterTech!$AF$4:$AF$214,RawTech!$AO$2:$AO$212,RawTech!$H$2:$H$212)</f>
        <v>MultiplyAdd</v>
      </c>
      <c r="AA47" s="438" t="str">
        <f t="array" ref="AA47">XLOOKUP(MasterTech!$AF$4:$AF$214,RawTech!$AO$2:$AO$212,RawTech!$J$2:$J$212)</f>
        <v>Increases Federation ship Damage against other players X</v>
      </c>
      <c r="AB47" s="439"/>
      <c r="AC47" s="440"/>
      <c r="AD47" s="440"/>
      <c r="AE47" s="462">
        <f t="array" ref="AE47">XLOOKUP(MasterTech!$AF$4:$AF$214,RawTech!$AO$2:$AO$212,RawTech!$AR$2:$AR$212)</f>
        <v>13</v>
      </c>
      <c r="AF47" s="427">
        <v>3.347253112E9</v>
      </c>
      <c r="AG47" s="428"/>
      <c r="AH47" s="428"/>
      <c r="AI47" s="429"/>
      <c r="AJ47" s="430"/>
    </row>
    <row r="48" ht="37.5" customHeight="1">
      <c r="A48" s="415" t="str">
        <f t="array" ref="A48">LEFT(XLOOKUP(LCARS_Tech[BuffID],RawTech[BuffID],RawTech[TechRarity]), 1)</f>
        <v>E</v>
      </c>
      <c r="B48" s="420"/>
      <c r="C48" s="460" t="str">
        <f t="array" ref="C48">HYPERLINK("https://stfc.space/forbidden_and_chaos_tech/" &amp; XLOOKUP(MasterTech!$AF$4:$AF$214,RawTech!$AO$2:$AO$212,RawTech!$AQ$2:$AQ$212), XLOOKUP(MasterTech!$AF$4:$AF$214,RawTech!$AO$2:$AO$212,RawTech!$B$2:$B$212))</f>
        <v>Time Crystal</v>
      </c>
      <c r="D48" s="418">
        <f t="array" ref="D48">XLOOKUP(LCARS_Tech[BuffID],RawTech[BuffID],RawTech[BuffOrder])</f>
        <v>1</v>
      </c>
      <c r="E48" s="419" t="str">
        <f t="array" ref="E48">XLOOKUP(LCARS_Tech[BuffID],RawTech[BuffID],RawTech[TechType])</f>
        <v>FT</v>
      </c>
      <c r="F48" s="419" t="str">
        <f t="array" ref="F48">XLOOKUP(LCARS_Tech[BuffID],RawTech[BuffID],RawTech[Tag_PvPinSpace])</f>
        <v>✅</v>
      </c>
      <c r="G48" s="419" t="str">
        <f t="array" ref="G48">XLOOKUP(LCARS_Tech[BuffID],RawTech[BuffID],RawTech[Tag_PvPStation])</f>
        <v>✅</v>
      </c>
      <c r="H48" s="419" t="str">
        <f t="array" ref="H48">XLOOKUP(LCARS_Tech[BuffID],RawTech[BuffID],RawTech[Tag_NonArmadaHostiles])</f>
        <v>➖</v>
      </c>
      <c r="I48" s="419" t="str">
        <f t="array" ref="I48">XLOOKUP(LCARS_Tech[BuffID],RawTech[BuffID],RawTech[Tag_WaveDefense])</f>
        <v>➖</v>
      </c>
      <c r="J48" s="419" t="str">
        <f t="array" ref="J48">XLOOKUP(LCARS_Tech[BuffID],RawTech[BuffID],RawTech[Tag_QTrial])</f>
        <v>➖</v>
      </c>
      <c r="K48" s="419" t="str">
        <f t="array" ref="K48">XLOOKUP(LCARS_Tech[BuffID],RawTech[BuffID],RawTech[Tag_MissionBosses])</f>
        <v>➖</v>
      </c>
      <c r="L48" s="419" t="str">
        <f t="array" ref="L48">XLOOKUP(LCARS_Tech[BuffID],RawTech[BuffID],RawTech[Tag_GroupArmadas])</f>
        <v>➖</v>
      </c>
      <c r="M48" s="419" t="str">
        <f t="array" ref="M48">XLOOKUP(LCARS_Tech[BuffID],RawTech[BuffID],RawTech[Tag_SoloArmadas])</f>
        <v>➖</v>
      </c>
      <c r="N48" s="419" t="str">
        <f t="array" ref="N48">XLOOKUP(LCARS_Tech[BuffID],RawTech[BuffID],RawTech[Tag_InvadingEntities])</f>
        <v>➖</v>
      </c>
      <c r="O48" s="419" t="str">
        <f t="array" ref="O48">XLOOKUP(LCARS_Tech[BuffID],RawTech[BuffID],RawTech[Tag_Assaults])</f>
        <v>➖</v>
      </c>
      <c r="P48" s="442" t="str">
        <f t="array" ref="P48">XLOOKUP(LCARS_Tech[BuffID],RawTech[BuffID],RawTech[Tag_OutpostArmadas])</f>
        <v>➖</v>
      </c>
      <c r="Q48" s="420" t="str">
        <f t="array" ref="Q48">XLOOKUP(LCARS_Tech[BuffID],RawTech[BuffID],RawTech[Tag_OutpostRetaliators])</f>
        <v>➖</v>
      </c>
      <c r="R48" s="420" t="str">
        <f t="array" ref="R48">XLOOKUP(MasterTech!$AF$4:$AF$214,RawTech!$AO$2:$AO$212,RawTech!$AV$2:$AV$212)</f>
        <v/>
      </c>
      <c r="S48" s="419" t="str">
        <f t="array" ref="S48">XLOOKUP(MasterTech!$AF$4:$AF$214,RawTech!$AO$2:$AO$212,RawTech!$AK$2:$AK$212)</f>
        <v>➖</v>
      </c>
      <c r="T48" s="422" t="str">
        <f t="array" ref="T48">XLOOKUP(MasterTech!$AF$4:$AF$214,RawTech!$AO$2:$AO$212,RawTech!$AM$2:$AM$212)</f>
        <v>➖</v>
      </c>
      <c r="U48" s="423" t="str">
        <f t="array" ref="U48">XLOOKUP(MasterTech!$AF$4:$AF$214,RawTech!$AO$2:$AO$212,RawTech!$D$2:$D$212)</f>
        <v>AllDamage</v>
      </c>
      <c r="V48" s="420" t="str">
        <f t="array" ref="V48">XLOOKUP(MasterTech!$AF$4:$AF$214,RawTech!$AO$2:$AO$212,RawTech!$I$2:$I$212)</f>
        <v/>
      </c>
      <c r="W48" s="443" t="str">
        <f t="array" ref="W48">XLOOKUP(MasterTech!$AF$4:$AF$214,RawTech!$AO$2:$AO$212,RawTech!$E$2:$E$212)</f>
        <v>EnemyPlayer</v>
      </c>
      <c r="X48" s="423" t="str">
        <f t="array" ref="X48">XLOOKUP(MasterTech!$AF$4:$AF$214,RawTech!$AO$2:$AO$212,RawTech!$F$2:$F$212)</f>
        <v>CombatStart</v>
      </c>
      <c r="Y48" s="423" t="str">
        <f t="array" ref="Y48">XLOOKUP(MasterTech!$AF$4:$AF$214,RawTech!$AO$2:$AO$212,RawTech!$G$2:$G$212)</f>
        <v>SelfShip</v>
      </c>
      <c r="Z48" s="423" t="str">
        <f t="array" ref="Z48">XLOOKUP(MasterTech!$AF$4:$AF$214,RawTech!$AO$2:$AO$212,RawTech!$H$2:$H$212)</f>
        <v>MultiplyAdd</v>
      </c>
      <c r="AA48" s="423" t="str">
        <f t="array" ref="AA48">XLOOKUP(MasterTech!$AF$4:$AF$214,RawTech!$AO$2:$AO$212,RawTech!$J$2:$J$212)</f>
        <v>Increases Damage against players X</v>
      </c>
      <c r="AB48" s="424"/>
      <c r="AC48" s="425"/>
      <c r="AD48" s="425"/>
      <c r="AE48" s="461">
        <f t="array" ref="AE48">XLOOKUP(MasterTech!$AF$4:$AF$214,RawTech!$AO$2:$AO$212,RawTech!$AR$2:$AR$212)</f>
        <v>14</v>
      </c>
      <c r="AF48" s="427">
        <v>1.828759518E9</v>
      </c>
      <c r="AG48" s="428"/>
      <c r="AH48" s="428"/>
      <c r="AI48" s="429"/>
      <c r="AJ48" s="430"/>
    </row>
    <row r="49" ht="37.5" customHeight="1">
      <c r="A49" s="415" t="str">
        <f t="array" ref="A49">LEFT(XLOOKUP(LCARS_Tech[BuffID],RawTech[BuffID],RawTech[TechRarity]), 1)</f>
        <v>E</v>
      </c>
      <c r="B49" s="416"/>
      <c r="C49" s="417" t="str">
        <f t="array" ref="C49">HYPERLINK("https://stfc.space/forbidden_and_chaos_tech/" &amp; XLOOKUP(LCARS_Tech[BuffID],RawTech[BuffID],RawTech[TechId]), XLOOKUP(LCARS_Tech[BuffID],RawTech[BuffID],RawTech[TechName]))</f>
        <v>Time Crystal</v>
      </c>
      <c r="D49" s="432">
        <f t="array" ref="D49">XLOOKUP(LCARS_Tech[BuffID],RawTech[BuffID],RawTech[BuffOrder])</f>
        <v>2</v>
      </c>
      <c r="E49" s="433" t="str">
        <f t="array" ref="E49">XLOOKUP(LCARS_Tech[BuffID],RawTech[BuffID],RawTech[TechType])</f>
        <v>FT</v>
      </c>
      <c r="F49" s="433" t="str">
        <f t="array" ref="F49">XLOOKUP(LCARS_Tech[BuffID],RawTech[BuffID],RawTech[Tag_PvPinSpace])</f>
        <v>✅</v>
      </c>
      <c r="G49" s="433" t="str">
        <f t="array" ref="G49">XLOOKUP(LCARS_Tech[BuffID],RawTech[BuffID],RawTech[Tag_PvPStation])</f>
        <v>✅</v>
      </c>
      <c r="H49" s="433" t="str">
        <f t="array" ref="H49">XLOOKUP(LCARS_Tech[BuffID],RawTech[BuffID],RawTech[Tag_NonArmadaHostiles])</f>
        <v>✅</v>
      </c>
      <c r="I49" s="433" t="str">
        <f t="array" ref="I49">XLOOKUP(LCARS_Tech[BuffID],RawTech[BuffID],RawTech[Tag_WaveDefense])</f>
        <v>✅</v>
      </c>
      <c r="J49" s="433" t="str">
        <f t="array" ref="J49">XLOOKUP(LCARS_Tech[BuffID],RawTech[BuffID],RawTech[Tag_QTrial])</f>
        <v>✅</v>
      </c>
      <c r="K49" s="433" t="str">
        <f t="array" ref="K49">XLOOKUP(LCARS_Tech[BuffID],RawTech[BuffID],RawTech[Tag_MissionBosses])</f>
        <v>✅</v>
      </c>
      <c r="L49" s="433" t="str">
        <f t="array" ref="L49">XLOOKUP(LCARS_Tech[BuffID],RawTech[BuffID],RawTech[Tag_GroupArmadas])</f>
        <v>✅</v>
      </c>
      <c r="M49" s="433" t="str">
        <f t="array" ref="M49">XLOOKUP(LCARS_Tech[BuffID],RawTech[BuffID],RawTech[Tag_SoloArmadas])</f>
        <v>✅</v>
      </c>
      <c r="N49" s="433" t="str">
        <f t="array" ref="N49">XLOOKUP(LCARS_Tech[BuffID],RawTech[BuffID],RawTech[Tag_InvadingEntities])</f>
        <v>✅</v>
      </c>
      <c r="O49" s="433" t="str">
        <f t="array" ref="O49">XLOOKUP(LCARS_Tech[BuffID],RawTech[BuffID],RawTech[Tag_Assaults])</f>
        <v>✅</v>
      </c>
      <c r="P49" s="434" t="str">
        <f t="array" ref="P49">XLOOKUP(LCARS_Tech[BuffID],RawTech[BuffID],RawTech[Tag_OutpostArmadas])</f>
        <v>✅</v>
      </c>
      <c r="Q49" s="416" t="str">
        <f t="array" ref="Q49">XLOOKUP(LCARS_Tech[BuffID],RawTech[BuffID],RawTech[Tag_OutpostRetaliators])</f>
        <v>✅</v>
      </c>
      <c r="R49" s="416" t="str">
        <f t="array" ref="R49">XLOOKUP(MasterTech!$AF$4:$AF$214,RawTech!$AO$2:$AO$212,RawTech!$AV$2:$AV$212)</f>
        <v/>
      </c>
      <c r="S49" s="433" t="str">
        <f t="array" ref="S49">XLOOKUP(MasterTech!$AF$4:$AF$214,RawTech!$AO$2:$AO$212,RawTech!$AK$2:$AK$212)</f>
        <v>➖</v>
      </c>
      <c r="T49" s="435" t="str">
        <f t="array" ref="T49">XLOOKUP(MasterTech!$AF$4:$AF$214,RawTech!$AO$2:$AO$212,RawTech!$AM$2:$AM$212)</f>
        <v>➖</v>
      </c>
      <c r="U49" s="438" t="str">
        <f t="array" ref="U49">XLOOKUP(MasterTech!$AF$4:$AF$214,RawTech!$AO$2:$AO$212,RawTech!$D$2:$D$212)</f>
        <v>HullHPMax</v>
      </c>
      <c r="V49" s="416" t="str">
        <f t="array" ref="V49">XLOOKUP(MasterTech!$AF$4:$AF$214,RawTech!$AO$2:$AO$212,RawTech!$I$2:$I$212)</f>
        <v/>
      </c>
      <c r="W49" s="437" t="str">
        <f t="array" ref="W49">XLOOKUP(MasterTech!$AF$4:$AF$214,RawTech!$AO$2:$AO$212,RawTech!$E$2:$E$212)</f>
        <v/>
      </c>
      <c r="X49" s="438" t="str">
        <f t="array" ref="X49">XLOOKUP(MasterTech!$AF$4:$AF$214,RawTech!$AO$2:$AO$212,RawTech!$F$2:$F$212)</f>
        <v>ShipLaunched</v>
      </c>
      <c r="Y49" s="438" t="str">
        <f t="array" ref="Y49">XLOOKUP(MasterTech!$AF$4:$AF$214,RawTech!$AO$2:$AO$212,RawTech!$G$2:$G$212)</f>
        <v>SelfShip</v>
      </c>
      <c r="Z49" s="438" t="str">
        <f t="array" ref="Z49">XLOOKUP(MasterTech!$AF$4:$AF$214,RawTech!$AO$2:$AO$212,RawTech!$H$2:$H$212)</f>
        <v>MultiplyAdd</v>
      </c>
      <c r="AA49" s="438" t="str">
        <f t="array" ref="AA49">XLOOKUP(MasterTech!$AF$4:$AF$214,RawTech!$AO$2:$AO$212,RawTech!$J$2:$J$212)</f>
        <v>Increases Hull Health X</v>
      </c>
      <c r="AB49" s="439"/>
      <c r="AC49" s="440"/>
      <c r="AD49" s="440"/>
      <c r="AE49" s="462">
        <f t="array" ref="AE49">XLOOKUP(MasterTech!$AF$4:$AF$214,RawTech!$AO$2:$AO$212,RawTech!$AR$2:$AR$212)</f>
        <v>14</v>
      </c>
      <c r="AF49" s="427">
        <v>4.12101137E9</v>
      </c>
      <c r="AG49" s="428"/>
      <c r="AH49" s="428"/>
      <c r="AI49" s="429"/>
      <c r="AJ49" s="430"/>
    </row>
    <row r="50" ht="37.5" customHeight="1">
      <c r="A50" s="415" t="str">
        <f t="array" ref="A50">LEFT(XLOOKUP(LCARS_Tech[BuffID],RawTech[BuffID],RawTech[TechRarity]), 1)</f>
        <v>E</v>
      </c>
      <c r="B50" s="420"/>
      <c r="C50" s="460" t="str">
        <f t="array" ref="C50">HYPERLINK("https://stfc.space/forbidden_and_chaos_tech/" &amp; XLOOKUP(MasterTech!$AF$4:$AF$214,RawTech!$AO$2:$AO$212,RawTech!$AQ$2:$AQ$212), XLOOKUP(MasterTech!$AF$4:$AF$214,RawTech!$AO$2:$AO$212,RawTech!$B$2:$B$212))</f>
        <v>Time Crystal</v>
      </c>
      <c r="D50" s="418">
        <f t="array" ref="D50">XLOOKUP(LCARS_Tech[BuffID],RawTech[BuffID],RawTech[BuffOrder])</f>
        <v>3</v>
      </c>
      <c r="E50" s="419" t="str">
        <f t="array" ref="E50">XLOOKUP(LCARS_Tech[BuffID],RawTech[BuffID],RawTech[TechType])</f>
        <v>FT</v>
      </c>
      <c r="F50" s="419" t="str">
        <f t="array" ref="F50">XLOOKUP(LCARS_Tech[BuffID],RawTech[BuffID],RawTech[Tag_PvPinSpace])</f>
        <v>✅</v>
      </c>
      <c r="G50" s="419" t="str">
        <f t="array" ref="G50">XLOOKUP(LCARS_Tech[BuffID],RawTech[BuffID],RawTech[Tag_PvPStation])</f>
        <v>➖</v>
      </c>
      <c r="H50" s="419" t="str">
        <f t="array" ref="H50">XLOOKUP(LCARS_Tech[BuffID],RawTech[BuffID],RawTech[Tag_NonArmadaHostiles])</f>
        <v>➖</v>
      </c>
      <c r="I50" s="419" t="str">
        <f t="array" ref="I50">XLOOKUP(LCARS_Tech[BuffID],RawTech[BuffID],RawTech[Tag_WaveDefense])</f>
        <v>➖</v>
      </c>
      <c r="J50" s="419" t="str">
        <f t="array" ref="J50">XLOOKUP(LCARS_Tech[BuffID],RawTech[BuffID],RawTech[Tag_QTrial])</f>
        <v>➖</v>
      </c>
      <c r="K50" s="419" t="str">
        <f t="array" ref="K50">XLOOKUP(LCARS_Tech[BuffID],RawTech[BuffID],RawTech[Tag_MissionBosses])</f>
        <v>➖</v>
      </c>
      <c r="L50" s="419" t="str">
        <f t="array" ref="L50">XLOOKUP(LCARS_Tech[BuffID],RawTech[BuffID],RawTech[Tag_GroupArmadas])</f>
        <v>➖</v>
      </c>
      <c r="M50" s="419" t="str">
        <f t="array" ref="M50">XLOOKUP(LCARS_Tech[BuffID],RawTech[BuffID],RawTech[Tag_SoloArmadas])</f>
        <v>➖</v>
      </c>
      <c r="N50" s="419" t="str">
        <f t="array" ref="N50">XLOOKUP(LCARS_Tech[BuffID],RawTech[BuffID],RawTech[Tag_InvadingEntities])</f>
        <v>➖</v>
      </c>
      <c r="O50" s="419" t="str">
        <f t="array" ref="O50">XLOOKUP(LCARS_Tech[BuffID],RawTech[BuffID],RawTech[Tag_Assaults])</f>
        <v>➖</v>
      </c>
      <c r="P50" s="442" t="str">
        <f t="array" ref="P50">XLOOKUP(LCARS_Tech[BuffID],RawTech[BuffID],RawTech[Tag_OutpostArmadas])</f>
        <v>➖</v>
      </c>
      <c r="Q50" s="420" t="str">
        <f t="array" ref="Q50">XLOOKUP(LCARS_Tech[BuffID],RawTech[BuffID],RawTech[Tag_OutpostRetaliators])</f>
        <v>➖</v>
      </c>
      <c r="R50" s="420" t="str">
        <f t="array" ref="R50">XLOOKUP(MasterTech!$AF$4:$AF$214,RawTech!$AO$2:$AO$212,RawTech!$AV$2:$AV$212)</f>
        <v/>
      </c>
      <c r="S50" s="419" t="str">
        <f t="array" ref="S50">XLOOKUP(MasterTech!$AF$4:$AF$214,RawTech!$AO$2:$AO$212,RawTech!$AK$2:$AK$212)</f>
        <v>➖</v>
      </c>
      <c r="T50" s="422" t="str">
        <f t="array" ref="T50">XLOOKUP(MasterTech!$AF$4:$AF$214,RawTech!$AO$2:$AO$212,RawTech!$AM$2:$AM$212)</f>
        <v>➖</v>
      </c>
      <c r="U50" s="423" t="str">
        <f t="array" ref="U50">XLOOKUP(MasterTech!$AF$4:$AF$214,RawTech!$AO$2:$AO$212,RawTech!$D$2:$D$212)</f>
        <v>CritDamage</v>
      </c>
      <c r="V50" s="420" t="str">
        <f t="array" ref="V50">XLOOKUP(MasterTech!$AF$4:$AF$214,RawTech!$AO$2:$AO$212,RawTech!$I$2:$I$212)</f>
        <v/>
      </c>
      <c r="W50" s="443" t="str">
        <f t="array" ref="W50">XLOOKUP(MasterTech!$AF$4:$AF$214,RawTech!$AO$2:$AO$212,RawTech!$E$2:$E$212)</f>
        <v>SelfCloaked, EnemyPlayer</v>
      </c>
      <c r="X50" s="423" t="str">
        <f t="array" ref="X50">XLOOKUP(MasterTech!$AF$4:$AF$214,RawTech!$AO$2:$AO$212,RawTech!$F$2:$F$212)</f>
        <v>CombatStart</v>
      </c>
      <c r="Y50" s="423" t="str">
        <f t="array" ref="Y50">XLOOKUP(MasterTech!$AF$4:$AF$214,RawTech!$AO$2:$AO$212,RawTech!$G$2:$G$212)</f>
        <v>SelfShip</v>
      </c>
      <c r="Z50" s="423" t="str">
        <f t="array" ref="Z50">XLOOKUP(MasterTech!$AF$4:$AF$214,RawTech!$AO$2:$AO$212,RawTech!$H$2:$H$212)</f>
        <v>Add</v>
      </c>
      <c r="AA50" s="423" t="str">
        <f t="array" ref="AA50">XLOOKUP(MasterTech!$AF$4:$AF$214,RawTech!$AO$2:$AO$212,RawTech!$J$2:$J$212)</f>
        <v>Increases Critical Damage against players when Cloaked X</v>
      </c>
      <c r="AB50" s="424"/>
      <c r="AC50" s="425"/>
      <c r="AD50" s="425"/>
      <c r="AE50" s="461">
        <f t="array" ref="AE50">XLOOKUP(MasterTech!$AF$4:$AF$214,RawTech!$AO$2:$AO$212,RawTech!$AR$2:$AR$212)</f>
        <v>14</v>
      </c>
      <c r="AF50" s="427">
        <v>3.125951545E9</v>
      </c>
      <c r="AG50" s="428"/>
      <c r="AH50" s="428"/>
      <c r="AI50" s="429"/>
      <c r="AJ50" s="430"/>
    </row>
    <row r="51" ht="37.5" customHeight="1">
      <c r="A51" s="415" t="str">
        <f t="array" ref="A51">LEFT(XLOOKUP(LCARS_Tech[BuffID],RawTech[BuffID],RawTech[TechRarity]), 1)</f>
        <v>E</v>
      </c>
      <c r="B51" s="416"/>
      <c r="C51" s="464" t="str">
        <f t="array" ref="C51">HYPERLINK("https://stfc.space/forbidden_and_chaos_tech/" &amp; XLOOKUP(MasterTech!$AF$4:$AF$214,RawTech!$AO$2:$AO$212,RawTech!$AQ$2:$AQ$212), XLOOKUP(MasterTech!$AF$4:$AF$214,RawTech!$AO$2:$AO$212,RawTech!$B$2:$B$212))</f>
        <v>Time Crystal</v>
      </c>
      <c r="D51" s="432">
        <f t="array" ref="D51">XLOOKUP(LCARS_Tech[BuffID],RawTech[BuffID],RawTech[BuffOrder])</f>
        <v>4</v>
      </c>
      <c r="E51" s="433" t="str">
        <f t="array" ref="E51">XLOOKUP(LCARS_Tech[BuffID],RawTech[BuffID],RawTech[TechType])</f>
        <v>FT</v>
      </c>
      <c r="F51" s="433" t="str">
        <f t="array" ref="F51">XLOOKUP(LCARS_Tech[BuffID],RawTech[BuffID],RawTech[Tag_PvPinSpace])</f>
        <v>➖</v>
      </c>
      <c r="G51" s="433" t="str">
        <f t="array" ref="G51">XLOOKUP(LCARS_Tech[BuffID],RawTech[BuffID],RawTech[Tag_PvPStation])</f>
        <v>➖</v>
      </c>
      <c r="H51" s="433" t="str">
        <f t="array" ref="H51">XLOOKUP(LCARS_Tech[BuffID],RawTech[BuffID],RawTech[Tag_NonArmadaHostiles])</f>
        <v>➖</v>
      </c>
      <c r="I51" s="433" t="str">
        <f t="array" ref="I51">XLOOKUP(LCARS_Tech[BuffID],RawTech[BuffID],RawTech[Tag_WaveDefense])</f>
        <v>➖</v>
      </c>
      <c r="J51" s="433" t="str">
        <f t="array" ref="J51">XLOOKUP(LCARS_Tech[BuffID],RawTech[BuffID],RawTech[Tag_QTrial])</f>
        <v>➖</v>
      </c>
      <c r="K51" s="433" t="str">
        <f t="array" ref="K51">XLOOKUP(LCARS_Tech[BuffID],RawTech[BuffID],RawTech[Tag_MissionBosses])</f>
        <v>➖</v>
      </c>
      <c r="L51" s="433" t="str">
        <f t="array" ref="L51">XLOOKUP(LCARS_Tech[BuffID],RawTech[BuffID],RawTech[Tag_GroupArmadas])</f>
        <v>➖</v>
      </c>
      <c r="M51" s="433" t="str">
        <f t="array" ref="M51">XLOOKUP(LCARS_Tech[BuffID],RawTech[BuffID],RawTech[Tag_SoloArmadas])</f>
        <v>➖</v>
      </c>
      <c r="N51" s="433" t="str">
        <f t="array" ref="N51">XLOOKUP(LCARS_Tech[BuffID],RawTech[BuffID],RawTech[Tag_InvadingEntities])</f>
        <v>➖</v>
      </c>
      <c r="O51" s="433" t="str">
        <f t="array" ref="O51">XLOOKUP(LCARS_Tech[BuffID],RawTech[BuffID],RawTech[Tag_Assaults])</f>
        <v>➖</v>
      </c>
      <c r="P51" s="434" t="str">
        <f t="array" ref="P51">XLOOKUP(LCARS_Tech[BuffID],RawTech[BuffID],RawTech[Tag_OutpostArmadas])</f>
        <v>➖</v>
      </c>
      <c r="Q51" s="416" t="str">
        <f t="array" ref="Q51">XLOOKUP(LCARS_Tech[BuffID],RawTech[BuffID],RawTech[Tag_OutpostRetaliators])</f>
        <v>➖</v>
      </c>
      <c r="R51" s="416" t="str">
        <f t="array" ref="R51">XLOOKUP(MasterTech!$AF$4:$AF$214,RawTech!$AO$2:$AO$212,RawTech!$AV$2:$AV$212)</f>
        <v/>
      </c>
      <c r="S51" s="433" t="str">
        <f t="array" ref="S51">XLOOKUP(MasterTech!$AF$4:$AF$214,RawTech!$AO$2:$AO$212,RawTech!$AK$2:$AK$212)</f>
        <v>➖</v>
      </c>
      <c r="T51" s="435" t="str">
        <f t="array" ref="T51">XLOOKUP(MasterTech!$AF$4:$AF$214,RawTech!$AO$2:$AO$212,RawTech!$AM$2:$AM$212)</f>
        <v>➖</v>
      </c>
      <c r="U51" s="438" t="str">
        <f t="array" ref="U51">XLOOKUP(MasterTech!$AF$4:$AF$214,RawTech!$AO$2:$AO$212,RawTech!$D$2:$D$212)</f>
        <v>AllDamage</v>
      </c>
      <c r="V51" s="416" t="str">
        <f t="array" ref="V51">XLOOKUP(MasterTech!$AF$4:$AF$214,RawTech!$AO$2:$AO$212,RawTech!$I$2:$I$212)</f>
        <v/>
      </c>
      <c r="W51" s="447" t="str">
        <f t="array" ref="W51">XLOOKUP(MasterTech!$AF$4:$AF$214,RawTech!$AO$2:$AO$212,RawTech!$E$2:$E$212)</f>
        <v>EnemyPlayer, SelfIsKlingon</v>
      </c>
      <c r="X51" s="438" t="str">
        <f t="array" ref="X51">XLOOKUP(MasterTech!$AF$4:$AF$214,RawTech!$AO$2:$AO$212,RawTech!$F$2:$F$212)</f>
        <v>CombatStart</v>
      </c>
      <c r="Y51" s="438" t="str">
        <f t="array" ref="Y51">XLOOKUP(MasterTech!$AF$4:$AF$214,RawTech!$AO$2:$AO$212,RawTech!$G$2:$G$212)</f>
        <v>SelfShip</v>
      </c>
      <c r="Z51" s="438" t="str">
        <f t="array" ref="Z51">XLOOKUP(MasterTech!$AF$4:$AF$214,RawTech!$AO$2:$AO$212,RawTech!$H$2:$H$212)</f>
        <v>MultiplyAdd</v>
      </c>
      <c r="AA51" s="438" t="str">
        <f t="array" ref="AA51">XLOOKUP(MasterTech!$AF$4:$AF$214,RawTech!$AO$2:$AO$212,RawTech!$J$2:$J$212)</f>
        <v>Increases Klingon ship Damage against other players X</v>
      </c>
      <c r="AB51" s="439"/>
      <c r="AC51" s="440"/>
      <c r="AD51" s="440"/>
      <c r="AE51" s="462">
        <f t="array" ref="AE51">XLOOKUP(MasterTech!$AF$4:$AF$214,RawTech!$AO$2:$AO$212,RawTech!$AR$2:$AR$212)</f>
        <v>14</v>
      </c>
      <c r="AF51" s="427">
        <v>2.013593131E9</v>
      </c>
      <c r="AG51" s="428"/>
      <c r="AH51" s="428"/>
      <c r="AI51" s="429"/>
      <c r="AJ51" s="430"/>
    </row>
    <row r="52" ht="37.5" customHeight="1">
      <c r="A52" s="415" t="str">
        <f t="array" ref="A52">LEFT(XLOOKUP(LCARS_Tech[BuffID],RawTech[BuffID],RawTech[TechRarity]), 1)</f>
        <v>E</v>
      </c>
      <c r="B52" s="420"/>
      <c r="C52" s="460" t="str">
        <f t="array" ref="C52">HYPERLINK("https://stfc.space/forbidden_and_chaos_tech/" &amp; XLOOKUP(MasterTech!$AF$4:$AF$214,RawTech!$AO$2:$AO$212,RawTech!$AQ$2:$AQ$212), XLOOKUP(MasterTech!$AF$4:$AF$214,RawTech!$AO$2:$AO$212,RawTech!$B$2:$B$212))</f>
        <v>Metreon Cascade Warhead</v>
      </c>
      <c r="D52" s="418">
        <f t="array" ref="D52">XLOOKUP(LCARS_Tech[BuffID],RawTech[BuffID],RawTech[BuffOrder])</f>
        <v>1</v>
      </c>
      <c r="E52" s="419" t="str">
        <f t="array" ref="E52">XLOOKUP(LCARS_Tech[BuffID],RawTech[BuffID],RawTech[TechType])</f>
        <v>FT</v>
      </c>
      <c r="F52" s="419" t="str">
        <f t="array" ref="F52">XLOOKUP(LCARS_Tech[BuffID],RawTech[BuffID],RawTech[Tag_PvPinSpace])</f>
        <v>➖</v>
      </c>
      <c r="G52" s="419" t="str">
        <f t="array" ref="G52">XLOOKUP(LCARS_Tech[BuffID],RawTech[BuffID],RawTech[Tag_PvPStation])</f>
        <v>➖</v>
      </c>
      <c r="H52" s="419" t="str">
        <f t="array" ref="H52">XLOOKUP(LCARS_Tech[BuffID],RawTech[BuffID],RawTech[Tag_NonArmadaHostiles])</f>
        <v>✅</v>
      </c>
      <c r="I52" s="419" t="str">
        <f t="array" ref="I52">XLOOKUP(LCARS_Tech[BuffID],RawTech[BuffID],RawTech[Tag_WaveDefense])</f>
        <v>✅</v>
      </c>
      <c r="J52" s="419" t="str">
        <f t="array" ref="J52">XLOOKUP(LCARS_Tech[BuffID],RawTech[BuffID],RawTech[Tag_QTrial])</f>
        <v>✅</v>
      </c>
      <c r="K52" s="419" t="str">
        <f t="array" ref="K52">XLOOKUP(LCARS_Tech[BuffID],RawTech[BuffID],RawTech[Tag_MissionBosses])</f>
        <v>➖</v>
      </c>
      <c r="L52" s="419" t="str">
        <f t="array" ref="L52">XLOOKUP(LCARS_Tech[BuffID],RawTech[BuffID],RawTech[Tag_GroupArmadas])</f>
        <v>➖</v>
      </c>
      <c r="M52" s="419" t="str">
        <f t="array" ref="M52">XLOOKUP(LCARS_Tech[BuffID],RawTech[BuffID],RawTech[Tag_SoloArmadas])</f>
        <v>➖</v>
      </c>
      <c r="N52" s="419" t="str">
        <f t="array" ref="N52">XLOOKUP(LCARS_Tech[BuffID],RawTech[BuffID],RawTech[Tag_InvadingEntities])</f>
        <v>➖</v>
      </c>
      <c r="O52" s="419" t="str">
        <f t="array" ref="O52">XLOOKUP(LCARS_Tech[BuffID],RawTech[BuffID],RawTech[Tag_Assaults])</f>
        <v>➖</v>
      </c>
      <c r="P52" s="442" t="str">
        <f t="array" ref="P52">XLOOKUP(LCARS_Tech[BuffID],RawTech[BuffID],RawTech[Tag_OutpostArmadas])</f>
        <v>➖</v>
      </c>
      <c r="Q52" s="420" t="str">
        <f t="array" ref="Q52">XLOOKUP(LCARS_Tech[BuffID],RawTech[BuffID],RawTech[Tag_OutpostRetaliators])</f>
        <v>➖</v>
      </c>
      <c r="R52" s="420" t="str">
        <f t="array" ref="R52">XLOOKUP(MasterTech!$AF$4:$AF$214,RawTech!$AO$2:$AO$212,RawTech!$AV$2:$AV$212)</f>
        <v/>
      </c>
      <c r="S52" s="419" t="str">
        <f t="array" ref="S52">XLOOKUP(MasterTech!$AF$4:$AF$214,RawTech!$AO$2:$AO$212,RawTech!$AK$2:$AK$212)</f>
        <v>➖</v>
      </c>
      <c r="T52" s="422" t="str">
        <f t="array" ref="T52">XLOOKUP(MasterTech!$AF$4:$AF$214,RawTech!$AO$2:$AO$212,RawTech!$AM$2:$AM$212)</f>
        <v>➖</v>
      </c>
      <c r="U52" s="423" t="str">
        <f t="array" ref="U52">XLOOKUP(MasterTech!$AF$4:$AF$214,RawTech!$AO$2:$AO$212,RawTech!$D$2:$D$212)</f>
        <v>AllDamage</v>
      </c>
      <c r="V52" s="420" t="str">
        <f t="array" ref="V52">XLOOKUP(MasterTech!$AF$4:$AF$214,RawTech!$AO$2:$AO$212,RawTech!$I$2:$I$212)</f>
        <v/>
      </c>
      <c r="W52" s="443" t="str">
        <f t="array" ref="W52">XLOOKUP(MasterTech!$AF$4:$AF$214,RawTech!$AO$2:$AO$212,RawTech!$E$2:$E$212)</f>
        <v>EnemyHostile, TargetNotArmada</v>
      </c>
      <c r="X52" s="423" t="str">
        <f t="array" ref="X52">XLOOKUP(MasterTech!$AF$4:$AF$214,RawTech!$AO$2:$AO$212,RawTech!$F$2:$F$212)</f>
        <v>CombatStart</v>
      </c>
      <c r="Y52" s="423" t="str">
        <f t="array" ref="Y52">XLOOKUP(MasterTech!$AF$4:$AF$214,RawTech!$AO$2:$AO$212,RawTech!$G$2:$G$212)</f>
        <v>SelfShip</v>
      </c>
      <c r="Z52" s="423" t="str">
        <f t="array" ref="Z52">XLOOKUP(MasterTech!$AF$4:$AF$214,RawTech!$AO$2:$AO$212,RawTech!$H$2:$H$212)</f>
        <v>MultiplyAdd</v>
      </c>
      <c r="AA52" s="423" t="str">
        <f t="array" ref="AA52">XLOOKUP(MasterTech!$AF$4:$AF$214,RawTech!$AO$2:$AO$212,RawTech!$J$2:$J$212)</f>
        <v>Increases Damage against hostiles X</v>
      </c>
      <c r="AB52" s="424"/>
      <c r="AC52" s="425"/>
      <c r="AD52" s="425"/>
      <c r="AE52" s="461">
        <f t="array" ref="AE52">XLOOKUP(MasterTech!$AF$4:$AF$214,RawTech!$AO$2:$AO$212,RawTech!$AR$2:$AR$212)</f>
        <v>15</v>
      </c>
      <c r="AF52" s="427">
        <v>1.271566143E9</v>
      </c>
      <c r="AG52" s="428"/>
      <c r="AH52" s="428"/>
      <c r="AI52" s="429"/>
      <c r="AJ52" s="430"/>
    </row>
    <row r="53" ht="37.5" customHeight="1">
      <c r="A53" s="415" t="str">
        <f t="array" ref="A53">LEFT(XLOOKUP(LCARS_Tech[BuffID],RawTech[BuffID],RawTech[TechRarity]), 1)</f>
        <v>E</v>
      </c>
      <c r="B53" s="416"/>
      <c r="C53" s="417" t="str">
        <f t="array" ref="C53">HYPERLINK("https://stfc.space/forbidden_and_chaos_tech/" &amp; XLOOKUP(LCARS_Tech[BuffID],RawTech[BuffID],RawTech[TechId]), XLOOKUP(LCARS_Tech[BuffID],RawTech[BuffID],RawTech[TechName]))</f>
        <v>Metreon Cascade Warhead</v>
      </c>
      <c r="D53" s="432">
        <f t="array" ref="D53">XLOOKUP(LCARS_Tech[BuffID],RawTech[BuffID],RawTech[BuffOrder])</f>
        <v>2</v>
      </c>
      <c r="E53" s="433" t="str">
        <f t="array" ref="E53">XLOOKUP(LCARS_Tech[BuffID],RawTech[BuffID],RawTech[TechType])</f>
        <v>FT</v>
      </c>
      <c r="F53" s="433" t="str">
        <f t="array" ref="F53">XLOOKUP(LCARS_Tech[BuffID],RawTech[BuffID],RawTech[Tag_PvPinSpace])</f>
        <v>✅</v>
      </c>
      <c r="G53" s="433" t="str">
        <f t="array" ref="G53">XLOOKUP(LCARS_Tech[BuffID],RawTech[BuffID],RawTech[Tag_PvPStation])</f>
        <v>✅</v>
      </c>
      <c r="H53" s="433" t="str">
        <f t="array" ref="H53">XLOOKUP(LCARS_Tech[BuffID],RawTech[BuffID],RawTech[Tag_NonArmadaHostiles])</f>
        <v>✅</v>
      </c>
      <c r="I53" s="433" t="str">
        <f t="array" ref="I53">XLOOKUP(LCARS_Tech[BuffID],RawTech[BuffID],RawTech[Tag_WaveDefense])</f>
        <v>✅</v>
      </c>
      <c r="J53" s="433" t="str">
        <f t="array" ref="J53">XLOOKUP(LCARS_Tech[BuffID],RawTech[BuffID],RawTech[Tag_QTrial])</f>
        <v>✅</v>
      </c>
      <c r="K53" s="433" t="str">
        <f t="array" ref="K53">XLOOKUP(LCARS_Tech[BuffID],RawTech[BuffID],RawTech[Tag_MissionBosses])</f>
        <v>✅</v>
      </c>
      <c r="L53" s="433" t="str">
        <f t="array" ref="L53">XLOOKUP(LCARS_Tech[BuffID],RawTech[BuffID],RawTech[Tag_GroupArmadas])</f>
        <v>✅</v>
      </c>
      <c r="M53" s="433" t="str">
        <f t="array" ref="M53">XLOOKUP(LCARS_Tech[BuffID],RawTech[BuffID],RawTech[Tag_SoloArmadas])</f>
        <v>✅</v>
      </c>
      <c r="N53" s="433" t="str">
        <f t="array" ref="N53">XLOOKUP(LCARS_Tech[BuffID],RawTech[BuffID],RawTech[Tag_InvadingEntities])</f>
        <v>✅</v>
      </c>
      <c r="O53" s="433" t="str">
        <f t="array" ref="O53">XLOOKUP(LCARS_Tech[BuffID],RawTech[BuffID],RawTech[Tag_Assaults])</f>
        <v>✅</v>
      </c>
      <c r="P53" s="434" t="str">
        <f t="array" ref="P53">XLOOKUP(LCARS_Tech[BuffID],RawTech[BuffID],RawTech[Tag_OutpostArmadas])</f>
        <v>✅</v>
      </c>
      <c r="Q53" s="416" t="str">
        <f t="array" ref="Q53">XLOOKUP(LCARS_Tech[BuffID],RawTech[BuffID],RawTech[Tag_OutpostRetaliators])</f>
        <v>✅</v>
      </c>
      <c r="R53" s="416" t="str">
        <f t="array" ref="R53">XLOOKUP(MasterTech!$AF$4:$AF$214,RawTech!$AO$2:$AO$212,RawTech!$AV$2:$AV$212)</f>
        <v/>
      </c>
      <c r="S53" s="433" t="str">
        <f t="array" ref="S53">XLOOKUP(MasterTech!$AF$4:$AF$214,RawTech!$AO$2:$AO$212,RawTech!$AK$2:$AK$212)</f>
        <v>➖</v>
      </c>
      <c r="T53" s="435" t="str">
        <f t="array" ref="T53">XLOOKUP(MasterTech!$AF$4:$AF$214,RawTech!$AO$2:$AO$212,RawTech!$AM$2:$AM$212)</f>
        <v>➖</v>
      </c>
      <c r="U53" s="438" t="str">
        <f t="array" ref="U53">XLOOKUP(MasterTech!$AF$4:$AF$214,RawTech!$AO$2:$AO$212,RawTech!$D$2:$D$212)</f>
        <v>HullHPMax</v>
      </c>
      <c r="V53" s="416" t="str">
        <f t="array" ref="V53">XLOOKUP(MasterTech!$AF$4:$AF$214,RawTech!$AO$2:$AO$212,RawTech!$I$2:$I$212)</f>
        <v/>
      </c>
      <c r="W53" s="437" t="str">
        <f t="array" ref="W53">XLOOKUP(MasterTech!$AF$4:$AF$214,RawTech!$AO$2:$AO$212,RawTech!$E$2:$E$212)</f>
        <v/>
      </c>
      <c r="X53" s="438" t="str">
        <f t="array" ref="X53">XLOOKUP(MasterTech!$AF$4:$AF$214,RawTech!$AO$2:$AO$212,RawTech!$F$2:$F$212)</f>
        <v>ShipLaunched</v>
      </c>
      <c r="Y53" s="438" t="str">
        <f t="array" ref="Y53">XLOOKUP(MasterTech!$AF$4:$AF$214,RawTech!$AO$2:$AO$212,RawTech!$G$2:$G$212)</f>
        <v>SelfShip</v>
      </c>
      <c r="Z53" s="438" t="str">
        <f t="array" ref="Z53">XLOOKUP(MasterTech!$AF$4:$AF$214,RawTech!$AO$2:$AO$212,RawTech!$H$2:$H$212)</f>
        <v>MultiplyAdd</v>
      </c>
      <c r="AA53" s="438" t="str">
        <f t="array" ref="AA53">XLOOKUP(MasterTech!$AF$4:$AF$214,RawTech!$AO$2:$AO$212,RawTech!$J$2:$J$212)</f>
        <v>Increases Hull Health X</v>
      </c>
      <c r="AB53" s="439"/>
      <c r="AC53" s="440"/>
      <c r="AD53" s="440"/>
      <c r="AE53" s="462">
        <f t="array" ref="AE53">XLOOKUP(MasterTech!$AF$4:$AF$214,RawTech!$AO$2:$AO$212,RawTech!$AR$2:$AR$212)</f>
        <v>15</v>
      </c>
      <c r="AF53" s="427">
        <v>2.336395336E9</v>
      </c>
      <c r="AG53" s="428"/>
      <c r="AH53" s="428"/>
      <c r="AI53" s="429"/>
      <c r="AJ53" s="430"/>
    </row>
    <row r="54" ht="37.5" customHeight="1">
      <c r="A54" s="415" t="str">
        <f t="array" ref="A54">LEFT(XLOOKUP(LCARS_Tech[BuffID],RawTech[BuffID],RawTech[TechRarity]), 1)</f>
        <v>E</v>
      </c>
      <c r="B54" s="420"/>
      <c r="C54" s="460" t="str">
        <f t="array" ref="C54">HYPERLINK("https://stfc.space/forbidden_and_chaos_tech/" &amp; XLOOKUP(MasterTech!$AF$4:$AF$214,RawTech!$AO$2:$AO$212,RawTech!$AQ$2:$AQ$212), XLOOKUP(MasterTech!$AF$4:$AF$214,RawTech!$AO$2:$AO$212,RawTech!$B$2:$B$212))</f>
        <v>Metreon Cascade Warhead</v>
      </c>
      <c r="D54" s="418">
        <f t="array" ref="D54">XLOOKUP(LCARS_Tech[BuffID],RawTech[BuffID],RawTech[BuffOrder])</f>
        <v>3</v>
      </c>
      <c r="E54" s="419" t="str">
        <f t="array" ref="E54">XLOOKUP(LCARS_Tech[BuffID],RawTech[BuffID],RawTech[TechType])</f>
        <v>FT</v>
      </c>
      <c r="F54" s="419" t="str">
        <f t="array" ref="F54">XLOOKUP(LCARS_Tech[BuffID],RawTech[BuffID],RawTech[Tag_PvPinSpace])</f>
        <v>➖</v>
      </c>
      <c r="G54" s="419" t="str">
        <f t="array" ref="G54">XLOOKUP(LCARS_Tech[BuffID],RawTech[BuffID],RawTech[Tag_PvPStation])</f>
        <v>➖</v>
      </c>
      <c r="H54" s="419" t="str">
        <f t="array" ref="H54">XLOOKUP(LCARS_Tech[BuffID],RawTech[BuffID],RawTech[Tag_NonArmadaHostiles])</f>
        <v>✅</v>
      </c>
      <c r="I54" s="419" t="str">
        <f t="array" ref="I54">XLOOKUP(LCARS_Tech[BuffID],RawTech[BuffID],RawTech[Tag_WaveDefense])</f>
        <v>✅</v>
      </c>
      <c r="J54" s="419" t="str">
        <f t="array" ref="J54">XLOOKUP(LCARS_Tech[BuffID],RawTech[BuffID],RawTech[Tag_QTrial])</f>
        <v>✅</v>
      </c>
      <c r="K54" s="419" t="str">
        <f t="array" ref="K54">XLOOKUP(LCARS_Tech[BuffID],RawTech[BuffID],RawTech[Tag_MissionBosses])</f>
        <v>➖</v>
      </c>
      <c r="L54" s="419" t="str">
        <f t="array" ref="L54">XLOOKUP(LCARS_Tech[BuffID],RawTech[BuffID],RawTech[Tag_GroupArmadas])</f>
        <v>➖</v>
      </c>
      <c r="M54" s="419" t="str">
        <f t="array" ref="M54">XLOOKUP(LCARS_Tech[BuffID],RawTech[BuffID],RawTech[Tag_SoloArmadas])</f>
        <v>➖</v>
      </c>
      <c r="N54" s="419" t="str">
        <f t="array" ref="N54">XLOOKUP(LCARS_Tech[BuffID],RawTech[BuffID],RawTech[Tag_InvadingEntities])</f>
        <v>➖</v>
      </c>
      <c r="O54" s="419" t="str">
        <f t="array" ref="O54">XLOOKUP(LCARS_Tech[BuffID],RawTech[BuffID],RawTech[Tag_Assaults])</f>
        <v>➖</v>
      </c>
      <c r="P54" s="442" t="str">
        <f t="array" ref="P54">XLOOKUP(LCARS_Tech[BuffID],RawTech[BuffID],RawTech[Tag_OutpostArmadas])</f>
        <v>➖</v>
      </c>
      <c r="Q54" s="420" t="str">
        <f t="array" ref="Q54">XLOOKUP(LCARS_Tech[BuffID],RawTech[BuffID],RawTech[Tag_OutpostRetaliators])</f>
        <v>➖</v>
      </c>
      <c r="R54" s="420" t="str">
        <f t="array" ref="R54">XLOOKUP(MasterTech!$AF$4:$AF$214,RawTech!$AO$2:$AO$212,RawTech!$AV$2:$AV$212)</f>
        <v/>
      </c>
      <c r="S54" s="419" t="str">
        <f t="array" ref="S54">XLOOKUP(MasterTech!$AF$4:$AF$214,RawTech!$AO$2:$AO$212,RawTech!$AK$2:$AK$212)</f>
        <v>➖</v>
      </c>
      <c r="T54" s="422" t="str">
        <f t="array" ref="T54">XLOOKUP(MasterTech!$AF$4:$AF$214,RawTech!$AO$2:$AO$212,RawTech!$AM$2:$AM$212)</f>
        <v>➖</v>
      </c>
      <c r="U54" s="423" t="str">
        <f t="array" ref="U54">XLOOKUP(MasterTech!$AF$4:$AF$214,RawTech!$AO$2:$AO$212,RawTech!$D$2:$D$212)</f>
        <v>CritChance</v>
      </c>
      <c r="V54" s="423" t="str">
        <f t="array" ref="V54">XLOOKUP(MasterTech!$AF$4:$AF$214,RawTech!$AO$2:$AO$212,RawTech!$I$2:$I$212)</f>
        <v>num_rounds=3</v>
      </c>
      <c r="W54" s="443" t="str">
        <f t="array" ref="W54">XLOOKUP(MasterTech!$AF$4:$AF$214,RawTech!$AO$2:$AO$212,RawTech!$E$2:$E$212)</f>
        <v>EnemyHostile, TargetNotArmada</v>
      </c>
      <c r="X54" s="423" t="str">
        <f t="array" ref="X54">XLOOKUP(MasterTech!$AF$4:$AF$214,RawTech!$AO$2:$AO$212,RawTech!$F$2:$F$212)</f>
        <v>CombatStart</v>
      </c>
      <c r="Y54" s="423" t="str">
        <f t="array" ref="Y54">XLOOKUP(MasterTech!$AF$4:$AF$214,RawTech!$AO$2:$AO$212,RawTech!$G$2:$G$212)</f>
        <v>SelfShip</v>
      </c>
      <c r="Z54" s="423" t="str">
        <f t="array" ref="Z54">XLOOKUP(MasterTech!$AF$4:$AF$214,RawTech!$AO$2:$AO$212,RawTech!$H$2:$H$212)</f>
        <v>Add</v>
      </c>
      <c r="AA54" s="423" t="str">
        <f t="array" ref="AA54">XLOOKUP(MasterTech!$AF$4:$AF$214,RawTech!$AO$2:$AO$212,RawTech!$J$2:$J$212)</f>
        <v>Increases Critical Hit chance against hostiles for the first 3 rounds X</v>
      </c>
      <c r="AB54" s="424"/>
      <c r="AC54" s="425"/>
      <c r="AD54" s="425"/>
      <c r="AE54" s="461">
        <f t="array" ref="AE54">XLOOKUP(MasterTech!$AF$4:$AF$214,RawTech!$AO$2:$AO$212,RawTech!$AR$2:$AR$212)</f>
        <v>15</v>
      </c>
      <c r="AF54" s="427">
        <v>4.02510116E8</v>
      </c>
      <c r="AG54" s="428"/>
      <c r="AH54" s="428"/>
      <c r="AI54" s="429"/>
      <c r="AJ54" s="430"/>
    </row>
    <row r="55" ht="37.5" customHeight="1">
      <c r="A55" s="415" t="str">
        <f t="array" ref="A55">LEFT(XLOOKUP(LCARS_Tech[BuffID],RawTech[BuffID],RawTech[TechRarity]), 1)</f>
        <v>E</v>
      </c>
      <c r="B55" s="416"/>
      <c r="C55" s="464" t="str">
        <f t="array" ref="C55">HYPERLINK("https://stfc.space/forbidden_and_chaos_tech/" &amp; XLOOKUP(MasterTech!$AF$4:$AF$214,RawTech!$AO$2:$AO$212,RawTech!$AQ$2:$AQ$212), XLOOKUP(MasterTech!$AF$4:$AF$214,RawTech!$AO$2:$AO$212,RawTech!$B$2:$B$212))</f>
        <v>Metreon Cascade Warhead</v>
      </c>
      <c r="D55" s="432">
        <f t="array" ref="D55">XLOOKUP(LCARS_Tech[BuffID],RawTech[BuffID],RawTech[BuffOrder])</f>
        <v>4</v>
      </c>
      <c r="E55" s="433" t="str">
        <f t="array" ref="E55">XLOOKUP(LCARS_Tech[BuffID],RawTech[BuffID],RawTech[TechType])</f>
        <v>FT</v>
      </c>
      <c r="F55" s="433" t="str">
        <f t="array" ref="F55">XLOOKUP(LCARS_Tech[BuffID],RawTech[BuffID],RawTech[Tag_PvPinSpace])</f>
        <v>➖</v>
      </c>
      <c r="G55" s="433" t="str">
        <f t="array" ref="G55">XLOOKUP(LCARS_Tech[BuffID],RawTech[BuffID],RawTech[Tag_PvPStation])</f>
        <v>➖</v>
      </c>
      <c r="H55" s="433" t="str">
        <f t="array" ref="H55">XLOOKUP(LCARS_Tech[BuffID],RawTech[BuffID],RawTech[Tag_NonArmadaHostiles])</f>
        <v>✅</v>
      </c>
      <c r="I55" s="433" t="str">
        <f t="array" ref="I55">XLOOKUP(LCARS_Tech[BuffID],RawTech[BuffID],RawTech[Tag_WaveDefense])</f>
        <v>✅</v>
      </c>
      <c r="J55" s="433" t="str">
        <f t="array" ref="J55">XLOOKUP(LCARS_Tech[BuffID],RawTech[BuffID],RawTech[Tag_QTrial])</f>
        <v>✅</v>
      </c>
      <c r="K55" s="433" t="str">
        <f t="array" ref="K55">XLOOKUP(LCARS_Tech[BuffID],RawTech[BuffID],RawTech[Tag_MissionBosses])</f>
        <v>➖</v>
      </c>
      <c r="L55" s="433" t="str">
        <f t="array" ref="L55">XLOOKUP(LCARS_Tech[BuffID],RawTech[BuffID],RawTech[Tag_GroupArmadas])</f>
        <v>➖</v>
      </c>
      <c r="M55" s="433" t="str">
        <f t="array" ref="M55">XLOOKUP(LCARS_Tech[BuffID],RawTech[BuffID],RawTech[Tag_SoloArmadas])</f>
        <v>➖</v>
      </c>
      <c r="N55" s="433" t="str">
        <f t="array" ref="N55">XLOOKUP(LCARS_Tech[BuffID],RawTech[BuffID],RawTech[Tag_InvadingEntities])</f>
        <v>➖</v>
      </c>
      <c r="O55" s="433" t="str">
        <f t="array" ref="O55">XLOOKUP(LCARS_Tech[BuffID],RawTech[BuffID],RawTech[Tag_Assaults])</f>
        <v>➖</v>
      </c>
      <c r="P55" s="434" t="str">
        <f t="array" ref="P55">XLOOKUP(LCARS_Tech[BuffID],RawTech[BuffID],RawTech[Tag_OutpostArmadas])</f>
        <v>➖</v>
      </c>
      <c r="Q55" s="416" t="str">
        <f t="array" ref="Q55">XLOOKUP(LCARS_Tech[BuffID],RawTech[BuffID],RawTech[Tag_OutpostRetaliators])</f>
        <v>➖</v>
      </c>
      <c r="R55" s="416" t="str">
        <f t="array" ref="R55">XLOOKUP(MasterTech!$AF$4:$AF$214,RawTech!$AO$2:$AO$212,RawTech!$AV$2:$AV$212)</f>
        <v/>
      </c>
      <c r="S55" s="433" t="str">
        <f t="array" ref="S55">XLOOKUP(MasterTech!$AF$4:$AF$214,RawTech!$AO$2:$AO$212,RawTech!$AK$2:$AK$212)</f>
        <v>➖</v>
      </c>
      <c r="T55" s="435" t="str">
        <f t="array" ref="T55">XLOOKUP(MasterTech!$AF$4:$AF$214,RawTech!$AO$2:$AO$212,RawTech!$AM$2:$AM$212)</f>
        <v>➖</v>
      </c>
      <c r="U55" s="438" t="str">
        <f t="array" ref="U55">XLOOKUP(MasterTech!$AF$4:$AF$214,RawTech!$AO$2:$AO$212,RawTech!$D$2:$D$212)</f>
        <v>CritDamage</v>
      </c>
      <c r="V55" s="416" t="str">
        <f t="array" ref="V55">XLOOKUP(MasterTech!$AF$4:$AF$214,RawTech!$AO$2:$AO$212,RawTech!$I$2:$I$212)</f>
        <v/>
      </c>
      <c r="W55" s="447" t="str">
        <f t="array" ref="W55">XLOOKUP(MasterTech!$AF$4:$AF$214,RawTech!$AO$2:$AO$212,RawTech!$E$2:$E$212)</f>
        <v>EnemyHostile, TargetNotArmada</v>
      </c>
      <c r="X55" s="438" t="str">
        <f t="array" ref="X55">XLOOKUP(MasterTech!$AF$4:$AF$214,RawTech!$AO$2:$AO$212,RawTech!$F$2:$F$212)</f>
        <v>CombatStart</v>
      </c>
      <c r="Y55" s="438" t="str">
        <f t="array" ref="Y55">XLOOKUP(MasterTech!$AF$4:$AF$214,RawTech!$AO$2:$AO$212,RawTech!$G$2:$G$212)</f>
        <v>SelfShip</v>
      </c>
      <c r="Z55" s="438" t="str">
        <f t="array" ref="Z55">XLOOKUP(MasterTech!$AF$4:$AF$214,RawTech!$AO$2:$AO$212,RawTech!$H$2:$H$212)</f>
        <v>Add</v>
      </c>
      <c r="AA55" s="438" t="str">
        <f t="array" ref="AA55">XLOOKUP(MasterTech!$AF$4:$AF$214,RawTech!$AO$2:$AO$212,RawTech!$J$2:$J$212)</f>
        <v>Increases Critical Damage against hostiles X</v>
      </c>
      <c r="AB55" s="439"/>
      <c r="AC55" s="440"/>
      <c r="AD55" s="440"/>
      <c r="AE55" s="462">
        <f t="array" ref="AE55">XLOOKUP(MasterTech!$AF$4:$AF$214,RawTech!$AO$2:$AO$212,RawTech!$AR$2:$AR$212)</f>
        <v>15</v>
      </c>
      <c r="AF55" s="427">
        <v>1.37999562E9</v>
      </c>
      <c r="AG55" s="428"/>
      <c r="AH55" s="428"/>
      <c r="AI55" s="429"/>
      <c r="AJ55" s="430"/>
    </row>
    <row r="56" ht="37.5" customHeight="1">
      <c r="A56" s="415" t="str">
        <f t="array" ref="A56">LEFT(XLOOKUP(LCARS_Tech[BuffID],RawTech[BuffID],RawTech[TechRarity]), 1)</f>
        <v>R</v>
      </c>
      <c r="B56" s="420"/>
      <c r="C56" s="452" t="str">
        <f t="array" ref="C56">HYPERLINK("https://stfc.space/forbidden_and_chaos_tech/" &amp; XLOOKUP(MasterTech!$AF$4:$AF$214,RawTech!$AO$2:$AO$212,RawTech!$AQ$2:$AQ$212), XLOOKUP(MasterTech!$AF$4:$AF$214,RawTech!$AO$2:$AO$212,RawTech!$B$2:$B$212))</f>
        <v>Control Seeker Probes</v>
      </c>
      <c r="D56" s="418">
        <f t="array" ref="D56">XLOOKUP(LCARS_Tech[BuffID],RawTech[BuffID],RawTech[BuffOrder])</f>
        <v>1</v>
      </c>
      <c r="E56" s="419" t="str">
        <f t="array" ref="E56">XLOOKUP(LCARS_Tech[BuffID],RawTech[BuffID],RawTech[TechType])</f>
        <v>FT</v>
      </c>
      <c r="F56" s="419" t="str">
        <f t="array" ref="F56">XLOOKUP(LCARS_Tech[BuffID],RawTech[BuffID],RawTech[Tag_PvPinSpace])</f>
        <v>➖</v>
      </c>
      <c r="G56" s="419" t="str">
        <f t="array" ref="G56">XLOOKUP(LCARS_Tech[BuffID],RawTech[BuffID],RawTech[Tag_PvPStation])</f>
        <v>➖</v>
      </c>
      <c r="H56" s="419" t="str">
        <f t="array" ref="H56">XLOOKUP(LCARS_Tech[BuffID],RawTech[BuffID],RawTech[Tag_NonArmadaHostiles])</f>
        <v>✴️</v>
      </c>
      <c r="I56" s="419" t="str">
        <f t="array" ref="I56">XLOOKUP(LCARS_Tech[BuffID],RawTech[BuffID],RawTech[Tag_WaveDefense])</f>
        <v>✴️</v>
      </c>
      <c r="J56" s="419" t="str">
        <f t="array" ref="J56">XLOOKUP(LCARS_Tech[BuffID],RawTech[BuffID],RawTech[Tag_QTrial])</f>
        <v>✴️</v>
      </c>
      <c r="K56" s="419" t="str">
        <f t="array" ref="K56">XLOOKUP(LCARS_Tech[BuffID],RawTech[BuffID],RawTech[Tag_MissionBosses])</f>
        <v>➖</v>
      </c>
      <c r="L56" s="419" t="str">
        <f t="array" ref="L56">XLOOKUP(LCARS_Tech[BuffID],RawTech[BuffID],RawTech[Tag_GroupArmadas])</f>
        <v>✴️</v>
      </c>
      <c r="M56" s="419" t="str">
        <f t="array" ref="M56">XLOOKUP(LCARS_Tech[BuffID],RawTech[BuffID],RawTech[Tag_SoloArmadas])</f>
        <v>✴️</v>
      </c>
      <c r="N56" s="419" t="str">
        <f t="array" ref="N56">XLOOKUP(LCARS_Tech[BuffID],RawTech[BuffID],RawTech[Tag_InvadingEntities])</f>
        <v>✴️</v>
      </c>
      <c r="O56" s="419" t="str">
        <f t="array" ref="O56">XLOOKUP(LCARS_Tech[BuffID],RawTech[BuffID],RawTech[Tag_Assaults])</f>
        <v>➖</v>
      </c>
      <c r="P56" s="442" t="str">
        <f t="array" ref="P56">XLOOKUP(LCARS_Tech[BuffID],RawTech[BuffID],RawTech[Tag_OutpostArmadas])</f>
        <v>➖</v>
      </c>
      <c r="Q56" s="450" t="str">
        <f t="array" ref="Q56">XLOOKUP(LCARS_Tech[BuffID],RawTech[BuffID],RawTech[Tag_OutpostRetaliators])</f>
        <v>➖</v>
      </c>
      <c r="R56" s="450" t="str">
        <f t="array" ref="R56">XLOOKUP(MasterTech!$AF$4:$AF$214,RawTech!$AO$2:$AO$212,RawTech!$AV$2:$AV$212)</f>
        <v>SelfExplorer</v>
      </c>
      <c r="S56" s="419" t="str">
        <f t="array" ref="S56">XLOOKUP(MasterTech!$AF$4:$AF$214,RawTech!$AO$2:$AO$212,RawTech!$AK$2:$AK$212)</f>
        <v>➖</v>
      </c>
      <c r="T56" s="422" t="str">
        <f t="array" ref="T56">XLOOKUP(MasterTech!$AF$4:$AF$214,RawTech!$AO$2:$AO$212,RawTech!$AM$2:$AM$212)</f>
        <v>➖</v>
      </c>
      <c r="U56" s="423" t="str">
        <f t="array" ref="U56">XLOOKUP(MasterTech!$AF$4:$AF$214,RawTech!$AO$2:$AO$212,RawTech!$D$2:$D$212)</f>
        <v>AllDefenses</v>
      </c>
      <c r="V56" s="420" t="str">
        <f t="array" ref="V56">XLOOKUP(MasterTech!$AF$4:$AF$214,RawTech!$AO$2:$AO$212,RawTech!$I$2:$I$212)</f>
        <v/>
      </c>
      <c r="W56" s="443" t="str">
        <f t="array" ref="W56">XLOOKUP(MasterTech!$AF$4:$AF$214,RawTech!$AO$2:$AO$212,RawTech!$E$2:$E$212)</f>
        <v>SelfExplorer, EnemyHostile</v>
      </c>
      <c r="X56" s="423" t="str">
        <f t="array" ref="X56">XLOOKUP(MasterTech!$AF$4:$AF$214,RawTech!$AO$2:$AO$212,RawTech!$F$2:$F$212)</f>
        <v>CombatStart</v>
      </c>
      <c r="Y56" s="423" t="str">
        <f t="array" ref="Y56">XLOOKUP(MasterTech!$AF$4:$AF$214,RawTech!$AO$2:$AO$212,RawTech!$G$2:$G$212)</f>
        <v>SelfShip</v>
      </c>
      <c r="Z56" s="423" t="str">
        <f t="array" ref="Z56">XLOOKUP(MasterTech!$AF$4:$AF$214,RawTech!$AO$2:$AO$212,RawTech!$H$2:$H$212)</f>
        <v>MultiplyAdd</v>
      </c>
      <c r="AA56" s="456" t="str">
        <f t="array" ref="AA56">XLOOKUP(MasterTech!$AF$4:$AF$214,RawTech!$AO$2:$AO$212,RawTech!$J$2:$J$212)</f>
        <v>Increases Explorer Armor, Shield Mitigation, and Dodge against hostiles. X</v>
      </c>
      <c r="AB56" s="457" t="b">
        <v>1</v>
      </c>
      <c r="AC56" s="458" t="s">
        <v>545</v>
      </c>
      <c r="AD56" s="425"/>
      <c r="AE56" s="453">
        <f t="array" ref="AE56">XLOOKUP(MasterTech!$AF$4:$AF$214,RawTech!$AO$2:$AO$212,RawTech!$AR$2:$AR$212)</f>
        <v>17</v>
      </c>
      <c r="AF56" s="427">
        <v>3.750681956E9</v>
      </c>
      <c r="AG56" s="428"/>
      <c r="AH56" s="428"/>
      <c r="AI56" s="429"/>
      <c r="AJ56" s="430"/>
    </row>
    <row r="57" ht="37.5" customHeight="1">
      <c r="A57" s="415" t="str">
        <f t="array" ref="A57">LEFT(XLOOKUP(LCARS_Tech[BuffID],RawTech[BuffID],RawTech[TechRarity]), 1)</f>
        <v>R</v>
      </c>
      <c r="B57" s="416"/>
      <c r="C57" s="417" t="str">
        <f t="array" ref="C57">HYPERLINK("https://stfc.space/forbidden_and_chaos_tech/" &amp; XLOOKUP(LCARS_Tech[BuffID],RawTech[BuffID],RawTech[TechId]), XLOOKUP(LCARS_Tech[BuffID],RawTech[BuffID],RawTech[TechName]))</f>
        <v>Control Seeker Probes</v>
      </c>
      <c r="D57" s="432">
        <f t="array" ref="D57">XLOOKUP(LCARS_Tech[BuffID],RawTech[BuffID],RawTech[BuffOrder])</f>
        <v>2</v>
      </c>
      <c r="E57" s="433" t="str">
        <f t="array" ref="E57">XLOOKUP(LCARS_Tech[BuffID],RawTech[BuffID],RawTech[TechType])</f>
        <v>FT</v>
      </c>
      <c r="F57" s="433" t="str">
        <f t="array" ref="F57">XLOOKUP(LCARS_Tech[BuffID],RawTech[BuffID],RawTech[Tag_PvPinSpace])</f>
        <v>✴️</v>
      </c>
      <c r="G57" s="433" t="str">
        <f t="array" ref="G57">XLOOKUP(LCARS_Tech[BuffID],RawTech[BuffID],RawTech[Tag_PvPStation])</f>
        <v>✴️</v>
      </c>
      <c r="H57" s="433" t="str">
        <f t="array" ref="H57">XLOOKUP(LCARS_Tech[BuffID],RawTech[BuffID],RawTech[Tag_NonArmadaHostiles])</f>
        <v>✴️</v>
      </c>
      <c r="I57" s="433" t="str">
        <f t="array" ref="I57">XLOOKUP(LCARS_Tech[BuffID],RawTech[BuffID],RawTech[Tag_WaveDefense])</f>
        <v>✴️</v>
      </c>
      <c r="J57" s="433" t="str">
        <f t="array" ref="J57">XLOOKUP(LCARS_Tech[BuffID],RawTech[BuffID],RawTech[Tag_QTrial])</f>
        <v>✴️</v>
      </c>
      <c r="K57" s="433" t="str">
        <f t="array" ref="K57">XLOOKUP(LCARS_Tech[BuffID],RawTech[BuffID],RawTech[Tag_MissionBosses])</f>
        <v>✴️</v>
      </c>
      <c r="L57" s="433" t="str">
        <f t="array" ref="L57">XLOOKUP(LCARS_Tech[BuffID],RawTech[BuffID],RawTech[Tag_GroupArmadas])</f>
        <v>✴️</v>
      </c>
      <c r="M57" s="433" t="str">
        <f t="array" ref="M57">XLOOKUP(LCARS_Tech[BuffID],RawTech[BuffID],RawTech[Tag_SoloArmadas])</f>
        <v>✴️</v>
      </c>
      <c r="N57" s="433" t="str">
        <f t="array" ref="N57">XLOOKUP(LCARS_Tech[BuffID],RawTech[BuffID],RawTech[Tag_InvadingEntities])</f>
        <v>✴️</v>
      </c>
      <c r="O57" s="433" t="str">
        <f t="array" ref="O57">XLOOKUP(LCARS_Tech[BuffID],RawTech[BuffID],RawTech[Tag_Assaults])</f>
        <v>✴️</v>
      </c>
      <c r="P57" s="434" t="str">
        <f t="array" ref="P57">XLOOKUP(LCARS_Tech[BuffID],RawTech[BuffID],RawTech[Tag_OutpostArmadas])</f>
        <v>✴️</v>
      </c>
      <c r="Q57" s="451" t="str">
        <f t="array" ref="Q57">XLOOKUP(LCARS_Tech[BuffID],RawTech[BuffID],RawTech[Tag_OutpostRetaliators])</f>
        <v>✴️</v>
      </c>
      <c r="R57" s="451" t="str">
        <f t="array" ref="R57">XLOOKUP(MasterTech!$AF$4:$AF$214,RawTech!$AO$2:$AO$212,RawTech!$AV$2:$AV$212)</f>
        <v>SelfExplorer</v>
      </c>
      <c r="S57" s="433" t="str">
        <f t="array" ref="S57">XLOOKUP(MasterTech!$AF$4:$AF$214,RawTech!$AO$2:$AO$212,RawTech!$AK$2:$AK$212)</f>
        <v>➖</v>
      </c>
      <c r="T57" s="435" t="str">
        <f t="array" ref="T57">XLOOKUP(MasterTech!$AF$4:$AF$214,RawTech!$AO$2:$AO$212,RawTech!$AM$2:$AM$212)</f>
        <v>➖</v>
      </c>
      <c r="U57" s="438" t="str">
        <f t="array" ref="U57">XLOOKUP(MasterTech!$AF$4:$AF$214,RawTech!$AO$2:$AO$212,RawTech!$D$2:$D$212)</f>
        <v>HullHPMax</v>
      </c>
      <c r="V57" s="416" t="str">
        <f t="array" ref="V57">XLOOKUP(MasterTech!$AF$4:$AF$214,RawTech!$AO$2:$AO$212,RawTech!$I$2:$I$212)</f>
        <v/>
      </c>
      <c r="W57" s="447" t="str">
        <f t="array" ref="W57">XLOOKUP(MasterTech!$AF$4:$AF$214,RawTech!$AO$2:$AO$212,RawTech!$E$2:$E$212)</f>
        <v>SelfExplorer</v>
      </c>
      <c r="X57" s="438" t="str">
        <f t="array" ref="X57">XLOOKUP(MasterTech!$AF$4:$AF$214,RawTech!$AO$2:$AO$212,RawTech!$F$2:$F$212)</f>
        <v>ShipLaunched</v>
      </c>
      <c r="Y57" s="438" t="str">
        <f t="array" ref="Y57">XLOOKUP(MasterTech!$AF$4:$AF$214,RawTech!$AO$2:$AO$212,RawTech!$G$2:$G$212)</f>
        <v>SelfShip</v>
      </c>
      <c r="Z57" s="438" t="str">
        <f t="array" ref="Z57">XLOOKUP(MasterTech!$AF$4:$AF$214,RawTech!$AO$2:$AO$212,RawTech!$H$2:$H$212)</f>
        <v>MultiplyAdd</v>
      </c>
      <c r="AA57" s="438" t="str">
        <f t="array" ref="AA57">XLOOKUP(MasterTech!$AF$4:$AF$214,RawTech!$AO$2:$AO$212,RawTech!$J$2:$J$212)</f>
        <v>Increases Explorer Hull Health X</v>
      </c>
      <c r="AB57" s="439"/>
      <c r="AC57" s="440"/>
      <c r="AD57" s="440"/>
      <c r="AE57" s="455">
        <f t="array" ref="AE57">XLOOKUP(MasterTech!$AF$4:$AF$214,RawTech!$AO$2:$AO$212,RawTech!$AR$2:$AR$212)</f>
        <v>17</v>
      </c>
      <c r="AF57" s="427">
        <v>2.775846787E9</v>
      </c>
      <c r="AG57" s="428"/>
      <c r="AH57" s="428"/>
      <c r="AI57" s="429"/>
      <c r="AJ57" s="430"/>
    </row>
    <row r="58" ht="37.5" customHeight="1">
      <c r="A58" s="415" t="str">
        <f t="array" ref="A58">LEFT(XLOOKUP(LCARS_Tech[BuffID],RawTech[BuffID],RawTech[TechRarity]), 1)</f>
        <v>R</v>
      </c>
      <c r="B58" s="420"/>
      <c r="C58" s="452" t="str">
        <f t="array" ref="C58">HYPERLINK("https://stfc.space/forbidden_and_chaos_tech/" &amp; XLOOKUP(MasterTech!$AF$4:$AF$214,RawTech!$AO$2:$AO$212,RawTech!$AQ$2:$AQ$212), XLOOKUP(MasterTech!$AF$4:$AF$214,RawTech!$AO$2:$AO$212,RawTech!$B$2:$B$212))</f>
        <v>Control Seeker Probes</v>
      </c>
      <c r="D58" s="418">
        <f t="array" ref="D58">XLOOKUP(LCARS_Tech[BuffID],RawTech[BuffID],RawTech[BuffOrder])</f>
        <v>3</v>
      </c>
      <c r="E58" s="419" t="str">
        <f t="array" ref="E58">XLOOKUP(LCARS_Tech[BuffID],RawTech[BuffID],RawTech[TechType])</f>
        <v>FT</v>
      </c>
      <c r="F58" s="419" t="str">
        <f t="array" ref="F58">XLOOKUP(LCARS_Tech[BuffID],RawTech[BuffID],RawTech[Tag_PvPinSpace])</f>
        <v>➖</v>
      </c>
      <c r="G58" s="419" t="str">
        <f t="array" ref="G58">XLOOKUP(LCARS_Tech[BuffID],RawTech[BuffID],RawTech[Tag_PvPStation])</f>
        <v>➖</v>
      </c>
      <c r="H58" s="419" t="str">
        <f t="array" ref="H58">XLOOKUP(LCARS_Tech[BuffID],RawTech[BuffID],RawTech[Tag_NonArmadaHostiles])</f>
        <v>✴️</v>
      </c>
      <c r="I58" s="419" t="str">
        <f t="array" ref="I58">XLOOKUP(LCARS_Tech[BuffID],RawTech[BuffID],RawTech[Tag_WaveDefense])</f>
        <v>✴️</v>
      </c>
      <c r="J58" s="419" t="str">
        <f t="array" ref="J58">XLOOKUP(LCARS_Tech[BuffID],RawTech[BuffID],RawTech[Tag_QTrial])</f>
        <v>✴️</v>
      </c>
      <c r="K58" s="419" t="str">
        <f t="array" ref="K58">XLOOKUP(LCARS_Tech[BuffID],RawTech[BuffID],RawTech[Tag_MissionBosses])</f>
        <v>➖</v>
      </c>
      <c r="L58" s="419" t="str">
        <f t="array" ref="L58">XLOOKUP(LCARS_Tech[BuffID],RawTech[BuffID],RawTech[Tag_GroupArmadas])</f>
        <v>✴️</v>
      </c>
      <c r="M58" s="419" t="str">
        <f t="array" ref="M58">XLOOKUP(LCARS_Tech[BuffID],RawTech[BuffID],RawTech[Tag_SoloArmadas])</f>
        <v>✴️</v>
      </c>
      <c r="N58" s="419" t="str">
        <f t="array" ref="N58">XLOOKUP(LCARS_Tech[BuffID],RawTech[BuffID],RawTech[Tag_InvadingEntities])</f>
        <v>✴️</v>
      </c>
      <c r="O58" s="419" t="str">
        <f t="array" ref="O58">XLOOKUP(LCARS_Tech[BuffID],RawTech[BuffID],RawTech[Tag_Assaults])</f>
        <v>➖</v>
      </c>
      <c r="P58" s="442" t="str">
        <f t="array" ref="P58">XLOOKUP(LCARS_Tech[BuffID],RawTech[BuffID],RawTech[Tag_OutpostArmadas])</f>
        <v>➖</v>
      </c>
      <c r="Q58" s="450" t="str">
        <f t="array" ref="Q58">XLOOKUP(LCARS_Tech[BuffID],RawTech[BuffID],RawTech[Tag_OutpostRetaliators])</f>
        <v>➖</v>
      </c>
      <c r="R58" s="450" t="str">
        <f t="array" ref="R58">XLOOKUP(MasterTech!$AF$4:$AF$214,RawTech!$AO$2:$AO$212,RawTech!$AV$2:$AV$212)</f>
        <v>SelfExplorer</v>
      </c>
      <c r="S58" s="419" t="str">
        <f t="array" ref="S58">XLOOKUP(MasterTech!$AF$4:$AF$214,RawTech!$AO$2:$AO$212,RawTech!$AK$2:$AK$212)</f>
        <v>➖</v>
      </c>
      <c r="T58" s="422" t="str">
        <f t="array" ref="T58">XLOOKUP(MasterTech!$AF$4:$AF$214,RawTech!$AO$2:$AO$212,RawTech!$AM$2:$AM$212)</f>
        <v>➖</v>
      </c>
      <c r="U58" s="423" t="str">
        <f t="array" ref="U58">XLOOKUP(MasterTech!$AF$4:$AF$214,RawTech!$AO$2:$AO$212,RawTech!$D$2:$D$212)</f>
        <v>AllPiercing</v>
      </c>
      <c r="V58" s="420" t="str">
        <f t="array" ref="V58">XLOOKUP(MasterTech!$AF$4:$AF$214,RawTech!$AO$2:$AO$212,RawTech!$I$2:$I$212)</f>
        <v/>
      </c>
      <c r="W58" s="443" t="str">
        <f t="array" ref="W58">XLOOKUP(MasterTech!$AF$4:$AF$214,RawTech!$AO$2:$AO$212,RawTech!$E$2:$E$212)</f>
        <v>SelfExplorer, EnemyHostile</v>
      </c>
      <c r="X58" s="423" t="str">
        <f t="array" ref="X58">XLOOKUP(MasterTech!$AF$4:$AF$214,RawTech!$AO$2:$AO$212,RawTech!$F$2:$F$212)</f>
        <v>CombatStart</v>
      </c>
      <c r="Y58" s="423" t="str">
        <f t="array" ref="Y58">XLOOKUP(MasterTech!$AF$4:$AF$214,RawTech!$AO$2:$AO$212,RawTech!$G$2:$G$212)</f>
        <v>SelfShip</v>
      </c>
      <c r="Z58" s="423" t="str">
        <f t="array" ref="Z58">XLOOKUP(MasterTech!$AF$4:$AF$214,RawTech!$AO$2:$AO$212,RawTech!$H$2:$H$212)</f>
        <v>MultiplyAdd</v>
      </c>
      <c r="AA58" s="456" t="str">
        <f t="array" ref="AA58">XLOOKUP(MasterTech!$AF$4:$AF$214,RawTech!$AO$2:$AO$212,RawTech!$J$2:$J$212)</f>
        <v>Increases Explorer Shield Piercing, Armor Piercing, and Accuracy against hostiles</v>
      </c>
      <c r="AB58" s="457" t="b">
        <v>1</v>
      </c>
      <c r="AC58" s="458" t="s">
        <v>545</v>
      </c>
      <c r="AD58" s="425"/>
      <c r="AE58" s="453">
        <f t="array" ref="AE58">XLOOKUP(MasterTech!$AF$4:$AF$214,RawTech!$AO$2:$AO$212,RawTech!$AR$2:$AR$212)</f>
        <v>17</v>
      </c>
      <c r="AF58" s="427">
        <v>2.565590754E9</v>
      </c>
      <c r="AG58" s="428"/>
      <c r="AH58" s="428"/>
      <c r="AI58" s="429"/>
      <c r="AJ58" s="430"/>
    </row>
    <row r="59" ht="37.5" customHeight="1">
      <c r="A59" s="415" t="str">
        <f t="array" ref="A59">LEFT(XLOOKUP(LCARS_Tech[BuffID],RawTech[BuffID],RawTech[TechRarity]), 1)</f>
        <v>R</v>
      </c>
      <c r="B59" s="416"/>
      <c r="C59" s="454" t="str">
        <f t="array" ref="C59">HYPERLINK("https://stfc.space/forbidden_and_chaos_tech/" &amp; XLOOKUP(MasterTech!$AF$4:$AF$214,RawTech!$AO$2:$AO$212,RawTech!$AQ$2:$AQ$212), XLOOKUP(MasterTech!$AF$4:$AF$214,RawTech!$AO$2:$AO$212,RawTech!$B$2:$B$212))</f>
        <v>Control Seeker Probes</v>
      </c>
      <c r="D59" s="432">
        <f t="array" ref="D59">XLOOKUP(LCARS_Tech[BuffID],RawTech[BuffID],RawTech[BuffOrder])</f>
        <v>4</v>
      </c>
      <c r="E59" s="433" t="str">
        <f t="array" ref="E59">XLOOKUP(LCARS_Tech[BuffID],RawTech[BuffID],RawTech[TechType])</f>
        <v>FT</v>
      </c>
      <c r="F59" s="433" t="str">
        <f t="array" ref="F59">XLOOKUP(LCARS_Tech[BuffID],RawTech[BuffID],RawTech[Tag_PvPinSpace])</f>
        <v>➖</v>
      </c>
      <c r="G59" s="433" t="str">
        <f t="array" ref="G59">XLOOKUP(LCARS_Tech[BuffID],RawTech[BuffID],RawTech[Tag_PvPStation])</f>
        <v>➖</v>
      </c>
      <c r="H59" s="433" t="str">
        <f t="array" ref="H59">XLOOKUP(LCARS_Tech[BuffID],RawTech[BuffID],RawTech[Tag_NonArmadaHostiles])</f>
        <v>✴️</v>
      </c>
      <c r="I59" s="433" t="str">
        <f t="array" ref="I59">XLOOKUP(LCARS_Tech[BuffID],RawTech[BuffID],RawTech[Tag_WaveDefense])</f>
        <v>✴️</v>
      </c>
      <c r="J59" s="433" t="str">
        <f t="array" ref="J59">XLOOKUP(LCARS_Tech[BuffID],RawTech[BuffID],RawTech[Tag_QTrial])</f>
        <v>✴️</v>
      </c>
      <c r="K59" s="433" t="str">
        <f t="array" ref="K59">XLOOKUP(LCARS_Tech[BuffID],RawTech[BuffID],RawTech[Tag_MissionBosses])</f>
        <v>➖</v>
      </c>
      <c r="L59" s="433" t="str">
        <f t="array" ref="L59">XLOOKUP(LCARS_Tech[BuffID],RawTech[BuffID],RawTech[Tag_GroupArmadas])</f>
        <v>✴️</v>
      </c>
      <c r="M59" s="433" t="str">
        <f t="array" ref="M59">XLOOKUP(LCARS_Tech[BuffID],RawTech[BuffID],RawTech[Tag_SoloArmadas])</f>
        <v>✴️</v>
      </c>
      <c r="N59" s="433" t="str">
        <f t="array" ref="N59">XLOOKUP(LCARS_Tech[BuffID],RawTech[BuffID],RawTech[Tag_InvadingEntities])</f>
        <v>✴️</v>
      </c>
      <c r="O59" s="433" t="str">
        <f t="array" ref="O59">XLOOKUP(LCARS_Tech[BuffID],RawTech[BuffID],RawTech[Tag_Assaults])</f>
        <v>➖</v>
      </c>
      <c r="P59" s="434" t="str">
        <f t="array" ref="P59">XLOOKUP(LCARS_Tech[BuffID],RawTech[BuffID],RawTech[Tag_OutpostArmadas])</f>
        <v>➖</v>
      </c>
      <c r="Q59" s="451" t="str">
        <f t="array" ref="Q59">XLOOKUP(LCARS_Tech[BuffID],RawTech[BuffID],RawTech[Tag_OutpostRetaliators])</f>
        <v>➖</v>
      </c>
      <c r="R59" s="451" t="str">
        <f t="array" ref="R59">XLOOKUP(MasterTech!$AF$4:$AF$214,RawTech!$AO$2:$AO$212,RawTech!$AV$2:$AV$212)</f>
        <v>SelfExplorer</v>
      </c>
      <c r="S59" s="433" t="str">
        <f t="array" ref="S59">XLOOKUP(MasterTech!$AF$4:$AF$214,RawTech!$AO$2:$AO$212,RawTech!$AK$2:$AK$212)</f>
        <v>➖</v>
      </c>
      <c r="T59" s="435" t="str">
        <f t="array" ref="T59">XLOOKUP(MasterTech!$AF$4:$AF$214,RawTech!$AO$2:$AO$212,RawTech!$AM$2:$AM$212)</f>
        <v>➖</v>
      </c>
      <c r="U59" s="438" t="str">
        <f t="array" ref="U59">XLOOKUP(MasterTech!$AF$4:$AF$214,RawTech!$AO$2:$AO$212,RawTech!$D$2:$D$212)</f>
        <v>AllDamage</v>
      </c>
      <c r="V59" s="416" t="str">
        <f t="array" ref="V59">XLOOKUP(MasterTech!$AF$4:$AF$214,RawTech!$AO$2:$AO$212,RawTech!$I$2:$I$212)</f>
        <v/>
      </c>
      <c r="W59" s="447" t="str">
        <f t="array" ref="W59">XLOOKUP(MasterTech!$AF$4:$AF$214,RawTech!$AO$2:$AO$212,RawTech!$E$2:$E$212)</f>
        <v>SelfExplorer, EnemyHostile</v>
      </c>
      <c r="X59" s="438" t="str">
        <f t="array" ref="X59">XLOOKUP(MasterTech!$AF$4:$AF$214,RawTech!$AO$2:$AO$212,RawTech!$F$2:$F$212)</f>
        <v>CombatStart</v>
      </c>
      <c r="Y59" s="438" t="str">
        <f t="array" ref="Y59">XLOOKUP(MasterTech!$AF$4:$AF$214,RawTech!$AO$2:$AO$212,RawTech!$G$2:$G$212)</f>
        <v>SelfShip</v>
      </c>
      <c r="Z59" s="438" t="str">
        <f t="array" ref="Z59">XLOOKUP(MasterTech!$AF$4:$AF$214,RawTech!$AO$2:$AO$212,RawTech!$H$2:$H$212)</f>
        <v>MultiplyAdd</v>
      </c>
      <c r="AA59" s="456" t="str">
        <f t="array" ref="AA59">XLOOKUP(MasterTech!$AF$4:$AF$214,RawTech!$AO$2:$AO$212,RawTech!$J$2:$J$212)</f>
        <v>Increases Explorer Damage against hostiles  X</v>
      </c>
      <c r="AB59" s="459" t="b">
        <v>1</v>
      </c>
      <c r="AC59" s="465" t="s">
        <v>545</v>
      </c>
      <c r="AD59" s="440"/>
      <c r="AE59" s="455">
        <f t="array" ref="AE59">XLOOKUP(MasterTech!$AF$4:$AF$214,RawTech!$AO$2:$AO$212,RawTech!$AR$2:$AR$212)</f>
        <v>17</v>
      </c>
      <c r="AF59" s="427">
        <v>3.941102913E9</v>
      </c>
      <c r="AG59" s="428"/>
      <c r="AH59" s="428"/>
      <c r="AI59" s="429"/>
      <c r="AJ59" s="430"/>
    </row>
    <row r="60" ht="37.5" customHeight="1">
      <c r="A60" s="415" t="str">
        <f t="array" ref="A60">LEFT(XLOOKUP(LCARS_Tech[BuffID],RawTech[BuffID],RawTech[TechRarity]), 1)</f>
        <v>R</v>
      </c>
      <c r="B60" s="420"/>
      <c r="C60" s="452" t="str">
        <f t="array" ref="C60">HYPERLINK("https://stfc.space/forbidden_and_chaos_tech/" &amp; XLOOKUP(MasterTech!$AF$4:$AF$214,RawTech!$AO$2:$AO$212,RawTech!$AQ$2:$AQ$212), XLOOKUP(MasterTech!$AF$4:$AF$214,RawTech!$AO$2:$AO$212,RawTech!$B$2:$B$212))</f>
        <v>Dual Photon Warheads</v>
      </c>
      <c r="D60" s="418">
        <f t="array" ref="D60">XLOOKUP(LCARS_Tech[BuffID],RawTech[BuffID],RawTech[BuffOrder])</f>
        <v>1</v>
      </c>
      <c r="E60" s="419" t="str">
        <f t="array" ref="E60">XLOOKUP(LCARS_Tech[BuffID],RawTech[BuffID],RawTech[TechType])</f>
        <v>FT</v>
      </c>
      <c r="F60" s="419" t="str">
        <f t="array" ref="F60">XLOOKUP(LCARS_Tech[BuffID],RawTech[BuffID],RawTech[Tag_PvPinSpace])</f>
        <v>➖</v>
      </c>
      <c r="G60" s="419" t="str">
        <f t="array" ref="G60">XLOOKUP(LCARS_Tech[BuffID],RawTech[BuffID],RawTech[Tag_PvPStation])</f>
        <v>➖</v>
      </c>
      <c r="H60" s="419" t="str">
        <f t="array" ref="H60">XLOOKUP(LCARS_Tech[BuffID],RawTech[BuffID],RawTech[Tag_NonArmadaHostiles])</f>
        <v>✴️</v>
      </c>
      <c r="I60" s="419" t="str">
        <f t="array" ref="I60">XLOOKUP(LCARS_Tech[BuffID],RawTech[BuffID],RawTech[Tag_WaveDefense])</f>
        <v>✴️</v>
      </c>
      <c r="J60" s="419" t="str">
        <f t="array" ref="J60">XLOOKUP(LCARS_Tech[BuffID],RawTech[BuffID],RawTech[Tag_QTrial])</f>
        <v>✴️</v>
      </c>
      <c r="K60" s="419" t="str">
        <f t="array" ref="K60">XLOOKUP(LCARS_Tech[BuffID],RawTech[BuffID],RawTech[Tag_MissionBosses])</f>
        <v>➖</v>
      </c>
      <c r="L60" s="419" t="str">
        <f t="array" ref="L60">XLOOKUP(LCARS_Tech[BuffID],RawTech[BuffID],RawTech[Tag_GroupArmadas])</f>
        <v>✴️</v>
      </c>
      <c r="M60" s="419" t="str">
        <f t="array" ref="M60">XLOOKUP(LCARS_Tech[BuffID],RawTech[BuffID],RawTech[Tag_SoloArmadas])</f>
        <v>✴️</v>
      </c>
      <c r="N60" s="419" t="str">
        <f t="array" ref="N60">XLOOKUP(LCARS_Tech[BuffID],RawTech[BuffID],RawTech[Tag_InvadingEntities])</f>
        <v>✴️</v>
      </c>
      <c r="O60" s="419" t="str">
        <f t="array" ref="O60">XLOOKUP(LCARS_Tech[BuffID],RawTech[BuffID],RawTech[Tag_Assaults])</f>
        <v>➖</v>
      </c>
      <c r="P60" s="442" t="str">
        <f t="array" ref="P60">XLOOKUP(LCARS_Tech[BuffID],RawTech[BuffID],RawTech[Tag_OutpostArmadas])</f>
        <v>➖</v>
      </c>
      <c r="Q60" s="450" t="str">
        <f t="array" ref="Q60">XLOOKUP(LCARS_Tech[BuffID],RawTech[BuffID],RawTech[Tag_OutpostRetaliators])</f>
        <v>➖</v>
      </c>
      <c r="R60" s="450" t="str">
        <f t="array" ref="R60">XLOOKUP(MasterTech!$AF$4:$AF$214,RawTech!$AO$2:$AO$212,RawTech!$AV$2:$AV$212)</f>
        <v>SelfInterceptor</v>
      </c>
      <c r="S60" s="419" t="str">
        <f t="array" ref="S60">XLOOKUP(MasterTech!$AF$4:$AF$214,RawTech!$AO$2:$AO$212,RawTech!$AK$2:$AK$212)</f>
        <v>➖</v>
      </c>
      <c r="T60" s="422" t="str">
        <f t="array" ref="T60">XLOOKUP(MasterTech!$AF$4:$AF$214,RawTech!$AO$2:$AO$212,RawTech!$AM$2:$AM$212)</f>
        <v>➖</v>
      </c>
      <c r="U60" s="423" t="str">
        <f t="array" ref="U60">XLOOKUP(MasterTech!$AF$4:$AF$214,RawTech!$AO$2:$AO$212,RawTech!$D$2:$D$212)</f>
        <v>AllDefenses</v>
      </c>
      <c r="V60" s="420" t="str">
        <f t="array" ref="V60">XLOOKUP(MasterTech!$AF$4:$AF$214,RawTech!$AO$2:$AO$212,RawTech!$I$2:$I$212)</f>
        <v/>
      </c>
      <c r="W60" s="443" t="str">
        <f t="array" ref="W60">XLOOKUP(MasterTech!$AF$4:$AF$214,RawTech!$AO$2:$AO$212,RawTech!$E$2:$E$212)</f>
        <v>SelfInterceptor, EnemyHostile</v>
      </c>
      <c r="X60" s="423" t="str">
        <f t="array" ref="X60">XLOOKUP(MasterTech!$AF$4:$AF$214,RawTech!$AO$2:$AO$212,RawTech!$F$2:$F$212)</f>
        <v>CombatStart</v>
      </c>
      <c r="Y60" s="423" t="str">
        <f t="array" ref="Y60">XLOOKUP(MasterTech!$AF$4:$AF$214,RawTech!$AO$2:$AO$212,RawTech!$G$2:$G$212)</f>
        <v>SelfShip</v>
      </c>
      <c r="Z60" s="423" t="str">
        <f t="array" ref="Z60">XLOOKUP(MasterTech!$AF$4:$AF$214,RawTech!$AO$2:$AO$212,RawTech!$H$2:$H$212)</f>
        <v>MultiplyAdd</v>
      </c>
      <c r="AA60" s="456" t="str">
        <f t="array" ref="AA60">XLOOKUP(MasterTech!$AF$4:$AF$214,RawTech!$AO$2:$AO$212,RawTech!$J$2:$J$212)</f>
        <v>Increases Interceptor Armor, Shield Mitigation, and Dodge against hostiles. X</v>
      </c>
      <c r="AB60" s="457" t="b">
        <v>1</v>
      </c>
      <c r="AC60" s="458" t="s">
        <v>545</v>
      </c>
      <c r="AD60" s="425"/>
      <c r="AE60" s="453">
        <f t="array" ref="AE60">XLOOKUP(MasterTech!$AF$4:$AF$214,RawTech!$AO$2:$AO$212,RawTech!$AR$2:$AR$212)</f>
        <v>16</v>
      </c>
      <c r="AF60" s="427">
        <v>3.320916753E9</v>
      </c>
      <c r="AG60" s="428"/>
      <c r="AH60" s="428"/>
      <c r="AI60" s="429"/>
      <c r="AJ60" s="430"/>
    </row>
    <row r="61" ht="37.5" customHeight="1">
      <c r="A61" s="415" t="str">
        <f t="array" ref="A61">LEFT(XLOOKUP(LCARS_Tech[BuffID],RawTech[BuffID],RawTech[TechRarity]), 1)</f>
        <v>R</v>
      </c>
      <c r="B61" s="416"/>
      <c r="C61" s="417" t="str">
        <f t="array" ref="C61">HYPERLINK("https://stfc.space/forbidden_and_chaos_tech/" &amp; XLOOKUP(LCARS_Tech[BuffID],RawTech[BuffID],RawTech[TechId]), XLOOKUP(LCARS_Tech[BuffID],RawTech[BuffID],RawTech[TechName]))</f>
        <v>Dual Photon Warheads</v>
      </c>
      <c r="D61" s="432">
        <f t="array" ref="D61">XLOOKUP(LCARS_Tech[BuffID],RawTech[BuffID],RawTech[BuffOrder])</f>
        <v>2</v>
      </c>
      <c r="E61" s="433" t="str">
        <f t="array" ref="E61">XLOOKUP(LCARS_Tech[BuffID],RawTech[BuffID],RawTech[TechType])</f>
        <v>FT</v>
      </c>
      <c r="F61" s="433" t="str">
        <f t="array" ref="F61">XLOOKUP(LCARS_Tech[BuffID],RawTech[BuffID],RawTech[Tag_PvPinSpace])</f>
        <v>✴️</v>
      </c>
      <c r="G61" s="433" t="str">
        <f t="array" ref="G61">XLOOKUP(LCARS_Tech[BuffID],RawTech[BuffID],RawTech[Tag_PvPStation])</f>
        <v>✴️</v>
      </c>
      <c r="H61" s="433" t="str">
        <f t="array" ref="H61">XLOOKUP(LCARS_Tech[BuffID],RawTech[BuffID],RawTech[Tag_NonArmadaHostiles])</f>
        <v>✴️</v>
      </c>
      <c r="I61" s="433" t="str">
        <f t="array" ref="I61">XLOOKUP(LCARS_Tech[BuffID],RawTech[BuffID],RawTech[Tag_WaveDefense])</f>
        <v>✴️</v>
      </c>
      <c r="J61" s="433" t="str">
        <f t="array" ref="J61">XLOOKUP(LCARS_Tech[BuffID],RawTech[BuffID],RawTech[Tag_QTrial])</f>
        <v>✴️</v>
      </c>
      <c r="K61" s="433" t="str">
        <f t="array" ref="K61">XLOOKUP(LCARS_Tech[BuffID],RawTech[BuffID],RawTech[Tag_MissionBosses])</f>
        <v>✴️</v>
      </c>
      <c r="L61" s="433" t="str">
        <f t="array" ref="L61">XLOOKUP(LCARS_Tech[BuffID],RawTech[BuffID],RawTech[Tag_GroupArmadas])</f>
        <v>✴️</v>
      </c>
      <c r="M61" s="433" t="str">
        <f t="array" ref="M61">XLOOKUP(LCARS_Tech[BuffID],RawTech[BuffID],RawTech[Tag_SoloArmadas])</f>
        <v>✴️</v>
      </c>
      <c r="N61" s="433" t="str">
        <f t="array" ref="N61">XLOOKUP(LCARS_Tech[BuffID],RawTech[BuffID],RawTech[Tag_InvadingEntities])</f>
        <v>✴️</v>
      </c>
      <c r="O61" s="433" t="str">
        <f t="array" ref="O61">XLOOKUP(LCARS_Tech[BuffID],RawTech[BuffID],RawTech[Tag_Assaults])</f>
        <v>✴️</v>
      </c>
      <c r="P61" s="434" t="str">
        <f t="array" ref="P61">XLOOKUP(LCARS_Tech[BuffID],RawTech[BuffID],RawTech[Tag_OutpostArmadas])</f>
        <v>✴️</v>
      </c>
      <c r="Q61" s="451" t="str">
        <f t="array" ref="Q61">XLOOKUP(LCARS_Tech[BuffID],RawTech[BuffID],RawTech[Tag_OutpostRetaliators])</f>
        <v>✴️</v>
      </c>
      <c r="R61" s="451" t="str">
        <f t="array" ref="R61">XLOOKUP(MasterTech!$AF$4:$AF$214,RawTech!$AO$2:$AO$212,RawTech!$AV$2:$AV$212)</f>
        <v>SelfInterceptor</v>
      </c>
      <c r="S61" s="433" t="str">
        <f t="array" ref="S61">XLOOKUP(MasterTech!$AF$4:$AF$214,RawTech!$AO$2:$AO$212,RawTech!$AK$2:$AK$212)</f>
        <v>➖</v>
      </c>
      <c r="T61" s="435" t="str">
        <f t="array" ref="T61">XLOOKUP(MasterTech!$AF$4:$AF$214,RawTech!$AO$2:$AO$212,RawTech!$AM$2:$AM$212)</f>
        <v>➖</v>
      </c>
      <c r="U61" s="438" t="str">
        <f t="array" ref="U61">XLOOKUP(MasterTech!$AF$4:$AF$214,RawTech!$AO$2:$AO$212,RawTech!$D$2:$D$212)</f>
        <v>HullHPMax</v>
      </c>
      <c r="V61" s="416" t="str">
        <f t="array" ref="V61">XLOOKUP(MasterTech!$AF$4:$AF$214,RawTech!$AO$2:$AO$212,RawTech!$I$2:$I$212)</f>
        <v/>
      </c>
      <c r="W61" s="447" t="str">
        <f t="array" ref="W61">XLOOKUP(MasterTech!$AF$4:$AF$214,RawTech!$AO$2:$AO$212,RawTech!$E$2:$E$212)</f>
        <v>SelfInterceptor</v>
      </c>
      <c r="X61" s="438" t="str">
        <f t="array" ref="X61">XLOOKUP(MasterTech!$AF$4:$AF$214,RawTech!$AO$2:$AO$212,RawTech!$F$2:$F$212)</f>
        <v>ShipLaunched</v>
      </c>
      <c r="Y61" s="438" t="str">
        <f t="array" ref="Y61">XLOOKUP(MasterTech!$AF$4:$AF$214,RawTech!$AO$2:$AO$212,RawTech!$G$2:$G$212)</f>
        <v>SelfShip</v>
      </c>
      <c r="Z61" s="438" t="str">
        <f t="array" ref="Z61">XLOOKUP(MasterTech!$AF$4:$AF$214,RawTech!$AO$2:$AO$212,RawTech!$H$2:$H$212)</f>
        <v>MultiplyAdd</v>
      </c>
      <c r="AA61" s="438" t="str">
        <f t="array" ref="AA61">XLOOKUP(MasterTech!$AF$4:$AF$214,RawTech!$AO$2:$AO$212,RawTech!$J$2:$J$212)</f>
        <v>Increases Interceptor Hull Health X</v>
      </c>
      <c r="AB61" s="439"/>
      <c r="AC61" s="440"/>
      <c r="AD61" s="440"/>
      <c r="AE61" s="455">
        <f t="array" ref="AE61">XLOOKUP(MasterTech!$AF$4:$AF$214,RawTech!$AO$2:$AO$212,RawTech!$AR$2:$AR$212)</f>
        <v>16</v>
      </c>
      <c r="AF61" s="427">
        <v>3.47352983E9</v>
      </c>
      <c r="AG61" s="428"/>
      <c r="AH61" s="428"/>
      <c r="AI61" s="429"/>
      <c r="AJ61" s="430"/>
    </row>
    <row r="62" ht="37.5" customHeight="1">
      <c r="A62" s="415" t="str">
        <f t="array" ref="A62">LEFT(XLOOKUP(LCARS_Tech[BuffID],RawTech[BuffID],RawTech[TechRarity]), 1)</f>
        <v>R</v>
      </c>
      <c r="B62" s="420"/>
      <c r="C62" s="452" t="str">
        <f t="array" ref="C62">HYPERLINK("https://stfc.space/forbidden_and_chaos_tech/" &amp; XLOOKUP(MasterTech!$AF$4:$AF$214,RawTech!$AO$2:$AO$212,RawTech!$AQ$2:$AQ$212), XLOOKUP(MasterTech!$AF$4:$AF$214,RawTech!$AO$2:$AO$212,RawTech!$B$2:$B$212))</f>
        <v>Dual Photon Warheads</v>
      </c>
      <c r="D62" s="418">
        <f t="array" ref="D62">XLOOKUP(LCARS_Tech[BuffID],RawTech[BuffID],RawTech[BuffOrder])</f>
        <v>3</v>
      </c>
      <c r="E62" s="419" t="str">
        <f t="array" ref="E62">XLOOKUP(LCARS_Tech[BuffID],RawTech[BuffID],RawTech[TechType])</f>
        <v>FT</v>
      </c>
      <c r="F62" s="419" t="str">
        <f t="array" ref="F62">XLOOKUP(LCARS_Tech[BuffID],RawTech[BuffID],RawTech[Tag_PvPinSpace])</f>
        <v>➖</v>
      </c>
      <c r="G62" s="419" t="str">
        <f t="array" ref="G62">XLOOKUP(LCARS_Tech[BuffID],RawTech[BuffID],RawTech[Tag_PvPStation])</f>
        <v>➖</v>
      </c>
      <c r="H62" s="419" t="str">
        <f t="array" ref="H62">XLOOKUP(LCARS_Tech[BuffID],RawTech[BuffID],RawTech[Tag_NonArmadaHostiles])</f>
        <v>✴️</v>
      </c>
      <c r="I62" s="419" t="str">
        <f t="array" ref="I62">XLOOKUP(LCARS_Tech[BuffID],RawTech[BuffID],RawTech[Tag_WaveDefense])</f>
        <v>✴️</v>
      </c>
      <c r="J62" s="419" t="str">
        <f t="array" ref="J62">XLOOKUP(LCARS_Tech[BuffID],RawTech[BuffID],RawTech[Tag_QTrial])</f>
        <v>✴️</v>
      </c>
      <c r="K62" s="419" t="str">
        <f t="array" ref="K62">XLOOKUP(LCARS_Tech[BuffID],RawTech[BuffID],RawTech[Tag_MissionBosses])</f>
        <v>➖</v>
      </c>
      <c r="L62" s="419" t="str">
        <f t="array" ref="L62">XLOOKUP(LCARS_Tech[BuffID],RawTech[BuffID],RawTech[Tag_GroupArmadas])</f>
        <v>✴️</v>
      </c>
      <c r="M62" s="419" t="str">
        <f t="array" ref="M62">XLOOKUP(LCARS_Tech[BuffID],RawTech[BuffID],RawTech[Tag_SoloArmadas])</f>
        <v>✴️</v>
      </c>
      <c r="N62" s="419" t="str">
        <f t="array" ref="N62">XLOOKUP(LCARS_Tech[BuffID],RawTech[BuffID],RawTech[Tag_InvadingEntities])</f>
        <v>✴️</v>
      </c>
      <c r="O62" s="419" t="str">
        <f t="array" ref="O62">XLOOKUP(LCARS_Tech[BuffID],RawTech[BuffID],RawTech[Tag_Assaults])</f>
        <v>➖</v>
      </c>
      <c r="P62" s="442" t="str">
        <f t="array" ref="P62">XLOOKUP(LCARS_Tech[BuffID],RawTech[BuffID],RawTech[Tag_OutpostArmadas])</f>
        <v>➖</v>
      </c>
      <c r="Q62" s="450" t="str">
        <f t="array" ref="Q62">XLOOKUP(LCARS_Tech[BuffID],RawTech[BuffID],RawTech[Tag_OutpostRetaliators])</f>
        <v>➖</v>
      </c>
      <c r="R62" s="450" t="str">
        <f t="array" ref="R62">XLOOKUP(MasterTech!$AF$4:$AF$214,RawTech!$AO$2:$AO$212,RawTech!$AV$2:$AV$212)</f>
        <v>SelfInterceptor</v>
      </c>
      <c r="S62" s="419" t="str">
        <f t="array" ref="S62">XLOOKUP(MasterTech!$AF$4:$AF$214,RawTech!$AO$2:$AO$212,RawTech!$AK$2:$AK$212)</f>
        <v>➖</v>
      </c>
      <c r="T62" s="422" t="str">
        <f t="array" ref="T62">XLOOKUP(MasterTech!$AF$4:$AF$214,RawTech!$AO$2:$AO$212,RawTech!$AM$2:$AM$212)</f>
        <v>➖</v>
      </c>
      <c r="U62" s="423" t="str">
        <f t="array" ref="U62">XLOOKUP(MasterTech!$AF$4:$AF$214,RawTech!$AO$2:$AO$212,RawTech!$D$2:$D$212)</f>
        <v>AllPiercing</v>
      </c>
      <c r="V62" s="420" t="str">
        <f t="array" ref="V62">XLOOKUP(MasterTech!$AF$4:$AF$214,RawTech!$AO$2:$AO$212,RawTech!$I$2:$I$212)</f>
        <v/>
      </c>
      <c r="W62" s="443" t="str">
        <f t="array" ref="W62">XLOOKUP(MasterTech!$AF$4:$AF$214,RawTech!$AO$2:$AO$212,RawTech!$E$2:$E$212)</f>
        <v>SelfInterceptor, EnemyHostile</v>
      </c>
      <c r="X62" s="423" t="str">
        <f t="array" ref="X62">XLOOKUP(MasterTech!$AF$4:$AF$214,RawTech!$AO$2:$AO$212,RawTech!$F$2:$F$212)</f>
        <v>CombatStart</v>
      </c>
      <c r="Y62" s="423" t="str">
        <f t="array" ref="Y62">XLOOKUP(MasterTech!$AF$4:$AF$214,RawTech!$AO$2:$AO$212,RawTech!$G$2:$G$212)</f>
        <v>SelfShip</v>
      </c>
      <c r="Z62" s="423" t="str">
        <f t="array" ref="Z62">XLOOKUP(MasterTech!$AF$4:$AF$214,RawTech!$AO$2:$AO$212,RawTech!$H$2:$H$212)</f>
        <v>MultiplyAdd</v>
      </c>
      <c r="AA62" s="456" t="str">
        <f t="array" ref="AA62">XLOOKUP(MasterTech!$AF$4:$AF$214,RawTech!$AO$2:$AO$212,RawTech!$J$2:$J$212)</f>
        <v>Increases Interceptor Shield Piercing, Armor Piercing, and Accuracy against hostiles</v>
      </c>
      <c r="AB62" s="457" t="b">
        <v>1</v>
      </c>
      <c r="AC62" s="458" t="s">
        <v>545</v>
      </c>
      <c r="AD62" s="425"/>
      <c r="AE62" s="453">
        <f t="array" ref="AE62">XLOOKUP(MasterTech!$AF$4:$AF$214,RawTech!$AO$2:$AO$212,RawTech!$AR$2:$AR$212)</f>
        <v>16</v>
      </c>
      <c r="AF62" s="427">
        <v>8.72462817E8</v>
      </c>
      <c r="AG62" s="428"/>
      <c r="AH62" s="428"/>
      <c r="AI62" s="429"/>
      <c r="AJ62" s="430"/>
    </row>
    <row r="63" ht="37.5" customHeight="1">
      <c r="A63" s="415" t="str">
        <f t="array" ref="A63">LEFT(XLOOKUP(LCARS_Tech[BuffID],RawTech[BuffID],RawTech[TechRarity]), 1)</f>
        <v>R</v>
      </c>
      <c r="B63" s="416"/>
      <c r="C63" s="454" t="str">
        <f t="array" ref="C63">HYPERLINK("https://stfc.space/forbidden_and_chaos_tech/" &amp; XLOOKUP(MasterTech!$AF$4:$AF$214,RawTech!$AO$2:$AO$212,RawTech!$AQ$2:$AQ$212), XLOOKUP(MasterTech!$AF$4:$AF$214,RawTech!$AO$2:$AO$212,RawTech!$B$2:$B$212))</f>
        <v>Dual Photon Warheads</v>
      </c>
      <c r="D63" s="432">
        <f t="array" ref="D63">XLOOKUP(LCARS_Tech[BuffID],RawTech[BuffID],RawTech[BuffOrder])</f>
        <v>4</v>
      </c>
      <c r="E63" s="433" t="str">
        <f t="array" ref="E63">XLOOKUP(LCARS_Tech[BuffID],RawTech[BuffID],RawTech[TechType])</f>
        <v>FT</v>
      </c>
      <c r="F63" s="433" t="str">
        <f t="array" ref="F63">XLOOKUP(LCARS_Tech[BuffID],RawTech[BuffID],RawTech[Tag_PvPinSpace])</f>
        <v>➖</v>
      </c>
      <c r="G63" s="433" t="str">
        <f t="array" ref="G63">XLOOKUP(LCARS_Tech[BuffID],RawTech[BuffID],RawTech[Tag_PvPStation])</f>
        <v>➖</v>
      </c>
      <c r="H63" s="433" t="str">
        <f t="array" ref="H63">XLOOKUP(LCARS_Tech[BuffID],RawTech[BuffID],RawTech[Tag_NonArmadaHostiles])</f>
        <v>✴️</v>
      </c>
      <c r="I63" s="433" t="str">
        <f t="array" ref="I63">XLOOKUP(LCARS_Tech[BuffID],RawTech[BuffID],RawTech[Tag_WaveDefense])</f>
        <v>✴️</v>
      </c>
      <c r="J63" s="433" t="str">
        <f t="array" ref="J63">XLOOKUP(LCARS_Tech[BuffID],RawTech[BuffID],RawTech[Tag_QTrial])</f>
        <v>✴️</v>
      </c>
      <c r="K63" s="433" t="str">
        <f t="array" ref="K63">XLOOKUP(LCARS_Tech[BuffID],RawTech[BuffID],RawTech[Tag_MissionBosses])</f>
        <v>➖</v>
      </c>
      <c r="L63" s="433" t="str">
        <f t="array" ref="L63">XLOOKUP(LCARS_Tech[BuffID],RawTech[BuffID],RawTech[Tag_GroupArmadas])</f>
        <v>✴️</v>
      </c>
      <c r="M63" s="433" t="str">
        <f t="array" ref="M63">XLOOKUP(LCARS_Tech[BuffID],RawTech[BuffID],RawTech[Tag_SoloArmadas])</f>
        <v>✴️</v>
      </c>
      <c r="N63" s="433" t="str">
        <f t="array" ref="N63">XLOOKUP(LCARS_Tech[BuffID],RawTech[BuffID],RawTech[Tag_InvadingEntities])</f>
        <v>✴️</v>
      </c>
      <c r="O63" s="433" t="str">
        <f t="array" ref="O63">XLOOKUP(LCARS_Tech[BuffID],RawTech[BuffID],RawTech[Tag_Assaults])</f>
        <v>➖</v>
      </c>
      <c r="P63" s="434" t="str">
        <f t="array" ref="P63">XLOOKUP(LCARS_Tech[BuffID],RawTech[BuffID],RawTech[Tag_OutpostArmadas])</f>
        <v>➖</v>
      </c>
      <c r="Q63" s="451" t="str">
        <f t="array" ref="Q63">XLOOKUP(LCARS_Tech[BuffID],RawTech[BuffID],RawTech[Tag_OutpostRetaliators])</f>
        <v>➖</v>
      </c>
      <c r="R63" s="451" t="str">
        <f t="array" ref="R63">XLOOKUP(MasterTech!$AF$4:$AF$214,RawTech!$AO$2:$AO$212,RawTech!$AV$2:$AV$212)</f>
        <v>SelfInterceptor</v>
      </c>
      <c r="S63" s="433" t="str">
        <f t="array" ref="S63">XLOOKUP(MasterTech!$AF$4:$AF$214,RawTech!$AO$2:$AO$212,RawTech!$AK$2:$AK$212)</f>
        <v>➖</v>
      </c>
      <c r="T63" s="435" t="str">
        <f t="array" ref="T63">XLOOKUP(MasterTech!$AF$4:$AF$214,RawTech!$AO$2:$AO$212,RawTech!$AM$2:$AM$212)</f>
        <v>➖</v>
      </c>
      <c r="U63" s="438" t="str">
        <f t="array" ref="U63">XLOOKUP(MasterTech!$AF$4:$AF$214,RawTech!$AO$2:$AO$212,RawTech!$D$2:$D$212)</f>
        <v>AllDamage</v>
      </c>
      <c r="V63" s="416" t="str">
        <f t="array" ref="V63">XLOOKUP(MasterTech!$AF$4:$AF$214,RawTech!$AO$2:$AO$212,RawTech!$I$2:$I$212)</f>
        <v/>
      </c>
      <c r="W63" s="447" t="str">
        <f t="array" ref="W63">XLOOKUP(MasterTech!$AF$4:$AF$214,RawTech!$AO$2:$AO$212,RawTech!$E$2:$E$212)</f>
        <v>SelfInterceptor, EnemyHostile</v>
      </c>
      <c r="X63" s="438" t="str">
        <f t="array" ref="X63">XLOOKUP(MasterTech!$AF$4:$AF$214,RawTech!$AO$2:$AO$212,RawTech!$F$2:$F$212)</f>
        <v>CombatStart</v>
      </c>
      <c r="Y63" s="438" t="str">
        <f t="array" ref="Y63">XLOOKUP(MasterTech!$AF$4:$AF$214,RawTech!$AO$2:$AO$212,RawTech!$G$2:$G$212)</f>
        <v>SelfShip</v>
      </c>
      <c r="Z63" s="438" t="str">
        <f t="array" ref="Z63">XLOOKUP(MasterTech!$AF$4:$AF$214,RawTech!$AO$2:$AO$212,RawTech!$H$2:$H$212)</f>
        <v>MultiplyAdd</v>
      </c>
      <c r="AA63" s="456" t="str">
        <f t="array" ref="AA63">XLOOKUP(MasterTech!$AF$4:$AF$214,RawTech!$AO$2:$AO$212,RawTech!$J$2:$J$212)</f>
        <v>Increases Interceptor Damage against hostiles</v>
      </c>
      <c r="AB63" s="459" t="b">
        <v>1</v>
      </c>
      <c r="AC63" s="466" t="s">
        <v>545</v>
      </c>
      <c r="AD63" s="440"/>
      <c r="AE63" s="455">
        <f t="array" ref="AE63">XLOOKUP(MasterTech!$AF$4:$AF$214,RawTech!$AO$2:$AO$212,RawTech!$AR$2:$AR$212)</f>
        <v>16</v>
      </c>
      <c r="AF63" s="427">
        <v>3.059288936E9</v>
      </c>
      <c r="AG63" s="428"/>
      <c r="AH63" s="428"/>
      <c r="AI63" s="429"/>
      <c r="AJ63" s="430"/>
    </row>
    <row r="64" ht="37.5" customHeight="1">
      <c r="A64" s="415" t="str">
        <f t="array" ref="A64">LEFT(XLOOKUP(LCARS_Tech[BuffID],RawTech[BuffID],RawTech[TechRarity]), 1)</f>
        <v>R</v>
      </c>
      <c r="B64" s="420"/>
      <c r="C64" s="452" t="str">
        <f t="array" ref="C64">HYPERLINK("https://stfc.space/forbidden_and_chaos_tech/" &amp; XLOOKUP(MasterTech!$AF$4:$AF$214,RawTech!$AO$2:$AO$212,RawTech!$AQ$2:$AQ$212), XLOOKUP(MasterTech!$AF$4:$AF$214,RawTech!$AO$2:$AO$212,RawTech!$B$2:$B$212))</f>
        <v>S31 Torpedo Pods</v>
      </c>
      <c r="D64" s="418">
        <f t="array" ref="D64">XLOOKUP(LCARS_Tech[BuffID],RawTech[BuffID],RawTech[BuffOrder])</f>
        <v>1</v>
      </c>
      <c r="E64" s="419" t="str">
        <f t="array" ref="E64">XLOOKUP(LCARS_Tech[BuffID],RawTech[BuffID],RawTech[TechType])</f>
        <v>FT</v>
      </c>
      <c r="F64" s="419" t="str">
        <f t="array" ref="F64">XLOOKUP(LCARS_Tech[BuffID],RawTech[BuffID],RawTech[Tag_PvPinSpace])</f>
        <v>➖</v>
      </c>
      <c r="G64" s="419" t="str">
        <f t="array" ref="G64">XLOOKUP(LCARS_Tech[BuffID],RawTech[BuffID],RawTech[Tag_PvPStation])</f>
        <v>➖</v>
      </c>
      <c r="H64" s="419" t="str">
        <f t="array" ref="H64">XLOOKUP(LCARS_Tech[BuffID],RawTech[BuffID],RawTech[Tag_NonArmadaHostiles])</f>
        <v>✴️</v>
      </c>
      <c r="I64" s="419" t="str">
        <f t="array" ref="I64">XLOOKUP(LCARS_Tech[BuffID],RawTech[BuffID],RawTech[Tag_WaveDefense])</f>
        <v>✴️</v>
      </c>
      <c r="J64" s="419" t="str">
        <f t="array" ref="J64">XLOOKUP(LCARS_Tech[BuffID],RawTech[BuffID],RawTech[Tag_QTrial])</f>
        <v>✴️</v>
      </c>
      <c r="K64" s="419" t="str">
        <f t="array" ref="K64">XLOOKUP(LCARS_Tech[BuffID],RawTech[BuffID],RawTech[Tag_MissionBosses])</f>
        <v>➖</v>
      </c>
      <c r="L64" s="419" t="str">
        <f t="array" ref="L64">XLOOKUP(LCARS_Tech[BuffID],RawTech[BuffID],RawTech[Tag_GroupArmadas])</f>
        <v>✴️</v>
      </c>
      <c r="M64" s="419" t="str">
        <f t="array" ref="M64">XLOOKUP(LCARS_Tech[BuffID],RawTech[BuffID],RawTech[Tag_SoloArmadas])</f>
        <v>✴️</v>
      </c>
      <c r="N64" s="419" t="str">
        <f t="array" ref="N64">XLOOKUP(LCARS_Tech[BuffID],RawTech[BuffID],RawTech[Tag_InvadingEntities])</f>
        <v>✴️</v>
      </c>
      <c r="O64" s="419" t="str">
        <f t="array" ref="O64">XLOOKUP(LCARS_Tech[BuffID],RawTech[BuffID],RawTech[Tag_Assaults])</f>
        <v>➖</v>
      </c>
      <c r="P64" s="442" t="str">
        <f t="array" ref="P64">XLOOKUP(LCARS_Tech[BuffID],RawTech[BuffID],RawTech[Tag_OutpostArmadas])</f>
        <v>➖</v>
      </c>
      <c r="Q64" s="450" t="str">
        <f t="array" ref="Q64">XLOOKUP(LCARS_Tech[BuffID],RawTech[BuffID],RawTech[Tag_OutpostRetaliators])</f>
        <v>➖</v>
      </c>
      <c r="R64" s="450" t="str">
        <f t="array" ref="R64">XLOOKUP(MasterTech!$AF$4:$AF$214,RawTech!$AO$2:$AO$212,RawTech!$AV$2:$AV$212)</f>
        <v>SelfBattleship</v>
      </c>
      <c r="S64" s="419" t="str">
        <f t="array" ref="S64">XLOOKUP(MasterTech!$AF$4:$AF$214,RawTech!$AO$2:$AO$212,RawTech!$AK$2:$AK$212)</f>
        <v>➖</v>
      </c>
      <c r="T64" s="422" t="str">
        <f t="array" ref="T64">XLOOKUP(MasterTech!$AF$4:$AF$214,RawTech!$AO$2:$AO$212,RawTech!$AM$2:$AM$212)</f>
        <v>➖</v>
      </c>
      <c r="U64" s="423" t="str">
        <f t="array" ref="U64">XLOOKUP(MasterTech!$AF$4:$AF$214,RawTech!$AO$2:$AO$212,RawTech!$D$2:$D$212)</f>
        <v>AllDefenses</v>
      </c>
      <c r="V64" s="420" t="str">
        <f t="array" ref="V64">XLOOKUP(MasterTech!$AF$4:$AF$214,RawTech!$AO$2:$AO$212,RawTech!$I$2:$I$212)</f>
        <v/>
      </c>
      <c r="W64" s="443" t="str">
        <f t="array" ref="W64">XLOOKUP(MasterTech!$AF$4:$AF$214,RawTech!$AO$2:$AO$212,RawTech!$E$2:$E$212)</f>
        <v>SelfBattleship, EnemyHostile</v>
      </c>
      <c r="X64" s="423" t="str">
        <f t="array" ref="X64">XLOOKUP(MasterTech!$AF$4:$AF$214,RawTech!$AO$2:$AO$212,RawTech!$F$2:$F$212)</f>
        <v>CombatStart</v>
      </c>
      <c r="Y64" s="423" t="str">
        <f t="array" ref="Y64">XLOOKUP(MasterTech!$AF$4:$AF$214,RawTech!$AO$2:$AO$212,RawTech!$G$2:$G$212)</f>
        <v>SelfShip</v>
      </c>
      <c r="Z64" s="423" t="str">
        <f t="array" ref="Z64">XLOOKUP(MasterTech!$AF$4:$AF$214,RawTech!$AO$2:$AO$212,RawTech!$H$2:$H$212)</f>
        <v>MultiplyAdd</v>
      </c>
      <c r="AA64" s="456" t="str">
        <f t="array" ref="AA64">XLOOKUP(MasterTech!$AF$4:$AF$214,RawTech!$AO$2:$AO$212,RawTech!$J$2:$J$212)</f>
        <v>Increases Battleship Armor, Shield Mitigation, and Dodge against hostiles X</v>
      </c>
      <c r="AB64" s="457" t="b">
        <v>1</v>
      </c>
      <c r="AC64" s="458" t="s">
        <v>545</v>
      </c>
      <c r="AD64" s="425"/>
      <c r="AE64" s="453">
        <f t="array" ref="AE64">XLOOKUP(MasterTech!$AF$4:$AF$214,RawTech!$AO$2:$AO$212,RawTech!$AR$2:$AR$212)</f>
        <v>19</v>
      </c>
      <c r="AF64" s="427">
        <v>4.05335503E8</v>
      </c>
      <c r="AG64" s="428"/>
      <c r="AH64" s="428"/>
      <c r="AI64" s="429"/>
      <c r="AJ64" s="430"/>
    </row>
    <row r="65" ht="37.5" customHeight="1">
      <c r="A65" s="415" t="str">
        <f t="array" ref="A65">LEFT(XLOOKUP(LCARS_Tech[BuffID],RawTech[BuffID],RawTech[TechRarity]), 1)</f>
        <v>R</v>
      </c>
      <c r="B65" s="416"/>
      <c r="C65" s="417" t="str">
        <f t="array" ref="C65">HYPERLINK("https://stfc.space/forbidden_and_chaos_tech/" &amp; XLOOKUP(LCARS_Tech[BuffID],RawTech[BuffID],RawTech[TechId]), XLOOKUP(LCARS_Tech[BuffID],RawTech[BuffID],RawTech[TechName]))</f>
        <v>S31 Torpedo Pods</v>
      </c>
      <c r="D65" s="432">
        <f t="array" ref="D65">XLOOKUP(LCARS_Tech[BuffID],RawTech[BuffID],RawTech[BuffOrder])</f>
        <v>2</v>
      </c>
      <c r="E65" s="433" t="str">
        <f t="array" ref="E65">XLOOKUP(LCARS_Tech[BuffID],RawTech[BuffID],RawTech[TechType])</f>
        <v>FT</v>
      </c>
      <c r="F65" s="433" t="str">
        <f t="array" ref="F65">XLOOKUP(LCARS_Tech[BuffID],RawTech[BuffID],RawTech[Tag_PvPinSpace])</f>
        <v>✴️</v>
      </c>
      <c r="G65" s="433" t="str">
        <f t="array" ref="G65">XLOOKUP(LCARS_Tech[BuffID],RawTech[BuffID],RawTech[Tag_PvPStation])</f>
        <v>✴️</v>
      </c>
      <c r="H65" s="433" t="str">
        <f t="array" ref="H65">XLOOKUP(LCARS_Tech[BuffID],RawTech[BuffID],RawTech[Tag_NonArmadaHostiles])</f>
        <v>✴️</v>
      </c>
      <c r="I65" s="433" t="str">
        <f t="array" ref="I65">XLOOKUP(LCARS_Tech[BuffID],RawTech[BuffID],RawTech[Tag_WaveDefense])</f>
        <v>✴️</v>
      </c>
      <c r="J65" s="433" t="str">
        <f t="array" ref="J65">XLOOKUP(LCARS_Tech[BuffID],RawTech[BuffID],RawTech[Tag_QTrial])</f>
        <v>✴️</v>
      </c>
      <c r="K65" s="433" t="str">
        <f t="array" ref="K65">XLOOKUP(LCARS_Tech[BuffID],RawTech[BuffID],RawTech[Tag_MissionBosses])</f>
        <v>✴️</v>
      </c>
      <c r="L65" s="433" t="str">
        <f t="array" ref="L65">XLOOKUP(LCARS_Tech[BuffID],RawTech[BuffID],RawTech[Tag_GroupArmadas])</f>
        <v>✴️</v>
      </c>
      <c r="M65" s="433" t="str">
        <f t="array" ref="M65">XLOOKUP(LCARS_Tech[BuffID],RawTech[BuffID],RawTech[Tag_SoloArmadas])</f>
        <v>✴️</v>
      </c>
      <c r="N65" s="433" t="str">
        <f t="array" ref="N65">XLOOKUP(LCARS_Tech[BuffID],RawTech[BuffID],RawTech[Tag_InvadingEntities])</f>
        <v>✴️</v>
      </c>
      <c r="O65" s="433" t="str">
        <f t="array" ref="O65">XLOOKUP(LCARS_Tech[BuffID],RawTech[BuffID],RawTech[Tag_Assaults])</f>
        <v>✴️</v>
      </c>
      <c r="P65" s="434" t="str">
        <f t="array" ref="P65">XLOOKUP(LCARS_Tech[BuffID],RawTech[BuffID],RawTech[Tag_OutpostArmadas])</f>
        <v>✴️</v>
      </c>
      <c r="Q65" s="451" t="str">
        <f t="array" ref="Q65">XLOOKUP(LCARS_Tech[BuffID],RawTech[BuffID],RawTech[Tag_OutpostRetaliators])</f>
        <v>✴️</v>
      </c>
      <c r="R65" s="451" t="str">
        <f t="array" ref="R65">XLOOKUP(MasterTech!$AF$4:$AF$214,RawTech!$AO$2:$AO$212,RawTech!$AV$2:$AV$212)</f>
        <v>SelfBattleship</v>
      </c>
      <c r="S65" s="433" t="str">
        <f t="array" ref="S65">XLOOKUP(MasterTech!$AF$4:$AF$214,RawTech!$AO$2:$AO$212,RawTech!$AK$2:$AK$212)</f>
        <v>➖</v>
      </c>
      <c r="T65" s="435" t="str">
        <f t="array" ref="T65">XLOOKUP(MasterTech!$AF$4:$AF$214,RawTech!$AO$2:$AO$212,RawTech!$AM$2:$AM$212)</f>
        <v>➖</v>
      </c>
      <c r="U65" s="438" t="str">
        <f t="array" ref="U65">XLOOKUP(MasterTech!$AF$4:$AF$214,RawTech!$AO$2:$AO$212,RawTech!$D$2:$D$212)</f>
        <v>HullHPMax</v>
      </c>
      <c r="V65" s="416" t="str">
        <f t="array" ref="V65">XLOOKUP(MasterTech!$AF$4:$AF$214,RawTech!$AO$2:$AO$212,RawTech!$I$2:$I$212)</f>
        <v/>
      </c>
      <c r="W65" s="447" t="str">
        <f t="array" ref="W65">XLOOKUP(MasterTech!$AF$4:$AF$214,RawTech!$AO$2:$AO$212,RawTech!$E$2:$E$212)</f>
        <v>SelfBattleship</v>
      </c>
      <c r="X65" s="438" t="str">
        <f t="array" ref="X65">XLOOKUP(MasterTech!$AF$4:$AF$214,RawTech!$AO$2:$AO$212,RawTech!$F$2:$F$212)</f>
        <v>ShipLaunched</v>
      </c>
      <c r="Y65" s="438" t="str">
        <f t="array" ref="Y65">XLOOKUP(MasterTech!$AF$4:$AF$214,RawTech!$AO$2:$AO$212,RawTech!$G$2:$G$212)</f>
        <v>SelfShip</v>
      </c>
      <c r="Z65" s="438" t="str">
        <f t="array" ref="Z65">XLOOKUP(MasterTech!$AF$4:$AF$214,RawTech!$AO$2:$AO$212,RawTech!$H$2:$H$212)</f>
        <v>MultiplyAdd</v>
      </c>
      <c r="AA65" s="438" t="str">
        <f t="array" ref="AA65">XLOOKUP(MasterTech!$AF$4:$AF$214,RawTech!$AO$2:$AO$212,RawTech!$J$2:$J$212)</f>
        <v>Increases Battleship Hull Health X</v>
      </c>
      <c r="AB65" s="439"/>
      <c r="AC65" s="467"/>
      <c r="AD65" s="440"/>
      <c r="AE65" s="455">
        <f t="array" ref="AE65">XLOOKUP(MasterTech!$AF$4:$AF$214,RawTech!$AO$2:$AO$212,RawTech!$AR$2:$AR$212)</f>
        <v>19</v>
      </c>
      <c r="AF65" s="427">
        <v>4.290762758E9</v>
      </c>
      <c r="AG65" s="428"/>
      <c r="AH65" s="428"/>
      <c r="AI65" s="429"/>
      <c r="AJ65" s="430"/>
    </row>
    <row r="66" ht="37.5" customHeight="1">
      <c r="A66" s="415" t="str">
        <f t="array" ref="A66">LEFT(XLOOKUP(LCARS_Tech[BuffID],RawTech[BuffID],RawTech[TechRarity]), 1)</f>
        <v>R</v>
      </c>
      <c r="B66" s="420"/>
      <c r="C66" s="452" t="str">
        <f t="array" ref="C66">HYPERLINK("https://stfc.space/forbidden_and_chaos_tech/" &amp; XLOOKUP(MasterTech!$AF$4:$AF$214,RawTech!$AO$2:$AO$212,RawTech!$AQ$2:$AQ$212), XLOOKUP(MasterTech!$AF$4:$AF$214,RawTech!$AO$2:$AO$212,RawTech!$B$2:$B$212))</f>
        <v>S31 Torpedo Pods</v>
      </c>
      <c r="D66" s="418">
        <f t="array" ref="D66">XLOOKUP(LCARS_Tech[BuffID],RawTech[BuffID],RawTech[BuffOrder])</f>
        <v>3</v>
      </c>
      <c r="E66" s="419" t="str">
        <f t="array" ref="E66">XLOOKUP(LCARS_Tech[BuffID],RawTech[BuffID],RawTech[TechType])</f>
        <v>FT</v>
      </c>
      <c r="F66" s="419" t="str">
        <f t="array" ref="F66">XLOOKUP(LCARS_Tech[BuffID],RawTech[BuffID],RawTech[Tag_PvPinSpace])</f>
        <v>➖</v>
      </c>
      <c r="G66" s="419" t="str">
        <f t="array" ref="G66">XLOOKUP(LCARS_Tech[BuffID],RawTech[BuffID],RawTech[Tag_PvPStation])</f>
        <v>➖</v>
      </c>
      <c r="H66" s="419" t="str">
        <f t="array" ref="H66">XLOOKUP(LCARS_Tech[BuffID],RawTech[BuffID],RawTech[Tag_NonArmadaHostiles])</f>
        <v>✴️</v>
      </c>
      <c r="I66" s="419" t="str">
        <f t="array" ref="I66">XLOOKUP(LCARS_Tech[BuffID],RawTech[BuffID],RawTech[Tag_WaveDefense])</f>
        <v>✴️</v>
      </c>
      <c r="J66" s="419" t="str">
        <f t="array" ref="J66">XLOOKUP(LCARS_Tech[BuffID],RawTech[BuffID],RawTech[Tag_QTrial])</f>
        <v>✴️</v>
      </c>
      <c r="K66" s="419" t="str">
        <f t="array" ref="K66">XLOOKUP(LCARS_Tech[BuffID],RawTech[BuffID],RawTech[Tag_MissionBosses])</f>
        <v>➖</v>
      </c>
      <c r="L66" s="419" t="str">
        <f t="array" ref="L66">XLOOKUP(LCARS_Tech[BuffID],RawTech[BuffID],RawTech[Tag_GroupArmadas])</f>
        <v>✴️</v>
      </c>
      <c r="M66" s="419" t="str">
        <f t="array" ref="M66">XLOOKUP(LCARS_Tech[BuffID],RawTech[BuffID],RawTech[Tag_SoloArmadas])</f>
        <v>✴️</v>
      </c>
      <c r="N66" s="419" t="str">
        <f t="array" ref="N66">XLOOKUP(LCARS_Tech[BuffID],RawTech[BuffID],RawTech[Tag_InvadingEntities])</f>
        <v>✴️</v>
      </c>
      <c r="O66" s="419" t="str">
        <f t="array" ref="O66">XLOOKUP(LCARS_Tech[BuffID],RawTech[BuffID],RawTech[Tag_Assaults])</f>
        <v>➖</v>
      </c>
      <c r="P66" s="442" t="str">
        <f t="array" ref="P66">XLOOKUP(LCARS_Tech[BuffID],RawTech[BuffID],RawTech[Tag_OutpostArmadas])</f>
        <v>➖</v>
      </c>
      <c r="Q66" s="450" t="str">
        <f t="array" ref="Q66">XLOOKUP(LCARS_Tech[BuffID],RawTech[BuffID],RawTech[Tag_OutpostRetaliators])</f>
        <v>➖</v>
      </c>
      <c r="R66" s="450" t="str">
        <f t="array" ref="R66">XLOOKUP(MasterTech!$AF$4:$AF$214,RawTech!$AO$2:$AO$212,RawTech!$AV$2:$AV$212)</f>
        <v>SelfBattleship</v>
      </c>
      <c r="S66" s="419" t="str">
        <f t="array" ref="S66">XLOOKUP(MasterTech!$AF$4:$AF$214,RawTech!$AO$2:$AO$212,RawTech!$AK$2:$AK$212)</f>
        <v>➖</v>
      </c>
      <c r="T66" s="422" t="str">
        <f t="array" ref="T66">XLOOKUP(MasterTech!$AF$4:$AF$214,RawTech!$AO$2:$AO$212,RawTech!$AM$2:$AM$212)</f>
        <v>➖</v>
      </c>
      <c r="U66" s="423" t="str">
        <f t="array" ref="U66">XLOOKUP(MasterTech!$AF$4:$AF$214,RawTech!$AO$2:$AO$212,RawTech!$D$2:$D$212)</f>
        <v>AllPiercing</v>
      </c>
      <c r="V66" s="420" t="str">
        <f t="array" ref="V66">XLOOKUP(MasterTech!$AF$4:$AF$214,RawTech!$AO$2:$AO$212,RawTech!$I$2:$I$212)</f>
        <v/>
      </c>
      <c r="W66" s="443" t="str">
        <f t="array" ref="W66">XLOOKUP(MasterTech!$AF$4:$AF$214,RawTech!$AO$2:$AO$212,RawTech!$E$2:$E$212)</f>
        <v>SelfBattleship, EnemyHostile</v>
      </c>
      <c r="X66" s="423" t="str">
        <f t="array" ref="X66">XLOOKUP(MasterTech!$AF$4:$AF$214,RawTech!$AO$2:$AO$212,RawTech!$F$2:$F$212)</f>
        <v>CombatStart</v>
      </c>
      <c r="Y66" s="423" t="str">
        <f t="array" ref="Y66">XLOOKUP(MasterTech!$AF$4:$AF$214,RawTech!$AO$2:$AO$212,RawTech!$G$2:$G$212)</f>
        <v>SelfShip</v>
      </c>
      <c r="Z66" s="423" t="str">
        <f t="array" ref="Z66">XLOOKUP(MasterTech!$AF$4:$AF$214,RawTech!$AO$2:$AO$212,RawTech!$H$2:$H$212)</f>
        <v>MultiplyAdd</v>
      </c>
      <c r="AA66" s="456" t="str">
        <f t="array" ref="AA66">XLOOKUP(MasterTech!$AF$4:$AF$214,RawTech!$AO$2:$AO$212,RawTech!$J$2:$J$212)</f>
        <v>Increases Battleship Shield Piercing, Armor Piercing, and Accuracy against hostiles</v>
      </c>
      <c r="AB66" s="457" t="b">
        <v>1</v>
      </c>
      <c r="AC66" s="458" t="s">
        <v>545</v>
      </c>
      <c r="AD66" s="425"/>
      <c r="AE66" s="453">
        <f t="array" ref="AE66">XLOOKUP(MasterTech!$AF$4:$AF$214,RawTech!$AO$2:$AO$212,RawTech!$AR$2:$AR$212)</f>
        <v>19</v>
      </c>
      <c r="AF66" s="427">
        <v>2.573953069E9</v>
      </c>
      <c r="AG66" s="428"/>
      <c r="AH66" s="428"/>
      <c r="AI66" s="429"/>
      <c r="AJ66" s="430"/>
    </row>
    <row r="67" ht="37.5" customHeight="1">
      <c r="A67" s="415" t="str">
        <f t="array" ref="A67">LEFT(XLOOKUP(LCARS_Tech[BuffID],RawTech[BuffID],RawTech[TechRarity]), 1)</f>
        <v>R</v>
      </c>
      <c r="B67" s="416"/>
      <c r="C67" s="454" t="str">
        <f t="array" ref="C67">HYPERLINK("https://stfc.space/forbidden_and_chaos_tech/" &amp; XLOOKUP(MasterTech!$AF$4:$AF$214,RawTech!$AO$2:$AO$212,RawTech!$AQ$2:$AQ$212), XLOOKUP(MasterTech!$AF$4:$AF$214,RawTech!$AO$2:$AO$212,RawTech!$B$2:$B$212))</f>
        <v>S31 Torpedo Pods</v>
      </c>
      <c r="D67" s="432">
        <f t="array" ref="D67">XLOOKUP(LCARS_Tech[BuffID],RawTech[BuffID],RawTech[BuffOrder])</f>
        <v>4</v>
      </c>
      <c r="E67" s="433" t="str">
        <f t="array" ref="E67">XLOOKUP(LCARS_Tech[BuffID],RawTech[BuffID],RawTech[TechType])</f>
        <v>FT</v>
      </c>
      <c r="F67" s="433" t="str">
        <f t="array" ref="F67">XLOOKUP(LCARS_Tech[BuffID],RawTech[BuffID],RawTech[Tag_PvPinSpace])</f>
        <v>➖</v>
      </c>
      <c r="G67" s="433" t="str">
        <f t="array" ref="G67">XLOOKUP(LCARS_Tech[BuffID],RawTech[BuffID],RawTech[Tag_PvPStation])</f>
        <v>➖</v>
      </c>
      <c r="H67" s="433" t="str">
        <f t="array" ref="H67">XLOOKUP(LCARS_Tech[BuffID],RawTech[BuffID],RawTech[Tag_NonArmadaHostiles])</f>
        <v>✴️</v>
      </c>
      <c r="I67" s="433" t="str">
        <f t="array" ref="I67">XLOOKUP(LCARS_Tech[BuffID],RawTech[BuffID],RawTech[Tag_WaveDefense])</f>
        <v>✴️</v>
      </c>
      <c r="J67" s="433" t="str">
        <f t="array" ref="J67">XLOOKUP(LCARS_Tech[BuffID],RawTech[BuffID],RawTech[Tag_QTrial])</f>
        <v>✴️</v>
      </c>
      <c r="K67" s="433" t="str">
        <f t="array" ref="K67">XLOOKUP(LCARS_Tech[BuffID],RawTech[BuffID],RawTech[Tag_MissionBosses])</f>
        <v>➖</v>
      </c>
      <c r="L67" s="433" t="str">
        <f t="array" ref="L67">XLOOKUP(LCARS_Tech[BuffID],RawTech[BuffID],RawTech[Tag_GroupArmadas])</f>
        <v>✴️</v>
      </c>
      <c r="M67" s="433" t="str">
        <f t="array" ref="M67">XLOOKUP(LCARS_Tech[BuffID],RawTech[BuffID],RawTech[Tag_SoloArmadas])</f>
        <v>✴️</v>
      </c>
      <c r="N67" s="433" t="str">
        <f t="array" ref="N67">XLOOKUP(LCARS_Tech[BuffID],RawTech[BuffID],RawTech[Tag_InvadingEntities])</f>
        <v>✴️</v>
      </c>
      <c r="O67" s="433" t="str">
        <f t="array" ref="O67">XLOOKUP(LCARS_Tech[BuffID],RawTech[BuffID],RawTech[Tag_Assaults])</f>
        <v>➖</v>
      </c>
      <c r="P67" s="434" t="str">
        <f t="array" ref="P67">XLOOKUP(LCARS_Tech[BuffID],RawTech[BuffID],RawTech[Tag_OutpostArmadas])</f>
        <v>➖</v>
      </c>
      <c r="Q67" s="451" t="str">
        <f t="array" ref="Q67">XLOOKUP(LCARS_Tech[BuffID],RawTech[BuffID],RawTech[Tag_OutpostRetaliators])</f>
        <v>➖</v>
      </c>
      <c r="R67" s="451" t="str">
        <f t="array" ref="R67">XLOOKUP(MasterTech!$AF$4:$AF$214,RawTech!$AO$2:$AO$212,RawTech!$AV$2:$AV$212)</f>
        <v>SelfBattleship</v>
      </c>
      <c r="S67" s="433" t="str">
        <f t="array" ref="S67">XLOOKUP(MasterTech!$AF$4:$AF$214,RawTech!$AO$2:$AO$212,RawTech!$AK$2:$AK$212)</f>
        <v>➖</v>
      </c>
      <c r="T67" s="435" t="str">
        <f t="array" ref="T67">XLOOKUP(MasterTech!$AF$4:$AF$214,RawTech!$AO$2:$AO$212,RawTech!$AM$2:$AM$212)</f>
        <v>➖</v>
      </c>
      <c r="U67" s="438" t="str">
        <f t="array" ref="U67">XLOOKUP(MasterTech!$AF$4:$AF$214,RawTech!$AO$2:$AO$212,RawTech!$D$2:$D$212)</f>
        <v>AllDamage</v>
      </c>
      <c r="V67" s="416" t="str">
        <f t="array" ref="V67">XLOOKUP(MasterTech!$AF$4:$AF$214,RawTech!$AO$2:$AO$212,RawTech!$I$2:$I$212)</f>
        <v/>
      </c>
      <c r="W67" s="447" t="str">
        <f t="array" ref="W67">XLOOKUP(MasterTech!$AF$4:$AF$214,RawTech!$AO$2:$AO$212,RawTech!$E$2:$E$212)</f>
        <v>SelfBattleship, EnemyHostile</v>
      </c>
      <c r="X67" s="438" t="str">
        <f t="array" ref="X67">XLOOKUP(MasterTech!$AF$4:$AF$214,RawTech!$AO$2:$AO$212,RawTech!$F$2:$F$212)</f>
        <v>CombatStart</v>
      </c>
      <c r="Y67" s="438" t="str">
        <f t="array" ref="Y67">XLOOKUP(MasterTech!$AF$4:$AF$214,RawTech!$AO$2:$AO$212,RawTech!$G$2:$G$212)</f>
        <v>SelfShip</v>
      </c>
      <c r="Z67" s="438" t="str">
        <f t="array" ref="Z67">XLOOKUP(MasterTech!$AF$4:$AF$214,RawTech!$AO$2:$AO$212,RawTech!$H$2:$H$212)</f>
        <v>MultiplyAdd</v>
      </c>
      <c r="AA67" s="456" t="str">
        <f t="array" ref="AA67">XLOOKUP(MasterTech!$AF$4:$AF$214,RawTech!$AO$2:$AO$212,RawTech!$J$2:$J$212)</f>
        <v>Increases Battleship Damage against hostiles</v>
      </c>
      <c r="AB67" s="459" t="b">
        <v>1</v>
      </c>
      <c r="AC67" s="466" t="s">
        <v>545</v>
      </c>
      <c r="AD67" s="440"/>
      <c r="AE67" s="455">
        <f t="array" ref="AE67">XLOOKUP(MasterTech!$AF$4:$AF$214,RawTech!$AO$2:$AO$212,RawTech!$AR$2:$AR$212)</f>
        <v>19</v>
      </c>
      <c r="AF67" s="427">
        <v>2.049970271E9</v>
      </c>
      <c r="AG67" s="428"/>
      <c r="AH67" s="428"/>
      <c r="AI67" s="429"/>
      <c r="AJ67" s="430"/>
    </row>
    <row r="68" ht="37.5" customHeight="1">
      <c r="A68" s="415" t="str">
        <f t="array" ref="A68">LEFT(XLOOKUP(LCARS_Tech[BuffID],RawTech[BuffID],RawTech[TechRarity]), 1)</f>
        <v>E</v>
      </c>
      <c r="B68" s="420"/>
      <c r="C68" s="460" t="str">
        <f t="array" ref="C68">HYPERLINK("https://stfc.space/forbidden_and_chaos_tech/" &amp; XLOOKUP(MasterTech!$AF$4:$AF$214,RawTech!$AO$2:$AO$212,RawTech!$AQ$2:$AQ$212), XLOOKUP(MasterTech!$AF$4:$AF$214,RawTech!$AO$2:$AO$212,RawTech!$B$2:$B$212))</f>
        <v>The Hull Piercer</v>
      </c>
      <c r="D68" s="418">
        <f t="array" ref="D68">XLOOKUP(LCARS_Tech[BuffID],RawTech[BuffID],RawTech[BuffOrder])</f>
        <v>1</v>
      </c>
      <c r="E68" s="419" t="str">
        <f t="array" ref="E68">XLOOKUP(LCARS_Tech[BuffID],RawTech[BuffID],RawTech[TechType])</f>
        <v>FT</v>
      </c>
      <c r="F68" s="419" t="str">
        <f t="array" ref="F68">XLOOKUP(LCARS_Tech[BuffID],RawTech[BuffID],RawTech[Tag_PvPinSpace])</f>
        <v>➖</v>
      </c>
      <c r="G68" s="419" t="str">
        <f t="array" ref="G68">XLOOKUP(LCARS_Tech[BuffID],RawTech[BuffID],RawTech[Tag_PvPStation])</f>
        <v>➖</v>
      </c>
      <c r="H68" s="419" t="str">
        <f t="array" ref="H68">XLOOKUP(LCARS_Tech[BuffID],RawTech[BuffID],RawTech[Tag_NonArmadaHostiles])</f>
        <v>➖</v>
      </c>
      <c r="I68" s="419" t="str">
        <f t="array" ref="I68">XLOOKUP(LCARS_Tech[BuffID],RawTech[BuffID],RawTech[Tag_WaveDefense])</f>
        <v>➖</v>
      </c>
      <c r="J68" s="419" t="str">
        <f t="array" ref="J68">XLOOKUP(LCARS_Tech[BuffID],RawTech[BuffID],RawTech[Tag_QTrial])</f>
        <v>➖</v>
      </c>
      <c r="K68" s="419" t="str">
        <f t="array" ref="K68">XLOOKUP(LCARS_Tech[BuffID],RawTech[BuffID],RawTech[Tag_MissionBosses])</f>
        <v>➖</v>
      </c>
      <c r="L68" s="419" t="str">
        <f t="array" ref="L68">XLOOKUP(LCARS_Tech[BuffID],RawTech[BuffID],RawTech[Tag_GroupArmadas])</f>
        <v>✴️</v>
      </c>
      <c r="M68" s="419" t="str">
        <f t="array" ref="M68">XLOOKUP(LCARS_Tech[BuffID],RawTech[BuffID],RawTech[Tag_SoloArmadas])</f>
        <v>✴️</v>
      </c>
      <c r="N68" s="419" t="str">
        <f t="array" ref="N68">XLOOKUP(LCARS_Tech[BuffID],RawTech[BuffID],RawTech[Tag_InvadingEntities])</f>
        <v>➖</v>
      </c>
      <c r="O68" s="419" t="str">
        <f t="array" ref="O68">XLOOKUP(LCARS_Tech[BuffID],RawTech[BuffID],RawTech[Tag_Assaults])</f>
        <v>➖</v>
      </c>
      <c r="P68" s="442" t="str">
        <f t="array" ref="P68">XLOOKUP(LCARS_Tech[BuffID],RawTech[BuffID],RawTech[Tag_OutpostArmadas])</f>
        <v>➖</v>
      </c>
      <c r="Q68" s="450" t="str">
        <f t="array" ref="Q68">XLOOKUP(LCARS_Tech[BuffID],RawTech[BuffID],RawTech[Tag_OutpostRetaliators])</f>
        <v>➖</v>
      </c>
      <c r="R68" s="450" t="str">
        <f t="array" ref="R68">XLOOKUP(MasterTech!$AF$4:$AF$214,RawTech!$AO$2:$AO$212,RawTech!$AV$2:$AV$212)</f>
        <v>SelfBattleship</v>
      </c>
      <c r="S68" s="419" t="str">
        <f t="array" ref="S68">XLOOKUP(MasterTech!$AF$4:$AF$214,RawTech!$AO$2:$AO$212,RawTech!$AK$2:$AK$212)</f>
        <v>➖</v>
      </c>
      <c r="T68" s="422" t="str">
        <f t="array" ref="T68">XLOOKUP(MasterTech!$AF$4:$AF$214,RawTech!$AO$2:$AO$212,RawTech!$AM$2:$AM$212)</f>
        <v>➖</v>
      </c>
      <c r="U68" s="423" t="str">
        <f t="array" ref="U68">XLOOKUP(MasterTech!$AF$4:$AF$214,RawTech!$AO$2:$AO$212,RawTech!$D$2:$D$212)</f>
        <v>IsolyticDamage</v>
      </c>
      <c r="V68" s="420" t="str">
        <f t="array" ref="V68">XLOOKUP(MasterTech!$AF$4:$AF$214,RawTech!$AO$2:$AO$212,RawTech!$I$2:$I$212)</f>
        <v/>
      </c>
      <c r="W68" s="443" t="str">
        <f t="array" ref="W68">XLOOKUP(MasterTech!$AF$4:$AF$214,RawTech!$AO$2:$AO$212,RawTech!$E$2:$E$212)</f>
        <v>TargetIsArmada, SelfBattleship</v>
      </c>
      <c r="X68" s="423" t="str">
        <f t="array" ref="X68">XLOOKUP(MasterTech!$AF$4:$AF$214,RawTech!$AO$2:$AO$212,RawTech!$F$2:$F$212)</f>
        <v>CombatStart</v>
      </c>
      <c r="Y68" s="423" t="str">
        <f t="array" ref="Y68">XLOOKUP(MasterTech!$AF$4:$AF$214,RawTech!$AO$2:$AO$212,RawTech!$G$2:$G$212)</f>
        <v>SelfShip</v>
      </c>
      <c r="Z68" s="423" t="str">
        <f t="array" ref="Z68">XLOOKUP(MasterTech!$AF$4:$AF$214,RawTech!$AO$2:$AO$212,RawTech!$H$2:$H$212)</f>
        <v>MultiplyAdd</v>
      </c>
      <c r="AA68" s="423" t="str">
        <f t="array" ref="AA68">XLOOKUP(MasterTech!$AF$4:$AF$214,RawTech!$AO$2:$AO$212,RawTech!$J$2:$J$212)</f>
        <v>Increases Battleship Isolytic Damage against Armadas X</v>
      </c>
      <c r="AB68" s="424"/>
      <c r="AC68" s="425"/>
      <c r="AD68" s="425"/>
      <c r="AE68" s="461">
        <f t="array" ref="AE68">XLOOKUP(MasterTech!$AF$4:$AF$214,RawTech!$AO$2:$AO$212,RawTech!$AR$2:$AR$212)</f>
        <v>21</v>
      </c>
      <c r="AF68" s="427">
        <v>4.090757056E9</v>
      </c>
      <c r="AG68" s="428"/>
      <c r="AH68" s="428"/>
      <c r="AI68" s="429"/>
      <c r="AJ68" s="430"/>
    </row>
    <row r="69" ht="37.5" customHeight="1">
      <c r="A69" s="415" t="str">
        <f t="array" ref="A69">LEFT(XLOOKUP(LCARS_Tech[BuffID],RawTech[BuffID],RawTech[TechRarity]), 1)</f>
        <v>E</v>
      </c>
      <c r="B69" s="416"/>
      <c r="C69" s="464" t="str">
        <f t="array" ref="C69">HYPERLINK("https://stfc.space/forbidden_and_chaos_tech/" &amp; XLOOKUP(MasterTech!$AF$4:$AF$214,RawTech!$AO$2:$AO$212,RawTech!$AQ$2:$AQ$212), XLOOKUP(MasterTech!$AF$4:$AF$214,RawTech!$AO$2:$AO$212,RawTech!$B$2:$B$212))</f>
        <v>The Hull Piercer</v>
      </c>
      <c r="D69" s="432">
        <f t="array" ref="D69">XLOOKUP(LCARS_Tech[BuffID],RawTech[BuffID],RawTech[BuffOrder])</f>
        <v>2</v>
      </c>
      <c r="E69" s="433" t="str">
        <f t="array" ref="E69">XLOOKUP(LCARS_Tech[BuffID],RawTech[BuffID],RawTech[TechType])</f>
        <v>FT</v>
      </c>
      <c r="F69" s="433" t="str">
        <f t="array" ref="F69">XLOOKUP(LCARS_Tech[BuffID],RawTech[BuffID],RawTech[Tag_PvPinSpace])</f>
        <v>➖</v>
      </c>
      <c r="G69" s="433" t="str">
        <f t="array" ref="G69">XLOOKUP(LCARS_Tech[BuffID],RawTech[BuffID],RawTech[Tag_PvPStation])</f>
        <v>➖</v>
      </c>
      <c r="H69" s="433" t="str">
        <f t="array" ref="H69">XLOOKUP(LCARS_Tech[BuffID],RawTech[BuffID],RawTech[Tag_NonArmadaHostiles])</f>
        <v>➖</v>
      </c>
      <c r="I69" s="433" t="str">
        <f t="array" ref="I69">XLOOKUP(LCARS_Tech[BuffID],RawTech[BuffID],RawTech[Tag_WaveDefense])</f>
        <v>➖</v>
      </c>
      <c r="J69" s="433" t="str">
        <f t="array" ref="J69">XLOOKUP(LCARS_Tech[BuffID],RawTech[BuffID],RawTech[Tag_QTrial])</f>
        <v>➖</v>
      </c>
      <c r="K69" s="433" t="str">
        <f t="array" ref="K69">XLOOKUP(LCARS_Tech[BuffID],RawTech[BuffID],RawTech[Tag_MissionBosses])</f>
        <v>➖</v>
      </c>
      <c r="L69" s="433" t="str">
        <f t="array" ref="L69">XLOOKUP(LCARS_Tech[BuffID],RawTech[BuffID],RawTech[Tag_GroupArmadas])</f>
        <v>✴️</v>
      </c>
      <c r="M69" s="433" t="str">
        <f t="array" ref="M69">XLOOKUP(LCARS_Tech[BuffID],RawTech[BuffID],RawTech[Tag_SoloArmadas])</f>
        <v>✴️</v>
      </c>
      <c r="N69" s="433" t="str">
        <f t="array" ref="N69">XLOOKUP(LCARS_Tech[BuffID],RawTech[BuffID],RawTech[Tag_InvadingEntities])</f>
        <v>➖</v>
      </c>
      <c r="O69" s="433" t="str">
        <f t="array" ref="O69">XLOOKUP(LCARS_Tech[BuffID],RawTech[BuffID],RawTech[Tag_Assaults])</f>
        <v>➖</v>
      </c>
      <c r="P69" s="434" t="str">
        <f t="array" ref="P69">XLOOKUP(LCARS_Tech[BuffID],RawTech[BuffID],RawTech[Tag_OutpostArmadas])</f>
        <v>➖</v>
      </c>
      <c r="Q69" s="451" t="str">
        <f t="array" ref="Q69">XLOOKUP(LCARS_Tech[BuffID],RawTech[BuffID],RawTech[Tag_OutpostRetaliators])</f>
        <v>➖</v>
      </c>
      <c r="R69" s="451" t="str">
        <f t="array" ref="R69">XLOOKUP(MasterTech!$AF$4:$AF$214,RawTech!$AO$2:$AO$212,RawTech!$AV$2:$AV$212)</f>
        <v>SelfBattleship</v>
      </c>
      <c r="S69" s="433" t="str">
        <f t="array" ref="S69">XLOOKUP(MasterTech!$AF$4:$AF$214,RawTech!$AO$2:$AO$212,RawTech!$AK$2:$AK$212)</f>
        <v>➖</v>
      </c>
      <c r="T69" s="435" t="str">
        <f t="array" ref="T69">XLOOKUP(MasterTech!$AF$4:$AF$214,RawTech!$AO$2:$AO$212,RawTech!$AM$2:$AM$212)</f>
        <v>➖</v>
      </c>
      <c r="U69" s="438" t="str">
        <f t="array" ref="U69">XLOOKUP(MasterTech!$AF$4:$AF$214,RawTech!$AO$2:$AO$212,RawTech!$D$2:$D$212)</f>
        <v>AllPiercing</v>
      </c>
      <c r="V69" s="416" t="str">
        <f t="array" ref="V69">XLOOKUP(MasterTech!$AF$4:$AF$214,RawTech!$AO$2:$AO$212,RawTech!$I$2:$I$212)</f>
        <v/>
      </c>
      <c r="W69" s="447" t="str">
        <f t="array" ref="W69">XLOOKUP(MasterTech!$AF$4:$AF$214,RawTech!$AO$2:$AO$212,RawTech!$E$2:$E$212)</f>
        <v>TargetIsArmada, SelfBattleship</v>
      </c>
      <c r="X69" s="438" t="str">
        <f t="array" ref="X69">XLOOKUP(MasterTech!$AF$4:$AF$214,RawTech!$AO$2:$AO$212,RawTech!$F$2:$F$212)</f>
        <v>CombatStart</v>
      </c>
      <c r="Y69" s="438" t="str">
        <f t="array" ref="Y69">XLOOKUP(MasterTech!$AF$4:$AF$214,RawTech!$AO$2:$AO$212,RawTech!$G$2:$G$212)</f>
        <v>SelfShip</v>
      </c>
      <c r="Z69" s="438" t="str">
        <f t="array" ref="Z69">XLOOKUP(MasterTech!$AF$4:$AF$214,RawTech!$AO$2:$AO$212,RawTech!$H$2:$H$212)</f>
        <v>MultiplyAdd</v>
      </c>
      <c r="AA69" s="438" t="str">
        <f t="array" ref="AA69">XLOOKUP(MasterTech!$AF$4:$AF$214,RawTech!$AO$2:$AO$212,RawTech!$J$2:$J$212)</f>
        <v>Increases Battleship Shield Piercing, Armor Piercing, and Accuracy against Armadas X</v>
      </c>
      <c r="AB69" s="459" t="b">
        <v>0</v>
      </c>
      <c r="AC69" s="440"/>
      <c r="AD69" s="440"/>
      <c r="AE69" s="462">
        <f t="array" ref="AE69">XLOOKUP(MasterTech!$AF$4:$AF$214,RawTech!$AO$2:$AO$212,RawTech!$AR$2:$AR$212)</f>
        <v>21</v>
      </c>
      <c r="AF69" s="427">
        <v>2.754139134E9</v>
      </c>
      <c r="AG69" s="428"/>
      <c r="AH69" s="428"/>
      <c r="AI69" s="429"/>
      <c r="AJ69" s="430"/>
    </row>
    <row r="70" ht="37.5" customHeight="1">
      <c r="A70" s="415" t="str">
        <f t="array" ref="A70">LEFT(XLOOKUP(LCARS_Tech[BuffID],RawTech[BuffID],RawTech[TechRarity]), 1)</f>
        <v>E</v>
      </c>
      <c r="B70" s="420"/>
      <c r="C70" s="460" t="str">
        <f t="array" ref="C70">HYPERLINK("https://stfc.space/forbidden_and_chaos_tech/" &amp; XLOOKUP(MasterTech!$AF$4:$AF$214,RawTech!$AO$2:$AO$212,RawTech!$AQ$2:$AQ$212), XLOOKUP(MasterTech!$AF$4:$AF$214,RawTech!$AO$2:$AO$212,RawTech!$B$2:$B$212))</f>
        <v>The Hull Piercer</v>
      </c>
      <c r="D70" s="418">
        <f t="array" ref="D70">XLOOKUP(LCARS_Tech[BuffID],RawTech[BuffID],RawTech[BuffOrder])</f>
        <v>3</v>
      </c>
      <c r="E70" s="419" t="str">
        <f t="array" ref="E70">XLOOKUP(LCARS_Tech[BuffID],RawTech[BuffID],RawTech[TechType])</f>
        <v>FT</v>
      </c>
      <c r="F70" s="419" t="str">
        <f t="array" ref="F70">XLOOKUP(LCARS_Tech[BuffID],RawTech[BuffID],RawTech[Tag_PvPinSpace])</f>
        <v>➖</v>
      </c>
      <c r="G70" s="419" t="str">
        <f t="array" ref="G70">XLOOKUP(LCARS_Tech[BuffID],RawTech[BuffID],RawTech[Tag_PvPStation])</f>
        <v>➖</v>
      </c>
      <c r="H70" s="419" t="str">
        <f t="array" ref="H70">XLOOKUP(LCARS_Tech[BuffID],RawTech[BuffID],RawTech[Tag_NonArmadaHostiles])</f>
        <v>➖</v>
      </c>
      <c r="I70" s="419" t="str">
        <f t="array" ref="I70">XLOOKUP(LCARS_Tech[BuffID],RawTech[BuffID],RawTech[Tag_WaveDefense])</f>
        <v>➖</v>
      </c>
      <c r="J70" s="419" t="str">
        <f t="array" ref="J70">XLOOKUP(LCARS_Tech[BuffID],RawTech[BuffID],RawTech[Tag_QTrial])</f>
        <v>➖</v>
      </c>
      <c r="K70" s="419" t="str">
        <f t="array" ref="K70">XLOOKUP(LCARS_Tech[BuffID],RawTech[BuffID],RawTech[Tag_MissionBosses])</f>
        <v>➖</v>
      </c>
      <c r="L70" s="419" t="str">
        <f t="array" ref="L70">XLOOKUP(LCARS_Tech[BuffID],RawTech[BuffID],RawTech[Tag_GroupArmadas])</f>
        <v>✴️</v>
      </c>
      <c r="M70" s="419" t="str">
        <f t="array" ref="M70">XLOOKUP(LCARS_Tech[BuffID],RawTech[BuffID],RawTech[Tag_SoloArmadas])</f>
        <v>✴️</v>
      </c>
      <c r="N70" s="419" t="str">
        <f t="array" ref="N70">XLOOKUP(LCARS_Tech[BuffID],RawTech[BuffID],RawTech[Tag_InvadingEntities])</f>
        <v>➖</v>
      </c>
      <c r="O70" s="419" t="str">
        <f t="array" ref="O70">XLOOKUP(LCARS_Tech[BuffID],RawTech[BuffID],RawTech[Tag_Assaults])</f>
        <v>➖</v>
      </c>
      <c r="P70" s="442" t="str">
        <f t="array" ref="P70">XLOOKUP(LCARS_Tech[BuffID],RawTech[BuffID],RawTech[Tag_OutpostArmadas])</f>
        <v>➖</v>
      </c>
      <c r="Q70" s="450" t="str">
        <f t="array" ref="Q70">XLOOKUP(LCARS_Tech[BuffID],RawTech[BuffID],RawTech[Tag_OutpostRetaliators])</f>
        <v>➖</v>
      </c>
      <c r="R70" s="450" t="str">
        <f t="array" ref="R70">XLOOKUP(MasterTech!$AF$4:$AF$214,RawTech!$AO$2:$AO$212,RawTech!$AV$2:$AV$212)</f>
        <v>SelfBattleship</v>
      </c>
      <c r="S70" s="419" t="str">
        <f t="array" ref="S70">XLOOKUP(MasterTech!$AF$4:$AF$214,RawTech!$AO$2:$AO$212,RawTech!$AK$2:$AK$212)</f>
        <v>➖</v>
      </c>
      <c r="T70" s="422" t="str">
        <f t="array" ref="T70">XLOOKUP(MasterTech!$AF$4:$AF$214,RawTech!$AO$2:$AO$212,RawTech!$AM$2:$AM$212)</f>
        <v>➖</v>
      </c>
      <c r="U70" s="423" t="str">
        <f t="array" ref="U70">XLOOKUP(MasterTech!$AF$4:$AF$214,RawTech!$AO$2:$AO$212,RawTech!$D$2:$D$212)</f>
        <v>CritDamage</v>
      </c>
      <c r="V70" s="420" t="str">
        <f t="array" ref="V70">XLOOKUP(MasterTech!$AF$4:$AF$214,RawTech!$AO$2:$AO$212,RawTech!$I$2:$I$212)</f>
        <v/>
      </c>
      <c r="W70" s="443" t="str">
        <f t="array" ref="W70">XLOOKUP(MasterTech!$AF$4:$AF$214,RawTech!$AO$2:$AO$212,RawTech!$E$2:$E$212)</f>
        <v>TargetIsArmada, SelfBattleship</v>
      </c>
      <c r="X70" s="423" t="str">
        <f t="array" ref="X70">XLOOKUP(MasterTech!$AF$4:$AF$214,RawTech!$AO$2:$AO$212,RawTech!$F$2:$F$212)</f>
        <v>CombatStart</v>
      </c>
      <c r="Y70" s="423" t="str">
        <f t="array" ref="Y70">XLOOKUP(MasterTech!$AF$4:$AF$214,RawTech!$AO$2:$AO$212,RawTech!$G$2:$G$212)</f>
        <v>SelfShip</v>
      </c>
      <c r="Z70" s="423" t="str">
        <f t="array" ref="Z70">XLOOKUP(MasterTech!$AF$4:$AF$214,RawTech!$AO$2:$AO$212,RawTech!$H$2:$H$212)</f>
        <v>Add</v>
      </c>
      <c r="AA70" s="423" t="str">
        <f t="array" ref="AA70">XLOOKUP(MasterTech!$AF$4:$AF$214,RawTech!$AO$2:$AO$212,RawTech!$J$2:$J$212)</f>
        <v>Increases Battleship Critical Damage against Armadas X</v>
      </c>
      <c r="AB70" s="457" t="b">
        <v>0</v>
      </c>
      <c r="AC70" s="425"/>
      <c r="AD70" s="425"/>
      <c r="AE70" s="461">
        <f t="array" ref="AE70">XLOOKUP(MasterTech!$AF$4:$AF$214,RawTech!$AO$2:$AO$212,RawTech!$AR$2:$AR$212)</f>
        <v>21</v>
      </c>
      <c r="AF70" s="427">
        <v>1.68471486E9</v>
      </c>
      <c r="AG70" s="428"/>
      <c r="AH70" s="428"/>
      <c r="AI70" s="429"/>
      <c r="AJ70" s="430"/>
    </row>
    <row r="71" ht="37.5" customHeight="1">
      <c r="A71" s="415" t="str">
        <f t="array" ref="A71">LEFT(XLOOKUP(LCARS_Tech[BuffID],RawTech[BuffID],RawTech[TechRarity]), 1)</f>
        <v>E</v>
      </c>
      <c r="B71" s="416"/>
      <c r="C71" s="464" t="str">
        <f t="array" ref="C71">HYPERLINK("https://stfc.space/forbidden_and_chaos_tech/" &amp; XLOOKUP(MasterTech!$AF$4:$AF$214,RawTech!$AO$2:$AO$212,RawTech!$AQ$2:$AQ$212), XLOOKUP(MasterTech!$AF$4:$AF$214,RawTech!$AO$2:$AO$212,RawTech!$B$2:$B$212))</f>
        <v>The Hull Piercer</v>
      </c>
      <c r="D71" s="432">
        <f t="array" ref="D71">XLOOKUP(LCARS_Tech[BuffID],RawTech[BuffID],RawTech[BuffOrder])</f>
        <v>4</v>
      </c>
      <c r="E71" s="433" t="str">
        <f t="array" ref="E71">XLOOKUP(LCARS_Tech[BuffID],RawTech[BuffID],RawTech[TechType])</f>
        <v>FT</v>
      </c>
      <c r="F71" s="433" t="str">
        <f t="array" ref="F71">XLOOKUP(LCARS_Tech[BuffID],RawTech[BuffID],RawTech[Tag_PvPinSpace])</f>
        <v>➖</v>
      </c>
      <c r="G71" s="433" t="str">
        <f t="array" ref="G71">XLOOKUP(LCARS_Tech[BuffID],RawTech[BuffID],RawTech[Tag_PvPStation])</f>
        <v>➖</v>
      </c>
      <c r="H71" s="433" t="str">
        <f t="array" ref="H71">XLOOKUP(LCARS_Tech[BuffID],RawTech[BuffID],RawTech[Tag_NonArmadaHostiles])</f>
        <v>➖</v>
      </c>
      <c r="I71" s="433" t="str">
        <f t="array" ref="I71">XLOOKUP(LCARS_Tech[BuffID],RawTech[BuffID],RawTech[Tag_WaveDefense])</f>
        <v>➖</v>
      </c>
      <c r="J71" s="433" t="str">
        <f t="array" ref="J71">XLOOKUP(LCARS_Tech[BuffID],RawTech[BuffID],RawTech[Tag_QTrial])</f>
        <v>➖</v>
      </c>
      <c r="K71" s="433" t="str">
        <f t="array" ref="K71">XLOOKUP(LCARS_Tech[BuffID],RawTech[BuffID],RawTech[Tag_MissionBosses])</f>
        <v>➖</v>
      </c>
      <c r="L71" s="433" t="str">
        <f t="array" ref="L71">XLOOKUP(LCARS_Tech[BuffID],RawTech[BuffID],RawTech[Tag_GroupArmadas])</f>
        <v>✴️</v>
      </c>
      <c r="M71" s="433" t="str">
        <f t="array" ref="M71">XLOOKUP(LCARS_Tech[BuffID],RawTech[BuffID],RawTech[Tag_SoloArmadas])</f>
        <v>✴️</v>
      </c>
      <c r="N71" s="433" t="str">
        <f t="array" ref="N71">XLOOKUP(LCARS_Tech[BuffID],RawTech[BuffID],RawTech[Tag_InvadingEntities])</f>
        <v>➖</v>
      </c>
      <c r="O71" s="433" t="str">
        <f t="array" ref="O71">XLOOKUP(LCARS_Tech[BuffID],RawTech[BuffID],RawTech[Tag_Assaults])</f>
        <v>➖</v>
      </c>
      <c r="P71" s="434" t="str">
        <f t="array" ref="P71">XLOOKUP(LCARS_Tech[BuffID],RawTech[BuffID],RawTech[Tag_OutpostArmadas])</f>
        <v>➖</v>
      </c>
      <c r="Q71" s="451" t="str">
        <f t="array" ref="Q71">XLOOKUP(LCARS_Tech[BuffID],RawTech[BuffID],RawTech[Tag_OutpostRetaliators])</f>
        <v>➖</v>
      </c>
      <c r="R71" s="451" t="str">
        <f t="array" ref="R71">XLOOKUP(MasterTech!$AF$4:$AF$214,RawTech!$AO$2:$AO$212,RawTech!$AV$2:$AV$212)</f>
        <v>SelfBattleship</v>
      </c>
      <c r="S71" s="433" t="str">
        <f t="array" ref="S71">XLOOKUP(MasterTech!$AF$4:$AF$214,RawTech!$AO$2:$AO$212,RawTech!$AK$2:$AK$212)</f>
        <v>➖</v>
      </c>
      <c r="T71" s="435" t="str">
        <f t="array" ref="T71">XLOOKUP(MasterTech!$AF$4:$AF$214,RawTech!$AO$2:$AO$212,RawTech!$AM$2:$AM$212)</f>
        <v>➖</v>
      </c>
      <c r="U71" s="438" t="str">
        <f t="array" ref="U71">XLOOKUP(MasterTech!$AF$4:$AF$214,RawTech!$AO$2:$AO$212,RawTech!$D$2:$D$212)</f>
        <v>CritChance</v>
      </c>
      <c r="V71" s="416" t="str">
        <f t="array" ref="V71">XLOOKUP(MasterTech!$AF$4:$AF$214,RawTech!$AO$2:$AO$212,RawTech!$I$2:$I$212)</f>
        <v/>
      </c>
      <c r="W71" s="447" t="str">
        <f t="array" ref="W71">XLOOKUP(MasterTech!$AF$4:$AF$214,RawTech!$AO$2:$AO$212,RawTech!$E$2:$E$212)</f>
        <v>TargetIsArmada, SelfBattleship</v>
      </c>
      <c r="X71" s="438" t="str">
        <f t="array" ref="X71">XLOOKUP(MasterTech!$AF$4:$AF$214,RawTech!$AO$2:$AO$212,RawTech!$F$2:$F$212)</f>
        <v>CombatStart</v>
      </c>
      <c r="Y71" s="438" t="str">
        <f t="array" ref="Y71">XLOOKUP(MasterTech!$AF$4:$AF$214,RawTech!$AO$2:$AO$212,RawTech!$G$2:$G$212)</f>
        <v>SelfShip</v>
      </c>
      <c r="Z71" s="438" t="str">
        <f t="array" ref="Z71">XLOOKUP(MasterTech!$AF$4:$AF$214,RawTech!$AO$2:$AO$212,RawTech!$H$2:$H$212)</f>
        <v>Add</v>
      </c>
      <c r="AA71" s="438" t="str">
        <f t="array" ref="AA71">XLOOKUP(MasterTech!$AF$4:$AF$214,RawTech!$AO$2:$AO$212,RawTech!$J$2:$J$212)</f>
        <v>Increases Battleship Critical Hit Chance against Armadas X</v>
      </c>
      <c r="AB71" s="439"/>
      <c r="AC71" s="440"/>
      <c r="AD71" s="440"/>
      <c r="AE71" s="462">
        <f t="array" ref="AE71">XLOOKUP(MasterTech!$AF$4:$AF$214,RawTech!$AO$2:$AO$212,RawTech!$AR$2:$AR$212)</f>
        <v>21</v>
      </c>
      <c r="AF71" s="427">
        <v>2.327238776E9</v>
      </c>
      <c r="AG71" s="428"/>
      <c r="AH71" s="428"/>
      <c r="AI71" s="429"/>
      <c r="AJ71" s="430"/>
    </row>
    <row r="72" ht="37.5" customHeight="1">
      <c r="A72" s="415" t="str">
        <f t="array" ref="A72">LEFT(XLOOKUP(LCARS_Tech[BuffID],RawTech[BuffID],RawTech[TechRarity]), 1)</f>
        <v>E</v>
      </c>
      <c r="B72" s="420"/>
      <c r="C72" s="460" t="str">
        <f t="array" ref="C72">HYPERLINK("https://stfc.space/forbidden_and_chaos_tech/" &amp; XLOOKUP(MasterTech!$AF$4:$AF$214,RawTech!$AO$2:$AO$212,RawTech!$AQ$2:$AQ$212), XLOOKUP(MasterTech!$AF$4:$AF$214,RawTech!$AO$2:$AO$212,RawTech!$B$2:$B$212))</f>
        <v>Druoda Sentient Missile</v>
      </c>
      <c r="D72" s="418">
        <f t="array" ref="D72">XLOOKUP(LCARS_Tech[BuffID],RawTech[BuffID],RawTech[BuffOrder])</f>
        <v>1</v>
      </c>
      <c r="E72" s="419" t="str">
        <f t="array" ref="E72">XLOOKUP(LCARS_Tech[BuffID],RawTech[BuffID],RawTech[TechType])</f>
        <v>FT</v>
      </c>
      <c r="F72" s="419" t="str">
        <f t="array" ref="F72">XLOOKUP(LCARS_Tech[BuffID],RawTech[BuffID],RawTech[Tag_PvPinSpace])</f>
        <v>➖</v>
      </c>
      <c r="G72" s="419" t="str">
        <f t="array" ref="G72">XLOOKUP(LCARS_Tech[BuffID],RawTech[BuffID],RawTech[Tag_PvPStation])</f>
        <v>➖</v>
      </c>
      <c r="H72" s="419" t="str">
        <f t="array" ref="H72">XLOOKUP(LCARS_Tech[BuffID],RawTech[BuffID],RawTech[Tag_NonArmadaHostiles])</f>
        <v>➖</v>
      </c>
      <c r="I72" s="419" t="str">
        <f t="array" ref="I72">XLOOKUP(LCARS_Tech[BuffID],RawTech[BuffID],RawTech[Tag_WaveDefense])</f>
        <v>➖</v>
      </c>
      <c r="J72" s="419" t="str">
        <f t="array" ref="J72">XLOOKUP(LCARS_Tech[BuffID],RawTech[BuffID],RawTech[Tag_QTrial])</f>
        <v>➖</v>
      </c>
      <c r="K72" s="419" t="str">
        <f t="array" ref="K72">XLOOKUP(LCARS_Tech[BuffID],RawTech[BuffID],RawTech[Tag_MissionBosses])</f>
        <v>➖</v>
      </c>
      <c r="L72" s="419" t="str">
        <f t="array" ref="L72">XLOOKUP(LCARS_Tech[BuffID],RawTech[BuffID],RawTech[Tag_GroupArmadas])</f>
        <v>✴️</v>
      </c>
      <c r="M72" s="419" t="str">
        <f t="array" ref="M72">XLOOKUP(LCARS_Tech[BuffID],RawTech[BuffID],RawTech[Tag_SoloArmadas])</f>
        <v>✴️</v>
      </c>
      <c r="N72" s="419" t="str">
        <f t="array" ref="N72">XLOOKUP(LCARS_Tech[BuffID],RawTech[BuffID],RawTech[Tag_InvadingEntities])</f>
        <v>➖</v>
      </c>
      <c r="O72" s="419" t="str">
        <f t="array" ref="O72">XLOOKUP(LCARS_Tech[BuffID],RawTech[BuffID],RawTech[Tag_Assaults])</f>
        <v>➖</v>
      </c>
      <c r="P72" s="442" t="str">
        <f t="array" ref="P72">XLOOKUP(LCARS_Tech[BuffID],RawTech[BuffID],RawTech[Tag_OutpostArmadas])</f>
        <v>➖</v>
      </c>
      <c r="Q72" s="450" t="str">
        <f t="array" ref="Q72">XLOOKUP(LCARS_Tech[BuffID],RawTech[BuffID],RawTech[Tag_OutpostRetaliators])</f>
        <v>➖</v>
      </c>
      <c r="R72" s="450" t="str">
        <f t="array" ref="R72">XLOOKUP(MasterTech!$AF$4:$AF$214,RawTech!$AO$2:$AO$212,RawTech!$AV$2:$AV$212)</f>
        <v>SelfExplorer</v>
      </c>
      <c r="S72" s="419" t="str">
        <f t="array" ref="S72">XLOOKUP(MasterTech!$AF$4:$AF$214,RawTech!$AO$2:$AO$212,RawTech!$AK$2:$AK$212)</f>
        <v>➖</v>
      </c>
      <c r="T72" s="422" t="str">
        <f t="array" ref="T72">XLOOKUP(MasterTech!$AF$4:$AF$214,RawTech!$AO$2:$AO$212,RawTech!$AM$2:$AM$212)</f>
        <v>➖</v>
      </c>
      <c r="U72" s="423" t="str">
        <f t="array" ref="U72">XLOOKUP(MasterTech!$AF$4:$AF$214,RawTech!$AO$2:$AO$212,RawTech!$D$2:$D$212)</f>
        <v>IsolyticDamage</v>
      </c>
      <c r="V72" s="420" t="str">
        <f t="array" ref="V72">XLOOKUP(MasterTech!$AF$4:$AF$214,RawTech!$AO$2:$AO$212,RawTech!$I$2:$I$212)</f>
        <v/>
      </c>
      <c r="W72" s="443" t="str">
        <f t="array" ref="W72">XLOOKUP(MasterTech!$AF$4:$AF$214,RawTech!$AO$2:$AO$212,RawTech!$E$2:$E$212)</f>
        <v>SelfExplorer, TargetIsArmada</v>
      </c>
      <c r="X72" s="423" t="str">
        <f t="array" ref="X72">XLOOKUP(MasterTech!$AF$4:$AF$214,RawTech!$AO$2:$AO$212,RawTech!$F$2:$F$212)</f>
        <v>CombatStart</v>
      </c>
      <c r="Y72" s="423" t="str">
        <f t="array" ref="Y72">XLOOKUP(MasterTech!$AF$4:$AF$214,RawTech!$AO$2:$AO$212,RawTech!$G$2:$G$212)</f>
        <v>SelfShip</v>
      </c>
      <c r="Z72" s="423" t="str">
        <f t="array" ref="Z72">XLOOKUP(MasterTech!$AF$4:$AF$214,RawTech!$AO$2:$AO$212,RawTech!$H$2:$H$212)</f>
        <v>MultiplyAdd</v>
      </c>
      <c r="AA72" s="423" t="str">
        <f t="array" ref="AA72">XLOOKUP(MasterTech!$AF$4:$AF$214,RawTech!$AO$2:$AO$212,RawTech!$J$2:$J$212)</f>
        <v>Increases Explorer Isolytic Damage against Armadas X</v>
      </c>
      <c r="AB72" s="424"/>
      <c r="AC72" s="425"/>
      <c r="AD72" s="425"/>
      <c r="AE72" s="461">
        <f t="array" ref="AE72">XLOOKUP(MasterTech!$AF$4:$AF$214,RawTech!$AO$2:$AO$212,RawTech!$AR$2:$AR$212)</f>
        <v>20</v>
      </c>
      <c r="AF72" s="427">
        <v>1.323445866E9</v>
      </c>
      <c r="AG72" s="428"/>
      <c r="AH72" s="428"/>
      <c r="AI72" s="429"/>
      <c r="AJ72" s="430"/>
    </row>
    <row r="73" ht="37.5" customHeight="1">
      <c r="A73" s="415" t="str">
        <f t="array" ref="A73">LEFT(XLOOKUP(LCARS_Tech[BuffID],RawTech[BuffID],RawTech[TechRarity]), 1)</f>
        <v>E</v>
      </c>
      <c r="B73" s="416"/>
      <c r="C73" s="464" t="str">
        <f t="array" ref="C73">HYPERLINK("https://stfc.space/forbidden_and_chaos_tech/" &amp; XLOOKUP(MasterTech!$AF$4:$AF$214,RawTech!$AO$2:$AO$212,RawTech!$AQ$2:$AQ$212), XLOOKUP(MasterTech!$AF$4:$AF$214,RawTech!$AO$2:$AO$212,RawTech!$B$2:$B$212))</f>
        <v>Druoda Sentient Missile</v>
      </c>
      <c r="D73" s="432">
        <f t="array" ref="D73">XLOOKUP(LCARS_Tech[BuffID],RawTech[BuffID],RawTech[BuffOrder])</f>
        <v>2</v>
      </c>
      <c r="E73" s="433" t="str">
        <f t="array" ref="E73">XLOOKUP(LCARS_Tech[BuffID],RawTech[BuffID],RawTech[TechType])</f>
        <v>FT</v>
      </c>
      <c r="F73" s="433" t="str">
        <f t="array" ref="F73">XLOOKUP(LCARS_Tech[BuffID],RawTech[BuffID],RawTech[Tag_PvPinSpace])</f>
        <v>➖</v>
      </c>
      <c r="G73" s="433" t="str">
        <f t="array" ref="G73">XLOOKUP(LCARS_Tech[BuffID],RawTech[BuffID],RawTech[Tag_PvPStation])</f>
        <v>➖</v>
      </c>
      <c r="H73" s="433" t="str">
        <f t="array" ref="H73">XLOOKUP(LCARS_Tech[BuffID],RawTech[BuffID],RawTech[Tag_NonArmadaHostiles])</f>
        <v>➖</v>
      </c>
      <c r="I73" s="433" t="str">
        <f t="array" ref="I73">XLOOKUP(LCARS_Tech[BuffID],RawTech[BuffID],RawTech[Tag_WaveDefense])</f>
        <v>➖</v>
      </c>
      <c r="J73" s="433" t="str">
        <f t="array" ref="J73">XLOOKUP(LCARS_Tech[BuffID],RawTech[BuffID],RawTech[Tag_QTrial])</f>
        <v>➖</v>
      </c>
      <c r="K73" s="433" t="str">
        <f t="array" ref="K73">XLOOKUP(LCARS_Tech[BuffID],RawTech[BuffID],RawTech[Tag_MissionBosses])</f>
        <v>➖</v>
      </c>
      <c r="L73" s="433" t="str">
        <f t="array" ref="L73">XLOOKUP(LCARS_Tech[BuffID],RawTech[BuffID],RawTech[Tag_GroupArmadas])</f>
        <v>✴️</v>
      </c>
      <c r="M73" s="433" t="str">
        <f t="array" ref="M73">XLOOKUP(LCARS_Tech[BuffID],RawTech[BuffID],RawTech[Tag_SoloArmadas])</f>
        <v>✴️</v>
      </c>
      <c r="N73" s="433" t="str">
        <f t="array" ref="N73">XLOOKUP(LCARS_Tech[BuffID],RawTech[BuffID],RawTech[Tag_InvadingEntities])</f>
        <v>➖</v>
      </c>
      <c r="O73" s="433" t="str">
        <f t="array" ref="O73">XLOOKUP(LCARS_Tech[BuffID],RawTech[BuffID],RawTech[Tag_Assaults])</f>
        <v>➖</v>
      </c>
      <c r="P73" s="434" t="str">
        <f t="array" ref="P73">XLOOKUP(LCARS_Tech[BuffID],RawTech[BuffID],RawTech[Tag_OutpostArmadas])</f>
        <v>➖</v>
      </c>
      <c r="Q73" s="451" t="str">
        <f t="array" ref="Q73">XLOOKUP(LCARS_Tech[BuffID],RawTech[BuffID],RawTech[Tag_OutpostRetaliators])</f>
        <v>➖</v>
      </c>
      <c r="R73" s="451" t="str">
        <f t="array" ref="R73">XLOOKUP(MasterTech!$AF$4:$AF$214,RawTech!$AO$2:$AO$212,RawTech!$AV$2:$AV$212)</f>
        <v>SelfExplorer</v>
      </c>
      <c r="S73" s="433" t="str">
        <f t="array" ref="S73">XLOOKUP(MasterTech!$AF$4:$AF$214,RawTech!$AO$2:$AO$212,RawTech!$AK$2:$AK$212)</f>
        <v>➖</v>
      </c>
      <c r="T73" s="435" t="str">
        <f t="array" ref="T73">XLOOKUP(MasterTech!$AF$4:$AF$214,RawTech!$AO$2:$AO$212,RawTech!$AM$2:$AM$212)</f>
        <v>➖</v>
      </c>
      <c r="U73" s="438" t="str">
        <f t="array" ref="U73">XLOOKUP(MasterTech!$AF$4:$AF$214,RawTech!$AO$2:$AO$212,RawTech!$D$2:$D$212)</f>
        <v>AllPiercing</v>
      </c>
      <c r="V73" s="416" t="str">
        <f t="array" ref="V73">XLOOKUP(MasterTech!$AF$4:$AF$214,RawTech!$AO$2:$AO$212,RawTech!$I$2:$I$212)</f>
        <v/>
      </c>
      <c r="W73" s="447" t="str">
        <f t="array" ref="W73">XLOOKUP(MasterTech!$AF$4:$AF$214,RawTech!$AO$2:$AO$212,RawTech!$E$2:$E$212)</f>
        <v>SelfExplorer, TargetIsArmada</v>
      </c>
      <c r="X73" s="438" t="str">
        <f t="array" ref="X73">XLOOKUP(MasterTech!$AF$4:$AF$214,RawTech!$AO$2:$AO$212,RawTech!$F$2:$F$212)</f>
        <v>CombatStart</v>
      </c>
      <c r="Y73" s="438" t="str">
        <f t="array" ref="Y73">XLOOKUP(MasterTech!$AF$4:$AF$214,RawTech!$AO$2:$AO$212,RawTech!$G$2:$G$212)</f>
        <v>SelfShip</v>
      </c>
      <c r="Z73" s="438" t="str">
        <f t="array" ref="Z73">XLOOKUP(MasterTech!$AF$4:$AF$214,RawTech!$AO$2:$AO$212,RawTech!$H$2:$H$212)</f>
        <v>MultiplyAdd</v>
      </c>
      <c r="AA73" s="438" t="str">
        <f t="array" ref="AA73">XLOOKUP(MasterTech!$AF$4:$AF$214,RawTech!$AO$2:$AO$212,RawTech!$J$2:$J$212)</f>
        <v>Increases Explorer Shield Piercing, Armor Piercing, and Accuracy against Armadas X</v>
      </c>
      <c r="AB73" s="439"/>
      <c r="AC73" s="440"/>
      <c r="AD73" s="440"/>
      <c r="AE73" s="462">
        <f t="array" ref="AE73">XLOOKUP(MasterTech!$AF$4:$AF$214,RawTech!$AO$2:$AO$212,RawTech!$AR$2:$AR$212)</f>
        <v>20</v>
      </c>
      <c r="AF73" s="427">
        <v>2.539247425E9</v>
      </c>
      <c r="AG73" s="428"/>
      <c r="AH73" s="428"/>
      <c r="AI73" s="429"/>
      <c r="AJ73" s="430"/>
    </row>
    <row r="74" ht="37.5" customHeight="1">
      <c r="A74" s="415" t="str">
        <f t="array" ref="A74">LEFT(XLOOKUP(LCARS_Tech[BuffID],RawTech[BuffID],RawTech[TechRarity]), 1)</f>
        <v>E</v>
      </c>
      <c r="B74" s="420"/>
      <c r="C74" s="460" t="str">
        <f t="array" ref="C74">HYPERLINK("https://stfc.space/forbidden_and_chaos_tech/" &amp; XLOOKUP(MasterTech!$AF$4:$AF$214,RawTech!$AO$2:$AO$212,RawTech!$AQ$2:$AQ$212), XLOOKUP(MasterTech!$AF$4:$AF$214,RawTech!$AO$2:$AO$212,RawTech!$B$2:$B$212))</f>
        <v>Druoda Sentient Missile</v>
      </c>
      <c r="D74" s="418">
        <f t="array" ref="D74">XLOOKUP(LCARS_Tech[BuffID],RawTech[BuffID],RawTech[BuffOrder])</f>
        <v>3</v>
      </c>
      <c r="E74" s="419" t="str">
        <f t="array" ref="E74">XLOOKUP(LCARS_Tech[BuffID],RawTech[BuffID],RawTech[TechType])</f>
        <v>FT</v>
      </c>
      <c r="F74" s="419" t="str">
        <f t="array" ref="F74">XLOOKUP(LCARS_Tech[BuffID],RawTech[BuffID],RawTech[Tag_PvPinSpace])</f>
        <v>➖</v>
      </c>
      <c r="G74" s="419" t="str">
        <f t="array" ref="G74">XLOOKUP(LCARS_Tech[BuffID],RawTech[BuffID],RawTech[Tag_PvPStation])</f>
        <v>➖</v>
      </c>
      <c r="H74" s="419" t="str">
        <f t="array" ref="H74">XLOOKUP(LCARS_Tech[BuffID],RawTech[BuffID],RawTech[Tag_NonArmadaHostiles])</f>
        <v>➖</v>
      </c>
      <c r="I74" s="419" t="str">
        <f t="array" ref="I74">XLOOKUP(LCARS_Tech[BuffID],RawTech[BuffID],RawTech[Tag_WaveDefense])</f>
        <v>➖</v>
      </c>
      <c r="J74" s="419" t="str">
        <f t="array" ref="J74">XLOOKUP(LCARS_Tech[BuffID],RawTech[BuffID],RawTech[Tag_QTrial])</f>
        <v>➖</v>
      </c>
      <c r="K74" s="419" t="str">
        <f t="array" ref="K74">XLOOKUP(LCARS_Tech[BuffID],RawTech[BuffID],RawTech[Tag_MissionBosses])</f>
        <v>➖</v>
      </c>
      <c r="L74" s="419" t="str">
        <f t="array" ref="L74">XLOOKUP(LCARS_Tech[BuffID],RawTech[BuffID],RawTech[Tag_GroupArmadas])</f>
        <v>✴️</v>
      </c>
      <c r="M74" s="419" t="str">
        <f t="array" ref="M74">XLOOKUP(LCARS_Tech[BuffID],RawTech[BuffID],RawTech[Tag_SoloArmadas])</f>
        <v>✴️</v>
      </c>
      <c r="N74" s="419" t="str">
        <f t="array" ref="N74">XLOOKUP(LCARS_Tech[BuffID],RawTech[BuffID],RawTech[Tag_InvadingEntities])</f>
        <v>➖</v>
      </c>
      <c r="O74" s="419" t="str">
        <f t="array" ref="O74">XLOOKUP(LCARS_Tech[BuffID],RawTech[BuffID],RawTech[Tag_Assaults])</f>
        <v>➖</v>
      </c>
      <c r="P74" s="442" t="str">
        <f t="array" ref="P74">XLOOKUP(LCARS_Tech[BuffID],RawTech[BuffID],RawTech[Tag_OutpostArmadas])</f>
        <v>➖</v>
      </c>
      <c r="Q74" s="450" t="str">
        <f t="array" ref="Q74">XLOOKUP(LCARS_Tech[BuffID],RawTech[BuffID],RawTech[Tag_OutpostRetaliators])</f>
        <v>➖</v>
      </c>
      <c r="R74" s="450" t="str">
        <f t="array" ref="R74">XLOOKUP(MasterTech!$AF$4:$AF$214,RawTech!$AO$2:$AO$212,RawTech!$AV$2:$AV$212)</f>
        <v>SelfExplorer</v>
      </c>
      <c r="S74" s="419" t="str">
        <f t="array" ref="S74">XLOOKUP(MasterTech!$AF$4:$AF$214,RawTech!$AO$2:$AO$212,RawTech!$AK$2:$AK$212)</f>
        <v>➖</v>
      </c>
      <c r="T74" s="422" t="str">
        <f t="array" ref="T74">XLOOKUP(MasterTech!$AF$4:$AF$214,RawTech!$AO$2:$AO$212,RawTech!$AM$2:$AM$212)</f>
        <v>➖</v>
      </c>
      <c r="U74" s="423" t="str">
        <f t="array" ref="U74">XLOOKUP(MasterTech!$AF$4:$AF$214,RawTech!$AO$2:$AO$212,RawTech!$D$2:$D$212)</f>
        <v>CritDamage</v>
      </c>
      <c r="V74" s="420" t="str">
        <f t="array" ref="V74">XLOOKUP(MasterTech!$AF$4:$AF$214,RawTech!$AO$2:$AO$212,RawTech!$I$2:$I$212)</f>
        <v/>
      </c>
      <c r="W74" s="443" t="str">
        <f t="array" ref="W74">XLOOKUP(MasterTech!$AF$4:$AF$214,RawTech!$AO$2:$AO$212,RawTech!$E$2:$E$212)</f>
        <v>SelfExplorer, TargetIsArmada</v>
      </c>
      <c r="X74" s="423" t="str">
        <f t="array" ref="X74">XLOOKUP(MasterTech!$AF$4:$AF$214,RawTech!$AO$2:$AO$212,RawTech!$F$2:$F$212)</f>
        <v>CombatStart</v>
      </c>
      <c r="Y74" s="423" t="str">
        <f t="array" ref="Y74">XLOOKUP(MasterTech!$AF$4:$AF$214,RawTech!$AO$2:$AO$212,RawTech!$G$2:$G$212)</f>
        <v>SelfShip</v>
      </c>
      <c r="Z74" s="423" t="str">
        <f t="array" ref="Z74">XLOOKUP(MasterTech!$AF$4:$AF$214,RawTech!$AO$2:$AO$212,RawTech!$H$2:$H$212)</f>
        <v>Add</v>
      </c>
      <c r="AA74" s="423" t="str">
        <f t="array" ref="AA74">XLOOKUP(MasterTech!$AF$4:$AF$214,RawTech!$AO$2:$AO$212,RawTech!$J$2:$J$212)</f>
        <v>Increases Explorer Critical Damage against Armadas X</v>
      </c>
      <c r="AB74" s="424"/>
      <c r="AC74" s="425"/>
      <c r="AD74" s="425"/>
      <c r="AE74" s="461">
        <f t="array" ref="AE74">XLOOKUP(MasterTech!$AF$4:$AF$214,RawTech!$AO$2:$AO$212,RawTech!$AR$2:$AR$212)</f>
        <v>20</v>
      </c>
      <c r="AF74" s="427">
        <v>2.695549374E9</v>
      </c>
      <c r="AG74" s="428"/>
      <c r="AH74" s="428"/>
      <c r="AI74" s="429"/>
      <c r="AJ74" s="430"/>
    </row>
    <row r="75" ht="37.5" customHeight="1">
      <c r="A75" s="415" t="str">
        <f t="array" ref="A75">LEFT(XLOOKUP(LCARS_Tech[BuffID],RawTech[BuffID],RawTech[TechRarity]), 1)</f>
        <v>E</v>
      </c>
      <c r="B75" s="416"/>
      <c r="C75" s="464" t="str">
        <f t="array" ref="C75">HYPERLINK("https://stfc.space/forbidden_and_chaos_tech/" &amp; XLOOKUP(MasterTech!$AF$4:$AF$214,RawTech!$AO$2:$AO$212,RawTech!$AQ$2:$AQ$212), XLOOKUP(MasterTech!$AF$4:$AF$214,RawTech!$AO$2:$AO$212,RawTech!$B$2:$B$212))</f>
        <v>Druoda Sentient Missile</v>
      </c>
      <c r="D75" s="432">
        <f t="array" ref="D75">XLOOKUP(LCARS_Tech[BuffID],RawTech[BuffID],RawTech[BuffOrder])</f>
        <v>4</v>
      </c>
      <c r="E75" s="433" t="str">
        <f t="array" ref="E75">XLOOKUP(LCARS_Tech[BuffID],RawTech[BuffID],RawTech[TechType])</f>
        <v>FT</v>
      </c>
      <c r="F75" s="433" t="str">
        <f t="array" ref="F75">XLOOKUP(LCARS_Tech[BuffID],RawTech[BuffID],RawTech[Tag_PvPinSpace])</f>
        <v>➖</v>
      </c>
      <c r="G75" s="433" t="str">
        <f t="array" ref="G75">XLOOKUP(LCARS_Tech[BuffID],RawTech[BuffID],RawTech[Tag_PvPStation])</f>
        <v>➖</v>
      </c>
      <c r="H75" s="433" t="str">
        <f t="array" ref="H75">XLOOKUP(LCARS_Tech[BuffID],RawTech[BuffID],RawTech[Tag_NonArmadaHostiles])</f>
        <v>➖</v>
      </c>
      <c r="I75" s="433" t="str">
        <f t="array" ref="I75">XLOOKUP(LCARS_Tech[BuffID],RawTech[BuffID],RawTech[Tag_WaveDefense])</f>
        <v>➖</v>
      </c>
      <c r="J75" s="433" t="str">
        <f t="array" ref="J75">XLOOKUP(LCARS_Tech[BuffID],RawTech[BuffID],RawTech[Tag_QTrial])</f>
        <v>➖</v>
      </c>
      <c r="K75" s="433" t="str">
        <f t="array" ref="K75">XLOOKUP(LCARS_Tech[BuffID],RawTech[BuffID],RawTech[Tag_MissionBosses])</f>
        <v>➖</v>
      </c>
      <c r="L75" s="433" t="str">
        <f t="array" ref="L75">XLOOKUP(LCARS_Tech[BuffID],RawTech[BuffID],RawTech[Tag_GroupArmadas])</f>
        <v>✴️</v>
      </c>
      <c r="M75" s="433" t="str">
        <f t="array" ref="M75">XLOOKUP(LCARS_Tech[BuffID],RawTech[BuffID],RawTech[Tag_SoloArmadas])</f>
        <v>✴️</v>
      </c>
      <c r="N75" s="433" t="str">
        <f t="array" ref="N75">XLOOKUP(LCARS_Tech[BuffID],RawTech[BuffID],RawTech[Tag_InvadingEntities])</f>
        <v>➖</v>
      </c>
      <c r="O75" s="433" t="str">
        <f t="array" ref="O75">XLOOKUP(LCARS_Tech[BuffID],RawTech[BuffID],RawTech[Tag_Assaults])</f>
        <v>➖</v>
      </c>
      <c r="P75" s="434" t="str">
        <f t="array" ref="P75">XLOOKUP(LCARS_Tech[BuffID],RawTech[BuffID],RawTech[Tag_OutpostArmadas])</f>
        <v>➖</v>
      </c>
      <c r="Q75" s="451" t="str">
        <f t="array" ref="Q75">XLOOKUP(LCARS_Tech[BuffID],RawTech[BuffID],RawTech[Tag_OutpostRetaliators])</f>
        <v>➖</v>
      </c>
      <c r="R75" s="451" t="str">
        <f t="array" ref="R75">XLOOKUP(MasterTech!$AF$4:$AF$214,RawTech!$AO$2:$AO$212,RawTech!$AV$2:$AV$212)</f>
        <v>SelfExplorer</v>
      </c>
      <c r="S75" s="433" t="str">
        <f t="array" ref="S75">XLOOKUP(MasterTech!$AF$4:$AF$214,RawTech!$AO$2:$AO$212,RawTech!$AK$2:$AK$212)</f>
        <v>➖</v>
      </c>
      <c r="T75" s="435" t="str">
        <f t="array" ref="T75">XLOOKUP(MasterTech!$AF$4:$AF$214,RawTech!$AO$2:$AO$212,RawTech!$AM$2:$AM$212)</f>
        <v>➖</v>
      </c>
      <c r="U75" s="438" t="str">
        <f t="array" ref="U75">XLOOKUP(MasterTech!$AF$4:$AF$214,RawTech!$AO$2:$AO$212,RawTech!$D$2:$D$212)</f>
        <v>CritChance</v>
      </c>
      <c r="V75" s="416" t="str">
        <f t="array" ref="V75">XLOOKUP(MasterTech!$AF$4:$AF$214,RawTech!$AO$2:$AO$212,RawTech!$I$2:$I$212)</f>
        <v/>
      </c>
      <c r="W75" s="447" t="str">
        <f t="array" ref="W75">XLOOKUP(MasterTech!$AF$4:$AF$214,RawTech!$AO$2:$AO$212,RawTech!$E$2:$E$212)</f>
        <v>SelfExplorer, TargetIsArmada</v>
      </c>
      <c r="X75" s="438" t="str">
        <f t="array" ref="X75">XLOOKUP(MasterTech!$AF$4:$AF$214,RawTech!$AO$2:$AO$212,RawTech!$F$2:$F$212)</f>
        <v>CombatStart</v>
      </c>
      <c r="Y75" s="438" t="str">
        <f t="array" ref="Y75">XLOOKUP(MasterTech!$AF$4:$AF$214,RawTech!$AO$2:$AO$212,RawTech!$G$2:$G$212)</f>
        <v>SelfShip</v>
      </c>
      <c r="Z75" s="438" t="str">
        <f t="array" ref="Z75">XLOOKUP(MasterTech!$AF$4:$AF$214,RawTech!$AO$2:$AO$212,RawTech!$H$2:$H$212)</f>
        <v>Add</v>
      </c>
      <c r="AA75" s="438" t="str">
        <f t="array" ref="AA75">XLOOKUP(MasterTech!$AF$4:$AF$214,RawTech!$AO$2:$AO$212,RawTech!$J$2:$J$212)</f>
        <v>Increases Explorer Critical Hit Chance against Armadas X</v>
      </c>
      <c r="AB75" s="439"/>
      <c r="AC75" s="440"/>
      <c r="AD75" s="440"/>
      <c r="AE75" s="462">
        <f t="array" ref="AE75">XLOOKUP(MasterTech!$AF$4:$AF$214,RawTech!$AO$2:$AO$212,RawTech!$AR$2:$AR$212)</f>
        <v>20</v>
      </c>
      <c r="AF75" s="427">
        <v>1.190445923E9</v>
      </c>
      <c r="AG75" s="428"/>
      <c r="AH75" s="428"/>
      <c r="AI75" s="429"/>
      <c r="AJ75" s="430"/>
    </row>
    <row r="76" ht="37.5" customHeight="1">
      <c r="A76" s="415" t="str">
        <f t="array" ref="A76">LEFT(XLOOKUP(LCARS_Tech[BuffID],RawTech[BuffID],RawTech[TechRarity]), 1)</f>
        <v>E</v>
      </c>
      <c r="B76" s="420"/>
      <c r="C76" s="460" t="str">
        <f t="array" ref="C76">HYPERLINK("https://stfc.space/forbidden_and_chaos_tech/" &amp; XLOOKUP(MasterTech!$AF$4:$AF$214,RawTech!$AO$2:$AO$212,RawTech!$AQ$2:$AQ$212), XLOOKUP(MasterTech!$AF$4:$AF$214,RawTech!$AO$2:$AO$212,RawTech!$B$2:$B$212))</f>
        <v>Berserker Complex</v>
      </c>
      <c r="D76" s="418">
        <f t="array" ref="D76">XLOOKUP(LCARS_Tech[BuffID],RawTech[BuffID],RawTech[BuffOrder])</f>
        <v>1</v>
      </c>
      <c r="E76" s="419" t="str">
        <f t="array" ref="E76">XLOOKUP(LCARS_Tech[BuffID],RawTech[BuffID],RawTech[TechType])</f>
        <v>FT</v>
      </c>
      <c r="F76" s="419" t="str">
        <f t="array" ref="F76">XLOOKUP(LCARS_Tech[BuffID],RawTech[BuffID],RawTech[Tag_PvPinSpace])</f>
        <v>➖</v>
      </c>
      <c r="G76" s="419" t="str">
        <f t="array" ref="G76">XLOOKUP(LCARS_Tech[BuffID],RawTech[BuffID],RawTech[Tag_PvPStation])</f>
        <v>➖</v>
      </c>
      <c r="H76" s="419" t="str">
        <f t="array" ref="H76">XLOOKUP(LCARS_Tech[BuffID],RawTech[BuffID],RawTech[Tag_NonArmadaHostiles])</f>
        <v>➖</v>
      </c>
      <c r="I76" s="419" t="str">
        <f t="array" ref="I76">XLOOKUP(LCARS_Tech[BuffID],RawTech[BuffID],RawTech[Tag_WaveDefense])</f>
        <v>➖</v>
      </c>
      <c r="J76" s="419" t="str">
        <f t="array" ref="J76">XLOOKUP(LCARS_Tech[BuffID],RawTech[BuffID],RawTech[Tag_QTrial])</f>
        <v>➖</v>
      </c>
      <c r="K76" s="419" t="str">
        <f t="array" ref="K76">XLOOKUP(LCARS_Tech[BuffID],RawTech[BuffID],RawTech[Tag_MissionBosses])</f>
        <v>➖</v>
      </c>
      <c r="L76" s="419" t="str">
        <f t="array" ref="L76">XLOOKUP(LCARS_Tech[BuffID],RawTech[BuffID],RawTech[Tag_GroupArmadas])</f>
        <v>✴️</v>
      </c>
      <c r="M76" s="419" t="str">
        <f t="array" ref="M76">XLOOKUP(LCARS_Tech[BuffID],RawTech[BuffID],RawTech[Tag_SoloArmadas])</f>
        <v>✴️</v>
      </c>
      <c r="N76" s="419" t="str">
        <f t="array" ref="N76">XLOOKUP(LCARS_Tech[BuffID],RawTech[BuffID],RawTech[Tag_InvadingEntities])</f>
        <v>➖</v>
      </c>
      <c r="O76" s="419" t="str">
        <f t="array" ref="O76">XLOOKUP(LCARS_Tech[BuffID],RawTech[BuffID],RawTech[Tag_Assaults])</f>
        <v>➖</v>
      </c>
      <c r="P76" s="442" t="str">
        <f t="array" ref="P76">XLOOKUP(LCARS_Tech[BuffID],RawTech[BuffID],RawTech[Tag_OutpostArmadas])</f>
        <v>➖</v>
      </c>
      <c r="Q76" s="450" t="str">
        <f t="array" ref="Q76">XLOOKUP(LCARS_Tech[BuffID],RawTech[BuffID],RawTech[Tag_OutpostRetaliators])</f>
        <v>➖</v>
      </c>
      <c r="R76" s="450" t="str">
        <f t="array" ref="R76">XLOOKUP(MasterTech!$AF$4:$AF$214,RawTech!$AO$2:$AO$212,RawTech!$AV$2:$AV$212)</f>
        <v>SelfInterceptor</v>
      </c>
      <c r="S76" s="419" t="str">
        <f t="array" ref="S76">XLOOKUP(MasterTech!$AF$4:$AF$214,RawTech!$AO$2:$AO$212,RawTech!$AK$2:$AK$212)</f>
        <v>➖</v>
      </c>
      <c r="T76" s="422" t="str">
        <f t="array" ref="T76">XLOOKUP(MasterTech!$AF$4:$AF$214,RawTech!$AO$2:$AO$212,RawTech!$AM$2:$AM$212)</f>
        <v>➖</v>
      </c>
      <c r="U76" s="423" t="str">
        <f t="array" ref="U76">XLOOKUP(MasterTech!$AF$4:$AF$214,RawTech!$AO$2:$AO$212,RawTech!$D$2:$D$212)</f>
        <v>IsolyticDamage</v>
      </c>
      <c r="V76" s="420" t="str">
        <f t="array" ref="V76">XLOOKUP(MasterTech!$AF$4:$AF$214,RawTech!$AO$2:$AO$212,RawTech!$I$2:$I$212)</f>
        <v/>
      </c>
      <c r="W76" s="443" t="str">
        <f t="array" ref="W76">XLOOKUP(MasterTech!$AF$4:$AF$214,RawTech!$AO$2:$AO$212,RawTech!$E$2:$E$212)</f>
        <v>SelfInterceptor, TargetIsArmada</v>
      </c>
      <c r="X76" s="423" t="str">
        <f t="array" ref="X76">XLOOKUP(MasterTech!$AF$4:$AF$214,RawTech!$AO$2:$AO$212,RawTech!$F$2:$F$212)</f>
        <v>CombatStart</v>
      </c>
      <c r="Y76" s="423" t="str">
        <f t="array" ref="Y76">XLOOKUP(MasterTech!$AF$4:$AF$214,RawTech!$AO$2:$AO$212,RawTech!$G$2:$G$212)</f>
        <v>SelfShip</v>
      </c>
      <c r="Z76" s="423" t="str">
        <f t="array" ref="Z76">XLOOKUP(MasterTech!$AF$4:$AF$214,RawTech!$AO$2:$AO$212,RawTech!$H$2:$H$212)</f>
        <v>MultiplyAdd</v>
      </c>
      <c r="AA76" s="423" t="str">
        <f t="array" ref="AA76">XLOOKUP(MasterTech!$AF$4:$AF$214,RawTech!$AO$2:$AO$212,RawTech!$J$2:$J$212)</f>
        <v>Increases Interceptor Isolytic Damage against Armadas X</v>
      </c>
      <c r="AB76" s="424"/>
      <c r="AC76" s="463"/>
      <c r="AD76" s="425"/>
      <c r="AE76" s="461">
        <f t="array" ref="AE76">XLOOKUP(MasterTech!$AF$4:$AF$214,RawTech!$AO$2:$AO$212,RawTech!$AR$2:$AR$212)</f>
        <v>18</v>
      </c>
      <c r="AF76" s="427">
        <v>4.065760487E9</v>
      </c>
      <c r="AG76" s="428"/>
      <c r="AH76" s="428"/>
      <c r="AI76" s="429"/>
      <c r="AJ76" s="430"/>
    </row>
    <row r="77" ht="37.5" customHeight="1">
      <c r="A77" s="415" t="str">
        <f t="array" ref="A77">LEFT(XLOOKUP(LCARS_Tech[BuffID],RawTech[BuffID],RawTech[TechRarity]), 1)</f>
        <v>E</v>
      </c>
      <c r="B77" s="416"/>
      <c r="C77" s="464" t="str">
        <f t="array" ref="C77">HYPERLINK("https://stfc.space/forbidden_and_chaos_tech/" &amp; XLOOKUP(MasterTech!$AF$4:$AF$214,RawTech!$AO$2:$AO$212,RawTech!$AQ$2:$AQ$212), XLOOKUP(MasterTech!$AF$4:$AF$214,RawTech!$AO$2:$AO$212,RawTech!$B$2:$B$212))</f>
        <v>Berserker Complex</v>
      </c>
      <c r="D77" s="432">
        <f t="array" ref="D77">XLOOKUP(LCARS_Tech[BuffID],RawTech[BuffID],RawTech[BuffOrder])</f>
        <v>2</v>
      </c>
      <c r="E77" s="433" t="str">
        <f t="array" ref="E77">XLOOKUP(LCARS_Tech[BuffID],RawTech[BuffID],RawTech[TechType])</f>
        <v>FT</v>
      </c>
      <c r="F77" s="433" t="str">
        <f t="array" ref="F77">XLOOKUP(LCARS_Tech[BuffID],RawTech[BuffID],RawTech[Tag_PvPinSpace])</f>
        <v>➖</v>
      </c>
      <c r="G77" s="433" t="str">
        <f t="array" ref="G77">XLOOKUP(LCARS_Tech[BuffID],RawTech[BuffID],RawTech[Tag_PvPStation])</f>
        <v>➖</v>
      </c>
      <c r="H77" s="433" t="str">
        <f t="array" ref="H77">XLOOKUP(LCARS_Tech[BuffID],RawTech[BuffID],RawTech[Tag_NonArmadaHostiles])</f>
        <v>➖</v>
      </c>
      <c r="I77" s="433" t="str">
        <f t="array" ref="I77">XLOOKUP(LCARS_Tech[BuffID],RawTech[BuffID],RawTech[Tag_WaveDefense])</f>
        <v>➖</v>
      </c>
      <c r="J77" s="433" t="str">
        <f t="array" ref="J77">XLOOKUP(LCARS_Tech[BuffID],RawTech[BuffID],RawTech[Tag_QTrial])</f>
        <v>➖</v>
      </c>
      <c r="K77" s="433" t="str">
        <f t="array" ref="K77">XLOOKUP(LCARS_Tech[BuffID],RawTech[BuffID],RawTech[Tag_MissionBosses])</f>
        <v>➖</v>
      </c>
      <c r="L77" s="433" t="str">
        <f t="array" ref="L77">XLOOKUP(LCARS_Tech[BuffID],RawTech[BuffID],RawTech[Tag_GroupArmadas])</f>
        <v>✴️</v>
      </c>
      <c r="M77" s="433" t="str">
        <f t="array" ref="M77">XLOOKUP(LCARS_Tech[BuffID],RawTech[BuffID],RawTech[Tag_SoloArmadas])</f>
        <v>✴️</v>
      </c>
      <c r="N77" s="433" t="str">
        <f t="array" ref="N77">XLOOKUP(LCARS_Tech[BuffID],RawTech[BuffID],RawTech[Tag_InvadingEntities])</f>
        <v>➖</v>
      </c>
      <c r="O77" s="433" t="str">
        <f t="array" ref="O77">XLOOKUP(LCARS_Tech[BuffID],RawTech[BuffID],RawTech[Tag_Assaults])</f>
        <v>➖</v>
      </c>
      <c r="P77" s="434" t="str">
        <f t="array" ref="P77">XLOOKUP(LCARS_Tech[BuffID],RawTech[BuffID],RawTech[Tag_OutpostArmadas])</f>
        <v>➖</v>
      </c>
      <c r="Q77" s="451" t="str">
        <f t="array" ref="Q77">XLOOKUP(LCARS_Tech[BuffID],RawTech[BuffID],RawTech[Tag_OutpostRetaliators])</f>
        <v>➖</v>
      </c>
      <c r="R77" s="451" t="str">
        <f t="array" ref="R77">XLOOKUP(MasterTech!$AF$4:$AF$214,RawTech!$AO$2:$AO$212,RawTech!$AV$2:$AV$212)</f>
        <v>SelfInterceptor</v>
      </c>
      <c r="S77" s="433" t="str">
        <f t="array" ref="S77">XLOOKUP(MasterTech!$AF$4:$AF$214,RawTech!$AO$2:$AO$212,RawTech!$AK$2:$AK$212)</f>
        <v>➖</v>
      </c>
      <c r="T77" s="435" t="str">
        <f t="array" ref="T77">XLOOKUP(MasterTech!$AF$4:$AF$214,RawTech!$AO$2:$AO$212,RawTech!$AM$2:$AM$212)</f>
        <v>➖</v>
      </c>
      <c r="U77" s="438" t="str">
        <f t="array" ref="U77">XLOOKUP(MasterTech!$AF$4:$AF$214,RawTech!$AO$2:$AO$212,RawTech!$D$2:$D$212)</f>
        <v>AllPiercing</v>
      </c>
      <c r="V77" s="416" t="str">
        <f t="array" ref="V77">XLOOKUP(MasterTech!$AF$4:$AF$214,RawTech!$AO$2:$AO$212,RawTech!$I$2:$I$212)</f>
        <v/>
      </c>
      <c r="W77" s="447" t="str">
        <f t="array" ref="W77">XLOOKUP(MasterTech!$AF$4:$AF$214,RawTech!$AO$2:$AO$212,RawTech!$E$2:$E$212)</f>
        <v>SelfInterceptor, TargetIsArmada</v>
      </c>
      <c r="X77" s="438" t="str">
        <f t="array" ref="X77">XLOOKUP(MasterTech!$AF$4:$AF$214,RawTech!$AO$2:$AO$212,RawTech!$F$2:$F$212)</f>
        <v>CombatStart</v>
      </c>
      <c r="Y77" s="438" t="str">
        <f t="array" ref="Y77">XLOOKUP(MasterTech!$AF$4:$AF$214,RawTech!$AO$2:$AO$212,RawTech!$G$2:$G$212)</f>
        <v>SelfShip</v>
      </c>
      <c r="Z77" s="438" t="str">
        <f t="array" ref="Z77">XLOOKUP(MasterTech!$AF$4:$AF$214,RawTech!$AO$2:$AO$212,RawTech!$H$2:$H$212)</f>
        <v>MultiplyAdd</v>
      </c>
      <c r="AA77" s="438" t="str">
        <f t="array" ref="AA77">XLOOKUP(MasterTech!$AF$4:$AF$214,RawTech!$AO$2:$AO$212,RawTech!$J$2:$J$212)</f>
        <v>Increases Interceptor Shield Piercing, Armor Piercing, and Accuracy against Armadas X</v>
      </c>
      <c r="AB77" s="439"/>
      <c r="AC77" s="440"/>
      <c r="AD77" s="440"/>
      <c r="AE77" s="462">
        <f t="array" ref="AE77">XLOOKUP(MasterTech!$AF$4:$AF$214,RawTech!$AO$2:$AO$212,RawTech!$AR$2:$AR$212)</f>
        <v>18</v>
      </c>
      <c r="AF77" s="427">
        <v>4.24774234E9</v>
      </c>
      <c r="AG77" s="428"/>
      <c r="AH77" s="428"/>
      <c r="AI77" s="429"/>
      <c r="AJ77" s="430"/>
    </row>
    <row r="78" ht="37.5" customHeight="1">
      <c r="A78" s="415" t="str">
        <f t="array" ref="A78">LEFT(XLOOKUP(LCARS_Tech[BuffID],RawTech[BuffID],RawTech[TechRarity]), 1)</f>
        <v>E</v>
      </c>
      <c r="B78" s="420"/>
      <c r="C78" s="460" t="str">
        <f t="array" ref="C78">HYPERLINK("https://stfc.space/forbidden_and_chaos_tech/" &amp; XLOOKUP(MasterTech!$AF$4:$AF$214,RawTech!$AO$2:$AO$212,RawTech!$AQ$2:$AQ$212), XLOOKUP(MasterTech!$AF$4:$AF$214,RawTech!$AO$2:$AO$212,RawTech!$B$2:$B$212))</f>
        <v>Berserker Complex</v>
      </c>
      <c r="D78" s="418">
        <f t="array" ref="D78">XLOOKUP(LCARS_Tech[BuffID],RawTech[BuffID],RawTech[BuffOrder])</f>
        <v>3</v>
      </c>
      <c r="E78" s="419" t="str">
        <f t="array" ref="E78">XLOOKUP(LCARS_Tech[BuffID],RawTech[BuffID],RawTech[TechType])</f>
        <v>FT</v>
      </c>
      <c r="F78" s="419" t="str">
        <f t="array" ref="F78">XLOOKUP(LCARS_Tech[BuffID],RawTech[BuffID],RawTech[Tag_PvPinSpace])</f>
        <v>➖</v>
      </c>
      <c r="G78" s="419" t="str">
        <f t="array" ref="G78">XLOOKUP(LCARS_Tech[BuffID],RawTech[BuffID],RawTech[Tag_PvPStation])</f>
        <v>➖</v>
      </c>
      <c r="H78" s="419" t="str">
        <f t="array" ref="H78">XLOOKUP(LCARS_Tech[BuffID],RawTech[BuffID],RawTech[Tag_NonArmadaHostiles])</f>
        <v>➖</v>
      </c>
      <c r="I78" s="419" t="str">
        <f t="array" ref="I78">XLOOKUP(LCARS_Tech[BuffID],RawTech[BuffID],RawTech[Tag_WaveDefense])</f>
        <v>➖</v>
      </c>
      <c r="J78" s="419" t="str">
        <f t="array" ref="J78">XLOOKUP(LCARS_Tech[BuffID],RawTech[BuffID],RawTech[Tag_QTrial])</f>
        <v>➖</v>
      </c>
      <c r="K78" s="419" t="str">
        <f t="array" ref="K78">XLOOKUP(LCARS_Tech[BuffID],RawTech[BuffID],RawTech[Tag_MissionBosses])</f>
        <v>➖</v>
      </c>
      <c r="L78" s="419" t="str">
        <f t="array" ref="L78">XLOOKUP(LCARS_Tech[BuffID],RawTech[BuffID],RawTech[Tag_GroupArmadas])</f>
        <v>✴️</v>
      </c>
      <c r="M78" s="419" t="str">
        <f t="array" ref="M78">XLOOKUP(LCARS_Tech[BuffID],RawTech[BuffID],RawTech[Tag_SoloArmadas])</f>
        <v>✴️</v>
      </c>
      <c r="N78" s="419" t="str">
        <f t="array" ref="N78">XLOOKUP(LCARS_Tech[BuffID],RawTech[BuffID],RawTech[Tag_InvadingEntities])</f>
        <v>➖</v>
      </c>
      <c r="O78" s="419" t="str">
        <f t="array" ref="O78">XLOOKUP(LCARS_Tech[BuffID],RawTech[BuffID],RawTech[Tag_Assaults])</f>
        <v>➖</v>
      </c>
      <c r="P78" s="442" t="str">
        <f t="array" ref="P78">XLOOKUP(LCARS_Tech[BuffID],RawTech[BuffID],RawTech[Tag_OutpostArmadas])</f>
        <v>➖</v>
      </c>
      <c r="Q78" s="450" t="str">
        <f t="array" ref="Q78">XLOOKUP(LCARS_Tech[BuffID],RawTech[BuffID],RawTech[Tag_OutpostRetaliators])</f>
        <v>➖</v>
      </c>
      <c r="R78" s="450" t="str">
        <f t="array" ref="R78">XLOOKUP(MasterTech!$AF$4:$AF$214,RawTech!$AO$2:$AO$212,RawTech!$AV$2:$AV$212)</f>
        <v>SelfInterceptor</v>
      </c>
      <c r="S78" s="419" t="str">
        <f t="array" ref="S78">XLOOKUP(MasterTech!$AF$4:$AF$214,RawTech!$AO$2:$AO$212,RawTech!$AK$2:$AK$212)</f>
        <v>➖</v>
      </c>
      <c r="T78" s="422" t="str">
        <f t="array" ref="T78">XLOOKUP(MasterTech!$AF$4:$AF$214,RawTech!$AO$2:$AO$212,RawTech!$AM$2:$AM$212)</f>
        <v>➖</v>
      </c>
      <c r="U78" s="423" t="str">
        <f t="array" ref="U78">XLOOKUP(MasterTech!$AF$4:$AF$214,RawTech!$AO$2:$AO$212,RawTech!$D$2:$D$212)</f>
        <v>CritDamage</v>
      </c>
      <c r="V78" s="420" t="str">
        <f t="array" ref="V78">XLOOKUP(MasterTech!$AF$4:$AF$214,RawTech!$AO$2:$AO$212,RawTech!$I$2:$I$212)</f>
        <v/>
      </c>
      <c r="W78" s="443" t="str">
        <f t="array" ref="W78">XLOOKUP(MasterTech!$AF$4:$AF$214,RawTech!$AO$2:$AO$212,RawTech!$E$2:$E$212)</f>
        <v>SelfInterceptor, TargetIsArmada</v>
      </c>
      <c r="X78" s="423" t="str">
        <f t="array" ref="X78">XLOOKUP(MasterTech!$AF$4:$AF$214,RawTech!$AO$2:$AO$212,RawTech!$F$2:$F$212)</f>
        <v>CombatStart</v>
      </c>
      <c r="Y78" s="423" t="str">
        <f t="array" ref="Y78">XLOOKUP(MasterTech!$AF$4:$AF$214,RawTech!$AO$2:$AO$212,RawTech!$G$2:$G$212)</f>
        <v>SelfShip</v>
      </c>
      <c r="Z78" s="423" t="str">
        <f t="array" ref="Z78">XLOOKUP(MasterTech!$AF$4:$AF$214,RawTech!$AO$2:$AO$212,RawTech!$H$2:$H$212)</f>
        <v>Add</v>
      </c>
      <c r="AA78" s="423" t="str">
        <f t="array" ref="AA78">XLOOKUP(MasterTech!$AF$4:$AF$214,RawTech!$AO$2:$AO$212,RawTech!$J$2:$J$212)</f>
        <v>Increases Interceptor Critical Damage against Armadas X</v>
      </c>
      <c r="AB78" s="424"/>
      <c r="AC78" s="425"/>
      <c r="AD78" s="425"/>
      <c r="AE78" s="461">
        <f t="array" ref="AE78">XLOOKUP(MasterTech!$AF$4:$AF$214,RawTech!$AO$2:$AO$212,RawTech!$AR$2:$AR$212)</f>
        <v>18</v>
      </c>
      <c r="AF78" s="427">
        <v>3.481926486E9</v>
      </c>
      <c r="AG78" s="428"/>
      <c r="AH78" s="428"/>
      <c r="AI78" s="429"/>
      <c r="AJ78" s="430"/>
    </row>
    <row r="79" ht="37.5" customHeight="1">
      <c r="A79" s="415" t="str">
        <f t="array" ref="A79">LEFT(XLOOKUP(LCARS_Tech[BuffID],RawTech[BuffID],RawTech[TechRarity]), 1)</f>
        <v>E</v>
      </c>
      <c r="B79" s="416"/>
      <c r="C79" s="464" t="str">
        <f t="array" ref="C79">HYPERLINK("https://stfc.space/forbidden_and_chaos_tech/" &amp; XLOOKUP(MasterTech!$AF$4:$AF$214,RawTech!$AO$2:$AO$212,RawTech!$AQ$2:$AQ$212), XLOOKUP(MasterTech!$AF$4:$AF$214,RawTech!$AO$2:$AO$212,RawTech!$B$2:$B$212))</f>
        <v>Berserker Complex</v>
      </c>
      <c r="D79" s="432">
        <f t="array" ref="D79">XLOOKUP(LCARS_Tech[BuffID],RawTech[BuffID],RawTech[BuffOrder])</f>
        <v>4</v>
      </c>
      <c r="E79" s="433" t="str">
        <f t="array" ref="E79">XLOOKUP(LCARS_Tech[BuffID],RawTech[BuffID],RawTech[TechType])</f>
        <v>FT</v>
      </c>
      <c r="F79" s="433" t="str">
        <f t="array" ref="F79">XLOOKUP(LCARS_Tech[BuffID],RawTech[BuffID],RawTech[Tag_PvPinSpace])</f>
        <v>➖</v>
      </c>
      <c r="G79" s="433" t="str">
        <f t="array" ref="G79">XLOOKUP(LCARS_Tech[BuffID],RawTech[BuffID],RawTech[Tag_PvPStation])</f>
        <v>➖</v>
      </c>
      <c r="H79" s="433" t="str">
        <f t="array" ref="H79">XLOOKUP(LCARS_Tech[BuffID],RawTech[BuffID],RawTech[Tag_NonArmadaHostiles])</f>
        <v>➖</v>
      </c>
      <c r="I79" s="433" t="str">
        <f t="array" ref="I79">XLOOKUP(LCARS_Tech[BuffID],RawTech[BuffID],RawTech[Tag_WaveDefense])</f>
        <v>➖</v>
      </c>
      <c r="J79" s="433" t="str">
        <f t="array" ref="J79">XLOOKUP(LCARS_Tech[BuffID],RawTech[BuffID],RawTech[Tag_QTrial])</f>
        <v>➖</v>
      </c>
      <c r="K79" s="433" t="str">
        <f t="array" ref="K79">XLOOKUP(LCARS_Tech[BuffID],RawTech[BuffID],RawTech[Tag_MissionBosses])</f>
        <v>➖</v>
      </c>
      <c r="L79" s="433" t="str">
        <f t="array" ref="L79">XLOOKUP(LCARS_Tech[BuffID],RawTech[BuffID],RawTech[Tag_GroupArmadas])</f>
        <v>✴️</v>
      </c>
      <c r="M79" s="433" t="str">
        <f t="array" ref="M79">XLOOKUP(LCARS_Tech[BuffID],RawTech[BuffID],RawTech[Tag_SoloArmadas])</f>
        <v>✴️</v>
      </c>
      <c r="N79" s="433" t="str">
        <f t="array" ref="N79">XLOOKUP(LCARS_Tech[BuffID],RawTech[BuffID],RawTech[Tag_InvadingEntities])</f>
        <v>➖</v>
      </c>
      <c r="O79" s="433" t="str">
        <f t="array" ref="O79">XLOOKUP(LCARS_Tech[BuffID],RawTech[BuffID],RawTech[Tag_Assaults])</f>
        <v>➖</v>
      </c>
      <c r="P79" s="434" t="str">
        <f t="array" ref="P79">XLOOKUP(LCARS_Tech[BuffID],RawTech[BuffID],RawTech[Tag_OutpostArmadas])</f>
        <v>➖</v>
      </c>
      <c r="Q79" s="451" t="str">
        <f t="array" ref="Q79">XLOOKUP(LCARS_Tech[BuffID],RawTech[BuffID],RawTech[Tag_OutpostRetaliators])</f>
        <v>➖</v>
      </c>
      <c r="R79" s="451" t="str">
        <f t="array" ref="R79">XLOOKUP(MasterTech!$AF$4:$AF$214,RawTech!$AO$2:$AO$212,RawTech!$AV$2:$AV$212)</f>
        <v>SelfInterceptor</v>
      </c>
      <c r="S79" s="433" t="str">
        <f t="array" ref="S79">XLOOKUP(MasterTech!$AF$4:$AF$214,RawTech!$AO$2:$AO$212,RawTech!$AK$2:$AK$212)</f>
        <v>➖</v>
      </c>
      <c r="T79" s="435" t="str">
        <f t="array" ref="T79">XLOOKUP(MasterTech!$AF$4:$AF$214,RawTech!$AO$2:$AO$212,RawTech!$AM$2:$AM$212)</f>
        <v>➖</v>
      </c>
      <c r="U79" s="438" t="str">
        <f t="array" ref="U79">XLOOKUP(MasterTech!$AF$4:$AF$214,RawTech!$AO$2:$AO$212,RawTech!$D$2:$D$212)</f>
        <v>CritChance</v>
      </c>
      <c r="V79" s="416" t="str">
        <f t="array" ref="V79">XLOOKUP(MasterTech!$AF$4:$AF$214,RawTech!$AO$2:$AO$212,RawTech!$I$2:$I$212)</f>
        <v/>
      </c>
      <c r="W79" s="447" t="str">
        <f t="array" ref="W79">XLOOKUP(MasterTech!$AF$4:$AF$214,RawTech!$AO$2:$AO$212,RawTech!$E$2:$E$212)</f>
        <v>SelfInterceptor, TargetIsArmada</v>
      </c>
      <c r="X79" s="438" t="str">
        <f t="array" ref="X79">XLOOKUP(MasterTech!$AF$4:$AF$214,RawTech!$AO$2:$AO$212,RawTech!$F$2:$F$212)</f>
        <v>CombatStart</v>
      </c>
      <c r="Y79" s="438" t="str">
        <f t="array" ref="Y79">XLOOKUP(MasterTech!$AF$4:$AF$214,RawTech!$AO$2:$AO$212,RawTech!$G$2:$G$212)</f>
        <v>SelfShip</v>
      </c>
      <c r="Z79" s="438" t="str">
        <f t="array" ref="Z79">XLOOKUP(MasterTech!$AF$4:$AF$214,RawTech!$AO$2:$AO$212,RawTech!$H$2:$H$212)</f>
        <v>Add</v>
      </c>
      <c r="AA79" s="438" t="str">
        <f t="array" ref="AA79">XLOOKUP(MasterTech!$AF$4:$AF$214,RawTech!$AO$2:$AO$212,RawTech!$J$2:$J$212)</f>
        <v>Increases Interceptor Critical Hit Chance against Armadas X</v>
      </c>
      <c r="AB79" s="439"/>
      <c r="AC79" s="440"/>
      <c r="AD79" s="440"/>
      <c r="AE79" s="462">
        <f t="array" ref="AE79">XLOOKUP(MasterTech!$AF$4:$AF$214,RawTech!$AO$2:$AO$212,RawTech!$AR$2:$AR$212)</f>
        <v>18</v>
      </c>
      <c r="AF79" s="427">
        <v>8.03755984E8</v>
      </c>
      <c r="AG79" s="428"/>
      <c r="AH79" s="428"/>
      <c r="AI79" s="429"/>
      <c r="AJ79" s="430"/>
    </row>
    <row r="80" ht="37.5" customHeight="1">
      <c r="A80" s="415" t="str">
        <f t="array" ref="A80">LEFT(XLOOKUP(LCARS_Tech[BuffID],RawTech[BuffID],RawTech[TechRarity]), 1)</f>
        <v>R</v>
      </c>
      <c r="B80" s="420"/>
      <c r="C80" s="452" t="str">
        <f t="array" ref="C80">HYPERLINK("https://stfc.space/forbidden_and_chaos_tech/" &amp; XLOOKUP(MasterTech!$AF$4:$AF$214,RawTech!$AO$2:$AO$212,RawTech!$AQ$2:$AQ$212), XLOOKUP(MasterTech!$AF$4:$AF$214,RawTech!$AO$2:$AO$212,RawTech!$B$2:$B$212))</f>
        <v>Corrupted Cybernetic Implant</v>
      </c>
      <c r="D80" s="418">
        <f t="array" ref="D80">XLOOKUP(LCARS_Tech[BuffID],RawTech[BuffID],RawTech[BuffOrder])</f>
        <v>1</v>
      </c>
      <c r="E80" s="419" t="str">
        <f t="array" ref="E80">XLOOKUP(LCARS_Tech[BuffID],RawTech[BuffID],RawTech[TechType])</f>
        <v>FT</v>
      </c>
      <c r="F80" s="419" t="str">
        <f t="array" ref="F80">XLOOKUP(LCARS_Tech[BuffID],RawTech[BuffID],RawTech[Tag_PvPinSpace])</f>
        <v>➖</v>
      </c>
      <c r="G80" s="419" t="str">
        <f t="array" ref="G80">XLOOKUP(LCARS_Tech[BuffID],RawTech[BuffID],RawTech[Tag_PvPStation])</f>
        <v>✅</v>
      </c>
      <c r="H80" s="419" t="str">
        <f t="array" ref="H80">XLOOKUP(LCARS_Tech[BuffID],RawTech[BuffID],RawTech[Tag_NonArmadaHostiles])</f>
        <v>➖</v>
      </c>
      <c r="I80" s="419" t="str">
        <f t="array" ref="I80">XLOOKUP(LCARS_Tech[BuffID],RawTech[BuffID],RawTech[Tag_WaveDefense])</f>
        <v>➖</v>
      </c>
      <c r="J80" s="419" t="str">
        <f t="array" ref="J80">XLOOKUP(LCARS_Tech[BuffID],RawTech[BuffID],RawTech[Tag_QTrial])</f>
        <v>➖</v>
      </c>
      <c r="K80" s="419" t="str">
        <f t="array" ref="K80">XLOOKUP(LCARS_Tech[BuffID],RawTech[BuffID],RawTech[Tag_MissionBosses])</f>
        <v>➖</v>
      </c>
      <c r="L80" s="419" t="str">
        <f t="array" ref="L80">XLOOKUP(LCARS_Tech[BuffID],RawTech[BuffID],RawTech[Tag_GroupArmadas])</f>
        <v>➖</v>
      </c>
      <c r="M80" s="419" t="str">
        <f t="array" ref="M80">XLOOKUP(LCARS_Tech[BuffID],RawTech[BuffID],RawTech[Tag_SoloArmadas])</f>
        <v>➖</v>
      </c>
      <c r="N80" s="419" t="str">
        <f t="array" ref="N80">XLOOKUP(LCARS_Tech[BuffID],RawTech[BuffID],RawTech[Tag_InvadingEntities])</f>
        <v>➖</v>
      </c>
      <c r="O80" s="419" t="str">
        <f t="array" ref="O80">XLOOKUP(LCARS_Tech[BuffID],RawTech[BuffID],RawTech[Tag_Assaults])</f>
        <v>➖</v>
      </c>
      <c r="P80" s="442" t="str">
        <f t="array" ref="P80">XLOOKUP(LCARS_Tech[BuffID],RawTech[BuffID],RawTech[Tag_OutpostArmadas])</f>
        <v>➖</v>
      </c>
      <c r="Q80" s="420" t="str">
        <f t="array" ref="Q80">XLOOKUP(LCARS_Tech[BuffID],RawTech[BuffID],RawTech[Tag_OutpostRetaliators])</f>
        <v>➖</v>
      </c>
      <c r="R80" s="420" t="str">
        <f t="array" ref="R80">XLOOKUP(MasterTech!$AF$4:$AF$214,RawTech!$AO$2:$AO$212,RawTech!$AV$2:$AV$212)</f>
        <v/>
      </c>
      <c r="S80" s="419" t="str">
        <f t="array" ref="S80">XLOOKUP(MasterTech!$AF$4:$AF$214,RawTech!$AO$2:$AO$212,RawTech!$AK$2:$AK$212)</f>
        <v>➖</v>
      </c>
      <c r="T80" s="422" t="str">
        <f t="array" ref="T80">XLOOKUP(MasterTech!$AF$4:$AF$214,RawTech!$AO$2:$AO$212,RawTech!$AM$2:$AM$212)</f>
        <v>➖</v>
      </c>
      <c r="U80" s="423" t="str">
        <f t="array" ref="U80">XLOOKUP(MasterTech!$AF$4:$AF$214,RawTech!$AO$2:$AO$212,RawTech!$D$2:$D$212)</f>
        <v>AllDefenses</v>
      </c>
      <c r="V80" s="423" t="str">
        <f t="array" ref="V80">XLOOKUP(MasterTech!$AF$4:$AF$214,RawTech!$AO$2:$AO$212,RawTech!$I$2:$I$212)</f>
        <v>num_rounds=3</v>
      </c>
      <c r="W80" s="443" t="str">
        <f t="array" ref="W80">XLOOKUP(MasterTech!$AF$4:$AF$214,RawTech!$AO$2:$AO$212,RawTech!$E$2:$E$212)</f>
        <v>TargetNotASB, EnemySentinel</v>
      </c>
      <c r="X80" s="423" t="str">
        <f t="array" ref="X80">XLOOKUP(MasterTech!$AF$4:$AF$214,RawTech!$AO$2:$AO$212,RawTech!$F$2:$F$212)</f>
        <v>CombatStart</v>
      </c>
      <c r="Y80" s="423" t="str">
        <f t="array" ref="Y80">XLOOKUP(MasterTech!$AF$4:$AF$214,RawTech!$AO$2:$AO$212,RawTech!$G$2:$G$212)</f>
        <v>SelfShip</v>
      </c>
      <c r="Z80" s="423" t="str">
        <f t="array" ref="Z80">XLOOKUP(MasterTech!$AF$4:$AF$214,RawTech!$AO$2:$AO$212,RawTech!$H$2:$H$212)</f>
        <v>MultiplyAdd</v>
      </c>
      <c r="AA80" s="423" t="str">
        <f t="array" ref="AA80">XLOOKUP(MasterTech!$AF$4:$AF$214,RawTech!$AO$2:$AO$212,RawTech!$J$2:$J$212)</f>
        <v>Increases all mitigation stats for three rounds when attacking player Stations X</v>
      </c>
      <c r="AB80" s="424"/>
      <c r="AC80" s="425"/>
      <c r="AD80" s="425"/>
      <c r="AE80" s="453">
        <f t="array" ref="AE80">XLOOKUP(MasterTech!$AF$4:$AF$214,RawTech!$AO$2:$AO$212,RawTech!$AR$2:$AR$212)</f>
        <v>22</v>
      </c>
      <c r="AF80" s="427">
        <v>2.642611391E9</v>
      </c>
      <c r="AG80" s="428"/>
      <c r="AH80" s="428"/>
      <c r="AI80" s="429"/>
      <c r="AJ80" s="430"/>
    </row>
    <row r="81" ht="37.5" customHeight="1">
      <c r="A81" s="415" t="str">
        <f t="array" ref="A81">LEFT(XLOOKUP(LCARS_Tech[BuffID],RawTech[BuffID],RawTech[TechRarity]), 1)</f>
        <v>R</v>
      </c>
      <c r="B81" s="416"/>
      <c r="C81" s="417" t="str">
        <f t="array" ref="C81">HYPERLINK("https://stfc.space/forbidden_and_chaos_tech/" &amp; XLOOKUP(LCARS_Tech[BuffID],RawTech[BuffID],RawTech[TechId]), XLOOKUP(LCARS_Tech[BuffID],RawTech[BuffID],RawTech[TechName]))</f>
        <v>Corrupted Cybernetic Implant</v>
      </c>
      <c r="D81" s="432">
        <f t="array" ref="D81">XLOOKUP(LCARS_Tech[BuffID],RawTech[BuffID],RawTech[BuffOrder])</f>
        <v>2</v>
      </c>
      <c r="E81" s="433" t="str">
        <f t="array" ref="E81">XLOOKUP(LCARS_Tech[BuffID],RawTech[BuffID],RawTech[TechType])</f>
        <v>FT</v>
      </c>
      <c r="F81" s="433" t="str">
        <f t="array" ref="F81">XLOOKUP(LCARS_Tech[BuffID],RawTech[BuffID],RawTech[Tag_PvPinSpace])</f>
        <v>✅</v>
      </c>
      <c r="G81" s="433" t="str">
        <f t="array" ref="G81">XLOOKUP(LCARS_Tech[BuffID],RawTech[BuffID],RawTech[Tag_PvPStation])</f>
        <v>✅</v>
      </c>
      <c r="H81" s="433" t="str">
        <f t="array" ref="H81">XLOOKUP(LCARS_Tech[BuffID],RawTech[BuffID],RawTech[Tag_NonArmadaHostiles])</f>
        <v>✅</v>
      </c>
      <c r="I81" s="433" t="str">
        <f t="array" ref="I81">XLOOKUP(LCARS_Tech[BuffID],RawTech[BuffID],RawTech[Tag_WaveDefense])</f>
        <v>✅</v>
      </c>
      <c r="J81" s="433" t="str">
        <f t="array" ref="J81">XLOOKUP(LCARS_Tech[BuffID],RawTech[BuffID],RawTech[Tag_QTrial])</f>
        <v>✅</v>
      </c>
      <c r="K81" s="433" t="str">
        <f t="array" ref="K81">XLOOKUP(LCARS_Tech[BuffID],RawTech[BuffID],RawTech[Tag_MissionBosses])</f>
        <v>✅</v>
      </c>
      <c r="L81" s="433" t="str">
        <f t="array" ref="L81">XLOOKUP(LCARS_Tech[BuffID],RawTech[BuffID],RawTech[Tag_GroupArmadas])</f>
        <v>✅</v>
      </c>
      <c r="M81" s="433" t="str">
        <f t="array" ref="M81">XLOOKUP(LCARS_Tech[BuffID],RawTech[BuffID],RawTech[Tag_SoloArmadas])</f>
        <v>✅</v>
      </c>
      <c r="N81" s="433" t="str">
        <f t="array" ref="N81">XLOOKUP(LCARS_Tech[BuffID],RawTech[BuffID],RawTech[Tag_InvadingEntities])</f>
        <v>✅</v>
      </c>
      <c r="O81" s="433" t="str">
        <f t="array" ref="O81">XLOOKUP(LCARS_Tech[BuffID],RawTech[BuffID],RawTech[Tag_Assaults])</f>
        <v>✅</v>
      </c>
      <c r="P81" s="434" t="str">
        <f t="array" ref="P81">XLOOKUP(LCARS_Tech[BuffID],RawTech[BuffID],RawTech[Tag_OutpostArmadas])</f>
        <v>✅</v>
      </c>
      <c r="Q81" s="416" t="str">
        <f t="array" ref="Q81">XLOOKUP(LCARS_Tech[BuffID],RawTech[BuffID],RawTech[Tag_OutpostRetaliators])</f>
        <v>✅</v>
      </c>
      <c r="R81" s="416" t="str">
        <f t="array" ref="R81">XLOOKUP(MasterTech!$AF$4:$AF$214,RawTech!$AO$2:$AO$212,RawTech!$AV$2:$AV$212)</f>
        <v/>
      </c>
      <c r="S81" s="433" t="str">
        <f t="array" ref="S81">XLOOKUP(MasterTech!$AF$4:$AF$214,RawTech!$AO$2:$AO$212,RawTech!$AK$2:$AK$212)</f>
        <v>➖</v>
      </c>
      <c r="T81" s="435" t="str">
        <f t="array" ref="T81">XLOOKUP(MasterTech!$AF$4:$AF$214,RawTech!$AO$2:$AO$212,RawTech!$AM$2:$AM$212)</f>
        <v>➖</v>
      </c>
      <c r="U81" s="438" t="str">
        <f t="array" ref="U81">XLOOKUP(MasterTech!$AF$4:$AF$214,RawTech!$AO$2:$AO$212,RawTech!$D$2:$D$212)</f>
        <v>HullHPMax</v>
      </c>
      <c r="V81" s="416" t="str">
        <f t="array" ref="V81">XLOOKUP(MasterTech!$AF$4:$AF$214,RawTech!$AO$2:$AO$212,RawTech!$I$2:$I$212)</f>
        <v/>
      </c>
      <c r="W81" s="437" t="str">
        <f t="array" ref="W81">XLOOKUP(MasterTech!$AF$4:$AF$214,RawTech!$AO$2:$AO$212,RawTech!$E$2:$E$212)</f>
        <v/>
      </c>
      <c r="X81" s="438" t="str">
        <f t="array" ref="X81">XLOOKUP(MasterTech!$AF$4:$AF$214,RawTech!$AO$2:$AO$212,RawTech!$F$2:$F$212)</f>
        <v>ShipLaunched</v>
      </c>
      <c r="Y81" s="438" t="str">
        <f t="array" ref="Y81">XLOOKUP(MasterTech!$AF$4:$AF$214,RawTech!$AO$2:$AO$212,RawTech!$G$2:$G$212)</f>
        <v>SelfShip</v>
      </c>
      <c r="Z81" s="438" t="str">
        <f t="array" ref="Z81">XLOOKUP(MasterTech!$AF$4:$AF$214,RawTech!$AO$2:$AO$212,RawTech!$H$2:$H$212)</f>
        <v>MultiplyAdd</v>
      </c>
      <c r="AA81" s="438" t="str">
        <f t="array" ref="AA81">XLOOKUP(MasterTech!$AF$4:$AF$214,RawTech!$AO$2:$AO$212,RawTech!$J$2:$J$212)</f>
        <v>Increases Hull Health X</v>
      </c>
      <c r="AB81" s="439"/>
      <c r="AC81" s="440"/>
      <c r="AD81" s="440"/>
      <c r="AE81" s="455">
        <f t="array" ref="AE81">XLOOKUP(MasterTech!$AF$4:$AF$214,RawTech!$AO$2:$AO$212,RawTech!$AR$2:$AR$212)</f>
        <v>22</v>
      </c>
      <c r="AF81" s="427">
        <v>9.88491671E8</v>
      </c>
      <c r="AG81" s="428"/>
      <c r="AH81" s="428"/>
      <c r="AI81" s="429"/>
      <c r="AJ81" s="430"/>
    </row>
    <row r="82" ht="37.5" customHeight="1">
      <c r="A82" s="415" t="str">
        <f t="array" ref="A82">LEFT(XLOOKUP(LCARS_Tech[BuffID],RawTech[BuffID],RawTech[TechRarity]), 1)</f>
        <v>R</v>
      </c>
      <c r="B82" s="420"/>
      <c r="C82" s="452" t="str">
        <f t="array" ref="C82">HYPERLINK("https://stfc.space/forbidden_and_chaos_tech/" &amp; XLOOKUP(MasterTech!$AF$4:$AF$214,RawTech!$AO$2:$AO$212,RawTech!$AQ$2:$AQ$212), XLOOKUP(MasterTech!$AF$4:$AF$214,RawTech!$AO$2:$AO$212,RawTech!$B$2:$B$212))</f>
        <v>Corrupted Cybernetic Implant</v>
      </c>
      <c r="D82" s="418">
        <f t="array" ref="D82">XLOOKUP(LCARS_Tech[BuffID],RawTech[BuffID],RawTech[BuffOrder])</f>
        <v>3</v>
      </c>
      <c r="E82" s="419" t="str">
        <f t="array" ref="E82">XLOOKUP(LCARS_Tech[BuffID],RawTech[BuffID],RawTech[TechType])</f>
        <v>FT</v>
      </c>
      <c r="F82" s="419" t="str">
        <f t="array" ref="F82">XLOOKUP(LCARS_Tech[BuffID],RawTech[BuffID],RawTech[Tag_PvPinSpace])</f>
        <v>➖</v>
      </c>
      <c r="G82" s="419" t="str">
        <f t="array" ref="G82">XLOOKUP(LCARS_Tech[BuffID],RawTech[BuffID],RawTech[Tag_PvPStation])</f>
        <v>✅</v>
      </c>
      <c r="H82" s="419" t="str">
        <f t="array" ref="H82">XLOOKUP(LCARS_Tech[BuffID],RawTech[BuffID],RawTech[Tag_NonArmadaHostiles])</f>
        <v>➖</v>
      </c>
      <c r="I82" s="419" t="str">
        <f t="array" ref="I82">XLOOKUP(LCARS_Tech[BuffID],RawTech[BuffID],RawTech[Tag_WaveDefense])</f>
        <v>➖</v>
      </c>
      <c r="J82" s="419" t="str">
        <f t="array" ref="J82">XLOOKUP(LCARS_Tech[BuffID],RawTech[BuffID],RawTech[Tag_QTrial])</f>
        <v>➖</v>
      </c>
      <c r="K82" s="419" t="str">
        <f t="array" ref="K82">XLOOKUP(LCARS_Tech[BuffID],RawTech[BuffID],RawTech[Tag_MissionBosses])</f>
        <v>➖</v>
      </c>
      <c r="L82" s="419" t="str">
        <f t="array" ref="L82">XLOOKUP(LCARS_Tech[BuffID],RawTech[BuffID],RawTech[Tag_GroupArmadas])</f>
        <v>➖</v>
      </c>
      <c r="M82" s="419" t="str">
        <f t="array" ref="M82">XLOOKUP(LCARS_Tech[BuffID],RawTech[BuffID],RawTech[Tag_SoloArmadas])</f>
        <v>➖</v>
      </c>
      <c r="N82" s="419" t="str">
        <f t="array" ref="N82">XLOOKUP(LCARS_Tech[BuffID],RawTech[BuffID],RawTech[Tag_InvadingEntities])</f>
        <v>➖</v>
      </c>
      <c r="O82" s="419" t="str">
        <f t="array" ref="O82">XLOOKUP(LCARS_Tech[BuffID],RawTech[BuffID],RawTech[Tag_Assaults])</f>
        <v>➖</v>
      </c>
      <c r="P82" s="442" t="str">
        <f t="array" ref="P82">XLOOKUP(LCARS_Tech[BuffID],RawTech[BuffID],RawTech[Tag_OutpostArmadas])</f>
        <v>➖</v>
      </c>
      <c r="Q82" s="420" t="str">
        <f t="array" ref="Q82">XLOOKUP(LCARS_Tech[BuffID],RawTech[BuffID],RawTech[Tag_OutpostRetaliators])</f>
        <v>➖</v>
      </c>
      <c r="R82" s="420" t="str">
        <f t="array" ref="R82">XLOOKUP(MasterTech!$AF$4:$AF$214,RawTech!$AO$2:$AO$212,RawTech!$AV$2:$AV$212)</f>
        <v/>
      </c>
      <c r="S82" s="419" t="str">
        <f t="array" ref="S82">XLOOKUP(MasterTech!$AF$4:$AF$214,RawTech!$AO$2:$AO$212,RawTech!$AK$2:$AK$212)</f>
        <v>➖</v>
      </c>
      <c r="T82" s="422" t="str">
        <f t="array" ref="T82">XLOOKUP(MasterTech!$AF$4:$AF$214,RawTech!$AO$2:$AO$212,RawTech!$AM$2:$AM$212)</f>
        <v>➖</v>
      </c>
      <c r="U82" s="423" t="str">
        <f t="array" ref="U82">XLOOKUP(MasterTech!$AF$4:$AF$214,RawTech!$AO$2:$AO$212,RawTech!$D$2:$D$212)</f>
        <v>IsolyticDamage</v>
      </c>
      <c r="V82" s="420" t="str">
        <f t="array" ref="V82">XLOOKUP(MasterTech!$AF$4:$AF$214,RawTech!$AO$2:$AO$212,RawTech!$I$2:$I$212)</f>
        <v/>
      </c>
      <c r="W82" s="443" t="str">
        <f t="array" ref="W82">XLOOKUP(MasterTech!$AF$4:$AF$214,RawTech!$AO$2:$AO$212,RawTech!$E$2:$E$212)</f>
        <v>TargetNotASB, EnemySentinel</v>
      </c>
      <c r="X82" s="423" t="str">
        <f t="array" ref="X82">XLOOKUP(MasterTech!$AF$4:$AF$214,RawTech!$AO$2:$AO$212,RawTech!$F$2:$F$212)</f>
        <v>CombatStart</v>
      </c>
      <c r="Y82" s="423" t="str">
        <f t="array" ref="Y82">XLOOKUP(MasterTech!$AF$4:$AF$214,RawTech!$AO$2:$AO$212,RawTech!$G$2:$G$212)</f>
        <v>SelfShip</v>
      </c>
      <c r="Z82" s="423" t="str">
        <f t="array" ref="Z82">XLOOKUP(MasterTech!$AF$4:$AF$214,RawTech!$AO$2:$AO$212,RawTech!$H$2:$H$212)</f>
        <v>Add</v>
      </c>
      <c r="AA82" s="423" t="str">
        <f t="array" ref="AA82">XLOOKUP(MasterTech!$AF$4:$AF$214,RawTech!$AO$2:$AO$212,RawTech!$J$2:$J$212)</f>
        <v>Increases Isolytic Damage when attacking player Stations X</v>
      </c>
      <c r="AB82" s="424"/>
      <c r="AC82" s="425"/>
      <c r="AD82" s="425"/>
      <c r="AE82" s="453">
        <f t="array" ref="AE82">XLOOKUP(MasterTech!$AF$4:$AF$214,RawTech!$AO$2:$AO$212,RawTech!$AR$2:$AR$212)</f>
        <v>22</v>
      </c>
      <c r="AF82" s="427">
        <v>2.786446487E9</v>
      </c>
      <c r="AG82" s="428"/>
      <c r="AH82" s="428"/>
      <c r="AI82" s="429"/>
      <c r="AJ82" s="430"/>
    </row>
    <row r="83" ht="37.5" customHeight="1">
      <c r="A83" s="415" t="str">
        <f t="array" ref="A83">LEFT(XLOOKUP(LCARS_Tech[BuffID],RawTech[BuffID],RawTech[TechRarity]), 1)</f>
        <v>R</v>
      </c>
      <c r="B83" s="416"/>
      <c r="C83" s="454" t="str">
        <f t="array" ref="C83">HYPERLINK("https://stfc.space/forbidden_and_chaos_tech/" &amp; XLOOKUP(MasterTech!$AF$4:$AF$214,RawTech!$AO$2:$AO$212,RawTech!$AQ$2:$AQ$212), XLOOKUP(MasterTech!$AF$4:$AF$214,RawTech!$AO$2:$AO$212,RawTech!$B$2:$B$212))</f>
        <v>Corrupted Cybernetic Implant</v>
      </c>
      <c r="D83" s="432">
        <f t="array" ref="D83">XLOOKUP(LCARS_Tech[BuffID],RawTech[BuffID],RawTech[BuffOrder])</f>
        <v>4</v>
      </c>
      <c r="E83" s="433" t="str">
        <f t="array" ref="E83">XLOOKUP(LCARS_Tech[BuffID],RawTech[BuffID],RawTech[TechType])</f>
        <v>FT</v>
      </c>
      <c r="F83" s="433" t="str">
        <f t="array" ref="F83">XLOOKUP(LCARS_Tech[BuffID],RawTech[BuffID],RawTech[Tag_PvPinSpace])</f>
        <v>➖</v>
      </c>
      <c r="G83" s="433" t="str">
        <f t="array" ref="G83">XLOOKUP(LCARS_Tech[BuffID],RawTech[BuffID],RawTech[Tag_PvPStation])</f>
        <v>✅</v>
      </c>
      <c r="H83" s="433" t="str">
        <f t="array" ref="H83">XLOOKUP(LCARS_Tech[BuffID],RawTech[BuffID],RawTech[Tag_NonArmadaHostiles])</f>
        <v>➖</v>
      </c>
      <c r="I83" s="433" t="str">
        <f t="array" ref="I83">XLOOKUP(LCARS_Tech[BuffID],RawTech[BuffID],RawTech[Tag_WaveDefense])</f>
        <v>➖</v>
      </c>
      <c r="J83" s="433" t="str">
        <f t="array" ref="J83">XLOOKUP(LCARS_Tech[BuffID],RawTech[BuffID],RawTech[Tag_QTrial])</f>
        <v>➖</v>
      </c>
      <c r="K83" s="433" t="str">
        <f t="array" ref="K83">XLOOKUP(LCARS_Tech[BuffID],RawTech[BuffID],RawTech[Tag_MissionBosses])</f>
        <v>➖</v>
      </c>
      <c r="L83" s="433" t="str">
        <f t="array" ref="L83">XLOOKUP(LCARS_Tech[BuffID],RawTech[BuffID],RawTech[Tag_GroupArmadas])</f>
        <v>➖</v>
      </c>
      <c r="M83" s="433" t="str">
        <f t="array" ref="M83">XLOOKUP(LCARS_Tech[BuffID],RawTech[BuffID],RawTech[Tag_SoloArmadas])</f>
        <v>➖</v>
      </c>
      <c r="N83" s="433" t="str">
        <f t="array" ref="N83">XLOOKUP(LCARS_Tech[BuffID],RawTech[BuffID],RawTech[Tag_InvadingEntities])</f>
        <v>➖</v>
      </c>
      <c r="O83" s="433" t="str">
        <f t="array" ref="O83">XLOOKUP(LCARS_Tech[BuffID],RawTech[BuffID],RawTech[Tag_Assaults])</f>
        <v>➖</v>
      </c>
      <c r="P83" s="434" t="str">
        <f t="array" ref="P83">XLOOKUP(LCARS_Tech[BuffID],RawTech[BuffID],RawTech[Tag_OutpostArmadas])</f>
        <v>➖</v>
      </c>
      <c r="Q83" s="416" t="str">
        <f t="array" ref="Q83">XLOOKUP(LCARS_Tech[BuffID],RawTech[BuffID],RawTech[Tag_OutpostRetaliators])</f>
        <v>➖</v>
      </c>
      <c r="R83" s="416" t="str">
        <f t="array" ref="R83">XLOOKUP(MasterTech!$AF$4:$AF$214,RawTech!$AO$2:$AO$212,RawTech!$AV$2:$AV$212)</f>
        <v/>
      </c>
      <c r="S83" s="433" t="str">
        <f t="array" ref="S83">XLOOKUP(MasterTech!$AF$4:$AF$214,RawTech!$AO$2:$AO$212,RawTech!$AK$2:$AK$212)</f>
        <v>➖</v>
      </c>
      <c r="T83" s="435" t="str">
        <f t="array" ref="T83">XLOOKUP(MasterTech!$AF$4:$AF$214,RawTech!$AO$2:$AO$212,RawTech!$AM$2:$AM$212)</f>
        <v>➖</v>
      </c>
      <c r="U83" s="438" t="str">
        <f t="array" ref="U83">XLOOKUP(MasterTech!$AF$4:$AF$214,RawTech!$AO$2:$AO$212,RawTech!$D$2:$D$212)</f>
        <v>AllDamage</v>
      </c>
      <c r="V83" s="416" t="str">
        <f t="array" ref="V83">XLOOKUP(MasterTech!$AF$4:$AF$214,RawTech!$AO$2:$AO$212,RawTech!$I$2:$I$212)</f>
        <v/>
      </c>
      <c r="W83" s="447" t="str">
        <f t="array" ref="W83">XLOOKUP(MasterTech!$AF$4:$AF$214,RawTech!$AO$2:$AO$212,RawTech!$E$2:$E$212)</f>
        <v>TargetNotASB, EnemySentinel</v>
      </c>
      <c r="X83" s="438" t="str">
        <f t="array" ref="X83">XLOOKUP(MasterTech!$AF$4:$AF$214,RawTech!$AO$2:$AO$212,RawTech!$F$2:$F$212)</f>
        <v>CombatStart</v>
      </c>
      <c r="Y83" s="438" t="str">
        <f t="array" ref="Y83">XLOOKUP(MasterTech!$AF$4:$AF$214,RawTech!$AO$2:$AO$212,RawTech!$G$2:$G$212)</f>
        <v>SelfShip</v>
      </c>
      <c r="Z83" s="438" t="str">
        <f t="array" ref="Z83">XLOOKUP(MasterTech!$AF$4:$AF$214,RawTech!$AO$2:$AO$212,RawTech!$H$2:$H$212)</f>
        <v>MultiplyAdd</v>
      </c>
      <c r="AA83" s="438" t="str">
        <f t="array" ref="AA83">XLOOKUP(MasterTech!$AF$4:$AF$214,RawTech!$AO$2:$AO$212,RawTech!$J$2:$J$212)</f>
        <v>Increases Damage when attacking player Stations X</v>
      </c>
      <c r="AB83" s="439"/>
      <c r="AC83" s="440"/>
      <c r="AD83" s="440"/>
      <c r="AE83" s="455">
        <f t="array" ref="AE83">XLOOKUP(MasterTech!$AF$4:$AF$214,RawTech!$AO$2:$AO$212,RawTech!$AR$2:$AR$212)</f>
        <v>22</v>
      </c>
      <c r="AF83" s="427">
        <v>1.414544656E9</v>
      </c>
      <c r="AG83" s="428"/>
      <c r="AH83" s="428"/>
      <c r="AI83" s="429"/>
      <c r="AJ83" s="430"/>
    </row>
    <row r="84" ht="37.5" customHeight="1">
      <c r="A84" s="415" t="str">
        <f t="array" ref="A84">LEFT(XLOOKUP(LCARS_Tech[BuffID],RawTech[BuffID],RawTech[TechRarity]), 1)</f>
        <v>R</v>
      </c>
      <c r="B84" s="420"/>
      <c r="C84" s="452" t="str">
        <f t="array" ref="C84">HYPERLINK("https://stfc.space/forbidden_and_chaos_tech/" &amp; XLOOKUP(MasterTech!$AF$4:$AF$214,RawTech!$AO$2:$AO$212,RawTech!$AQ$2:$AQ$212), XLOOKUP(MasterTech!$AF$4:$AF$214,RawTech!$AO$2:$AO$212,RawTech!$B$2:$B$212))</f>
        <v>Orion Cargo Transporter</v>
      </c>
      <c r="D84" s="418">
        <f t="array" ref="D84">XLOOKUP(LCARS_Tech[BuffID],RawTech[BuffID],RawTech[BuffOrder])</f>
        <v>1</v>
      </c>
      <c r="E84" s="419" t="str">
        <f t="array" ref="E84">XLOOKUP(LCARS_Tech[BuffID],RawTech[BuffID],RawTech[TechType])</f>
        <v>FT</v>
      </c>
      <c r="F84" s="419" t="str">
        <f t="array" ref="F84">XLOOKUP(LCARS_Tech[BuffID],RawTech[BuffID],RawTech[Tag_PvPinSpace])</f>
        <v>➖</v>
      </c>
      <c r="G84" s="419" t="str">
        <f t="array" ref="G84">XLOOKUP(LCARS_Tech[BuffID],RawTech[BuffID],RawTech[Tag_PvPStation])</f>
        <v>➖</v>
      </c>
      <c r="H84" s="419" t="str">
        <f t="array" ref="H84">XLOOKUP(LCARS_Tech[BuffID],RawTech[BuffID],RawTech[Tag_NonArmadaHostiles])</f>
        <v>➖</v>
      </c>
      <c r="I84" s="419" t="str">
        <f t="array" ref="I84">XLOOKUP(LCARS_Tech[BuffID],RawTech[BuffID],RawTech[Tag_WaveDefense])</f>
        <v>➖</v>
      </c>
      <c r="J84" s="419" t="str">
        <f t="array" ref="J84">XLOOKUP(LCARS_Tech[BuffID],RawTech[BuffID],RawTech[Tag_QTrial])</f>
        <v>➖</v>
      </c>
      <c r="K84" s="419" t="str">
        <f t="array" ref="K84">XLOOKUP(LCARS_Tech[BuffID],RawTech[BuffID],RawTech[Tag_MissionBosses])</f>
        <v>➖</v>
      </c>
      <c r="L84" s="419" t="str">
        <f t="array" ref="L84">XLOOKUP(LCARS_Tech[BuffID],RawTech[BuffID],RawTech[Tag_GroupArmadas])</f>
        <v>➖</v>
      </c>
      <c r="M84" s="419" t="str">
        <f t="array" ref="M84">XLOOKUP(LCARS_Tech[BuffID],RawTech[BuffID],RawTech[Tag_SoloArmadas])</f>
        <v>➖</v>
      </c>
      <c r="N84" s="419" t="str">
        <f t="array" ref="N84">XLOOKUP(LCARS_Tech[BuffID],RawTech[BuffID],RawTech[Tag_InvadingEntities])</f>
        <v>➖</v>
      </c>
      <c r="O84" s="419" t="str">
        <f t="array" ref="O84">XLOOKUP(LCARS_Tech[BuffID],RawTech[BuffID],RawTech[Tag_Assaults])</f>
        <v>➖</v>
      </c>
      <c r="P84" s="442" t="str">
        <f t="array" ref="P84">XLOOKUP(LCARS_Tech[BuffID],RawTech[BuffID],RawTech[Tag_OutpostArmadas])</f>
        <v>➖</v>
      </c>
      <c r="Q84" s="420" t="str">
        <f t="array" ref="Q84">XLOOKUP(LCARS_Tech[BuffID],RawTech[BuffID],RawTech[Tag_OutpostRetaliators])</f>
        <v>➖</v>
      </c>
      <c r="R84" s="420" t="str">
        <f t="array" ref="R84">XLOOKUP(MasterTech!$AF$4:$AF$214,RawTech!$AO$2:$AO$212,RawTech!$AV$2:$AV$212)</f>
        <v/>
      </c>
      <c r="S84" s="419" t="str">
        <f t="array" ref="S84">XLOOKUP(MasterTech!$AF$4:$AF$214,RawTech!$AO$2:$AO$212,RawTech!$AK$2:$AK$212)</f>
        <v>➖</v>
      </c>
      <c r="T84" s="422" t="str">
        <f t="array" ref="T84">XLOOKUP(MasterTech!$AF$4:$AF$214,RawTech!$AO$2:$AO$212,RawTech!$AM$2:$AM$212)</f>
        <v>✅</v>
      </c>
      <c r="U84" s="423" t="str">
        <f t="array" ref="U84">XLOOKUP(MasterTech!$AF$4:$AF$214,RawTech!$AO$2:$AO$212,RawTech!$D$2:$D$212)</f>
        <v>CargoCapacity</v>
      </c>
      <c r="V84" s="420" t="str">
        <f t="array" ref="V84">XLOOKUP(MasterTech!$AF$4:$AF$214,RawTech!$AO$2:$AO$212,RawTech!$I$2:$I$212)</f>
        <v/>
      </c>
      <c r="W84" s="443" t="str">
        <f t="array" ref="W84">XLOOKUP(MasterTech!$AF$4:$AF$214,RawTech!$AO$2:$AO$212,RawTech!$E$2:$E$212)</f>
        <v>SelfSurveyor</v>
      </c>
      <c r="X84" s="423" t="str">
        <f t="array" ref="X84">XLOOKUP(MasterTech!$AF$4:$AF$214,RawTech!$AO$2:$AO$212,RawTech!$F$2:$F$212)</f>
        <v>ShipLaunched</v>
      </c>
      <c r="Y84" s="423" t="str">
        <f t="array" ref="Y84">XLOOKUP(MasterTech!$AF$4:$AF$214,RawTech!$AO$2:$AO$212,RawTech!$G$2:$G$212)</f>
        <v>SelfShip</v>
      </c>
      <c r="Z84" s="423" t="str">
        <f t="array" ref="Z84">XLOOKUP(MasterTech!$AF$4:$AF$214,RawTech!$AO$2:$AO$212,RawTech!$H$2:$H$212)</f>
        <v>MultiplyAdd</v>
      </c>
      <c r="AA84" s="423" t="str">
        <f t="array" ref="AA84">XLOOKUP(MasterTech!$AF$4:$AF$214,RawTech!$AO$2:$AO$212,RawTech!$J$2:$J$212)</f>
        <v>Increases Max Cargo for surveys X</v>
      </c>
      <c r="AB84" s="424"/>
      <c r="AC84" s="425"/>
      <c r="AD84" s="425"/>
      <c r="AE84" s="453">
        <f t="array" ref="AE84">XLOOKUP(MasterTech!$AF$4:$AF$214,RawTech!$AO$2:$AO$212,RawTech!$AR$2:$AR$212)</f>
        <v>23</v>
      </c>
      <c r="AF84" s="427">
        <v>2.110771391E9</v>
      </c>
      <c r="AG84" s="428"/>
      <c r="AH84" s="428"/>
      <c r="AI84" s="429"/>
      <c r="AJ84" s="430"/>
    </row>
    <row r="85" ht="37.5" customHeight="1">
      <c r="A85" s="415" t="str">
        <f t="array" ref="A85">LEFT(XLOOKUP(LCARS_Tech[BuffID],RawTech[BuffID],RawTech[TechRarity]), 1)</f>
        <v>R</v>
      </c>
      <c r="B85" s="416"/>
      <c r="C85" s="454" t="str">
        <f t="array" ref="C85">HYPERLINK("https://stfc.space/forbidden_and_chaos_tech/" &amp; XLOOKUP(MasterTech!$AF$4:$AF$214,RawTech!$AO$2:$AO$212,RawTech!$AQ$2:$AQ$212), XLOOKUP(MasterTech!$AF$4:$AF$214,RawTech!$AO$2:$AO$212,RawTech!$B$2:$B$212))</f>
        <v>Orion Cargo Transporter</v>
      </c>
      <c r="D85" s="432">
        <f t="array" ref="D85">XLOOKUP(LCARS_Tech[BuffID],RawTech[BuffID],RawTech[BuffOrder])</f>
        <v>2</v>
      </c>
      <c r="E85" s="433" t="str">
        <f t="array" ref="E85">XLOOKUP(LCARS_Tech[BuffID],RawTech[BuffID],RawTech[TechType])</f>
        <v>FT</v>
      </c>
      <c r="F85" s="433" t="str">
        <f t="array" ref="F85">XLOOKUP(LCARS_Tech[BuffID],RawTech[BuffID],RawTech[Tag_PvPinSpace])</f>
        <v>➖</v>
      </c>
      <c r="G85" s="433" t="str">
        <f t="array" ref="G85">XLOOKUP(LCARS_Tech[BuffID],RawTech[BuffID],RawTech[Tag_PvPStation])</f>
        <v>➖</v>
      </c>
      <c r="H85" s="433" t="str">
        <f t="array" ref="H85">XLOOKUP(LCARS_Tech[BuffID],RawTech[BuffID],RawTech[Tag_NonArmadaHostiles])</f>
        <v>➖</v>
      </c>
      <c r="I85" s="433" t="str">
        <f t="array" ref="I85">XLOOKUP(LCARS_Tech[BuffID],RawTech[BuffID],RawTech[Tag_WaveDefense])</f>
        <v>➖</v>
      </c>
      <c r="J85" s="433" t="str">
        <f t="array" ref="J85">XLOOKUP(LCARS_Tech[BuffID],RawTech[BuffID],RawTech[Tag_QTrial])</f>
        <v>➖</v>
      </c>
      <c r="K85" s="433" t="str">
        <f t="array" ref="K85">XLOOKUP(LCARS_Tech[BuffID],RawTech[BuffID],RawTech[Tag_MissionBosses])</f>
        <v>➖</v>
      </c>
      <c r="L85" s="433" t="str">
        <f t="array" ref="L85">XLOOKUP(LCARS_Tech[BuffID],RawTech[BuffID],RawTech[Tag_GroupArmadas])</f>
        <v>➖</v>
      </c>
      <c r="M85" s="433" t="str">
        <f t="array" ref="M85">XLOOKUP(LCARS_Tech[BuffID],RawTech[BuffID],RawTech[Tag_SoloArmadas])</f>
        <v>➖</v>
      </c>
      <c r="N85" s="433" t="str">
        <f t="array" ref="N85">XLOOKUP(LCARS_Tech[BuffID],RawTech[BuffID],RawTech[Tag_InvadingEntities])</f>
        <v>➖</v>
      </c>
      <c r="O85" s="433" t="str">
        <f t="array" ref="O85">XLOOKUP(LCARS_Tech[BuffID],RawTech[BuffID],RawTech[Tag_Assaults])</f>
        <v>➖</v>
      </c>
      <c r="P85" s="434" t="str">
        <f t="array" ref="P85">XLOOKUP(LCARS_Tech[BuffID],RawTech[BuffID],RawTech[Tag_OutpostArmadas])</f>
        <v>➖</v>
      </c>
      <c r="Q85" s="416" t="str">
        <f t="array" ref="Q85">XLOOKUP(LCARS_Tech[BuffID],RawTech[BuffID],RawTech[Tag_OutpostRetaliators])</f>
        <v>➖</v>
      </c>
      <c r="R85" s="416" t="str">
        <f t="array" ref="R85">XLOOKUP(MasterTech!$AF$4:$AF$214,RawTech!$AO$2:$AO$212,RawTech!$AV$2:$AV$212)</f>
        <v/>
      </c>
      <c r="S85" s="433" t="str">
        <f t="array" ref="S85">XLOOKUP(MasterTech!$AF$4:$AF$214,RawTech!$AO$2:$AO$212,RawTech!$AK$2:$AK$212)</f>
        <v>➖</v>
      </c>
      <c r="T85" s="435" t="str">
        <f t="array" ref="T85">XLOOKUP(MasterTech!$AF$4:$AF$214,RawTech!$AO$2:$AO$212,RawTech!$AM$2:$AM$212)</f>
        <v>✅</v>
      </c>
      <c r="U85" s="438" t="str">
        <f t="array" ref="U85">XLOOKUP(MasterTech!$AF$4:$AF$214,RawTech!$AO$2:$AO$212,RawTech!$D$2:$D$212)</f>
        <v>CargoProtection</v>
      </c>
      <c r="V85" s="416" t="str">
        <f t="array" ref="V85">XLOOKUP(MasterTech!$AF$4:$AF$214,RawTech!$AO$2:$AO$212,RawTech!$I$2:$I$212)</f>
        <v/>
      </c>
      <c r="W85" s="447" t="str">
        <f t="array" ref="W85">XLOOKUP(MasterTech!$AF$4:$AF$214,RawTech!$AO$2:$AO$212,RawTech!$E$2:$E$212)</f>
        <v>SelfSurveyor</v>
      </c>
      <c r="X85" s="438" t="str">
        <f t="array" ref="X85">XLOOKUP(MasterTech!$AF$4:$AF$214,RawTech!$AO$2:$AO$212,RawTech!$F$2:$F$212)</f>
        <v>ShipLaunched</v>
      </c>
      <c r="Y85" s="438" t="str">
        <f t="array" ref="Y85">XLOOKUP(MasterTech!$AF$4:$AF$214,RawTech!$AO$2:$AO$212,RawTech!$G$2:$G$212)</f>
        <v>SelfShip</v>
      </c>
      <c r="Z85" s="438" t="str">
        <f t="array" ref="Z85">XLOOKUP(MasterTech!$AF$4:$AF$214,RawTech!$AO$2:$AO$212,RawTech!$H$2:$H$212)</f>
        <v>MultiplyAdd</v>
      </c>
      <c r="AA85" s="438" t="str">
        <f t="array" ref="AA85">XLOOKUP(MasterTech!$AF$4:$AF$214,RawTech!$AO$2:$AO$212,RawTech!$J$2:$J$212)</f>
        <v>Increases Protected Cargo for surveys X</v>
      </c>
      <c r="AB85" s="439"/>
      <c r="AC85" s="440"/>
      <c r="AD85" s="440"/>
      <c r="AE85" s="455">
        <f t="array" ref="AE85">XLOOKUP(MasterTech!$AF$4:$AF$214,RawTech!$AO$2:$AO$212,RawTech!$AR$2:$AR$212)</f>
        <v>23</v>
      </c>
      <c r="AF85" s="427">
        <v>3.172602248E9</v>
      </c>
      <c r="AG85" s="428"/>
      <c r="AH85" s="428"/>
      <c r="AI85" s="429"/>
      <c r="AJ85" s="430"/>
    </row>
    <row r="86" ht="37.5" customHeight="1">
      <c r="A86" s="415" t="str">
        <f t="array" ref="A86">LEFT(XLOOKUP(LCARS_Tech[BuffID],RawTech[BuffID],RawTech[TechRarity]), 1)</f>
        <v>R</v>
      </c>
      <c r="B86" s="420"/>
      <c r="C86" s="452" t="str">
        <f t="array" ref="C86">HYPERLINK("https://stfc.space/forbidden_and_chaos_tech/" &amp; XLOOKUP(MasterTech!$AF$4:$AF$214,RawTech!$AO$2:$AO$212,RawTech!$AQ$2:$AQ$212), XLOOKUP(MasterTech!$AF$4:$AF$214,RawTech!$AO$2:$AO$212,RawTech!$B$2:$B$212))</f>
        <v>Orion Cargo Transporter</v>
      </c>
      <c r="D86" s="418">
        <f t="array" ref="D86">XLOOKUP(LCARS_Tech[BuffID],RawTech[BuffID],RawTech[BuffOrder])</f>
        <v>3</v>
      </c>
      <c r="E86" s="419" t="str">
        <f t="array" ref="E86">XLOOKUP(LCARS_Tech[BuffID],RawTech[BuffID],RawTech[TechType])</f>
        <v>FT</v>
      </c>
      <c r="F86" s="419" t="str">
        <f t="array" ref="F86">XLOOKUP(LCARS_Tech[BuffID],RawTech[BuffID],RawTech[Tag_PvPinSpace])</f>
        <v>➖</v>
      </c>
      <c r="G86" s="419" t="str">
        <f t="array" ref="G86">XLOOKUP(LCARS_Tech[BuffID],RawTech[BuffID],RawTech[Tag_PvPStation])</f>
        <v>➖</v>
      </c>
      <c r="H86" s="419" t="str">
        <f t="array" ref="H86">XLOOKUP(LCARS_Tech[BuffID],RawTech[BuffID],RawTech[Tag_NonArmadaHostiles])</f>
        <v>➖</v>
      </c>
      <c r="I86" s="419" t="str">
        <f t="array" ref="I86">XLOOKUP(LCARS_Tech[BuffID],RawTech[BuffID],RawTech[Tag_WaveDefense])</f>
        <v>➖</v>
      </c>
      <c r="J86" s="419" t="str">
        <f t="array" ref="J86">XLOOKUP(LCARS_Tech[BuffID],RawTech[BuffID],RawTech[Tag_QTrial])</f>
        <v>➖</v>
      </c>
      <c r="K86" s="419" t="str">
        <f t="array" ref="K86">XLOOKUP(LCARS_Tech[BuffID],RawTech[BuffID],RawTech[Tag_MissionBosses])</f>
        <v>➖</v>
      </c>
      <c r="L86" s="419" t="str">
        <f t="array" ref="L86">XLOOKUP(LCARS_Tech[BuffID],RawTech[BuffID],RawTech[Tag_GroupArmadas])</f>
        <v>➖</v>
      </c>
      <c r="M86" s="419" t="str">
        <f t="array" ref="M86">XLOOKUP(LCARS_Tech[BuffID],RawTech[BuffID],RawTech[Tag_SoloArmadas])</f>
        <v>➖</v>
      </c>
      <c r="N86" s="419" t="str">
        <f t="array" ref="N86">XLOOKUP(LCARS_Tech[BuffID],RawTech[BuffID],RawTech[Tag_InvadingEntities])</f>
        <v>➖</v>
      </c>
      <c r="O86" s="419" t="str">
        <f t="array" ref="O86">XLOOKUP(LCARS_Tech[BuffID],RawTech[BuffID],RawTech[Tag_Assaults])</f>
        <v>➖</v>
      </c>
      <c r="P86" s="442" t="str">
        <f t="array" ref="P86">XLOOKUP(LCARS_Tech[BuffID],RawTech[BuffID],RawTech[Tag_OutpostArmadas])</f>
        <v>➖</v>
      </c>
      <c r="Q86" s="420" t="str">
        <f t="array" ref="Q86">XLOOKUP(LCARS_Tech[BuffID],RawTech[BuffID],RawTech[Tag_OutpostRetaliators])</f>
        <v>➖</v>
      </c>
      <c r="R86" s="420" t="str">
        <f t="array" ref="R86">XLOOKUP(MasterTech!$AF$4:$AF$214,RawTech!$AO$2:$AO$212,RawTech!$AV$2:$AV$212)</f>
        <v/>
      </c>
      <c r="S86" s="419" t="str">
        <f t="array" ref="S86">XLOOKUP(MasterTech!$AF$4:$AF$214,RawTech!$AO$2:$AO$212,RawTech!$AK$2:$AK$212)</f>
        <v>➖</v>
      </c>
      <c r="T86" s="422" t="str">
        <f t="array" ref="T86">XLOOKUP(MasterTech!$AF$4:$AF$214,RawTech!$AO$2:$AO$212,RawTech!$AM$2:$AM$212)</f>
        <v>✅</v>
      </c>
      <c r="U86" s="423" t="str">
        <f t="array" ref="U86">XLOOKUP(MasterTech!$AF$4:$AF$214,RawTech!$AO$2:$AO$212,RawTech!$D$2:$D$212)</f>
        <v>CargoCapacity</v>
      </c>
      <c r="V86" s="420" t="str">
        <f t="array" ref="V86">XLOOKUP(MasterTech!$AF$4:$AF$214,RawTech!$AO$2:$AO$212,RawTech!$I$2:$I$212)</f>
        <v/>
      </c>
      <c r="W86" s="443" t="str">
        <f t="array" ref="W86">XLOOKUP(MasterTech!$AF$4:$AF$214,RawTech!$AO$2:$AO$212,RawTech!$E$2:$E$212)</f>
        <v>SelfHullAmalgam</v>
      </c>
      <c r="X86" s="423" t="str">
        <f t="array" ref="X86">XLOOKUP(MasterTech!$AF$4:$AF$214,RawTech!$AO$2:$AO$212,RawTech!$F$2:$F$212)</f>
        <v>ShipLaunched</v>
      </c>
      <c r="Y86" s="423" t="str">
        <f t="array" ref="Y86">XLOOKUP(MasterTech!$AF$4:$AF$214,RawTech!$AO$2:$AO$212,RawTech!$G$2:$G$212)</f>
        <v>SelfShip</v>
      </c>
      <c r="Z86" s="423" t="str">
        <f t="array" ref="Z86">XLOOKUP(MasterTech!$AF$4:$AF$214,RawTech!$AO$2:$AO$212,RawTech!$H$2:$H$212)</f>
        <v>MultiplyAdd</v>
      </c>
      <c r="AA86" s="423" t="str">
        <f t="array" ref="AA86">XLOOKUP(MasterTech!$AF$4:$AF$214,RawTech!$AO$2:$AO$212,RawTech!$J$2:$J$212)</f>
        <v>Increases Amalgam Max Cargo X</v>
      </c>
      <c r="AB86" s="424"/>
      <c r="AC86" s="425"/>
      <c r="AD86" s="425"/>
      <c r="AE86" s="453">
        <f t="array" ref="AE86">XLOOKUP(MasterTech!$AF$4:$AF$214,RawTech!$AO$2:$AO$212,RawTech!$AR$2:$AR$212)</f>
        <v>23</v>
      </c>
      <c r="AF86" s="427">
        <v>6.61693001E8</v>
      </c>
      <c r="AG86" s="428"/>
      <c r="AH86" s="428"/>
      <c r="AI86" s="429"/>
      <c r="AJ86" s="430"/>
    </row>
    <row r="87" ht="37.5" customHeight="1">
      <c r="A87" s="415" t="str">
        <f t="array" ref="A87">LEFT(XLOOKUP(LCARS_Tech[BuffID],RawTech[BuffID],RawTech[TechRarity]), 1)</f>
        <v>R</v>
      </c>
      <c r="B87" s="416"/>
      <c r="C87" s="454" t="str">
        <f t="array" ref="C87">HYPERLINK("https://stfc.space/forbidden_and_chaos_tech/" &amp; XLOOKUP(MasterTech!$AF$4:$AF$214,RawTech!$AO$2:$AO$212,RawTech!$AQ$2:$AQ$212), XLOOKUP(MasterTech!$AF$4:$AF$214,RawTech!$AO$2:$AO$212,RawTech!$B$2:$B$212))</f>
        <v>Orion Cargo Transporter</v>
      </c>
      <c r="D87" s="432">
        <f t="array" ref="D87">XLOOKUP(LCARS_Tech[BuffID],RawTech[BuffID],RawTech[BuffOrder])</f>
        <v>4</v>
      </c>
      <c r="E87" s="433" t="str">
        <f t="array" ref="E87">XLOOKUP(LCARS_Tech[BuffID],RawTech[BuffID],RawTech[TechType])</f>
        <v>FT</v>
      </c>
      <c r="F87" s="433" t="str">
        <f t="array" ref="F87">XLOOKUP(LCARS_Tech[BuffID],RawTech[BuffID],RawTech[Tag_PvPinSpace])</f>
        <v>➖</v>
      </c>
      <c r="G87" s="433" t="str">
        <f t="array" ref="G87">XLOOKUP(LCARS_Tech[BuffID],RawTech[BuffID],RawTech[Tag_PvPStation])</f>
        <v>✴️</v>
      </c>
      <c r="H87" s="433" t="str">
        <f t="array" ref="H87">XLOOKUP(LCARS_Tech[BuffID],RawTech[BuffID],RawTech[Tag_NonArmadaHostiles])</f>
        <v>➖</v>
      </c>
      <c r="I87" s="433" t="str">
        <f t="array" ref="I87">XLOOKUP(LCARS_Tech[BuffID],RawTech[BuffID],RawTech[Tag_WaveDefense])</f>
        <v>➖</v>
      </c>
      <c r="J87" s="433" t="str">
        <f t="array" ref="J87">XLOOKUP(LCARS_Tech[BuffID],RawTech[BuffID],RawTech[Tag_QTrial])</f>
        <v>➖</v>
      </c>
      <c r="K87" s="433" t="str">
        <f t="array" ref="K87">XLOOKUP(LCARS_Tech[BuffID],RawTech[BuffID],RawTech[Tag_MissionBosses])</f>
        <v>➖</v>
      </c>
      <c r="L87" s="433" t="str">
        <f t="array" ref="L87">XLOOKUP(LCARS_Tech[BuffID],RawTech[BuffID],RawTech[Tag_GroupArmadas])</f>
        <v>➖</v>
      </c>
      <c r="M87" s="433" t="str">
        <f t="array" ref="M87">XLOOKUP(LCARS_Tech[BuffID],RawTech[BuffID],RawTech[Tag_SoloArmadas])</f>
        <v>➖</v>
      </c>
      <c r="N87" s="433" t="str">
        <f t="array" ref="N87">XLOOKUP(LCARS_Tech[BuffID],RawTech[BuffID],RawTech[Tag_InvadingEntities])</f>
        <v>➖</v>
      </c>
      <c r="O87" s="433" t="str">
        <f t="array" ref="O87">XLOOKUP(LCARS_Tech[BuffID],RawTech[BuffID],RawTech[Tag_Assaults])</f>
        <v>➖</v>
      </c>
      <c r="P87" s="434" t="str">
        <f t="array" ref="P87">XLOOKUP(LCARS_Tech[BuffID],RawTech[BuffID],RawTech[Tag_OutpostArmadas])</f>
        <v>➖</v>
      </c>
      <c r="Q87" s="451" t="str">
        <f t="array" ref="Q87">XLOOKUP(LCARS_Tech[BuffID],RawTech[BuffID],RawTech[Tag_OutpostRetaliators])</f>
        <v>➖</v>
      </c>
      <c r="R87" s="451" t="str">
        <f t="array" ref="R87">XLOOKUP(MasterTech!$AF$4:$AF$214,RawTech!$AO$2:$AO$212,RawTech!$AV$2:$AV$212)</f>
        <v>Amalgam</v>
      </c>
      <c r="S87" s="433" t="str">
        <f t="array" ref="S87">XLOOKUP(MasterTech!$AF$4:$AF$214,RawTech!$AO$2:$AO$212,RawTech!$AK$2:$AK$212)</f>
        <v>➖</v>
      </c>
      <c r="T87" s="435" t="str">
        <f t="array" ref="T87">XLOOKUP(MasterTech!$AF$4:$AF$214,RawTech!$AO$2:$AO$212,RawTech!$AM$2:$AM$212)</f>
        <v>➖</v>
      </c>
      <c r="U87" s="438" t="str">
        <f t="array" ref="U87">XLOOKUP(MasterTech!$AF$4:$AF$214,RawTech!$AO$2:$AO$212,RawTech!$D$2:$D$212)</f>
        <v>CombatScavenger</v>
      </c>
      <c r="V87" s="416" t="str">
        <f t="array" ref="V87">XLOOKUP(MasterTech!$AF$4:$AF$214,RawTech!$AO$2:$AO$212,RawTech!$I$2:$I$212)</f>
        <v/>
      </c>
      <c r="W87" s="447" t="str">
        <f t="array" ref="W87">XLOOKUP(MasterTech!$AF$4:$AF$214,RawTech!$AO$2:$AO$212,RawTech!$E$2:$E$212)</f>
        <v>SelfHullAmalgam</v>
      </c>
      <c r="X87" s="438" t="str">
        <f t="array" ref="X87">XLOOKUP(MasterTech!$AF$4:$AF$214,RawTech!$AO$2:$AO$212,RawTech!$F$2:$F$212)</f>
        <v>ShipLaunched</v>
      </c>
      <c r="Y87" s="438" t="str">
        <f t="array" ref="Y87">XLOOKUP(MasterTech!$AF$4:$AF$214,RawTech!$AO$2:$AO$212,RawTech!$G$2:$G$212)</f>
        <v>SelfShip</v>
      </c>
      <c r="Z87" s="438" t="str">
        <f t="array" ref="Z87">XLOOKUP(MasterTech!$AF$4:$AF$214,RawTech!$AO$2:$AO$212,RawTech!$H$2:$H$212)</f>
        <v>MultiplyAdd</v>
      </c>
      <c r="AA87" s="438" t="str">
        <f t="array" ref="AA87">XLOOKUP(MasterTech!$AF$4:$AF$214,RawTech!$AO$2:$AO$212,RawTech!$J$2:$J$212)</f>
        <v>Increases Amalgam Power effectiveness X</v>
      </c>
      <c r="AB87" s="439"/>
      <c r="AC87" s="440"/>
      <c r="AD87" s="440"/>
      <c r="AE87" s="455">
        <f t="array" ref="AE87">XLOOKUP(MasterTech!$AF$4:$AF$214,RawTech!$AO$2:$AO$212,RawTech!$AR$2:$AR$212)</f>
        <v>23</v>
      </c>
      <c r="AF87" s="427">
        <v>3.40304805E9</v>
      </c>
      <c r="AG87" s="428"/>
      <c r="AH87" s="428"/>
      <c r="AI87" s="429"/>
      <c r="AJ87" s="430"/>
    </row>
    <row r="88" ht="37.5" customHeight="1">
      <c r="A88" s="415" t="str">
        <f t="array" ref="A88">LEFT(XLOOKUP(LCARS_Tech[BuffID],RawTech[BuffID],RawTech[TechRarity]), 1)</f>
        <v>R</v>
      </c>
      <c r="B88" s="420"/>
      <c r="C88" s="452" t="str">
        <f t="array" ref="C88">HYPERLINK("https://stfc.space/forbidden_and_chaos_tech/" &amp; XLOOKUP(MasterTech!$AF$4:$AF$214,RawTech!$AO$2:$AO$212,RawTech!$AQ$2:$AQ$212), XLOOKUP(MasterTech!$AF$4:$AF$214,RawTech!$AO$2:$AO$212,RawTech!$B$2:$B$212))</f>
        <v>Ferengi Energy Whip</v>
      </c>
      <c r="D88" s="418">
        <f t="array" ref="D88">XLOOKUP(LCARS_Tech[BuffID],RawTech[BuffID],RawTech[BuffOrder])</f>
        <v>1</v>
      </c>
      <c r="E88" s="419" t="str">
        <f t="array" ref="E88">XLOOKUP(LCARS_Tech[BuffID],RawTech[BuffID],RawTech[TechType])</f>
        <v>FT</v>
      </c>
      <c r="F88" s="419" t="str">
        <f t="array" ref="F88">XLOOKUP(LCARS_Tech[BuffID],RawTech[BuffID],RawTech[Tag_PvPinSpace])</f>
        <v>➖</v>
      </c>
      <c r="G88" s="419" t="str">
        <f t="array" ref="G88">XLOOKUP(LCARS_Tech[BuffID],RawTech[BuffID],RawTech[Tag_PvPStation])</f>
        <v>➖</v>
      </c>
      <c r="H88" s="419" t="str">
        <f t="array" ref="H88">XLOOKUP(LCARS_Tech[BuffID],RawTech[BuffID],RawTech[Tag_NonArmadaHostiles])</f>
        <v>➖</v>
      </c>
      <c r="I88" s="419" t="str">
        <f t="array" ref="I88">XLOOKUP(LCARS_Tech[BuffID],RawTech[BuffID],RawTech[Tag_WaveDefense])</f>
        <v>➖</v>
      </c>
      <c r="J88" s="419" t="str">
        <f t="array" ref="J88">XLOOKUP(LCARS_Tech[BuffID],RawTech[BuffID],RawTech[Tag_QTrial])</f>
        <v>➖</v>
      </c>
      <c r="K88" s="419" t="str">
        <f t="array" ref="K88">XLOOKUP(LCARS_Tech[BuffID],RawTech[BuffID],RawTech[Tag_MissionBosses])</f>
        <v>➖</v>
      </c>
      <c r="L88" s="419" t="str">
        <f t="array" ref="L88">XLOOKUP(LCARS_Tech[BuffID],RawTech[BuffID],RawTech[Tag_GroupArmadas])</f>
        <v>➖</v>
      </c>
      <c r="M88" s="419" t="str">
        <f t="array" ref="M88">XLOOKUP(LCARS_Tech[BuffID],RawTech[BuffID],RawTech[Tag_SoloArmadas])</f>
        <v>➖</v>
      </c>
      <c r="N88" s="419" t="str">
        <f t="array" ref="N88">XLOOKUP(LCARS_Tech[BuffID],RawTech[BuffID],RawTech[Tag_InvadingEntities])</f>
        <v>➖</v>
      </c>
      <c r="O88" s="419" t="str">
        <f t="array" ref="O88">XLOOKUP(LCARS_Tech[BuffID],RawTech[BuffID],RawTech[Tag_Assaults])</f>
        <v>➖</v>
      </c>
      <c r="P88" s="442" t="str">
        <f t="array" ref="P88">XLOOKUP(LCARS_Tech[BuffID],RawTech[BuffID],RawTech[Tag_OutpostArmadas])</f>
        <v>➖</v>
      </c>
      <c r="Q88" s="420" t="str">
        <f t="array" ref="Q88">XLOOKUP(LCARS_Tech[BuffID],RawTech[BuffID],RawTech[Tag_OutpostRetaliators])</f>
        <v>➖</v>
      </c>
      <c r="R88" s="420" t="str">
        <f t="array" ref="R88">XLOOKUP(MasterTech!$AF$4:$AF$214,RawTech!$AO$2:$AO$212,RawTech!$AV$2:$AV$212)</f>
        <v/>
      </c>
      <c r="S88" s="419" t="str">
        <f t="array" ref="S88">XLOOKUP(MasterTech!$AF$4:$AF$214,RawTech!$AO$2:$AO$212,RawTech!$AK$2:$AK$212)</f>
        <v>➖</v>
      </c>
      <c r="T88" s="422" t="str">
        <f t="array" ref="T88">XLOOKUP(MasterTech!$AF$4:$AF$214,RawTech!$AO$2:$AO$212,RawTech!$AM$2:$AM$212)</f>
        <v>✅</v>
      </c>
      <c r="U88" s="423" t="str">
        <f t="array" ref="U88">XLOOKUP(MasterTech!$AF$4:$AF$214,RawTech!$AO$2:$AO$212,RawTech!$D$2:$D$212)</f>
        <v>MiningRate</v>
      </c>
      <c r="V88" s="423" t="str">
        <f t="array" ref="V88">XLOOKUP(MasterTech!$AF$4:$AF$214,RawTech!$AO$2:$AO$212,RawTech!$I$2:$I$212)</f>
        <v>resources=[2164745208]</v>
      </c>
      <c r="W88" s="443" t="str">
        <f t="array" ref="W88">XLOOKUP(MasterTech!$AF$4:$AF$214,RawTech!$AO$2:$AO$212,RawTech!$E$2:$E$212)</f>
        <v>SelfHullDvorFeesha</v>
      </c>
      <c r="X88" s="423" t="str">
        <f t="array" ref="X88">XLOOKUP(MasterTech!$AF$4:$AF$214,RawTech!$AO$2:$AO$212,RawTech!$F$2:$F$212)</f>
        <v>ShipLaunched</v>
      </c>
      <c r="Y88" s="423" t="str">
        <f t="array" ref="Y88">XLOOKUP(MasterTech!$AF$4:$AF$214,RawTech!$AO$2:$AO$212,RawTech!$G$2:$G$212)</f>
        <v>SelfShip</v>
      </c>
      <c r="Z88" s="423" t="str">
        <f t="array" ref="Z88">XLOOKUP(MasterTech!$AF$4:$AF$214,RawTech!$AO$2:$AO$212,RawTech!$H$2:$H$212)</f>
        <v>Add</v>
      </c>
      <c r="AA88" s="423" t="str">
        <f t="array" ref="AA88">XLOOKUP(MasterTech!$AF$4:$AF$214,RawTech!$AO$2:$AO$212,RawTech!$J$2:$J$212)</f>
        <v>Increases Concentrated Latinum Mining Rate on D'Vor Feesha X</v>
      </c>
      <c r="AB88" s="424"/>
      <c r="AC88" s="463"/>
      <c r="AD88" s="463"/>
      <c r="AE88" s="453">
        <f t="array" ref="AE88">XLOOKUP(MasterTech!$AF$4:$AF$214,RawTech!$AO$2:$AO$212,RawTech!$AR$2:$AR$212)</f>
        <v>24</v>
      </c>
      <c r="AF88" s="427">
        <v>3.267449737E9</v>
      </c>
      <c r="AG88" s="428"/>
      <c r="AH88" s="428"/>
      <c r="AI88" s="429"/>
      <c r="AJ88" s="430"/>
    </row>
    <row r="89" ht="37.5" customHeight="1">
      <c r="A89" s="415" t="str">
        <f t="array" ref="A89">LEFT(XLOOKUP(LCARS_Tech[BuffID],RawTech[BuffID],RawTech[TechRarity]), 1)</f>
        <v>R</v>
      </c>
      <c r="B89" s="416"/>
      <c r="C89" s="454" t="str">
        <f t="array" ref="C89">HYPERLINK("https://stfc.space/forbidden_and_chaos_tech/" &amp; XLOOKUP(MasterTech!$AF$4:$AF$214,RawTech!$AO$2:$AO$212,RawTech!$AQ$2:$AQ$212), XLOOKUP(MasterTech!$AF$4:$AF$214,RawTech!$AO$2:$AO$212,RawTech!$B$2:$B$212))</f>
        <v>Ferengi Energy Whip</v>
      </c>
      <c r="D89" s="432">
        <f t="array" ref="D89">XLOOKUP(LCARS_Tech[BuffID],RawTech[BuffID],RawTech[BuffOrder])</f>
        <v>2</v>
      </c>
      <c r="E89" s="433" t="str">
        <f t="array" ref="E89">XLOOKUP(LCARS_Tech[BuffID],RawTech[BuffID],RawTech[TechType])</f>
        <v>FT</v>
      </c>
      <c r="F89" s="433" t="str">
        <f t="array" ref="F89">XLOOKUP(LCARS_Tech[BuffID],RawTech[BuffID],RawTech[Tag_PvPinSpace])</f>
        <v>➖</v>
      </c>
      <c r="G89" s="433" t="str">
        <f t="array" ref="G89">XLOOKUP(LCARS_Tech[BuffID],RawTech[BuffID],RawTech[Tag_PvPStation])</f>
        <v>➖</v>
      </c>
      <c r="H89" s="433" t="str">
        <f t="array" ref="H89">XLOOKUP(LCARS_Tech[BuffID],RawTech[BuffID],RawTech[Tag_NonArmadaHostiles])</f>
        <v>➖</v>
      </c>
      <c r="I89" s="433" t="str">
        <f t="array" ref="I89">XLOOKUP(LCARS_Tech[BuffID],RawTech[BuffID],RawTech[Tag_WaveDefense])</f>
        <v>➖</v>
      </c>
      <c r="J89" s="433" t="str">
        <f t="array" ref="J89">XLOOKUP(LCARS_Tech[BuffID],RawTech[BuffID],RawTech[Tag_QTrial])</f>
        <v>➖</v>
      </c>
      <c r="K89" s="433" t="str">
        <f t="array" ref="K89">XLOOKUP(LCARS_Tech[BuffID],RawTech[BuffID],RawTech[Tag_MissionBosses])</f>
        <v>➖</v>
      </c>
      <c r="L89" s="433" t="str">
        <f t="array" ref="L89">XLOOKUP(LCARS_Tech[BuffID],RawTech[BuffID],RawTech[Tag_GroupArmadas])</f>
        <v>➖</v>
      </c>
      <c r="M89" s="433" t="str">
        <f t="array" ref="M89">XLOOKUP(LCARS_Tech[BuffID],RawTech[BuffID],RawTech[Tag_SoloArmadas])</f>
        <v>➖</v>
      </c>
      <c r="N89" s="433" t="str">
        <f t="array" ref="N89">XLOOKUP(LCARS_Tech[BuffID],RawTech[BuffID],RawTech[Tag_InvadingEntities])</f>
        <v>➖</v>
      </c>
      <c r="O89" s="433" t="str">
        <f t="array" ref="O89">XLOOKUP(LCARS_Tech[BuffID],RawTech[BuffID],RawTech[Tag_Assaults])</f>
        <v>➖</v>
      </c>
      <c r="P89" s="434" t="str">
        <f t="array" ref="P89">XLOOKUP(LCARS_Tech[BuffID],RawTech[BuffID],RawTech[Tag_OutpostArmadas])</f>
        <v>➖</v>
      </c>
      <c r="Q89" s="416" t="str">
        <f t="array" ref="Q89">XLOOKUP(LCARS_Tech[BuffID],RawTech[BuffID],RawTech[Tag_OutpostRetaliators])</f>
        <v>➖</v>
      </c>
      <c r="R89" s="416" t="str">
        <f t="array" ref="R89">XLOOKUP(MasterTech!$AF$4:$AF$214,RawTech!$AO$2:$AO$212,RawTech!$AV$2:$AV$212)</f>
        <v/>
      </c>
      <c r="S89" s="433" t="str">
        <f t="array" ref="S89">XLOOKUP(MasterTech!$AF$4:$AF$214,RawTech!$AO$2:$AO$212,RawTech!$AK$2:$AK$212)</f>
        <v>➖</v>
      </c>
      <c r="T89" s="435" t="str">
        <f t="array" ref="T89">XLOOKUP(MasterTech!$AF$4:$AF$214,RawTech!$AO$2:$AO$212,RawTech!$AM$2:$AM$212)</f>
        <v>✅</v>
      </c>
      <c r="U89" s="438" t="str">
        <f t="array" ref="U89">XLOOKUP(MasterTech!$AF$4:$AF$214,RawTech!$AO$2:$AO$212,RawTech!$D$2:$D$212)</f>
        <v>CargoCapacity</v>
      </c>
      <c r="V89" s="416" t="str">
        <f t="array" ref="V89">XLOOKUP(MasterTech!$AF$4:$AF$214,RawTech!$AO$2:$AO$212,RawTech!$I$2:$I$212)</f>
        <v/>
      </c>
      <c r="W89" s="437" t="str">
        <f t="array" ref="W89">XLOOKUP(MasterTech!$AF$4:$AF$214,RawTech!$AO$2:$AO$212,RawTech!$E$2:$E$212)</f>
        <v/>
      </c>
      <c r="X89" s="438" t="str">
        <f t="array" ref="X89">XLOOKUP(MasterTech!$AF$4:$AF$214,RawTech!$AO$2:$AO$212,RawTech!$F$2:$F$212)</f>
        <v>ShipLaunched</v>
      </c>
      <c r="Y89" s="438" t="str">
        <f t="array" ref="Y89">XLOOKUP(MasterTech!$AF$4:$AF$214,RawTech!$AO$2:$AO$212,RawTech!$G$2:$G$212)</f>
        <v>SelfShip</v>
      </c>
      <c r="Z89" s="438" t="str">
        <f t="array" ref="Z89">XLOOKUP(MasterTech!$AF$4:$AF$214,RawTech!$AO$2:$AO$212,RawTech!$H$2:$H$212)</f>
        <v>MultiplyAdd</v>
      </c>
      <c r="AA89" s="438" t="str">
        <f t="array" ref="AA89">XLOOKUP(MasterTech!$AF$4:$AF$214,RawTech!$AO$2:$AO$212,RawTech!$J$2:$J$212)</f>
        <v>Increases Cargo capacity X</v>
      </c>
      <c r="AB89" s="439"/>
      <c r="AC89" s="440"/>
      <c r="AD89" s="440"/>
      <c r="AE89" s="455">
        <f t="array" ref="AE89">XLOOKUP(MasterTech!$AF$4:$AF$214,RawTech!$AO$2:$AO$212,RawTech!$AR$2:$AR$212)</f>
        <v>24</v>
      </c>
      <c r="AF89" s="427">
        <v>2.678400751E9</v>
      </c>
      <c r="AG89" s="428"/>
      <c r="AH89" s="428"/>
      <c r="AI89" s="429"/>
      <c r="AJ89" s="430"/>
    </row>
    <row r="90" ht="37.5" customHeight="1">
      <c r="A90" s="415" t="str">
        <f t="array" ref="A90">LEFT(XLOOKUP(LCARS_Tech[BuffID],RawTech[BuffID],RawTech[TechRarity]), 1)</f>
        <v>R</v>
      </c>
      <c r="B90" s="420"/>
      <c r="C90" s="452" t="str">
        <f t="array" ref="C90">HYPERLINK("https://stfc.space/forbidden_and_chaos_tech/" &amp; XLOOKUP(MasterTech!$AF$4:$AF$214,RawTech!$AO$2:$AO$212,RawTech!$AQ$2:$AQ$212), XLOOKUP(MasterTech!$AF$4:$AF$214,RawTech!$AO$2:$AO$212,RawTech!$B$2:$B$212))</f>
        <v>Ferengi Energy Whip</v>
      </c>
      <c r="D90" s="418">
        <f t="array" ref="D90">XLOOKUP(LCARS_Tech[BuffID],RawTech[BuffID],RawTech[BuffOrder])</f>
        <v>3</v>
      </c>
      <c r="E90" s="419" t="str">
        <f t="array" ref="E90">XLOOKUP(LCARS_Tech[BuffID],RawTech[BuffID],RawTech[TechType])</f>
        <v>FT</v>
      </c>
      <c r="F90" s="419" t="str">
        <f t="array" ref="F90">XLOOKUP(LCARS_Tech[BuffID],RawTech[BuffID],RawTech[Tag_PvPinSpace])</f>
        <v>➖</v>
      </c>
      <c r="G90" s="419" t="str">
        <f t="array" ref="G90">XLOOKUP(LCARS_Tech[BuffID],RawTech[BuffID],RawTech[Tag_PvPStation])</f>
        <v>➖</v>
      </c>
      <c r="H90" s="419" t="str">
        <f t="array" ref="H90">XLOOKUP(LCARS_Tech[BuffID],RawTech[BuffID],RawTech[Tag_NonArmadaHostiles])</f>
        <v>➖</v>
      </c>
      <c r="I90" s="419" t="str">
        <f t="array" ref="I90">XLOOKUP(LCARS_Tech[BuffID],RawTech[BuffID],RawTech[Tag_WaveDefense])</f>
        <v>➖</v>
      </c>
      <c r="J90" s="419" t="str">
        <f t="array" ref="J90">XLOOKUP(LCARS_Tech[BuffID],RawTech[BuffID],RawTech[Tag_QTrial])</f>
        <v>➖</v>
      </c>
      <c r="K90" s="419" t="str">
        <f t="array" ref="K90">XLOOKUP(LCARS_Tech[BuffID],RawTech[BuffID],RawTech[Tag_MissionBosses])</f>
        <v>➖</v>
      </c>
      <c r="L90" s="419" t="str">
        <f t="array" ref="L90">XLOOKUP(LCARS_Tech[BuffID],RawTech[BuffID],RawTech[Tag_GroupArmadas])</f>
        <v>➖</v>
      </c>
      <c r="M90" s="419" t="str">
        <f t="array" ref="M90">XLOOKUP(LCARS_Tech[BuffID],RawTech[BuffID],RawTech[Tag_SoloArmadas])</f>
        <v>➖</v>
      </c>
      <c r="N90" s="419" t="str">
        <f t="array" ref="N90">XLOOKUP(LCARS_Tech[BuffID],RawTech[BuffID],RawTech[Tag_InvadingEntities])</f>
        <v>➖</v>
      </c>
      <c r="O90" s="419" t="str">
        <f t="array" ref="O90">XLOOKUP(LCARS_Tech[BuffID],RawTech[BuffID],RawTech[Tag_Assaults])</f>
        <v>➖</v>
      </c>
      <c r="P90" s="442" t="str">
        <f t="array" ref="P90">XLOOKUP(LCARS_Tech[BuffID],RawTech[BuffID],RawTech[Tag_OutpostArmadas])</f>
        <v>➖</v>
      </c>
      <c r="Q90" s="420" t="str">
        <f t="array" ref="Q90">XLOOKUP(LCARS_Tech[BuffID],RawTech[BuffID],RawTech[Tag_OutpostRetaliators])</f>
        <v>➖</v>
      </c>
      <c r="R90" s="420" t="str">
        <f t="array" ref="R90">XLOOKUP(MasterTech!$AF$4:$AF$214,RawTech!$AO$2:$AO$212,RawTech!$AV$2:$AV$212)</f>
        <v/>
      </c>
      <c r="S90" s="419" t="str">
        <f t="array" ref="S90">XLOOKUP(MasterTech!$AF$4:$AF$214,RawTech!$AO$2:$AO$212,RawTech!$AK$2:$AK$212)</f>
        <v>➖</v>
      </c>
      <c r="T90" s="422" t="str">
        <f t="array" ref="T90">XLOOKUP(MasterTech!$AF$4:$AF$214,RawTech!$AO$2:$AO$212,RawTech!$AM$2:$AM$212)</f>
        <v>✅</v>
      </c>
      <c r="U90" s="423" t="str">
        <f t="array" ref="U90">XLOOKUP(MasterTech!$AF$4:$AF$214,RawTech!$AO$2:$AO$212,RawTech!$D$2:$D$212)</f>
        <v>MiningRate</v>
      </c>
      <c r="V90" s="423" t="str">
        <f t="array" ref="V90">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90" s="421" t="str">
        <f t="array" ref="W90">XLOOKUP(MasterTech!$AF$4:$AF$214,RawTech!$AO$2:$AO$212,RawTech!$E$2:$E$212)</f>
        <v/>
      </c>
      <c r="X90" s="423" t="str">
        <f t="array" ref="X90">XLOOKUP(MasterTech!$AF$4:$AF$214,RawTech!$AO$2:$AO$212,RawTech!$F$2:$F$212)</f>
        <v>ShipLaunched</v>
      </c>
      <c r="Y90" s="423" t="str">
        <f t="array" ref="Y90">XLOOKUP(MasterTech!$AF$4:$AF$214,RawTech!$AO$2:$AO$212,RawTech!$G$2:$G$212)</f>
        <v>SelfShip</v>
      </c>
      <c r="Z90" s="423" t="str">
        <f t="array" ref="Z90">XLOOKUP(MasterTech!$AF$4:$AF$214,RawTech!$AO$2:$AO$212,RawTech!$H$2:$H$212)</f>
        <v>MultiplyAdd</v>
      </c>
      <c r="AA90" s="423" t="str">
        <f t="array" ref="AA90">XLOOKUP(MasterTech!$AF$4:$AF$214,RawTech!$AO$2:$AO$212,RawTech!$J$2:$J$212)</f>
        <v>Increases Mining Rate X</v>
      </c>
      <c r="AB90" s="424"/>
      <c r="AC90" s="425"/>
      <c r="AD90" s="425"/>
      <c r="AE90" s="453">
        <f t="array" ref="AE90">XLOOKUP(MasterTech!$AF$4:$AF$214,RawTech!$AO$2:$AO$212,RawTech!$AR$2:$AR$212)</f>
        <v>24</v>
      </c>
      <c r="AF90" s="427">
        <v>6.64027699E8</v>
      </c>
      <c r="AG90" s="428"/>
      <c r="AH90" s="428"/>
      <c r="AI90" s="429"/>
      <c r="AJ90" s="430"/>
    </row>
    <row r="91" ht="37.5" customHeight="1">
      <c r="A91" s="415" t="str">
        <f t="array" ref="A91">LEFT(XLOOKUP(LCARS_Tech[BuffID],RawTech[BuffID],RawTech[TechRarity]), 1)</f>
        <v>R</v>
      </c>
      <c r="B91" s="416"/>
      <c r="C91" s="454" t="str">
        <f t="array" ref="C91">HYPERLINK("https://stfc.space/forbidden_and_chaos_tech/" &amp; XLOOKUP(MasterTech!$AF$4:$AF$214,RawTech!$AO$2:$AO$212,RawTech!$AQ$2:$AQ$212), XLOOKUP(MasterTech!$AF$4:$AF$214,RawTech!$AO$2:$AO$212,RawTech!$B$2:$B$212))</f>
        <v>Ferengi Energy Whip</v>
      </c>
      <c r="D91" s="432">
        <f t="array" ref="D91">XLOOKUP(LCARS_Tech[BuffID],RawTech[BuffID],RawTech[BuffOrder])</f>
        <v>4</v>
      </c>
      <c r="E91" s="433" t="str">
        <f t="array" ref="E91">XLOOKUP(LCARS_Tech[BuffID],RawTech[BuffID],RawTech[TechType])</f>
        <v>FT</v>
      </c>
      <c r="F91" s="433" t="str">
        <f t="array" ref="F91">XLOOKUP(LCARS_Tech[BuffID],RawTech[BuffID],RawTech[Tag_PvPinSpace])</f>
        <v>➖</v>
      </c>
      <c r="G91" s="433" t="str">
        <f t="array" ref="G91">XLOOKUP(LCARS_Tech[BuffID],RawTech[BuffID],RawTech[Tag_PvPStation])</f>
        <v>➖</v>
      </c>
      <c r="H91" s="433" t="str">
        <f t="array" ref="H91">XLOOKUP(LCARS_Tech[BuffID],RawTech[BuffID],RawTech[Tag_NonArmadaHostiles])</f>
        <v>➖</v>
      </c>
      <c r="I91" s="433" t="str">
        <f t="array" ref="I91">XLOOKUP(LCARS_Tech[BuffID],RawTech[BuffID],RawTech[Tag_WaveDefense])</f>
        <v>➖</v>
      </c>
      <c r="J91" s="433" t="str">
        <f t="array" ref="J91">XLOOKUP(LCARS_Tech[BuffID],RawTech[BuffID],RawTech[Tag_QTrial])</f>
        <v>➖</v>
      </c>
      <c r="K91" s="433" t="str">
        <f t="array" ref="K91">XLOOKUP(LCARS_Tech[BuffID],RawTech[BuffID],RawTech[Tag_MissionBosses])</f>
        <v>➖</v>
      </c>
      <c r="L91" s="433" t="str">
        <f t="array" ref="L91">XLOOKUP(LCARS_Tech[BuffID],RawTech[BuffID],RawTech[Tag_GroupArmadas])</f>
        <v>➖</v>
      </c>
      <c r="M91" s="433" t="str">
        <f t="array" ref="M91">XLOOKUP(LCARS_Tech[BuffID],RawTech[BuffID],RawTech[Tag_SoloArmadas])</f>
        <v>➖</v>
      </c>
      <c r="N91" s="433" t="str">
        <f t="array" ref="N91">XLOOKUP(LCARS_Tech[BuffID],RawTech[BuffID],RawTech[Tag_InvadingEntities])</f>
        <v>➖</v>
      </c>
      <c r="O91" s="433" t="str">
        <f t="array" ref="O91">XLOOKUP(LCARS_Tech[BuffID],RawTech[BuffID],RawTech[Tag_Assaults])</f>
        <v>➖</v>
      </c>
      <c r="P91" s="434" t="str">
        <f t="array" ref="P91">XLOOKUP(LCARS_Tech[BuffID],RawTech[BuffID],RawTech[Tag_OutpostArmadas])</f>
        <v>➖</v>
      </c>
      <c r="Q91" s="416" t="str">
        <f t="array" ref="Q91">XLOOKUP(LCARS_Tech[BuffID],RawTech[BuffID],RawTech[Tag_OutpostRetaliators])</f>
        <v>➖</v>
      </c>
      <c r="R91" s="416" t="str">
        <f t="array" ref="R91">XLOOKUP(MasterTech!$AF$4:$AF$214,RawTech!$AO$2:$AO$212,RawTech!$AV$2:$AV$212)</f>
        <v/>
      </c>
      <c r="S91" s="433" t="str">
        <f t="array" ref="S91">XLOOKUP(MasterTech!$AF$4:$AF$214,RawTech!$AO$2:$AO$212,RawTech!$AK$2:$AK$212)</f>
        <v>➖</v>
      </c>
      <c r="T91" s="435" t="str">
        <f t="array" ref="T91">XLOOKUP(MasterTech!$AF$4:$AF$214,RawTech!$AO$2:$AO$212,RawTech!$AM$2:$AM$212)</f>
        <v>✅</v>
      </c>
      <c r="U91" s="438" t="str">
        <f t="array" ref="U91">XLOOKUP(MasterTech!$AF$4:$AF$214,RawTech!$AO$2:$AO$212,RawTech!$D$2:$D$212)</f>
        <v>CargoProtection</v>
      </c>
      <c r="V91" s="416" t="str">
        <f t="array" ref="V91">XLOOKUP(MasterTech!$AF$4:$AF$214,RawTech!$AO$2:$AO$212,RawTech!$I$2:$I$212)</f>
        <v/>
      </c>
      <c r="W91" s="437" t="str">
        <f t="array" ref="W91">XLOOKUP(MasterTech!$AF$4:$AF$214,RawTech!$AO$2:$AO$212,RawTech!$E$2:$E$212)</f>
        <v/>
      </c>
      <c r="X91" s="438" t="str">
        <f t="array" ref="X91">XLOOKUP(MasterTech!$AF$4:$AF$214,RawTech!$AO$2:$AO$212,RawTech!$F$2:$F$212)</f>
        <v>ShipLaunched</v>
      </c>
      <c r="Y91" s="438" t="str">
        <f t="array" ref="Y91">XLOOKUP(MasterTech!$AF$4:$AF$214,RawTech!$AO$2:$AO$212,RawTech!$G$2:$G$212)</f>
        <v>SelfShip</v>
      </c>
      <c r="Z91" s="438" t="str">
        <f t="array" ref="Z91">XLOOKUP(MasterTech!$AF$4:$AF$214,RawTech!$AO$2:$AO$212,RawTech!$H$2:$H$212)</f>
        <v>MultiplyAdd</v>
      </c>
      <c r="AA91" s="438" t="str">
        <f t="array" ref="AA91">XLOOKUP(MasterTech!$AF$4:$AF$214,RawTech!$AO$2:$AO$212,RawTech!$J$2:$J$212)</f>
        <v>Increases Protected Cargo X</v>
      </c>
      <c r="AB91" s="439"/>
      <c r="AC91" s="440"/>
      <c r="AD91" s="440"/>
      <c r="AE91" s="455">
        <f t="array" ref="AE91">XLOOKUP(MasterTech!$AF$4:$AF$214,RawTech!$AO$2:$AO$212,RawTech!$AR$2:$AR$212)</f>
        <v>24</v>
      </c>
      <c r="AF91" s="427">
        <v>3.282052048E9</v>
      </c>
      <c r="AG91" s="428"/>
      <c r="AH91" s="428"/>
      <c r="AI91" s="429"/>
      <c r="AJ91" s="430"/>
    </row>
    <row r="92" ht="37.5" customHeight="1">
      <c r="A92" s="415" t="str">
        <f t="array" ref="A92">LEFT(XLOOKUP(LCARS_Tech[BuffID],RawTech[BuffID],RawTech[TechRarity]), 1)</f>
        <v>R</v>
      </c>
      <c r="B92" s="420"/>
      <c r="C92" s="452" t="str">
        <f t="array" ref="C92">HYPERLINK("https://stfc.space/forbidden_and_chaos_tech/" &amp; XLOOKUP(MasterTech!$AF$4:$AF$214,RawTech!$AO$2:$AO$212,RawTech!$AQ$2:$AQ$212), XLOOKUP(MasterTech!$AF$4:$AF$214,RawTech!$AO$2:$AO$212,RawTech!$B$2:$B$212))</f>
        <v>Breen Energy Dampener</v>
      </c>
      <c r="D92" s="418">
        <f t="array" ref="D92">XLOOKUP(LCARS_Tech[BuffID],RawTech[BuffID],RawTech[BuffOrder])</f>
        <v>1</v>
      </c>
      <c r="E92" s="419" t="str">
        <f t="array" ref="E92">XLOOKUP(LCARS_Tech[BuffID],RawTech[BuffID],RawTech[TechType])</f>
        <v>FT</v>
      </c>
      <c r="F92" s="419" t="str">
        <f t="array" ref="F92">XLOOKUP(LCARS_Tech[BuffID],RawTech[BuffID],RawTech[Tag_PvPinSpace])</f>
        <v>➖</v>
      </c>
      <c r="G92" s="419" t="str">
        <f t="array" ref="G92">XLOOKUP(LCARS_Tech[BuffID],RawTech[BuffID],RawTech[Tag_PvPStation])</f>
        <v>➖</v>
      </c>
      <c r="H92" s="419" t="str">
        <f t="array" ref="H92">XLOOKUP(LCARS_Tech[BuffID],RawTech[BuffID],RawTech[Tag_NonArmadaHostiles])</f>
        <v>✴️</v>
      </c>
      <c r="I92" s="419" t="str">
        <f t="array" ref="I92">XLOOKUP(LCARS_Tech[BuffID],RawTech[BuffID],RawTech[Tag_WaveDefense])</f>
        <v>➖</v>
      </c>
      <c r="J92" s="419" t="str">
        <f t="array" ref="J92">XLOOKUP(LCARS_Tech[BuffID],RawTech[BuffID],RawTech[Tag_QTrial])</f>
        <v>➖</v>
      </c>
      <c r="K92" s="419" t="str">
        <f t="array" ref="K92">XLOOKUP(LCARS_Tech[BuffID],RawTech[BuffID],RawTech[Tag_MissionBosses])</f>
        <v>➖</v>
      </c>
      <c r="L92" s="419" t="str">
        <f t="array" ref="L92">XLOOKUP(LCARS_Tech[BuffID],RawTech[BuffID],RawTech[Tag_GroupArmadas])</f>
        <v>➖</v>
      </c>
      <c r="M92" s="419" t="str">
        <f t="array" ref="M92">XLOOKUP(LCARS_Tech[BuffID],RawTech[BuffID],RawTech[Tag_SoloArmadas])</f>
        <v>➖</v>
      </c>
      <c r="N92" s="419" t="str">
        <f t="array" ref="N92">XLOOKUP(LCARS_Tech[BuffID],RawTech[BuffID],RawTech[Tag_InvadingEntities])</f>
        <v>➖</v>
      </c>
      <c r="O92" s="419" t="str">
        <f t="array" ref="O92">XLOOKUP(LCARS_Tech[BuffID],RawTech[BuffID],RawTech[Tag_Assaults])</f>
        <v>➖</v>
      </c>
      <c r="P92" s="442" t="str">
        <f t="array" ref="P92">XLOOKUP(LCARS_Tech[BuffID],RawTech[BuffID],RawTech[Tag_OutpostArmadas])</f>
        <v>➖</v>
      </c>
      <c r="Q92" s="420" t="str">
        <f t="array" ref="Q92">XLOOKUP(LCARS_Tech[BuffID],RawTech[BuffID],RawTech[Tag_OutpostRetaliators])</f>
        <v>➖</v>
      </c>
      <c r="R92" s="420" t="str">
        <f t="array" ref="R92">XLOOKUP(MasterTech!$AF$4:$AF$214,RawTech!$AO$2:$AO$212,RawTech!$AV$2:$AV$212)</f>
        <v>MantisActianVenomLoot</v>
      </c>
      <c r="S92" s="419" t="str">
        <f t="array" ref="S92">XLOOKUP(MasterTech!$AF$4:$AF$214,RawTech!$AO$2:$AO$212,RawTech!$AK$2:$AK$212)</f>
        <v>✅</v>
      </c>
      <c r="T92" s="422" t="str">
        <f t="array" ref="T92">XLOOKUP(MasterTech!$AF$4:$AF$214,RawTech!$AO$2:$AO$212,RawTech!$AM$2:$AM$212)</f>
        <v>➖</v>
      </c>
      <c r="U92" s="423" t="str">
        <f t="array" ref="U92">XLOOKUP(MasterTech!$AF$4:$AF$214,RawTech!$AO$2:$AO$212,RawTech!$D$2:$D$212)</f>
        <v>MantisActianVenomLoot</v>
      </c>
      <c r="V92" s="420" t="str">
        <f t="array" ref="V92">XLOOKUP(MasterTech!$AF$4:$AF$214,RawTech!$AO$2:$AO$212,RawTech!$I$2:$I$212)</f>
        <v/>
      </c>
      <c r="W92" s="443" t="str">
        <f t="array" ref="W92">XLOOKUP(MasterTech!$AF$4:$AF$214,RawTech!$AO$2:$AO$212,RawTech!$E$2:$E$212)</f>
        <v>SelfHullMantis</v>
      </c>
      <c r="X92" s="423" t="str">
        <f t="array" ref="X92">XLOOKUP(MasterTech!$AF$4:$AF$214,RawTech!$AO$2:$AO$212,RawTech!$F$2:$F$212)</f>
        <v>ShipLaunched</v>
      </c>
      <c r="Y92" s="423" t="str">
        <f t="array" ref="Y92">XLOOKUP(MasterTech!$AF$4:$AF$214,RawTech!$AO$2:$AO$212,RawTech!$G$2:$G$212)</f>
        <v>SelfShip</v>
      </c>
      <c r="Z92" s="423" t="str">
        <f t="array" ref="Z92">XLOOKUP(MasterTech!$AF$4:$AF$214,RawTech!$AO$2:$AO$212,RawTech!$H$2:$H$212)</f>
        <v>MultiplyAdd</v>
      </c>
      <c r="AA92" s="423" t="str">
        <f t="array" ref="AA92">XLOOKUP(MasterTech!$AF$4:$AF$214,RawTech!$AO$2:$AO$212,RawTech!$J$2:$J$212)</f>
        <v>Increases Actian Venom rewards on Mantis X</v>
      </c>
      <c r="AB92" s="424"/>
      <c r="AC92" s="425"/>
      <c r="AD92" s="425"/>
      <c r="AE92" s="453">
        <f t="array" ref="AE92">XLOOKUP(MasterTech!$AF$4:$AF$214,RawTech!$AO$2:$AO$212,RawTech!$AR$2:$AR$212)</f>
        <v>25</v>
      </c>
      <c r="AF92" s="427">
        <v>1.735745109E9</v>
      </c>
      <c r="AG92" s="428"/>
      <c r="AH92" s="428"/>
      <c r="AI92" s="429"/>
      <c r="AJ92" s="430"/>
    </row>
    <row r="93" ht="37.5" customHeight="1">
      <c r="A93" s="415" t="str">
        <f t="array" ref="A93">LEFT(XLOOKUP(LCARS_Tech[BuffID],RawTech[BuffID],RawTech[TechRarity]), 1)</f>
        <v>R</v>
      </c>
      <c r="B93" s="416"/>
      <c r="C93" s="454" t="str">
        <f t="array" ref="C93">HYPERLINK("https://stfc.space/forbidden_and_chaos_tech/" &amp; XLOOKUP(MasterTech!$AF$4:$AF$214,RawTech!$AO$2:$AO$212,RawTech!$AQ$2:$AQ$212), XLOOKUP(MasterTech!$AF$4:$AF$214,RawTech!$AO$2:$AO$212,RawTech!$B$2:$B$212))</f>
        <v>Breen Energy Dampener</v>
      </c>
      <c r="D93" s="432">
        <f t="array" ref="D93">XLOOKUP(LCARS_Tech[BuffID],RawTech[BuffID],RawTech[BuffOrder])</f>
        <v>2</v>
      </c>
      <c r="E93" s="433" t="str">
        <f t="array" ref="E93">XLOOKUP(LCARS_Tech[BuffID],RawTech[BuffID],RawTech[TechType])</f>
        <v>FT</v>
      </c>
      <c r="F93" s="433" t="str">
        <f t="array" ref="F93">XLOOKUP(LCARS_Tech[BuffID],RawTech[BuffID],RawTech[Tag_PvPinSpace])</f>
        <v>➖</v>
      </c>
      <c r="G93" s="433" t="str">
        <f t="array" ref="G93">XLOOKUP(LCARS_Tech[BuffID],RawTech[BuffID],RawTech[Tag_PvPStation])</f>
        <v>➖</v>
      </c>
      <c r="H93" s="433" t="str">
        <f t="array" ref="H93">XLOOKUP(LCARS_Tech[BuffID],RawTech[BuffID],RawTech[Tag_NonArmadaHostiles])</f>
        <v>✅</v>
      </c>
      <c r="I93" s="433" t="str">
        <f t="array" ref="I93">XLOOKUP(LCARS_Tech[BuffID],RawTech[BuffID],RawTech[Tag_WaveDefense])</f>
        <v>✅</v>
      </c>
      <c r="J93" s="433" t="str">
        <f t="array" ref="J93">XLOOKUP(LCARS_Tech[BuffID],RawTech[BuffID],RawTech[Tag_QTrial])</f>
        <v>✅</v>
      </c>
      <c r="K93" s="433" t="str">
        <f t="array" ref="K93">XLOOKUP(LCARS_Tech[BuffID],RawTech[BuffID],RawTech[Tag_MissionBosses])</f>
        <v>➖</v>
      </c>
      <c r="L93" s="433" t="str">
        <f t="array" ref="L93">XLOOKUP(LCARS_Tech[BuffID],RawTech[BuffID],RawTech[Tag_GroupArmadas])</f>
        <v>➖</v>
      </c>
      <c r="M93" s="433" t="str">
        <f t="array" ref="M93">XLOOKUP(LCARS_Tech[BuffID],RawTech[BuffID],RawTech[Tag_SoloArmadas])</f>
        <v>➖</v>
      </c>
      <c r="N93" s="433" t="str">
        <f t="array" ref="N93">XLOOKUP(LCARS_Tech[BuffID],RawTech[BuffID],RawTech[Tag_InvadingEntities])</f>
        <v>➖</v>
      </c>
      <c r="O93" s="433" t="str">
        <f t="array" ref="O93">XLOOKUP(LCARS_Tech[BuffID],RawTech[BuffID],RawTech[Tag_Assaults])</f>
        <v>➖</v>
      </c>
      <c r="P93" s="434" t="str">
        <f t="array" ref="P93">XLOOKUP(LCARS_Tech[BuffID],RawTech[BuffID],RawTech[Tag_OutpostArmadas])</f>
        <v>➖</v>
      </c>
      <c r="Q93" s="416" t="str">
        <f t="array" ref="Q93">XLOOKUP(LCARS_Tech[BuffID],RawTech[BuffID],RawTech[Tag_OutpostRetaliators])</f>
        <v>➖</v>
      </c>
      <c r="R93" s="416" t="str">
        <f t="array" ref="R93">XLOOKUP(MasterTech!$AF$4:$AF$214,RawTech!$AO$2:$AO$212,RawTech!$AV$2:$AV$212)</f>
        <v/>
      </c>
      <c r="S93" s="433" t="str">
        <f t="array" ref="S93">XLOOKUP(MasterTech!$AF$4:$AF$214,RawTech!$AO$2:$AO$212,RawTech!$AK$2:$AK$212)</f>
        <v>➖</v>
      </c>
      <c r="T93" s="435" t="str">
        <f t="array" ref="T93">XLOOKUP(MasterTech!$AF$4:$AF$214,RawTech!$AO$2:$AO$212,RawTech!$AM$2:$AM$212)</f>
        <v>➖</v>
      </c>
      <c r="U93" s="438" t="str">
        <f t="array" ref="U93">XLOOKUP(MasterTech!$AF$4:$AF$214,RawTech!$AO$2:$AO$212,RawTech!$D$2:$D$212)</f>
        <v>AllDefenses</v>
      </c>
      <c r="V93" s="416" t="str">
        <f t="array" ref="V93">XLOOKUP(MasterTech!$AF$4:$AF$214,RawTech!$AO$2:$AO$212,RawTech!$I$2:$I$212)</f>
        <v/>
      </c>
      <c r="W93" s="447" t="str">
        <f t="array" ref="W93">XLOOKUP(MasterTech!$AF$4:$AF$214,RawTech!$AO$2:$AO$212,RawTech!$E$2:$E$212)</f>
        <v>EnemyNonArmadaHostile</v>
      </c>
      <c r="X93" s="438" t="str">
        <f t="array" ref="X93">XLOOKUP(MasterTech!$AF$4:$AF$214,RawTech!$AO$2:$AO$212,RawTech!$F$2:$F$212)</f>
        <v>CombatStart</v>
      </c>
      <c r="Y93" s="438" t="str">
        <f t="array" ref="Y93">XLOOKUP(MasterTech!$AF$4:$AF$214,RawTech!$AO$2:$AO$212,RawTech!$G$2:$G$212)</f>
        <v>SelfShip</v>
      </c>
      <c r="Z93" s="438" t="str">
        <f t="array" ref="Z93">XLOOKUP(MasterTech!$AF$4:$AF$214,RawTech!$AO$2:$AO$212,RawTech!$H$2:$H$212)</f>
        <v>MultiplyAdd</v>
      </c>
      <c r="AA93" s="438" t="str">
        <f t="array" ref="AA93">XLOOKUP(MasterTech!$AF$4:$AF$214,RawTech!$AO$2:$AO$212,RawTech!$J$2:$J$212)</f>
        <v>Increases Armor, Shield Mitigation, and Dodge against hostiles X</v>
      </c>
      <c r="AB93" s="439"/>
      <c r="AC93" s="440"/>
      <c r="AD93" s="440"/>
      <c r="AE93" s="455">
        <f t="array" ref="AE93">XLOOKUP(MasterTech!$AF$4:$AF$214,RawTech!$AO$2:$AO$212,RawTech!$AR$2:$AR$212)</f>
        <v>25</v>
      </c>
      <c r="AF93" s="427">
        <v>2.240827992E9</v>
      </c>
      <c r="AG93" s="428"/>
      <c r="AH93" s="428"/>
      <c r="AI93" s="429"/>
      <c r="AJ93" s="430"/>
    </row>
    <row r="94" ht="37.5" customHeight="1">
      <c r="A94" s="415" t="str">
        <f t="array" ref="A94">LEFT(XLOOKUP(LCARS_Tech[BuffID],RawTech[BuffID],RawTech[TechRarity]), 1)</f>
        <v>R</v>
      </c>
      <c r="B94" s="420"/>
      <c r="C94" s="452" t="str">
        <f t="array" ref="C94">HYPERLINK("https://stfc.space/forbidden_and_chaos_tech/" &amp; XLOOKUP(MasterTech!$AF$4:$AF$214,RawTech!$AO$2:$AO$212,RawTech!$AQ$2:$AQ$212), XLOOKUP(MasterTech!$AF$4:$AF$214,RawTech!$AO$2:$AO$212,RawTech!$B$2:$B$212))</f>
        <v>Breen Energy Dampener</v>
      </c>
      <c r="D94" s="418">
        <f t="array" ref="D94">XLOOKUP(LCARS_Tech[BuffID],RawTech[BuffID],RawTech[BuffOrder])</f>
        <v>3</v>
      </c>
      <c r="E94" s="419" t="str">
        <f t="array" ref="E94">XLOOKUP(LCARS_Tech[BuffID],RawTech[BuffID],RawTech[TechType])</f>
        <v>FT</v>
      </c>
      <c r="F94" s="419" t="str">
        <f t="array" ref="F94">XLOOKUP(LCARS_Tech[BuffID],RawTech[BuffID],RawTech[Tag_PvPinSpace])</f>
        <v>➖</v>
      </c>
      <c r="G94" s="419" t="str">
        <f t="array" ref="G94">XLOOKUP(LCARS_Tech[BuffID],RawTech[BuffID],RawTech[Tag_PvPStation])</f>
        <v>➖</v>
      </c>
      <c r="H94" s="419" t="str">
        <f t="array" ref="H94">XLOOKUP(LCARS_Tech[BuffID],RawTech[BuffID],RawTech[Tag_NonArmadaHostiles])</f>
        <v>➖</v>
      </c>
      <c r="I94" s="419" t="str">
        <f t="array" ref="I94">XLOOKUP(LCARS_Tech[BuffID],RawTech[BuffID],RawTech[Tag_WaveDefense])</f>
        <v>➖</v>
      </c>
      <c r="J94" s="419" t="str">
        <f t="array" ref="J94">XLOOKUP(LCARS_Tech[BuffID],RawTech[BuffID],RawTech[Tag_QTrial])</f>
        <v>➖</v>
      </c>
      <c r="K94" s="419" t="str">
        <f t="array" ref="K94">XLOOKUP(LCARS_Tech[BuffID],RawTech[BuffID],RawTech[Tag_MissionBosses])</f>
        <v>➖</v>
      </c>
      <c r="L94" s="419" t="str">
        <f t="array" ref="L94">XLOOKUP(LCARS_Tech[BuffID],RawTech[BuffID],RawTech[Tag_GroupArmadas])</f>
        <v>➖</v>
      </c>
      <c r="M94" s="419" t="str">
        <f t="array" ref="M94">XLOOKUP(LCARS_Tech[BuffID],RawTech[BuffID],RawTech[Tag_SoloArmadas])</f>
        <v>➖</v>
      </c>
      <c r="N94" s="419" t="str">
        <f t="array" ref="N94">XLOOKUP(LCARS_Tech[BuffID],RawTech[BuffID],RawTech[Tag_InvadingEntities])</f>
        <v>➖</v>
      </c>
      <c r="O94" s="419" t="str">
        <f t="array" ref="O94">XLOOKUP(LCARS_Tech[BuffID],RawTech[BuffID],RawTech[Tag_Assaults])</f>
        <v>➖</v>
      </c>
      <c r="P94" s="442" t="str">
        <f t="array" ref="P94">XLOOKUP(LCARS_Tech[BuffID],RawTech[BuffID],RawTech[Tag_OutpostArmadas])</f>
        <v>➖</v>
      </c>
      <c r="Q94" s="420" t="str">
        <f t="array" ref="Q94">XLOOKUP(LCARS_Tech[BuffID],RawTech[BuffID],RawTech[Tag_OutpostRetaliators])</f>
        <v>➖</v>
      </c>
      <c r="R94" s="420" t="str">
        <f t="array" ref="R94">XLOOKUP(MasterTech!$AF$4:$AF$214,RawTech!$AO$2:$AO$212,RawTech!$AV$2:$AV$212)</f>
        <v/>
      </c>
      <c r="S94" s="419" t="str">
        <f t="array" ref="S94">XLOOKUP(MasterTech!$AF$4:$AF$214,RawTech!$AO$2:$AO$212,RawTech!$AK$2:$AK$212)</f>
        <v>➖</v>
      </c>
      <c r="T94" s="422" t="str">
        <f t="array" ref="T94">XLOOKUP(MasterTech!$AF$4:$AF$214,RawTech!$AO$2:$AO$212,RawTech!$AM$2:$AM$212)</f>
        <v>➖</v>
      </c>
      <c r="U94" s="423" t="str">
        <f t="array" ref="U94">XLOOKUP(MasterTech!$AF$4:$AF$214,RawTech!$AO$2:$AO$212,RawTech!$D$2:$D$212)</f>
        <v>CritDamage</v>
      </c>
      <c r="V94" s="420" t="str">
        <f t="array" ref="V94">XLOOKUP(MasterTech!$AF$4:$AF$214,RawTech!$AO$2:$AO$212,RawTech!$I$2:$I$212)</f>
        <v/>
      </c>
      <c r="W94" s="443" t="str">
        <f t="array" ref="W94">XLOOKUP(MasterTech!$AF$4:$AF$214,RawTech!$AO$2:$AO$212,RawTech!$E$2:$E$212)</f>
        <v>EnemyNonArmadaHostile, SelfHullMantis</v>
      </c>
      <c r="X94" s="423" t="str">
        <f t="array" ref="X94">XLOOKUP(MasterTech!$AF$4:$AF$214,RawTech!$AO$2:$AO$212,RawTech!$F$2:$F$212)</f>
        <v>CombatStart</v>
      </c>
      <c r="Y94" s="423" t="str">
        <f t="array" ref="Y94">XLOOKUP(MasterTech!$AF$4:$AF$214,RawTech!$AO$2:$AO$212,RawTech!$G$2:$G$212)</f>
        <v>SelfShip</v>
      </c>
      <c r="Z94" s="423" t="str">
        <f t="array" ref="Z94">XLOOKUP(MasterTech!$AF$4:$AF$214,RawTech!$AO$2:$AO$212,RawTech!$H$2:$H$212)</f>
        <v>Add</v>
      </c>
      <c r="AA94" s="423" t="str">
        <f t="array" ref="AA94">XLOOKUP(MasterTech!$AF$4:$AF$214,RawTech!$AO$2:$AO$212,RawTech!$J$2:$J$212)</f>
        <v>Increases Critical Damage against hostiles on Mantis X</v>
      </c>
      <c r="AB94" s="424"/>
      <c r="AC94" s="425"/>
      <c r="AD94" s="425"/>
      <c r="AE94" s="453">
        <f t="array" ref="AE94">XLOOKUP(MasterTech!$AF$4:$AF$214,RawTech!$AO$2:$AO$212,RawTech!$AR$2:$AR$212)</f>
        <v>25</v>
      </c>
      <c r="AF94" s="427">
        <v>2.989555928E9</v>
      </c>
      <c r="AG94" s="428"/>
      <c r="AH94" s="428"/>
      <c r="AI94" s="429"/>
      <c r="AJ94" s="430"/>
    </row>
    <row r="95" ht="37.5" customHeight="1">
      <c r="A95" s="415" t="str">
        <f t="array" ref="A95">LEFT(XLOOKUP(LCARS_Tech[BuffID],RawTech[BuffID],RawTech[TechRarity]), 1)</f>
        <v>R</v>
      </c>
      <c r="B95" s="416"/>
      <c r="C95" s="454" t="str">
        <f t="array" ref="C95">HYPERLINK("https://stfc.space/forbidden_and_chaos_tech/" &amp; XLOOKUP(MasterTech!$AF$4:$AF$214,RawTech!$AO$2:$AO$212,RawTech!$AQ$2:$AQ$212), XLOOKUP(MasterTech!$AF$4:$AF$214,RawTech!$AO$2:$AO$212,RawTech!$B$2:$B$212))</f>
        <v>Breen Energy Dampener</v>
      </c>
      <c r="D95" s="432">
        <f t="array" ref="D95">XLOOKUP(LCARS_Tech[BuffID],RawTech[BuffID],RawTech[BuffOrder])</f>
        <v>4</v>
      </c>
      <c r="E95" s="433" t="str">
        <f t="array" ref="E95">XLOOKUP(LCARS_Tech[BuffID],RawTech[BuffID],RawTech[TechType])</f>
        <v>FT</v>
      </c>
      <c r="F95" s="433" t="str">
        <f t="array" ref="F95">XLOOKUP(LCARS_Tech[BuffID],RawTech[BuffID],RawTech[Tag_PvPinSpace])</f>
        <v>➖</v>
      </c>
      <c r="G95" s="433" t="str">
        <f t="array" ref="G95">XLOOKUP(LCARS_Tech[BuffID],RawTech[BuffID],RawTech[Tag_PvPStation])</f>
        <v>➖</v>
      </c>
      <c r="H95" s="433" t="str">
        <f t="array" ref="H95">XLOOKUP(LCARS_Tech[BuffID],RawTech[BuffID],RawTech[Tag_NonArmadaHostiles])</f>
        <v>➖</v>
      </c>
      <c r="I95" s="433" t="str">
        <f t="array" ref="I95">XLOOKUP(LCARS_Tech[BuffID],RawTech[BuffID],RawTech[Tag_WaveDefense])</f>
        <v>➖</v>
      </c>
      <c r="J95" s="433" t="str">
        <f t="array" ref="J95">XLOOKUP(LCARS_Tech[BuffID],RawTech[BuffID],RawTech[Tag_QTrial])</f>
        <v>➖</v>
      </c>
      <c r="K95" s="433" t="str">
        <f t="array" ref="K95">XLOOKUP(LCARS_Tech[BuffID],RawTech[BuffID],RawTech[Tag_MissionBosses])</f>
        <v>➖</v>
      </c>
      <c r="L95" s="433" t="str">
        <f t="array" ref="L95">XLOOKUP(LCARS_Tech[BuffID],RawTech[BuffID],RawTech[Tag_GroupArmadas])</f>
        <v>➖</v>
      </c>
      <c r="M95" s="433" t="str">
        <f t="array" ref="M95">XLOOKUP(LCARS_Tech[BuffID],RawTech[BuffID],RawTech[Tag_SoloArmadas])</f>
        <v>➖</v>
      </c>
      <c r="N95" s="433" t="str">
        <f t="array" ref="N95">XLOOKUP(LCARS_Tech[BuffID],RawTech[BuffID],RawTech[Tag_InvadingEntities])</f>
        <v>➖</v>
      </c>
      <c r="O95" s="433" t="str">
        <f t="array" ref="O95">XLOOKUP(LCARS_Tech[BuffID],RawTech[BuffID],RawTech[Tag_Assaults])</f>
        <v>➖</v>
      </c>
      <c r="P95" s="434" t="str">
        <f t="array" ref="P95">XLOOKUP(LCARS_Tech[BuffID],RawTech[BuffID],RawTech[Tag_OutpostArmadas])</f>
        <v>➖</v>
      </c>
      <c r="Q95" s="416" t="str">
        <f t="array" ref="Q95">XLOOKUP(LCARS_Tech[BuffID],RawTech[BuffID],RawTech[Tag_OutpostRetaliators])</f>
        <v>➖</v>
      </c>
      <c r="R95" s="416" t="str">
        <f t="array" ref="R95">XLOOKUP(MasterTech!$AF$4:$AF$214,RawTech!$AO$2:$AO$212,RawTech!$AV$2:$AV$212)</f>
        <v/>
      </c>
      <c r="S95" s="433" t="str">
        <f t="array" ref="S95">XLOOKUP(MasterTech!$AF$4:$AF$214,RawTech!$AO$2:$AO$212,RawTech!$AK$2:$AK$212)</f>
        <v>➖</v>
      </c>
      <c r="T95" s="435" t="str">
        <f t="array" ref="T95">XLOOKUP(MasterTech!$AF$4:$AF$214,RawTech!$AO$2:$AO$212,RawTech!$AM$2:$AM$212)</f>
        <v>✅</v>
      </c>
      <c r="U95" s="438" t="str">
        <f t="array" ref="U95">XLOOKUP(MasterTech!$AF$4:$AF$214,RawTech!$AO$2:$AO$212,RawTech!$D$2:$D$212)</f>
        <v>CargoCapacity</v>
      </c>
      <c r="V95" s="416" t="str">
        <f t="array" ref="V95">XLOOKUP(MasterTech!$AF$4:$AF$214,RawTech!$AO$2:$AO$212,RawTech!$I$2:$I$212)</f>
        <v/>
      </c>
      <c r="W95" s="437" t="str">
        <f t="array" ref="W95">XLOOKUP(MasterTech!$AF$4:$AF$214,RawTech!$AO$2:$AO$212,RawTech!$E$2:$E$212)</f>
        <v/>
      </c>
      <c r="X95" s="438" t="str">
        <f t="array" ref="X95">XLOOKUP(MasterTech!$AF$4:$AF$214,RawTech!$AO$2:$AO$212,RawTech!$F$2:$F$212)</f>
        <v>ShipLaunched</v>
      </c>
      <c r="Y95" s="438" t="str">
        <f t="array" ref="Y95">XLOOKUP(MasterTech!$AF$4:$AF$214,RawTech!$AO$2:$AO$212,RawTech!$G$2:$G$212)</f>
        <v>SelfShip</v>
      </c>
      <c r="Z95" s="438" t="str">
        <f t="array" ref="Z95">XLOOKUP(MasterTech!$AF$4:$AF$214,RawTech!$AO$2:$AO$212,RawTech!$H$2:$H$212)</f>
        <v>MultiplyAdd</v>
      </c>
      <c r="AA95" s="438" t="str">
        <f t="array" ref="AA95">XLOOKUP(MasterTech!$AF$4:$AF$214,RawTech!$AO$2:$AO$212,RawTech!$J$2:$J$212)</f>
        <v>Increases Cargo capacity X</v>
      </c>
      <c r="AB95" s="439"/>
      <c r="AC95" s="440"/>
      <c r="AD95" s="440"/>
      <c r="AE95" s="455">
        <f t="array" ref="AE95">XLOOKUP(MasterTech!$AF$4:$AF$214,RawTech!$AO$2:$AO$212,RawTech!$AR$2:$AR$212)</f>
        <v>25</v>
      </c>
      <c r="AF95" s="427">
        <v>6.21479544E8</v>
      </c>
      <c r="AG95" s="428"/>
      <c r="AH95" s="428"/>
      <c r="AI95" s="429"/>
      <c r="AJ95" s="430"/>
    </row>
    <row r="96" ht="37.5" customHeight="1">
      <c r="A96" s="415" t="str">
        <f t="array" ref="A96">LEFT(XLOOKUP(LCARS_Tech[BuffID],RawTech[BuffID],RawTech[TechRarity]), 1)</f>
        <v>E</v>
      </c>
      <c r="B96" s="420"/>
      <c r="C96" s="460" t="str">
        <f t="array" ref="C96">HYPERLINK("https://stfc.space/forbidden_and_chaos_tech/" &amp; XLOOKUP(MasterTech!$AF$4:$AF$214,RawTech!$AO$2:$AO$212,RawTech!$AQ$2:$AQ$212), XLOOKUP(MasterTech!$AF$4:$AF$214,RawTech!$AO$2:$AO$212,RawTech!$B$2:$B$212))</f>
        <v>AGIMUS</v>
      </c>
      <c r="D96" s="418">
        <f t="array" ref="D96">XLOOKUP(LCARS_Tech[BuffID],RawTech[BuffID],RawTech[BuffOrder])</f>
        <v>1</v>
      </c>
      <c r="E96" s="419" t="str">
        <f t="array" ref="E96">XLOOKUP(LCARS_Tech[BuffID],RawTech[BuffID],RawTech[TechType])</f>
        <v>FT</v>
      </c>
      <c r="F96" s="419" t="str">
        <f t="array" ref="F96">XLOOKUP(LCARS_Tech[BuffID],RawTech[BuffID],RawTech[Tag_PvPinSpace])</f>
        <v>➖</v>
      </c>
      <c r="G96" s="419" t="str">
        <f t="array" ref="G96">XLOOKUP(LCARS_Tech[BuffID],RawTech[BuffID],RawTech[Tag_PvPStation])</f>
        <v>➖</v>
      </c>
      <c r="H96" s="419" t="str">
        <f t="array" ref="H96">XLOOKUP(LCARS_Tech[BuffID],RawTech[BuffID],RawTech[Tag_NonArmadaHostiles])</f>
        <v>✅</v>
      </c>
      <c r="I96" s="419" t="str">
        <f t="array" ref="I96">XLOOKUP(LCARS_Tech[BuffID],RawTech[BuffID],RawTech[Tag_WaveDefense])</f>
        <v>✅</v>
      </c>
      <c r="J96" s="419" t="str">
        <f t="array" ref="J96">XLOOKUP(LCARS_Tech[BuffID],RawTech[BuffID],RawTech[Tag_QTrial])</f>
        <v>✅</v>
      </c>
      <c r="K96" s="419" t="str">
        <f t="array" ref="K96">XLOOKUP(LCARS_Tech[BuffID],RawTech[BuffID],RawTech[Tag_MissionBosses])</f>
        <v>➖</v>
      </c>
      <c r="L96" s="419" t="str">
        <f t="array" ref="L96">XLOOKUP(LCARS_Tech[BuffID],RawTech[BuffID],RawTech[Tag_GroupArmadas])</f>
        <v>➖</v>
      </c>
      <c r="M96" s="419" t="str">
        <f t="array" ref="M96">XLOOKUP(LCARS_Tech[BuffID],RawTech[BuffID],RawTech[Tag_SoloArmadas])</f>
        <v>➖</v>
      </c>
      <c r="N96" s="419" t="str">
        <f t="array" ref="N96">XLOOKUP(LCARS_Tech[BuffID],RawTech[BuffID],RawTech[Tag_InvadingEntities])</f>
        <v>➖</v>
      </c>
      <c r="O96" s="419" t="str">
        <f t="array" ref="O96">XLOOKUP(LCARS_Tech[BuffID],RawTech[BuffID],RawTech[Tag_Assaults])</f>
        <v>➖</v>
      </c>
      <c r="P96" s="442" t="str">
        <f t="array" ref="P96">XLOOKUP(LCARS_Tech[BuffID],RawTech[BuffID],RawTech[Tag_OutpostArmadas])</f>
        <v>➖</v>
      </c>
      <c r="Q96" s="420" t="str">
        <f t="array" ref="Q96">XLOOKUP(LCARS_Tech[BuffID],RawTech[BuffID],RawTech[Tag_OutpostRetaliators])</f>
        <v>➖</v>
      </c>
      <c r="R96" s="420" t="str">
        <f t="array" ref="R96">XLOOKUP(MasterTech!$AF$4:$AF$214,RawTech!$AO$2:$AO$212,RawTech!$AV$2:$AV$212)</f>
        <v/>
      </c>
      <c r="S96" s="419" t="str">
        <f t="array" ref="S96">XLOOKUP(MasterTech!$AF$4:$AF$214,RawTech!$AO$2:$AO$212,RawTech!$AK$2:$AK$212)</f>
        <v>➖</v>
      </c>
      <c r="T96" s="422" t="str">
        <f t="array" ref="T96">XLOOKUP(MasterTech!$AF$4:$AF$214,RawTech!$AO$2:$AO$212,RawTech!$AM$2:$AM$212)</f>
        <v>➖</v>
      </c>
      <c r="U96" s="423" t="str">
        <f t="array" ref="U96">XLOOKUP(MasterTech!$AF$4:$AF$214,RawTech!$AO$2:$AO$212,RawTech!$D$2:$D$212)</f>
        <v>AllPiercing</v>
      </c>
      <c r="V96" s="420" t="str">
        <f t="array" ref="V96">XLOOKUP(MasterTech!$AF$4:$AF$214,RawTech!$AO$2:$AO$212,RawTech!$I$2:$I$212)</f>
        <v/>
      </c>
      <c r="W96" s="443" t="str">
        <f t="array" ref="W96">XLOOKUP(MasterTech!$AF$4:$AF$214,RawTech!$AO$2:$AO$212,RawTech!$E$2:$E$212)</f>
        <v>EnemyNonArmadaHostile, TargetNotArmada</v>
      </c>
      <c r="X96" s="423" t="str">
        <f t="array" ref="X96">XLOOKUP(MasterTech!$AF$4:$AF$214,RawTech!$AO$2:$AO$212,RawTech!$F$2:$F$212)</f>
        <v>CombatStart</v>
      </c>
      <c r="Y96" s="423" t="str">
        <f t="array" ref="Y96">XLOOKUP(MasterTech!$AF$4:$AF$214,RawTech!$AO$2:$AO$212,RawTech!$G$2:$G$212)</f>
        <v>SelfShip</v>
      </c>
      <c r="Z96" s="423" t="str">
        <f t="array" ref="Z96">XLOOKUP(MasterTech!$AF$4:$AF$214,RawTech!$AO$2:$AO$212,RawTech!$H$2:$H$212)</f>
        <v>MultiplyAdd</v>
      </c>
      <c r="AA96" s="423" t="str">
        <f t="array" ref="AA96">XLOOKUP(MasterTech!$AF$4:$AF$214,RawTech!$AO$2:$AO$212,RawTech!$J$2:$J$212)</f>
        <v>Increases Armor Piercing, Shield Piercing, and Accuracy against hostiles X</v>
      </c>
      <c r="AB96" s="424"/>
      <c r="AC96" s="425"/>
      <c r="AD96" s="425"/>
      <c r="AE96" s="461">
        <f t="array" ref="AE96">XLOOKUP(MasterTech!$AF$4:$AF$214,RawTech!$AO$2:$AO$212,RawTech!$AR$2:$AR$212)</f>
        <v>26</v>
      </c>
      <c r="AF96" s="427">
        <v>6.44824909E8</v>
      </c>
      <c r="AG96" s="428"/>
      <c r="AH96" s="428"/>
      <c r="AI96" s="429"/>
      <c r="AJ96" s="430"/>
    </row>
    <row r="97" ht="37.5" customHeight="1">
      <c r="A97" s="415" t="str">
        <f t="array" ref="A97">LEFT(XLOOKUP(LCARS_Tech[BuffID],RawTech[BuffID],RawTech[TechRarity]), 1)</f>
        <v>E</v>
      </c>
      <c r="B97" s="416"/>
      <c r="C97" s="464" t="str">
        <f t="array" ref="C97">HYPERLINK("https://stfc.space/forbidden_and_chaos_tech/" &amp; XLOOKUP(MasterTech!$AF$4:$AF$214,RawTech!$AO$2:$AO$212,RawTech!$AQ$2:$AQ$212), XLOOKUP(MasterTech!$AF$4:$AF$214,RawTech!$AO$2:$AO$212,RawTech!$B$2:$B$212))</f>
        <v>AGIMUS</v>
      </c>
      <c r="D97" s="432">
        <f t="array" ref="D97">XLOOKUP(LCARS_Tech[BuffID],RawTech[BuffID],RawTech[BuffOrder])</f>
        <v>2</v>
      </c>
      <c r="E97" s="433" t="str">
        <f t="array" ref="E97">XLOOKUP(LCARS_Tech[BuffID],RawTech[BuffID],RawTech[TechType])</f>
        <v>FT</v>
      </c>
      <c r="F97" s="433" t="str">
        <f t="array" ref="F97">XLOOKUP(LCARS_Tech[BuffID],RawTech[BuffID],RawTech[Tag_PvPinSpace])</f>
        <v>➖</v>
      </c>
      <c r="G97" s="433" t="str">
        <f t="array" ref="G97">XLOOKUP(LCARS_Tech[BuffID],RawTech[BuffID],RawTech[Tag_PvPStation])</f>
        <v>➖</v>
      </c>
      <c r="H97" s="433" t="str">
        <f t="array" ref="H97">XLOOKUP(LCARS_Tech[BuffID],RawTech[BuffID],RawTech[Tag_NonArmadaHostiles])</f>
        <v>✅</v>
      </c>
      <c r="I97" s="433" t="str">
        <f t="array" ref="I97">XLOOKUP(LCARS_Tech[BuffID],RawTech[BuffID],RawTech[Tag_WaveDefense])</f>
        <v>➖</v>
      </c>
      <c r="J97" s="433" t="str">
        <f t="array" ref="J97">XLOOKUP(LCARS_Tech[BuffID],RawTech[BuffID],RawTech[Tag_QTrial])</f>
        <v>➖</v>
      </c>
      <c r="K97" s="433" t="str">
        <f t="array" ref="K97">XLOOKUP(LCARS_Tech[BuffID],RawTech[BuffID],RawTech[Tag_MissionBosses])</f>
        <v>➖</v>
      </c>
      <c r="L97" s="433" t="str">
        <f t="array" ref="L97">XLOOKUP(LCARS_Tech[BuffID],RawTech[BuffID],RawTech[Tag_GroupArmadas])</f>
        <v>✅</v>
      </c>
      <c r="M97" s="433" t="str">
        <f t="array" ref="M97">XLOOKUP(LCARS_Tech[BuffID],RawTech[BuffID],RawTech[Tag_SoloArmadas])</f>
        <v>✅</v>
      </c>
      <c r="N97" s="433" t="str">
        <f t="array" ref="N97">XLOOKUP(LCARS_Tech[BuffID],RawTech[BuffID],RawTech[Tag_InvadingEntities])</f>
        <v>✅</v>
      </c>
      <c r="O97" s="433" t="str">
        <f t="array" ref="O97">XLOOKUP(LCARS_Tech[BuffID],RawTech[BuffID],RawTech[Tag_Assaults])</f>
        <v>➖</v>
      </c>
      <c r="P97" s="434" t="str">
        <f t="array" ref="P97">XLOOKUP(LCARS_Tech[BuffID],RawTech[BuffID],RawTech[Tag_OutpostArmadas])</f>
        <v>✅</v>
      </c>
      <c r="Q97" s="416" t="str">
        <f t="array" ref="Q97">XLOOKUP(LCARS_Tech[BuffID],RawTech[BuffID],RawTech[Tag_OutpostRetaliators])</f>
        <v>✅</v>
      </c>
      <c r="R97" s="416" t="str">
        <f t="array" ref="R97">XLOOKUP(MasterTech!$AF$4:$AF$214,RawTech!$AO$2:$AO$212,RawTech!$AV$2:$AV$212)</f>
        <v/>
      </c>
      <c r="S97" s="433" t="str">
        <f t="array" ref="S97">XLOOKUP(MasterTech!$AF$4:$AF$214,RawTech!$AO$2:$AO$212,RawTech!$AK$2:$AK$212)</f>
        <v>✅</v>
      </c>
      <c r="T97" s="435" t="str">
        <f t="array" ref="T97">XLOOKUP(MasterTech!$AF$4:$AF$214,RawTech!$AO$2:$AO$212,RawTech!$AM$2:$AM$212)</f>
        <v>➖</v>
      </c>
      <c r="U97" s="438" t="str">
        <f t="array" ref="U97">XLOOKUP(MasterTech!$AF$4:$AF$214,RawTech!$AO$2:$AO$212,RawTech!$D$2:$D$212)</f>
        <v>CombatPveRewards</v>
      </c>
      <c r="V97" s="416" t="str">
        <f t="array" ref="V97">XLOOKUP(MasterTech!$AF$4:$AF$214,RawTech!$AO$2:$AO$212,RawTech!$I$2:$I$212)</f>
        <v/>
      </c>
      <c r="W97" s="437" t="str">
        <f t="array" ref="W97">XLOOKUP(MasterTech!$AF$4:$AF$214,RawTech!$AO$2:$AO$212,RawTech!$E$2:$E$212)</f>
        <v/>
      </c>
      <c r="X97" s="438" t="str">
        <f t="array" ref="X97">XLOOKUP(MasterTech!$AF$4:$AF$214,RawTech!$AO$2:$AO$212,RawTech!$F$2:$F$212)</f>
        <v>ShipLaunched</v>
      </c>
      <c r="Y97" s="438" t="str">
        <f t="array" ref="Y97">XLOOKUP(MasterTech!$AF$4:$AF$214,RawTech!$AO$2:$AO$212,RawTech!$G$2:$G$212)</f>
        <v>SelfShip</v>
      </c>
      <c r="Z97" s="438" t="str">
        <f t="array" ref="Z97">XLOOKUP(MasterTech!$AF$4:$AF$214,RawTech!$AO$2:$AO$212,RawTech!$H$2:$H$212)</f>
        <v>MultiplyAdd</v>
      </c>
      <c r="AA97" s="456" t="str">
        <f t="array" ref="AA97">XLOOKUP(MasterTech!$AF$4:$AF$214,RawTech!$AO$2:$AO$212,RawTech!$J$2:$J$212)</f>
        <v>Increases hostile Rewards X</v>
      </c>
      <c r="AB97" s="459" t="b">
        <v>1</v>
      </c>
      <c r="AC97" s="465" t="s">
        <v>542</v>
      </c>
      <c r="AD97" s="465" t="s">
        <v>543</v>
      </c>
      <c r="AE97" s="462">
        <f t="array" ref="AE97">XLOOKUP(MasterTech!$AF$4:$AF$214,RawTech!$AO$2:$AO$212,RawTech!$AR$2:$AR$212)</f>
        <v>26</v>
      </c>
      <c r="AF97" s="427">
        <v>1.008532221E9</v>
      </c>
      <c r="AG97" s="428"/>
      <c r="AH97" s="428"/>
      <c r="AI97" s="429"/>
      <c r="AJ97" s="430"/>
    </row>
    <row r="98" ht="37.5" customHeight="1">
      <c r="A98" s="415" t="str">
        <f t="array" ref="A98">LEFT(XLOOKUP(LCARS_Tech[BuffID],RawTech[BuffID],RawTech[TechRarity]), 1)</f>
        <v>E</v>
      </c>
      <c r="B98" s="420"/>
      <c r="C98" s="460" t="str">
        <f t="array" ref="C98">HYPERLINK("https://stfc.space/forbidden_and_chaos_tech/" &amp; XLOOKUP(MasterTech!$AF$4:$AF$214,RawTech!$AO$2:$AO$212,RawTech!$AQ$2:$AQ$212), XLOOKUP(MasterTech!$AF$4:$AF$214,RawTech!$AO$2:$AO$212,RawTech!$B$2:$B$212))</f>
        <v>AGIMUS</v>
      </c>
      <c r="D98" s="418">
        <f t="array" ref="D98">XLOOKUP(LCARS_Tech[BuffID],RawTech[BuffID],RawTech[BuffOrder])</f>
        <v>3</v>
      </c>
      <c r="E98" s="419" t="str">
        <f t="array" ref="E98">XLOOKUP(LCARS_Tech[BuffID],RawTech[BuffID],RawTech[TechType])</f>
        <v>FT</v>
      </c>
      <c r="F98" s="419" t="str">
        <f t="array" ref="F98">XLOOKUP(LCARS_Tech[BuffID],RawTech[BuffID],RawTech[Tag_PvPinSpace])</f>
        <v>➖</v>
      </c>
      <c r="G98" s="419" t="str">
        <f t="array" ref="G98">XLOOKUP(LCARS_Tech[BuffID],RawTech[BuffID],RawTech[Tag_PvPStation])</f>
        <v>➖</v>
      </c>
      <c r="H98" s="419" t="str">
        <f t="array" ref="H98">XLOOKUP(LCARS_Tech[BuffID],RawTech[BuffID],RawTech[Tag_NonArmadaHostiles])</f>
        <v>✅</v>
      </c>
      <c r="I98" s="419" t="str">
        <f t="array" ref="I98">XLOOKUP(LCARS_Tech[BuffID],RawTech[BuffID],RawTech[Tag_WaveDefense])</f>
        <v>✅</v>
      </c>
      <c r="J98" s="419" t="str">
        <f t="array" ref="J98">XLOOKUP(LCARS_Tech[BuffID],RawTech[BuffID],RawTech[Tag_QTrial])</f>
        <v>✅</v>
      </c>
      <c r="K98" s="419" t="str">
        <f t="array" ref="K98">XLOOKUP(LCARS_Tech[BuffID],RawTech[BuffID],RawTech[Tag_MissionBosses])</f>
        <v>➖</v>
      </c>
      <c r="L98" s="419" t="str">
        <f t="array" ref="L98">XLOOKUP(LCARS_Tech[BuffID],RawTech[BuffID],RawTech[Tag_GroupArmadas])</f>
        <v>➖</v>
      </c>
      <c r="M98" s="419" t="str">
        <f t="array" ref="M98">XLOOKUP(LCARS_Tech[BuffID],RawTech[BuffID],RawTech[Tag_SoloArmadas])</f>
        <v>➖</v>
      </c>
      <c r="N98" s="419" t="str">
        <f t="array" ref="N98">XLOOKUP(LCARS_Tech[BuffID],RawTech[BuffID],RawTech[Tag_InvadingEntities])</f>
        <v>➖</v>
      </c>
      <c r="O98" s="419" t="str">
        <f t="array" ref="O98">XLOOKUP(LCARS_Tech[BuffID],RawTech[BuffID],RawTech[Tag_Assaults])</f>
        <v>➖</v>
      </c>
      <c r="P98" s="442" t="str">
        <f t="array" ref="P98">XLOOKUP(LCARS_Tech[BuffID],RawTech[BuffID],RawTech[Tag_OutpostArmadas])</f>
        <v>➖</v>
      </c>
      <c r="Q98" s="420" t="str">
        <f t="array" ref="Q98">XLOOKUP(LCARS_Tech[BuffID],RawTech[BuffID],RawTech[Tag_OutpostRetaliators])</f>
        <v>➖</v>
      </c>
      <c r="R98" s="420" t="str">
        <f t="array" ref="R98">XLOOKUP(MasterTech!$AF$4:$AF$214,RawTech!$AO$2:$AO$212,RawTech!$AV$2:$AV$212)</f>
        <v/>
      </c>
      <c r="S98" s="419" t="str">
        <f t="array" ref="S98">XLOOKUP(MasterTech!$AF$4:$AF$214,RawTech!$AO$2:$AO$212,RawTech!$AK$2:$AK$212)</f>
        <v>➖</v>
      </c>
      <c r="T98" s="422" t="str">
        <f t="array" ref="T98">XLOOKUP(MasterTech!$AF$4:$AF$214,RawTech!$AO$2:$AO$212,RawTech!$AM$2:$AM$212)</f>
        <v>➖</v>
      </c>
      <c r="U98" s="423" t="str">
        <f t="array" ref="U98">XLOOKUP(MasterTech!$AF$4:$AF$214,RawTech!$AO$2:$AO$212,RawTech!$D$2:$D$212)</f>
        <v>CritDamage</v>
      </c>
      <c r="V98" s="420" t="str">
        <f t="array" ref="V98">XLOOKUP(MasterTech!$AF$4:$AF$214,RawTech!$AO$2:$AO$212,RawTech!$I$2:$I$212)</f>
        <v/>
      </c>
      <c r="W98" s="443" t="str">
        <f t="array" ref="W98">XLOOKUP(MasterTech!$AF$4:$AF$214,RawTech!$AO$2:$AO$212,RawTech!$E$2:$E$212)</f>
        <v>EnemyNonArmadaHostile, TargetNotArmada</v>
      </c>
      <c r="X98" s="423" t="str">
        <f t="array" ref="X98">XLOOKUP(MasterTech!$AF$4:$AF$214,RawTech!$AO$2:$AO$212,RawTech!$F$2:$F$212)</f>
        <v>CombatStart</v>
      </c>
      <c r="Y98" s="423" t="str">
        <f t="array" ref="Y98">XLOOKUP(MasterTech!$AF$4:$AF$214,RawTech!$AO$2:$AO$212,RawTech!$G$2:$G$212)</f>
        <v>SelfShip</v>
      </c>
      <c r="Z98" s="423" t="str">
        <f t="array" ref="Z98">XLOOKUP(MasterTech!$AF$4:$AF$214,RawTech!$AO$2:$AO$212,RawTech!$H$2:$H$212)</f>
        <v>MultiplyAdd</v>
      </c>
      <c r="AA98" s="423" t="str">
        <f t="array" ref="AA98">XLOOKUP(MasterTech!$AF$4:$AF$214,RawTech!$AO$2:$AO$212,RawTech!$J$2:$J$212)</f>
        <v>Increases Critical Damage against hostiles X</v>
      </c>
      <c r="AB98" s="424"/>
      <c r="AC98" s="425"/>
      <c r="AD98" s="425"/>
      <c r="AE98" s="461">
        <f t="array" ref="AE98">XLOOKUP(MasterTech!$AF$4:$AF$214,RawTech!$AO$2:$AO$212,RawTech!$AR$2:$AR$212)</f>
        <v>26</v>
      </c>
      <c r="AF98" s="427">
        <v>1.603016538E9</v>
      </c>
      <c r="AG98" s="428"/>
      <c r="AH98" s="428"/>
      <c r="AI98" s="429"/>
      <c r="AJ98" s="430"/>
    </row>
    <row r="99" ht="37.5" customHeight="1">
      <c r="A99" s="415" t="str">
        <f t="array" ref="A99">LEFT(XLOOKUP(LCARS_Tech[BuffID],RawTech[BuffID],RawTech[TechRarity]), 1)</f>
        <v>E</v>
      </c>
      <c r="B99" s="416"/>
      <c r="C99" s="464" t="str">
        <f t="array" ref="C99">HYPERLINK("https://stfc.space/forbidden_and_chaos_tech/" &amp; XLOOKUP(MasterTech!$AF$4:$AF$214,RawTech!$AO$2:$AO$212,RawTech!$AQ$2:$AQ$212), XLOOKUP(MasterTech!$AF$4:$AF$214,RawTech!$AO$2:$AO$212,RawTech!$B$2:$B$212))</f>
        <v>AGIMUS</v>
      </c>
      <c r="D99" s="432">
        <f t="array" ref="D99">XLOOKUP(LCARS_Tech[BuffID],RawTech[BuffID],RawTech[BuffOrder])</f>
        <v>4</v>
      </c>
      <c r="E99" s="433" t="str">
        <f t="array" ref="E99">XLOOKUP(LCARS_Tech[BuffID],RawTech[BuffID],RawTech[TechType])</f>
        <v>FT</v>
      </c>
      <c r="F99" s="433" t="str">
        <f t="array" ref="F99">XLOOKUP(LCARS_Tech[BuffID],RawTech[BuffID],RawTech[Tag_PvPinSpace])</f>
        <v>➖</v>
      </c>
      <c r="G99" s="433" t="str">
        <f t="array" ref="G99">XLOOKUP(LCARS_Tech[BuffID],RawTech[BuffID],RawTech[Tag_PvPStation])</f>
        <v>➖</v>
      </c>
      <c r="H99" s="433" t="str">
        <f t="array" ref="H99">XLOOKUP(LCARS_Tech[BuffID],RawTech[BuffID],RawTech[Tag_NonArmadaHostiles])</f>
        <v>✅</v>
      </c>
      <c r="I99" s="433" t="str">
        <f t="array" ref="I99">XLOOKUP(LCARS_Tech[BuffID],RawTech[BuffID],RawTech[Tag_WaveDefense])</f>
        <v>✅</v>
      </c>
      <c r="J99" s="433" t="str">
        <f t="array" ref="J99">XLOOKUP(LCARS_Tech[BuffID],RawTech[BuffID],RawTech[Tag_QTrial])</f>
        <v>✅</v>
      </c>
      <c r="K99" s="433" t="str">
        <f t="array" ref="K99">XLOOKUP(LCARS_Tech[BuffID],RawTech[BuffID],RawTech[Tag_MissionBosses])</f>
        <v>➖</v>
      </c>
      <c r="L99" s="433" t="str">
        <f t="array" ref="L99">XLOOKUP(LCARS_Tech[BuffID],RawTech[BuffID],RawTech[Tag_GroupArmadas])</f>
        <v>➖</v>
      </c>
      <c r="M99" s="433" t="str">
        <f t="array" ref="M99">XLOOKUP(LCARS_Tech[BuffID],RawTech[BuffID],RawTech[Tag_SoloArmadas])</f>
        <v>➖</v>
      </c>
      <c r="N99" s="433" t="str">
        <f t="array" ref="N99">XLOOKUP(LCARS_Tech[BuffID],RawTech[BuffID],RawTech[Tag_InvadingEntities])</f>
        <v>➖</v>
      </c>
      <c r="O99" s="433" t="str">
        <f t="array" ref="O99">XLOOKUP(LCARS_Tech[BuffID],RawTech[BuffID],RawTech[Tag_Assaults])</f>
        <v>➖</v>
      </c>
      <c r="P99" s="434" t="str">
        <f t="array" ref="P99">XLOOKUP(LCARS_Tech[BuffID],RawTech[BuffID],RawTech[Tag_OutpostArmadas])</f>
        <v>➖</v>
      </c>
      <c r="Q99" s="416" t="str">
        <f t="array" ref="Q99">XLOOKUP(LCARS_Tech[BuffID],RawTech[BuffID],RawTech[Tag_OutpostRetaliators])</f>
        <v>➖</v>
      </c>
      <c r="R99" s="416" t="str">
        <f t="array" ref="R99">XLOOKUP(MasterTech!$AF$4:$AF$214,RawTech!$AO$2:$AO$212,RawTech!$AV$2:$AV$212)</f>
        <v/>
      </c>
      <c r="S99" s="433" t="str">
        <f t="array" ref="S99">XLOOKUP(MasterTech!$AF$4:$AF$214,RawTech!$AO$2:$AO$212,RawTech!$AK$2:$AK$212)</f>
        <v>➖</v>
      </c>
      <c r="T99" s="435" t="str">
        <f t="array" ref="T99">XLOOKUP(MasterTech!$AF$4:$AF$214,RawTech!$AO$2:$AO$212,RawTech!$AM$2:$AM$212)</f>
        <v>➖</v>
      </c>
      <c r="U99" s="438" t="str">
        <f t="array" ref="U99">XLOOKUP(MasterTech!$AF$4:$AF$214,RawTech!$AO$2:$AO$212,RawTech!$D$2:$D$212)</f>
        <v>IsolyticDamage</v>
      </c>
      <c r="V99" s="416" t="str">
        <f t="array" ref="V99">XLOOKUP(MasterTech!$AF$4:$AF$214,RawTech!$AO$2:$AO$212,RawTech!$I$2:$I$212)</f>
        <v/>
      </c>
      <c r="W99" s="447" t="str">
        <f t="array" ref="W99">XLOOKUP(MasterTech!$AF$4:$AF$214,RawTech!$AO$2:$AO$212,RawTech!$E$2:$E$212)</f>
        <v>EnemyNonArmadaHostile, TargetNotArmada</v>
      </c>
      <c r="X99" s="438" t="str">
        <f t="array" ref="X99">XLOOKUP(MasterTech!$AF$4:$AF$214,RawTech!$AO$2:$AO$212,RawTech!$F$2:$F$212)</f>
        <v>CombatStart</v>
      </c>
      <c r="Y99" s="438" t="str">
        <f t="array" ref="Y99">XLOOKUP(MasterTech!$AF$4:$AF$214,RawTech!$AO$2:$AO$212,RawTech!$G$2:$G$212)</f>
        <v>SelfShip</v>
      </c>
      <c r="Z99" s="438" t="str">
        <f t="array" ref="Z99">XLOOKUP(MasterTech!$AF$4:$AF$214,RawTech!$AO$2:$AO$212,RawTech!$H$2:$H$212)</f>
        <v>MultiplyAdd</v>
      </c>
      <c r="AA99" s="438" t="str">
        <f t="array" ref="AA99">XLOOKUP(MasterTech!$AF$4:$AF$214,RawTech!$AO$2:$AO$212,RawTech!$J$2:$J$212)</f>
        <v>Increases Isolytic Damage against hostiles X</v>
      </c>
      <c r="AB99" s="439"/>
      <c r="AC99" s="440"/>
      <c r="AD99" s="440"/>
      <c r="AE99" s="462">
        <f t="array" ref="AE99">XLOOKUP(MasterTech!$AF$4:$AF$214,RawTech!$AO$2:$AO$212,RawTech!$AR$2:$AR$212)</f>
        <v>26</v>
      </c>
      <c r="AF99" s="427">
        <v>7.55068034E8</v>
      </c>
      <c r="AG99" s="428"/>
      <c r="AH99" s="428"/>
      <c r="AI99" s="429"/>
      <c r="AJ99" s="430"/>
    </row>
    <row r="100" ht="37.5" customHeight="1">
      <c r="A100" s="415" t="str">
        <f t="array" ref="A100">LEFT(XLOOKUP(LCARS_Tech[BuffID],RawTech[BuffID],RawTech[TechRarity]), 1)</f>
        <v>E</v>
      </c>
      <c r="B100" s="420"/>
      <c r="C100" s="417" t="str">
        <f t="array" ref="C100">HYPERLINK("https://stfc.space/forbidden_and_chaos_tech/" &amp; XLOOKUP(LCARS_Tech[BuffID],RawTech[BuffID],RawTech[TechId]), XLOOKUP(LCARS_Tech[BuffID],RawTech[BuffID],RawTech[TechName]))</f>
        <v>Tarka's Isolytic Weapon</v>
      </c>
      <c r="D100" s="418">
        <f t="array" ref="D100">XLOOKUP(LCARS_Tech[BuffID],RawTech[BuffID],RawTech[BuffOrder])</f>
        <v>1</v>
      </c>
      <c r="E100" s="419" t="str">
        <f t="array" ref="E100">XLOOKUP(LCARS_Tech[BuffID],RawTech[BuffID],RawTech[TechType])</f>
        <v>FT</v>
      </c>
      <c r="F100" s="419" t="str">
        <f t="array" ref="F100">XLOOKUP(LCARS_Tech[BuffID],RawTech[BuffID],RawTech[Tag_PvPinSpace])</f>
        <v>➖</v>
      </c>
      <c r="G100" s="419" t="str">
        <f t="array" ref="G100">XLOOKUP(LCARS_Tech[BuffID],RawTech[BuffID],RawTech[Tag_PvPStation])</f>
        <v>➖</v>
      </c>
      <c r="H100" s="419" t="str">
        <f t="array" ref="H100">XLOOKUP(LCARS_Tech[BuffID],RawTech[BuffID],RawTech[Tag_NonArmadaHostiles])</f>
        <v>✴️</v>
      </c>
      <c r="I100" s="419" t="str">
        <f t="array" ref="I100">XLOOKUP(LCARS_Tech[BuffID],RawTech[BuffID],RawTech[Tag_WaveDefense])</f>
        <v>✴️</v>
      </c>
      <c r="J100" s="419" t="str">
        <f t="array" ref="J100">XLOOKUP(LCARS_Tech[BuffID],RawTech[BuffID],RawTech[Tag_QTrial])</f>
        <v>✴️</v>
      </c>
      <c r="K100" s="419" t="str">
        <f t="array" ref="K100">XLOOKUP(LCARS_Tech[BuffID],RawTech[BuffID],RawTech[Tag_MissionBosses])</f>
        <v>✴️</v>
      </c>
      <c r="L100" s="419" t="str">
        <f t="array" ref="L100">XLOOKUP(LCARS_Tech[BuffID],RawTech[BuffID],RawTech[Tag_GroupArmadas])</f>
        <v>➖</v>
      </c>
      <c r="M100" s="419" t="str">
        <f t="array" ref="M100">XLOOKUP(LCARS_Tech[BuffID],RawTech[BuffID],RawTech[Tag_SoloArmadas])</f>
        <v>➖</v>
      </c>
      <c r="N100" s="419" t="str">
        <f t="array" ref="N100">XLOOKUP(LCARS_Tech[BuffID],RawTech[BuffID],RawTech[Tag_InvadingEntities])</f>
        <v>➖</v>
      </c>
      <c r="O100" s="419" t="str">
        <f t="array" ref="O100">XLOOKUP(LCARS_Tech[BuffID],RawTech[BuffID],RawTech[Tag_Assaults])</f>
        <v>✴️</v>
      </c>
      <c r="P100" s="442" t="str">
        <f t="array" ref="P100">XLOOKUP(LCARS_Tech[BuffID],RawTech[BuffID],RawTech[Tag_OutpostArmadas])</f>
        <v>➖</v>
      </c>
      <c r="Q100" s="450" t="str">
        <f t="array" ref="Q100">XLOOKUP(LCARS_Tech[BuffID],RawTech[BuffID],RawTech[Tag_OutpostRetaliators])</f>
        <v>➖</v>
      </c>
      <c r="R100" s="450" t="str">
        <f t="array" ref="R100">XLOOKUP(MasterTech!$AF$4:$AF$214,RawTech!$AO$2:$AO$212,RawTech!$AV$2:$AV$212)</f>
        <v>SNWGorn</v>
      </c>
      <c r="S100" s="419" t="str">
        <f t="array" ref="S100">XLOOKUP(MasterTech!$AF$4:$AF$214,RawTech!$AO$2:$AO$212,RawTech!$AK$2:$AK$212)</f>
        <v>➖</v>
      </c>
      <c r="T100" s="422" t="str">
        <f t="array" ref="T100">XLOOKUP(MasterTech!$AF$4:$AF$214,RawTech!$AO$2:$AO$212,RawTech!$AM$2:$AM$212)</f>
        <v>➖</v>
      </c>
      <c r="U100" s="423" t="str">
        <f t="array" ref="U100">XLOOKUP(MasterTech!$AF$4:$AF$214,RawTech!$AO$2:$AO$212,RawTech!$D$2:$D$212)</f>
        <v>IsolyticDamage</v>
      </c>
      <c r="V100" s="423" t="str">
        <f t="array" ref="V100">XLOOKUP(MasterTech!$AF$4:$AF$214,RawTech!$AO$2:$AO$212,RawTech!$I$2:$I$212)</f>
        <v>faction_id=133823197</v>
      </c>
      <c r="W100" s="443" t="str">
        <f t="array" ref="W100">XLOOKUP(MasterTech!$AF$4:$AF$214,RawTech!$AO$2:$AO$212,RawTech!$E$2:$E$212)</f>
        <v>EnemyHullFaction, TargetNotArmada</v>
      </c>
      <c r="X100" s="423" t="str">
        <f t="array" ref="X100">XLOOKUP(MasterTech!$AF$4:$AF$214,RawTech!$AO$2:$AO$212,RawTech!$F$2:$F$212)</f>
        <v>CombatStart</v>
      </c>
      <c r="Y100" s="423" t="str">
        <f t="array" ref="Y100">XLOOKUP(MasterTech!$AF$4:$AF$214,RawTech!$AO$2:$AO$212,RawTech!$G$2:$G$212)</f>
        <v>SelfShip</v>
      </c>
      <c r="Z100" s="423" t="str">
        <f t="array" ref="Z100">XLOOKUP(MasterTech!$AF$4:$AF$214,RawTech!$AO$2:$AO$212,RawTech!$H$2:$H$212)</f>
        <v>MultiplyAdd</v>
      </c>
      <c r="AA100" s="423" t="str">
        <f t="array" ref="AA100">XLOOKUP(MasterTech!$AF$4:$AF$214,RawTech!$AO$2:$AO$212,RawTech!$J$2:$J$212)</f>
        <v>Increases Isolytic Cascade vs Gorn Hunters X</v>
      </c>
      <c r="AB100" s="424"/>
      <c r="AC100" s="425"/>
      <c r="AD100" s="425"/>
      <c r="AE100" s="461">
        <f t="array" ref="AE100">XLOOKUP(MasterTech!$AF$4:$AF$214,RawTech!$AO$2:$AO$212,RawTech!$AR$2:$AR$212)</f>
        <v>27</v>
      </c>
      <c r="AF100" s="427">
        <v>1.668824378E9</v>
      </c>
      <c r="AG100" s="428"/>
      <c r="AH100" s="428"/>
      <c r="AI100" s="429"/>
      <c r="AJ100" s="430"/>
    </row>
    <row r="101" ht="37.5" customHeight="1">
      <c r="A101" s="415" t="str">
        <f t="array" ref="A101">LEFT(XLOOKUP(LCARS_Tech[BuffID],RawTech[BuffID],RawTech[TechRarity]), 1)</f>
        <v>E</v>
      </c>
      <c r="B101" s="416"/>
      <c r="C101" s="417" t="str">
        <f t="array" ref="C101">HYPERLINK("https://stfc.space/forbidden_and_chaos_tech/" &amp; XLOOKUP(LCARS_Tech[BuffID],RawTech[BuffID],RawTech[TechId]), XLOOKUP(LCARS_Tech[BuffID],RawTech[BuffID],RawTech[TechName]))</f>
        <v>Tarka's Isolytic Weapon</v>
      </c>
      <c r="D101" s="432">
        <f t="array" ref="D101">XLOOKUP(LCARS_Tech[BuffID],RawTech[BuffID],RawTech[BuffOrder])</f>
        <v>2</v>
      </c>
      <c r="E101" s="433" t="str">
        <f t="array" ref="E101">XLOOKUP(LCARS_Tech[BuffID],RawTech[BuffID],RawTech[TechType])</f>
        <v>FT</v>
      </c>
      <c r="F101" s="433" t="str">
        <f t="array" ref="F101">XLOOKUP(LCARS_Tech[BuffID],RawTech[BuffID],RawTech[Tag_PvPinSpace])</f>
        <v>✅</v>
      </c>
      <c r="G101" s="433" t="str">
        <f t="array" ref="G101">XLOOKUP(LCARS_Tech[BuffID],RawTech[BuffID],RawTech[Tag_PvPStation])</f>
        <v>✅</v>
      </c>
      <c r="H101" s="433" t="str">
        <f t="array" ref="H101">XLOOKUP(LCARS_Tech[BuffID],RawTech[BuffID],RawTech[Tag_NonArmadaHostiles])</f>
        <v>✅</v>
      </c>
      <c r="I101" s="433" t="str">
        <f t="array" ref="I101">XLOOKUP(LCARS_Tech[BuffID],RawTech[BuffID],RawTech[Tag_WaveDefense])</f>
        <v>✅</v>
      </c>
      <c r="J101" s="433" t="str">
        <f t="array" ref="J101">XLOOKUP(LCARS_Tech[BuffID],RawTech[BuffID],RawTech[Tag_QTrial])</f>
        <v>✅</v>
      </c>
      <c r="K101" s="433" t="str">
        <f t="array" ref="K101">XLOOKUP(LCARS_Tech[BuffID],RawTech[BuffID],RawTech[Tag_MissionBosses])</f>
        <v>✅</v>
      </c>
      <c r="L101" s="433" t="str">
        <f t="array" ref="L101">XLOOKUP(LCARS_Tech[BuffID],RawTech[BuffID],RawTech[Tag_GroupArmadas])</f>
        <v>✅</v>
      </c>
      <c r="M101" s="433" t="str">
        <f t="array" ref="M101">XLOOKUP(LCARS_Tech[BuffID],RawTech[BuffID],RawTech[Tag_SoloArmadas])</f>
        <v>✅</v>
      </c>
      <c r="N101" s="433" t="str">
        <f t="array" ref="N101">XLOOKUP(LCARS_Tech[BuffID],RawTech[BuffID],RawTech[Tag_InvadingEntities])</f>
        <v>✅</v>
      </c>
      <c r="O101" s="433" t="str">
        <f t="array" ref="O101">XLOOKUP(LCARS_Tech[BuffID],RawTech[BuffID],RawTech[Tag_Assaults])</f>
        <v>✅</v>
      </c>
      <c r="P101" s="434" t="str">
        <f t="array" ref="P101">XLOOKUP(LCARS_Tech[BuffID],RawTech[BuffID],RawTech[Tag_OutpostArmadas])</f>
        <v>✅</v>
      </c>
      <c r="Q101" s="416" t="str">
        <f t="array" ref="Q101">XLOOKUP(LCARS_Tech[BuffID],RawTech[BuffID],RawTech[Tag_OutpostRetaliators])</f>
        <v>✅</v>
      </c>
      <c r="R101" s="416" t="str">
        <f t="array" ref="R101">XLOOKUP(MasterTech!$AF$4:$AF$214,RawTech!$AO$2:$AO$212,RawTech!$AV$2:$AV$212)</f>
        <v/>
      </c>
      <c r="S101" s="433" t="str">
        <f t="array" ref="S101">XLOOKUP(MasterTech!$AF$4:$AF$214,RawTech!$AO$2:$AO$212,RawTech!$AK$2:$AK$212)</f>
        <v>➖</v>
      </c>
      <c r="T101" s="435" t="str">
        <f t="array" ref="T101">XLOOKUP(MasterTech!$AF$4:$AF$214,RawTech!$AO$2:$AO$212,RawTech!$AM$2:$AM$212)</f>
        <v>➖</v>
      </c>
      <c r="U101" s="438" t="str">
        <f t="array" ref="U101">XLOOKUP(MasterTech!$AF$4:$AF$214,RawTech!$AO$2:$AO$212,RawTech!$D$2:$D$212)</f>
        <v>HullHPMax</v>
      </c>
      <c r="V101" s="416" t="str">
        <f t="array" ref="V101">XLOOKUP(MasterTech!$AF$4:$AF$214,RawTech!$AO$2:$AO$212,RawTech!$I$2:$I$212)</f>
        <v/>
      </c>
      <c r="W101" s="437" t="str">
        <f t="array" ref="W101">XLOOKUP(MasterTech!$AF$4:$AF$214,RawTech!$AO$2:$AO$212,RawTech!$E$2:$E$212)</f>
        <v/>
      </c>
      <c r="X101" s="438" t="str">
        <f t="array" ref="X101">XLOOKUP(MasterTech!$AF$4:$AF$214,RawTech!$AO$2:$AO$212,RawTech!$F$2:$F$212)</f>
        <v>ShipLaunched</v>
      </c>
      <c r="Y101" s="438" t="str">
        <f t="array" ref="Y101">XLOOKUP(MasterTech!$AF$4:$AF$214,RawTech!$AO$2:$AO$212,RawTech!$G$2:$G$212)</f>
        <v>SelfShip</v>
      </c>
      <c r="Z101" s="438" t="str">
        <f t="array" ref="Z101">XLOOKUP(MasterTech!$AF$4:$AF$214,RawTech!$AO$2:$AO$212,RawTech!$H$2:$H$212)</f>
        <v>MultiplyAdd</v>
      </c>
      <c r="AA101" s="438" t="str">
        <f t="array" ref="AA101">XLOOKUP(MasterTech!$AF$4:$AF$214,RawTech!$AO$2:$AO$212,RawTech!$J$2:$J$212)</f>
        <v>Increases base Hull Health X</v>
      </c>
      <c r="AB101" s="439"/>
      <c r="AC101" s="440"/>
      <c r="AD101" s="440"/>
      <c r="AE101" s="462">
        <f t="array" ref="AE101">XLOOKUP(MasterTech!$AF$4:$AF$214,RawTech!$AO$2:$AO$212,RawTech!$AR$2:$AR$212)</f>
        <v>27</v>
      </c>
      <c r="AF101" s="427">
        <v>4.0432126E8</v>
      </c>
      <c r="AG101" s="428"/>
      <c r="AH101" s="428"/>
      <c r="AI101" s="429"/>
      <c r="AJ101" s="430"/>
    </row>
    <row r="102" ht="37.5" customHeight="1">
      <c r="A102" s="415" t="str">
        <f t="array" ref="A102">LEFT(XLOOKUP(LCARS_Tech[BuffID],RawTech[BuffID],RawTech[TechRarity]), 1)</f>
        <v>E</v>
      </c>
      <c r="B102" s="420"/>
      <c r="C102" s="460" t="str">
        <f t="array" ref="C102">HYPERLINK("https://stfc.space/forbidden_and_chaos_tech/" &amp; XLOOKUP(MasterTech!$AF$4:$AF$214,RawTech!$AO$2:$AO$212,RawTech!$AQ$2:$AQ$212), XLOOKUP(MasterTech!$AF$4:$AF$214,RawTech!$AO$2:$AO$212,RawTech!$B$2:$B$212))</f>
        <v>Tarka's Isolytic Weapon</v>
      </c>
      <c r="D102" s="418">
        <f t="array" ref="D102">XLOOKUP(LCARS_Tech[BuffID],RawTech[BuffID],RawTech[BuffOrder])</f>
        <v>3</v>
      </c>
      <c r="E102" s="419" t="str">
        <f t="array" ref="E102">XLOOKUP(LCARS_Tech[BuffID],RawTech[BuffID],RawTech[TechType])</f>
        <v>FT</v>
      </c>
      <c r="F102" s="419" t="str">
        <f t="array" ref="F102">XLOOKUP(LCARS_Tech[BuffID],RawTech[BuffID],RawTech[Tag_PvPinSpace])</f>
        <v>➖</v>
      </c>
      <c r="G102" s="419" t="str">
        <f t="array" ref="G102">XLOOKUP(LCARS_Tech[BuffID],RawTech[BuffID],RawTech[Tag_PvPStation])</f>
        <v>➖</v>
      </c>
      <c r="H102" s="419" t="str">
        <f t="array" ref="H102">XLOOKUP(LCARS_Tech[BuffID],RawTech[BuffID],RawTech[Tag_NonArmadaHostiles])</f>
        <v>✅</v>
      </c>
      <c r="I102" s="419" t="str">
        <f t="array" ref="I102">XLOOKUP(LCARS_Tech[BuffID],RawTech[BuffID],RawTech[Tag_WaveDefense])</f>
        <v>✅</v>
      </c>
      <c r="J102" s="419" t="str">
        <f t="array" ref="J102">XLOOKUP(LCARS_Tech[BuffID],RawTech[BuffID],RawTech[Tag_QTrial])</f>
        <v>✅</v>
      </c>
      <c r="K102" s="419" t="str">
        <f t="array" ref="K102">XLOOKUP(LCARS_Tech[BuffID],RawTech[BuffID],RawTech[Tag_MissionBosses])</f>
        <v>➖</v>
      </c>
      <c r="L102" s="419" t="str">
        <f t="array" ref="L102">XLOOKUP(LCARS_Tech[BuffID],RawTech[BuffID],RawTech[Tag_GroupArmadas])</f>
        <v>➖</v>
      </c>
      <c r="M102" s="419" t="str">
        <f t="array" ref="M102">XLOOKUP(LCARS_Tech[BuffID],RawTech[BuffID],RawTech[Tag_SoloArmadas])</f>
        <v>➖</v>
      </c>
      <c r="N102" s="419" t="str">
        <f t="array" ref="N102">XLOOKUP(LCARS_Tech[BuffID],RawTech[BuffID],RawTech[Tag_InvadingEntities])</f>
        <v>➖</v>
      </c>
      <c r="O102" s="419" t="str">
        <f t="array" ref="O102">XLOOKUP(LCARS_Tech[BuffID],RawTech[BuffID],RawTech[Tag_Assaults])</f>
        <v>➖</v>
      </c>
      <c r="P102" s="442" t="str">
        <f t="array" ref="P102">XLOOKUP(LCARS_Tech[BuffID],RawTech[BuffID],RawTech[Tag_OutpostArmadas])</f>
        <v>➖</v>
      </c>
      <c r="Q102" s="420" t="str">
        <f t="array" ref="Q102">XLOOKUP(LCARS_Tech[BuffID],RawTech[BuffID],RawTech[Tag_OutpostRetaliators])</f>
        <v>➖</v>
      </c>
      <c r="R102" s="420" t="str">
        <f t="array" ref="R102">XLOOKUP(MasterTech!$AF$4:$AF$214,RawTech!$AO$2:$AO$212,RawTech!$AV$2:$AV$212)</f>
        <v/>
      </c>
      <c r="S102" s="419" t="str">
        <f t="array" ref="S102">XLOOKUP(MasterTech!$AF$4:$AF$214,RawTech!$AO$2:$AO$212,RawTech!$AK$2:$AK$212)</f>
        <v>➖</v>
      </c>
      <c r="T102" s="422" t="str">
        <f t="array" ref="T102">XLOOKUP(MasterTech!$AF$4:$AF$214,RawTech!$AO$2:$AO$212,RawTech!$AM$2:$AM$212)</f>
        <v>➖</v>
      </c>
      <c r="U102" s="423" t="str">
        <f t="array" ref="U102">XLOOKUP(MasterTech!$AF$4:$AF$214,RawTech!$AO$2:$AO$212,RawTech!$D$2:$D$212)</f>
        <v>IsolyticDefense</v>
      </c>
      <c r="V102" s="420" t="str">
        <f t="array" ref="V102">XLOOKUP(MasterTech!$AF$4:$AF$214,RawTech!$AO$2:$AO$212,RawTech!$I$2:$I$212)</f>
        <v/>
      </c>
      <c r="W102" s="443" t="str">
        <f t="array" ref="W102">XLOOKUP(MasterTech!$AF$4:$AF$214,RawTech!$AO$2:$AO$212,RawTech!$E$2:$E$212)</f>
        <v>EnemyHostile, TargetNotArmada</v>
      </c>
      <c r="X102" s="423" t="str">
        <f t="array" ref="X102">XLOOKUP(MasterTech!$AF$4:$AF$214,RawTech!$AO$2:$AO$212,RawTech!$F$2:$F$212)</f>
        <v>CombatStart</v>
      </c>
      <c r="Y102" s="423" t="str">
        <f t="array" ref="Y102">XLOOKUP(MasterTech!$AF$4:$AF$214,RawTech!$AO$2:$AO$212,RawTech!$G$2:$G$212)</f>
        <v>SelfShip</v>
      </c>
      <c r="Z102" s="423" t="str">
        <f t="array" ref="Z102">XLOOKUP(MasterTech!$AF$4:$AF$214,RawTech!$AO$2:$AO$212,RawTech!$H$2:$H$212)</f>
        <v>Add</v>
      </c>
      <c r="AA102" s="423" t="str">
        <f t="array" ref="AA102">XLOOKUP(MasterTech!$AF$4:$AF$214,RawTech!$AO$2:$AO$212,RawTech!$J$2:$J$212)</f>
        <v>Increases Isolytic Defense vs Hostiles X</v>
      </c>
      <c r="AB102" s="424"/>
      <c r="AC102" s="425"/>
      <c r="AD102" s="425"/>
      <c r="AE102" s="461">
        <f t="array" ref="AE102">XLOOKUP(MasterTech!$AF$4:$AF$214,RawTech!$AO$2:$AO$212,RawTech!$AR$2:$AR$212)</f>
        <v>27</v>
      </c>
      <c r="AF102" s="427">
        <v>1.820189634E9</v>
      </c>
      <c r="AG102" s="428"/>
      <c r="AH102" s="428"/>
      <c r="AI102" s="429"/>
      <c r="AJ102" s="430"/>
    </row>
    <row r="103" ht="37.5" customHeight="1">
      <c r="A103" s="415" t="str">
        <f t="array" ref="A103">LEFT(XLOOKUP(LCARS_Tech[BuffID],RawTech[BuffID],RawTech[TechRarity]), 1)</f>
        <v>E</v>
      </c>
      <c r="B103" s="416"/>
      <c r="C103" s="464" t="str">
        <f t="array" ref="C103">HYPERLINK("https://stfc.space/forbidden_and_chaos_tech/" &amp; XLOOKUP(MasterTech!$AF$4:$AF$214,RawTech!$AO$2:$AO$212,RawTech!$AQ$2:$AQ$212), XLOOKUP(MasterTech!$AF$4:$AF$214,RawTech!$AO$2:$AO$212,RawTech!$B$2:$B$212))</f>
        <v>Tarka's Isolytic Weapon</v>
      </c>
      <c r="D103" s="432">
        <f t="array" ref="D103">XLOOKUP(LCARS_Tech[BuffID],RawTech[BuffID],RawTech[BuffOrder])</f>
        <v>4</v>
      </c>
      <c r="E103" s="433" t="str">
        <f t="array" ref="E103">XLOOKUP(LCARS_Tech[BuffID],RawTech[BuffID],RawTech[TechType])</f>
        <v>FT</v>
      </c>
      <c r="F103" s="433" t="str">
        <f t="array" ref="F103">XLOOKUP(LCARS_Tech[BuffID],RawTech[BuffID],RawTech[Tag_PvPinSpace])</f>
        <v>➖</v>
      </c>
      <c r="G103" s="433" t="str">
        <f t="array" ref="G103">XLOOKUP(LCARS_Tech[BuffID],RawTech[BuffID],RawTech[Tag_PvPStation])</f>
        <v>➖</v>
      </c>
      <c r="H103" s="433" t="str">
        <f t="array" ref="H103">XLOOKUP(LCARS_Tech[BuffID],RawTech[BuffID],RawTech[Tag_NonArmadaHostiles])</f>
        <v>✅</v>
      </c>
      <c r="I103" s="433" t="str">
        <f t="array" ref="I103">XLOOKUP(LCARS_Tech[BuffID],RawTech[BuffID],RawTech[Tag_WaveDefense])</f>
        <v>✅</v>
      </c>
      <c r="J103" s="433" t="str">
        <f t="array" ref="J103">XLOOKUP(LCARS_Tech[BuffID],RawTech[BuffID],RawTech[Tag_QTrial])</f>
        <v>✅</v>
      </c>
      <c r="K103" s="433" t="str">
        <f t="array" ref="K103">XLOOKUP(LCARS_Tech[BuffID],RawTech[BuffID],RawTech[Tag_MissionBosses])</f>
        <v>➖</v>
      </c>
      <c r="L103" s="433" t="str">
        <f t="array" ref="L103">XLOOKUP(LCARS_Tech[BuffID],RawTech[BuffID],RawTech[Tag_GroupArmadas])</f>
        <v>➖</v>
      </c>
      <c r="M103" s="433" t="str">
        <f t="array" ref="M103">XLOOKUP(LCARS_Tech[BuffID],RawTech[BuffID],RawTech[Tag_SoloArmadas])</f>
        <v>➖</v>
      </c>
      <c r="N103" s="433" t="str">
        <f t="array" ref="N103">XLOOKUP(LCARS_Tech[BuffID],RawTech[BuffID],RawTech[Tag_InvadingEntities])</f>
        <v>➖</v>
      </c>
      <c r="O103" s="433" t="str">
        <f t="array" ref="O103">XLOOKUP(LCARS_Tech[BuffID],RawTech[BuffID],RawTech[Tag_Assaults])</f>
        <v>➖</v>
      </c>
      <c r="P103" s="434" t="str">
        <f t="array" ref="P103">XLOOKUP(LCARS_Tech[BuffID],RawTech[BuffID],RawTech[Tag_OutpostArmadas])</f>
        <v>➖</v>
      </c>
      <c r="Q103" s="416" t="str">
        <f t="array" ref="Q103">XLOOKUP(LCARS_Tech[BuffID],RawTech[BuffID],RawTech[Tag_OutpostRetaliators])</f>
        <v>➖</v>
      </c>
      <c r="R103" s="416" t="str">
        <f t="array" ref="R103">XLOOKUP(MasterTech!$AF$4:$AF$214,RawTech!$AO$2:$AO$212,RawTech!$AV$2:$AV$212)</f>
        <v/>
      </c>
      <c r="S103" s="433" t="str">
        <f t="array" ref="S103">XLOOKUP(MasterTech!$AF$4:$AF$214,RawTech!$AO$2:$AO$212,RawTech!$AK$2:$AK$212)</f>
        <v>➖</v>
      </c>
      <c r="T103" s="435" t="str">
        <f t="array" ref="T103">XLOOKUP(MasterTech!$AF$4:$AF$214,RawTech!$AO$2:$AO$212,RawTech!$AM$2:$AM$212)</f>
        <v>➖</v>
      </c>
      <c r="U103" s="438" t="str">
        <f t="array" ref="U103">XLOOKUP(MasterTech!$AF$4:$AF$214,RawTech!$AO$2:$AO$212,RawTech!$D$2:$D$212)</f>
        <v>AllDamage</v>
      </c>
      <c r="V103" s="416" t="str">
        <f t="array" ref="V103">XLOOKUP(MasterTech!$AF$4:$AF$214,RawTech!$AO$2:$AO$212,RawTech!$I$2:$I$212)</f>
        <v/>
      </c>
      <c r="W103" s="447" t="str">
        <f t="array" ref="W103">XLOOKUP(MasterTech!$AF$4:$AF$214,RawTech!$AO$2:$AO$212,RawTech!$E$2:$E$212)</f>
        <v>EnemyHostile, TargetNotArmada</v>
      </c>
      <c r="X103" s="438" t="str">
        <f t="array" ref="X103">XLOOKUP(MasterTech!$AF$4:$AF$214,RawTech!$AO$2:$AO$212,RawTech!$F$2:$F$212)</f>
        <v>CombatStart</v>
      </c>
      <c r="Y103" s="438" t="str">
        <f t="array" ref="Y103">XLOOKUP(MasterTech!$AF$4:$AF$214,RawTech!$AO$2:$AO$212,RawTech!$G$2:$G$212)</f>
        <v>SelfShip</v>
      </c>
      <c r="Z103" s="438" t="str">
        <f t="array" ref="Z103">XLOOKUP(MasterTech!$AF$4:$AF$214,RawTech!$AO$2:$AO$212,RawTech!$H$2:$H$212)</f>
        <v>MultiplyAdd</v>
      </c>
      <c r="AA103" s="438" t="str">
        <f t="array" ref="AA103">XLOOKUP(MasterTech!$AF$4:$AF$214,RawTech!$AO$2:$AO$212,RawTech!$J$2:$J$212)</f>
        <v>Increases base Damage vs Hostiles X</v>
      </c>
      <c r="AB103" s="439"/>
      <c r="AC103" s="440"/>
      <c r="AD103" s="440"/>
      <c r="AE103" s="462">
        <f t="array" ref="AE103">XLOOKUP(MasterTech!$AF$4:$AF$214,RawTech!$AO$2:$AO$212,RawTech!$AR$2:$AR$212)</f>
        <v>27</v>
      </c>
      <c r="AF103" s="427">
        <v>6.27258195E8</v>
      </c>
      <c r="AG103" s="428"/>
      <c r="AH103" s="428"/>
      <c r="AI103" s="429"/>
      <c r="AJ103" s="430"/>
    </row>
    <row r="104" ht="37.5" customHeight="1">
      <c r="A104" s="415" t="str">
        <f t="array" ref="A104">LEFT(XLOOKUP(LCARS_Tech[BuffID],RawTech[BuffID],RawTech[TechRarity]), 1)</f>
        <v>E</v>
      </c>
      <c r="B104" s="420"/>
      <c r="C104" s="417" t="str">
        <f t="array" ref="C104">HYPERLINK("https://stfc.space/forbidden_and_chaos_tech/" &amp; XLOOKUP(LCARS_Tech[BuffID],RawTech[BuffID],RawTech[TechId]), XLOOKUP(LCARS_Tech[BuffID],RawTech[BuffID],RawTech[TechName]))</f>
        <v>Tantalus Field</v>
      </c>
      <c r="D104" s="418">
        <f t="array" ref="D104">XLOOKUP(LCARS_Tech[BuffID],RawTech[BuffID],RawTech[BuffOrder])</f>
        <v>1</v>
      </c>
      <c r="E104" s="419" t="str">
        <f t="array" ref="E104">XLOOKUP(LCARS_Tech[BuffID],RawTech[BuffID],RawTech[TechType])</f>
        <v>FT</v>
      </c>
      <c r="F104" s="419" t="str">
        <f t="array" ref="F104">XLOOKUP(LCARS_Tech[BuffID],RawTech[BuffID],RawTech[Tag_PvPinSpace])</f>
        <v>✅</v>
      </c>
      <c r="G104" s="419" t="str">
        <f t="array" ref="G104">XLOOKUP(LCARS_Tech[BuffID],RawTech[BuffID],RawTech[Tag_PvPStation])</f>
        <v>✅</v>
      </c>
      <c r="H104" s="419" t="str">
        <f t="array" ref="H104">XLOOKUP(LCARS_Tech[BuffID],RawTech[BuffID],RawTech[Tag_NonArmadaHostiles])</f>
        <v>✅</v>
      </c>
      <c r="I104" s="419" t="str">
        <f t="array" ref="I104">XLOOKUP(LCARS_Tech[BuffID],RawTech[BuffID],RawTech[Tag_WaveDefense])</f>
        <v>✅</v>
      </c>
      <c r="J104" s="419" t="str">
        <f t="array" ref="J104">XLOOKUP(LCARS_Tech[BuffID],RawTech[BuffID],RawTech[Tag_QTrial])</f>
        <v>✅</v>
      </c>
      <c r="K104" s="419" t="str">
        <f t="array" ref="K104">XLOOKUP(LCARS_Tech[BuffID],RawTech[BuffID],RawTech[Tag_MissionBosses])</f>
        <v>✅</v>
      </c>
      <c r="L104" s="419" t="str">
        <f t="array" ref="L104">XLOOKUP(LCARS_Tech[BuffID],RawTech[BuffID],RawTech[Tag_GroupArmadas])</f>
        <v>✅</v>
      </c>
      <c r="M104" s="419" t="str">
        <f t="array" ref="M104">XLOOKUP(LCARS_Tech[BuffID],RawTech[BuffID],RawTech[Tag_SoloArmadas])</f>
        <v>✅</v>
      </c>
      <c r="N104" s="419" t="str">
        <f t="array" ref="N104">XLOOKUP(LCARS_Tech[BuffID],RawTech[BuffID],RawTech[Tag_InvadingEntities])</f>
        <v>✅</v>
      </c>
      <c r="O104" s="419" t="str">
        <f t="array" ref="O104">XLOOKUP(LCARS_Tech[BuffID],RawTech[BuffID],RawTech[Tag_Assaults])</f>
        <v>✅</v>
      </c>
      <c r="P104" s="442" t="str">
        <f t="array" ref="P104">XLOOKUP(LCARS_Tech[BuffID],RawTech[BuffID],RawTech[Tag_OutpostArmadas])</f>
        <v>✅</v>
      </c>
      <c r="Q104" s="420" t="str">
        <f t="array" ref="Q104">XLOOKUP(LCARS_Tech[BuffID],RawTech[BuffID],RawTech[Tag_OutpostRetaliators])</f>
        <v>✅</v>
      </c>
      <c r="R104" s="420" t="str">
        <f t="array" ref="R104">XLOOKUP(MasterTech!$AF$4:$AF$214,RawTech!$AO$2:$AO$212,RawTech!$AV$2:$AV$212)</f>
        <v/>
      </c>
      <c r="S104" s="419" t="str">
        <f t="array" ref="S104">XLOOKUP(MasterTech!$AF$4:$AF$214,RawTech!$AO$2:$AO$212,RawTech!$AK$2:$AK$212)</f>
        <v>➖</v>
      </c>
      <c r="T104" s="422" t="str">
        <f t="array" ref="T104">XLOOKUP(MasterTech!$AF$4:$AF$214,RawTech!$AO$2:$AO$212,RawTech!$AM$2:$AM$212)</f>
        <v>➖</v>
      </c>
      <c r="U104" s="423" t="str">
        <f t="array" ref="U104">XLOOKUP(MasterTech!$AF$4:$AF$214,RawTech!$AO$2:$AO$212,RawTech!$D$2:$D$212)</f>
        <v>HullHPMax</v>
      </c>
      <c r="V104" s="420" t="str">
        <f t="array" ref="V104">XLOOKUP(MasterTech!$AF$4:$AF$214,RawTech!$AO$2:$AO$212,RawTech!$I$2:$I$212)</f>
        <v/>
      </c>
      <c r="W104" s="421" t="str">
        <f t="array" ref="W104">XLOOKUP(MasterTech!$AF$4:$AF$214,RawTech!$AO$2:$AO$212,RawTech!$E$2:$E$212)</f>
        <v/>
      </c>
      <c r="X104" s="423" t="str">
        <f t="array" ref="X104">XLOOKUP(MasterTech!$AF$4:$AF$214,RawTech!$AO$2:$AO$212,RawTech!$F$2:$F$212)</f>
        <v>ShipLaunched</v>
      </c>
      <c r="Y104" s="423" t="str">
        <f t="array" ref="Y104">XLOOKUP(MasterTech!$AF$4:$AF$214,RawTech!$AO$2:$AO$212,RawTech!$G$2:$G$212)</f>
        <v>SelfShip</v>
      </c>
      <c r="Z104" s="423" t="str">
        <f t="array" ref="Z104">XLOOKUP(MasterTech!$AF$4:$AF$214,RawTech!$AO$2:$AO$212,RawTech!$H$2:$H$212)</f>
        <v>MultiplyAdd</v>
      </c>
      <c r="AA104" s="423" t="str">
        <f t="array" ref="AA104">XLOOKUP(MasterTech!$AF$4:$AF$214,RawTech!$AO$2:$AO$212,RawTech!$J$2:$J$212)</f>
        <v>Increases Hull Health X</v>
      </c>
      <c r="AB104" s="424"/>
      <c r="AC104" s="425"/>
      <c r="AD104" s="425"/>
      <c r="AE104" s="461">
        <f t="array" ref="AE104">XLOOKUP(MasterTech!$AF$4:$AF$214,RawTech!$AO$2:$AO$212,RawTech!$AR$2:$AR$212)</f>
        <v>28</v>
      </c>
      <c r="AF104" s="427">
        <v>2.849759026E9</v>
      </c>
      <c r="AG104" s="428"/>
      <c r="AH104" s="428"/>
      <c r="AI104" s="429"/>
      <c r="AJ104" s="430"/>
    </row>
    <row r="105" ht="37.5" customHeight="1">
      <c r="A105" s="415" t="str">
        <f t="array" ref="A105">LEFT(XLOOKUP(LCARS_Tech[BuffID],RawTech[BuffID],RawTech[TechRarity]), 1)</f>
        <v>E</v>
      </c>
      <c r="B105" s="416"/>
      <c r="C105" s="464" t="str">
        <f t="array" ref="C105">HYPERLINK("https://stfc.space/forbidden_and_chaos_tech/" &amp; XLOOKUP(MasterTech!$AF$4:$AF$214,RawTech!$AO$2:$AO$212,RawTech!$AQ$2:$AQ$212), XLOOKUP(MasterTech!$AF$4:$AF$214,RawTech!$AO$2:$AO$212,RawTech!$B$2:$B$212))</f>
        <v>Tantalus Field</v>
      </c>
      <c r="D105" s="432">
        <f t="array" ref="D105">XLOOKUP(LCARS_Tech[BuffID],RawTech[BuffID],RawTech[BuffOrder])</f>
        <v>2</v>
      </c>
      <c r="E105" s="433" t="str">
        <f t="array" ref="E105">XLOOKUP(LCARS_Tech[BuffID],RawTech[BuffID],RawTech[TechType])</f>
        <v>FT</v>
      </c>
      <c r="F105" s="433" t="str">
        <f t="array" ref="F105">XLOOKUP(LCARS_Tech[BuffID],RawTech[BuffID],RawTech[Tag_PvPinSpace])</f>
        <v>✅</v>
      </c>
      <c r="G105" s="433" t="str">
        <f t="array" ref="G105">XLOOKUP(LCARS_Tech[BuffID],RawTech[BuffID],RawTech[Tag_PvPStation])</f>
        <v>✅</v>
      </c>
      <c r="H105" s="433" t="str">
        <f t="array" ref="H105">XLOOKUP(LCARS_Tech[BuffID],RawTech[BuffID],RawTech[Tag_NonArmadaHostiles])</f>
        <v>➖</v>
      </c>
      <c r="I105" s="433" t="str">
        <f t="array" ref="I105">XLOOKUP(LCARS_Tech[BuffID],RawTech[BuffID],RawTech[Tag_WaveDefense])</f>
        <v>➖</v>
      </c>
      <c r="J105" s="433" t="str">
        <f t="array" ref="J105">XLOOKUP(LCARS_Tech[BuffID],RawTech[BuffID],RawTech[Tag_QTrial])</f>
        <v>➖</v>
      </c>
      <c r="K105" s="433" t="str">
        <f t="array" ref="K105">XLOOKUP(LCARS_Tech[BuffID],RawTech[BuffID],RawTech[Tag_MissionBosses])</f>
        <v>➖</v>
      </c>
      <c r="L105" s="433" t="str">
        <f t="array" ref="L105">XLOOKUP(LCARS_Tech[BuffID],RawTech[BuffID],RawTech[Tag_GroupArmadas])</f>
        <v>➖</v>
      </c>
      <c r="M105" s="433" t="str">
        <f t="array" ref="M105">XLOOKUP(LCARS_Tech[BuffID],RawTech[BuffID],RawTech[Tag_SoloArmadas])</f>
        <v>➖</v>
      </c>
      <c r="N105" s="433" t="str">
        <f t="array" ref="N105">XLOOKUP(LCARS_Tech[BuffID],RawTech[BuffID],RawTech[Tag_InvadingEntities])</f>
        <v>➖</v>
      </c>
      <c r="O105" s="433" t="str">
        <f t="array" ref="O105">XLOOKUP(LCARS_Tech[BuffID],RawTech[BuffID],RawTech[Tag_Assaults])</f>
        <v>➖</v>
      </c>
      <c r="P105" s="434" t="str">
        <f t="array" ref="P105">XLOOKUP(LCARS_Tech[BuffID],RawTech[BuffID],RawTech[Tag_OutpostArmadas])</f>
        <v>➖</v>
      </c>
      <c r="Q105" s="416" t="str">
        <f t="array" ref="Q105">XLOOKUP(LCARS_Tech[BuffID],RawTech[BuffID],RawTech[Tag_OutpostRetaliators])</f>
        <v>➖</v>
      </c>
      <c r="R105" s="416" t="str">
        <f t="array" ref="R105">XLOOKUP(MasterTech!$AF$4:$AF$214,RawTech!$AO$2:$AO$212,RawTech!$AV$2:$AV$212)</f>
        <v/>
      </c>
      <c r="S105" s="433" t="str">
        <f t="array" ref="S105">XLOOKUP(MasterTech!$AF$4:$AF$214,RawTech!$AO$2:$AO$212,RawTech!$AK$2:$AK$212)</f>
        <v>➖</v>
      </c>
      <c r="T105" s="435" t="str">
        <f t="array" ref="T105">XLOOKUP(MasterTech!$AF$4:$AF$214,RawTech!$AO$2:$AO$212,RawTech!$AM$2:$AM$212)</f>
        <v>➖</v>
      </c>
      <c r="U105" s="438" t="str">
        <f t="array" ref="U105">XLOOKUP(MasterTech!$AF$4:$AF$214,RawTech!$AO$2:$AO$212,RawTech!$D$2:$D$212)</f>
        <v>AllDamage</v>
      </c>
      <c r="V105" s="416" t="str">
        <f t="array" ref="V105">XLOOKUP(MasterTech!$AF$4:$AF$214,RawTech!$AO$2:$AO$212,RawTech!$I$2:$I$212)</f>
        <v/>
      </c>
      <c r="W105" s="447" t="str">
        <f t="array" ref="W105">XLOOKUP(MasterTech!$AF$4:$AF$214,RawTech!$AO$2:$AO$212,RawTech!$E$2:$E$212)</f>
        <v>EnemyPlayer</v>
      </c>
      <c r="X105" s="438" t="str">
        <f t="array" ref="X105">XLOOKUP(MasterTech!$AF$4:$AF$214,RawTech!$AO$2:$AO$212,RawTech!$F$2:$F$212)</f>
        <v>CombatStart</v>
      </c>
      <c r="Y105" s="438" t="str">
        <f t="array" ref="Y105">XLOOKUP(MasterTech!$AF$4:$AF$214,RawTech!$AO$2:$AO$212,RawTech!$G$2:$G$212)</f>
        <v>SelfShip</v>
      </c>
      <c r="Z105" s="438" t="str">
        <f t="array" ref="Z105">XLOOKUP(MasterTech!$AF$4:$AF$214,RawTech!$AO$2:$AO$212,RawTech!$H$2:$H$212)</f>
        <v>MultiplyAdd</v>
      </c>
      <c r="AA105" s="438" t="str">
        <f t="array" ref="AA105">XLOOKUP(MasterTech!$AF$4:$AF$214,RawTech!$AO$2:$AO$212,RawTech!$J$2:$J$212)</f>
        <v>Increases Damage against players X</v>
      </c>
      <c r="AB105" s="439"/>
      <c r="AC105" s="440"/>
      <c r="AD105" s="440"/>
      <c r="AE105" s="462">
        <f t="array" ref="AE105">XLOOKUP(MasterTech!$AF$4:$AF$214,RawTech!$AO$2:$AO$212,RawTech!$AR$2:$AR$212)</f>
        <v>28</v>
      </c>
      <c r="AF105" s="427">
        <v>1.158811838E9</v>
      </c>
      <c r="AG105" s="428"/>
      <c r="AH105" s="428"/>
      <c r="AI105" s="429"/>
      <c r="AJ105" s="430"/>
    </row>
    <row r="106" ht="37.5" customHeight="1">
      <c r="A106" s="415" t="str">
        <f t="array" ref="A106">LEFT(XLOOKUP(LCARS_Tech[BuffID],RawTech[BuffID],RawTech[TechRarity]), 1)</f>
        <v>E</v>
      </c>
      <c r="B106" s="420"/>
      <c r="C106" s="460" t="str">
        <f t="array" ref="C106">HYPERLINK("https://stfc.space/forbidden_and_chaos_tech/" &amp; XLOOKUP(MasterTech!$AF$4:$AF$214,RawTech!$AO$2:$AO$212,RawTech!$AQ$2:$AQ$212), XLOOKUP(MasterTech!$AF$4:$AF$214,RawTech!$AO$2:$AO$212,RawTech!$B$2:$B$212))</f>
        <v>Tantalus Field</v>
      </c>
      <c r="D106" s="418">
        <f t="array" ref="D106">XLOOKUP(LCARS_Tech[BuffID],RawTech[BuffID],RawTech[BuffOrder])</f>
        <v>3</v>
      </c>
      <c r="E106" s="419" t="str">
        <f t="array" ref="E106">XLOOKUP(LCARS_Tech[BuffID],RawTech[BuffID],RawTech[TechType])</f>
        <v>FT</v>
      </c>
      <c r="F106" s="419" t="str">
        <f t="array" ref="F106">XLOOKUP(LCARS_Tech[BuffID],RawTech[BuffID],RawTech[Tag_PvPinSpace])</f>
        <v>✴️</v>
      </c>
      <c r="G106" s="419" t="str">
        <f t="array" ref="G106">XLOOKUP(LCARS_Tech[BuffID],RawTech[BuffID],RawTech[Tag_PvPStation])</f>
        <v>✴️</v>
      </c>
      <c r="H106" s="419" t="str">
        <f t="array" ref="H106">XLOOKUP(LCARS_Tech[BuffID],RawTech[BuffID],RawTech[Tag_NonArmadaHostiles])</f>
        <v>➖</v>
      </c>
      <c r="I106" s="419" t="str">
        <f t="array" ref="I106">XLOOKUP(LCARS_Tech[BuffID],RawTech[BuffID],RawTech[Tag_WaveDefense])</f>
        <v>➖</v>
      </c>
      <c r="J106" s="419" t="str">
        <f t="array" ref="J106">XLOOKUP(LCARS_Tech[BuffID],RawTech[BuffID],RawTech[Tag_QTrial])</f>
        <v>➖</v>
      </c>
      <c r="K106" s="419" t="str">
        <f t="array" ref="K106">XLOOKUP(LCARS_Tech[BuffID],RawTech[BuffID],RawTech[Tag_MissionBosses])</f>
        <v>➖</v>
      </c>
      <c r="L106" s="419" t="str">
        <f t="array" ref="L106">XLOOKUP(LCARS_Tech[BuffID],RawTech[BuffID],RawTech[Tag_GroupArmadas])</f>
        <v>➖</v>
      </c>
      <c r="M106" s="419" t="str">
        <f t="array" ref="M106">XLOOKUP(LCARS_Tech[BuffID],RawTech[BuffID],RawTech[Tag_SoloArmadas])</f>
        <v>➖</v>
      </c>
      <c r="N106" s="419" t="str">
        <f t="array" ref="N106">XLOOKUP(LCARS_Tech[BuffID],RawTech[BuffID],RawTech[Tag_InvadingEntities])</f>
        <v>➖</v>
      </c>
      <c r="O106" s="419" t="str">
        <f t="array" ref="O106">XLOOKUP(LCARS_Tech[BuffID],RawTech[BuffID],RawTech[Tag_Assaults])</f>
        <v>➖</v>
      </c>
      <c r="P106" s="442" t="str">
        <f t="array" ref="P106">XLOOKUP(LCARS_Tech[BuffID],RawTech[BuffID],RawTech[Tag_OutpostArmadas])</f>
        <v>➖</v>
      </c>
      <c r="Q106" s="450" t="str">
        <f t="array" ref="Q106">XLOOKUP(LCARS_Tech[BuffID],RawTech[BuffID],RawTech[Tag_OutpostRetaliators])</f>
        <v>➖</v>
      </c>
      <c r="R106" s="450" t="str">
        <f t="array" ref="R106">XLOOKUP(MasterTech!$AF$4:$AF$214,RawTech!$AO$2:$AO$212,RawTech!$AV$2:$AV$212)</f>
        <v>SelfOfficerTalNotOnBridge</v>
      </c>
      <c r="S106" s="419" t="str">
        <f t="array" ref="S106">XLOOKUP(MasterTech!$AF$4:$AF$214,RawTech!$AO$2:$AO$212,RawTech!$AK$2:$AK$212)</f>
        <v>➖</v>
      </c>
      <c r="T106" s="422" t="str">
        <f t="array" ref="T106">XLOOKUP(MasterTech!$AF$4:$AF$214,RawTech!$AO$2:$AO$212,RawTech!$AM$2:$AM$212)</f>
        <v>➖</v>
      </c>
      <c r="U106" s="423" t="str">
        <f t="array" ref="U106">XLOOKUP(MasterTech!$AF$4:$AF$214,RawTech!$AO$2:$AO$212,RawTech!$D$2:$D$212)</f>
        <v>ApexBarrier</v>
      </c>
      <c r="V106" s="420" t="str">
        <f t="array" ref="V106">XLOOKUP(MasterTech!$AF$4:$AF$214,RawTech!$AO$2:$AO$212,RawTech!$I$2:$I$212)</f>
        <v/>
      </c>
      <c r="W106" s="443" t="str">
        <f t="array" ref="W106">XLOOKUP(MasterTech!$AF$4:$AF$214,RawTech!$AO$2:$AO$212,RawTech!$E$2:$E$212)</f>
        <v>EnemyPlayer, SelfOfficerTalNotOnBridge</v>
      </c>
      <c r="X106" s="423" t="str">
        <f t="array" ref="X106">XLOOKUP(MasterTech!$AF$4:$AF$214,RawTech!$AO$2:$AO$212,RawTech!$F$2:$F$212)</f>
        <v>CombatStart</v>
      </c>
      <c r="Y106" s="423" t="str">
        <f t="array" ref="Y106">XLOOKUP(MasterTech!$AF$4:$AF$214,RawTech!$AO$2:$AO$212,RawTech!$G$2:$G$212)</f>
        <v>SelfShip</v>
      </c>
      <c r="Z106" s="423" t="str">
        <f t="array" ref="Z106">XLOOKUP(MasterTech!$AF$4:$AF$214,RawTech!$AO$2:$AO$212,RawTech!$H$2:$H$212)</f>
        <v>Add</v>
      </c>
      <c r="AA106" s="423" t="str">
        <f t="array" ref="AA106">XLOOKUP(MasterTech!$AF$4:$AF$214,RawTech!$AO$2:$AO$212,RawTech!$J$2:$J$212)</f>
        <v>Increases Apex Barrier against players X</v>
      </c>
      <c r="AB106" s="424"/>
      <c r="AC106" s="425"/>
      <c r="AD106" s="425"/>
      <c r="AE106" s="461">
        <f t="array" ref="AE106">XLOOKUP(MasterTech!$AF$4:$AF$214,RawTech!$AO$2:$AO$212,RawTech!$AR$2:$AR$212)</f>
        <v>28</v>
      </c>
      <c r="AF106" s="427">
        <v>1.451947481E9</v>
      </c>
      <c r="AG106" s="428"/>
      <c r="AH106" s="428"/>
      <c r="AI106" s="429"/>
      <c r="AJ106" s="430"/>
    </row>
    <row r="107" ht="37.5" customHeight="1">
      <c r="A107" s="415" t="str">
        <f t="array" ref="A107">LEFT(XLOOKUP(LCARS_Tech[BuffID],RawTech[BuffID],RawTech[TechRarity]), 1)</f>
        <v>E</v>
      </c>
      <c r="B107" s="416"/>
      <c r="C107" s="464" t="str">
        <f t="array" ref="C107">HYPERLINK("https://stfc.space/forbidden_and_chaos_tech/" &amp; XLOOKUP(MasterTech!$AF$4:$AF$214,RawTech!$AO$2:$AO$212,RawTech!$AQ$2:$AQ$212), XLOOKUP(MasterTech!$AF$4:$AF$214,RawTech!$AO$2:$AO$212,RawTech!$B$2:$B$212))</f>
        <v>Tantalus Field</v>
      </c>
      <c r="D107" s="432">
        <f t="array" ref="D107">XLOOKUP(LCARS_Tech[BuffID],RawTech[BuffID],RawTech[BuffOrder])</f>
        <v>4</v>
      </c>
      <c r="E107" s="433" t="str">
        <f t="array" ref="E107">XLOOKUP(LCARS_Tech[BuffID],RawTech[BuffID],RawTech[TechType])</f>
        <v>FT</v>
      </c>
      <c r="F107" s="433" t="str">
        <f t="array" ref="F107">XLOOKUP(LCARS_Tech[BuffID],RawTech[BuffID],RawTech[Tag_PvPinSpace])</f>
        <v>✅</v>
      </c>
      <c r="G107" s="433" t="str">
        <f t="array" ref="G107">XLOOKUP(LCARS_Tech[BuffID],RawTech[BuffID],RawTech[Tag_PvPStation])</f>
        <v>✅</v>
      </c>
      <c r="H107" s="433" t="str">
        <f t="array" ref="H107">XLOOKUP(LCARS_Tech[BuffID],RawTech[BuffID],RawTech[Tag_NonArmadaHostiles])</f>
        <v>➖</v>
      </c>
      <c r="I107" s="433" t="str">
        <f t="array" ref="I107">XLOOKUP(LCARS_Tech[BuffID],RawTech[BuffID],RawTech[Tag_WaveDefense])</f>
        <v>➖</v>
      </c>
      <c r="J107" s="433" t="str">
        <f t="array" ref="J107">XLOOKUP(LCARS_Tech[BuffID],RawTech[BuffID],RawTech[Tag_QTrial])</f>
        <v>➖</v>
      </c>
      <c r="K107" s="433" t="str">
        <f t="array" ref="K107">XLOOKUP(LCARS_Tech[BuffID],RawTech[BuffID],RawTech[Tag_MissionBosses])</f>
        <v>➖</v>
      </c>
      <c r="L107" s="433" t="str">
        <f t="array" ref="L107">XLOOKUP(LCARS_Tech[BuffID],RawTech[BuffID],RawTech[Tag_GroupArmadas])</f>
        <v>➖</v>
      </c>
      <c r="M107" s="433" t="str">
        <f t="array" ref="M107">XLOOKUP(LCARS_Tech[BuffID],RawTech[BuffID],RawTech[Tag_SoloArmadas])</f>
        <v>➖</v>
      </c>
      <c r="N107" s="433" t="str">
        <f t="array" ref="N107">XLOOKUP(LCARS_Tech[BuffID],RawTech[BuffID],RawTech[Tag_InvadingEntities])</f>
        <v>➖</v>
      </c>
      <c r="O107" s="433" t="str">
        <f t="array" ref="O107">XLOOKUP(LCARS_Tech[BuffID],RawTech[BuffID],RawTech[Tag_Assaults])</f>
        <v>➖</v>
      </c>
      <c r="P107" s="434" t="str">
        <f t="array" ref="P107">XLOOKUP(LCARS_Tech[BuffID],RawTech[BuffID],RawTech[Tag_OutpostArmadas])</f>
        <v>➖</v>
      </c>
      <c r="Q107" s="416" t="str">
        <f t="array" ref="Q107">XLOOKUP(LCARS_Tech[BuffID],RawTech[BuffID],RawTech[Tag_OutpostRetaliators])</f>
        <v>➖</v>
      </c>
      <c r="R107" s="416" t="str">
        <f t="array" ref="R107">XLOOKUP(MasterTech!$AF$4:$AF$214,RawTech!$AO$2:$AO$212,RawTech!$AV$2:$AV$212)</f>
        <v/>
      </c>
      <c r="S107" s="433" t="str">
        <f t="array" ref="S107">XLOOKUP(MasterTech!$AF$4:$AF$214,RawTech!$AO$2:$AO$212,RawTech!$AK$2:$AK$212)</f>
        <v>➖</v>
      </c>
      <c r="T107" s="435" t="str">
        <f t="array" ref="T107">XLOOKUP(MasterTech!$AF$4:$AF$214,RawTech!$AO$2:$AO$212,RawTech!$AM$2:$AM$212)</f>
        <v>➖</v>
      </c>
      <c r="U107" s="438" t="str">
        <f t="array" ref="U107">XLOOKUP(MasterTech!$AF$4:$AF$214,RawTech!$AO$2:$AO$212,RawTech!$D$2:$D$212)</f>
        <v>IsolyticDamage</v>
      </c>
      <c r="V107" s="416" t="str">
        <f t="array" ref="V107">XLOOKUP(MasterTech!$AF$4:$AF$214,RawTech!$AO$2:$AO$212,RawTech!$I$2:$I$212)</f>
        <v/>
      </c>
      <c r="W107" s="447" t="str">
        <f t="array" ref="W107">XLOOKUP(MasterTech!$AF$4:$AF$214,RawTech!$AO$2:$AO$212,RawTech!$E$2:$E$212)</f>
        <v>EnemyPlayer</v>
      </c>
      <c r="X107" s="438" t="str">
        <f t="array" ref="X107">XLOOKUP(MasterTech!$AF$4:$AF$214,RawTech!$AO$2:$AO$212,RawTech!$F$2:$F$212)</f>
        <v>CombatStart</v>
      </c>
      <c r="Y107" s="438" t="str">
        <f t="array" ref="Y107">XLOOKUP(MasterTech!$AF$4:$AF$214,RawTech!$AO$2:$AO$212,RawTech!$G$2:$G$212)</f>
        <v>SelfShip</v>
      </c>
      <c r="Z107" s="438" t="str">
        <f t="array" ref="Z107">XLOOKUP(MasterTech!$AF$4:$AF$214,RawTech!$AO$2:$AO$212,RawTech!$H$2:$H$212)</f>
        <v>Add</v>
      </c>
      <c r="AA107" s="438" t="str">
        <f t="array" ref="AA107">XLOOKUP(MasterTech!$AF$4:$AF$214,RawTech!$AO$2:$AO$212,RawTech!$J$2:$J$212)</f>
        <v>Increases Isolytic Damage against players X</v>
      </c>
      <c r="AB107" s="439"/>
      <c r="AC107" s="440"/>
      <c r="AD107" s="440"/>
      <c r="AE107" s="462">
        <f t="array" ref="AE107">XLOOKUP(MasterTech!$AF$4:$AF$214,RawTech!$AO$2:$AO$212,RawTech!$AR$2:$AR$212)</f>
        <v>28</v>
      </c>
      <c r="AF107" s="427">
        <v>2.737674136E9</v>
      </c>
      <c r="AG107" s="428"/>
      <c r="AH107" s="428"/>
      <c r="AI107" s="429"/>
      <c r="AJ107" s="430"/>
    </row>
    <row r="108" ht="37.5" customHeight="1">
      <c r="A108" s="415" t="str">
        <f t="array" ref="A108">LEFT(XLOOKUP(LCARS_Tech[BuffID],RawTech[BuffID],RawTech[TechRarity]), 1)</f>
        <v>E</v>
      </c>
      <c r="B108" s="420"/>
      <c r="C108" s="460" t="str">
        <f t="array" ref="C108">HYPERLINK("https://stfc.space/forbidden_and_chaos_tech/" &amp; XLOOKUP(MasterTech!$AF$4:$AF$214,RawTech!$AO$2:$AO$212,RawTech!$AQ$2:$AQ$212), XLOOKUP(MasterTech!$AF$4:$AF$214,RawTech!$AO$2:$AO$212,RawTech!$B$2:$B$212))</f>
        <v>Agony Booth</v>
      </c>
      <c r="D108" s="418">
        <f t="array" ref="D108">XLOOKUP(LCARS_Tech[BuffID],RawTech[BuffID],RawTech[BuffOrder])</f>
        <v>1</v>
      </c>
      <c r="E108" s="419" t="str">
        <f t="array" ref="E108">XLOOKUP(LCARS_Tech[BuffID],RawTech[BuffID],RawTech[TechType])</f>
        <v>FT</v>
      </c>
      <c r="F108" s="419" t="str">
        <f t="array" ref="F108">XLOOKUP(LCARS_Tech[BuffID],RawTech[BuffID],RawTech[Tag_PvPinSpace])</f>
        <v>➖</v>
      </c>
      <c r="G108" s="419" t="str">
        <f t="array" ref="G108">XLOOKUP(LCARS_Tech[BuffID],RawTech[BuffID],RawTech[Tag_PvPStation])</f>
        <v>➖</v>
      </c>
      <c r="H108" s="419" t="str">
        <f t="array" ref="H108">XLOOKUP(LCARS_Tech[BuffID],RawTech[BuffID],RawTech[Tag_NonArmadaHostiles])</f>
        <v>✴️</v>
      </c>
      <c r="I108" s="419" t="str">
        <f t="array" ref="I108">XLOOKUP(LCARS_Tech[BuffID],RawTech[BuffID],RawTech[Tag_WaveDefense])</f>
        <v>✴️</v>
      </c>
      <c r="J108" s="419" t="str">
        <f t="array" ref="J108">XLOOKUP(LCARS_Tech[BuffID],RawTech[BuffID],RawTech[Tag_QTrial])</f>
        <v>✴️</v>
      </c>
      <c r="K108" s="419" t="str">
        <f t="array" ref="K108">XLOOKUP(LCARS_Tech[BuffID],RawTech[BuffID],RawTech[Tag_MissionBosses])</f>
        <v>➖</v>
      </c>
      <c r="L108" s="419" t="str">
        <f t="array" ref="L108">XLOOKUP(LCARS_Tech[BuffID],RawTech[BuffID],RawTech[Tag_GroupArmadas])</f>
        <v>➖</v>
      </c>
      <c r="M108" s="419" t="str">
        <f t="array" ref="M108">XLOOKUP(LCARS_Tech[BuffID],RawTech[BuffID],RawTech[Tag_SoloArmadas])</f>
        <v>➖</v>
      </c>
      <c r="N108" s="419" t="str">
        <f t="array" ref="N108">XLOOKUP(LCARS_Tech[BuffID],RawTech[BuffID],RawTech[Tag_InvadingEntities])</f>
        <v>➖</v>
      </c>
      <c r="O108" s="419" t="str">
        <f t="array" ref="O108">XLOOKUP(LCARS_Tech[BuffID],RawTech[BuffID],RawTech[Tag_Assaults])</f>
        <v>➖</v>
      </c>
      <c r="P108" s="442" t="str">
        <f t="array" ref="P108">XLOOKUP(LCARS_Tech[BuffID],RawTech[BuffID],RawTech[Tag_OutpostArmadas])</f>
        <v>➖</v>
      </c>
      <c r="Q108" s="450" t="str">
        <f t="array" ref="Q108">XLOOKUP(LCARS_Tech[BuffID],RawTech[BuffID],RawTech[Tag_OutpostRetaliators])</f>
        <v>➖</v>
      </c>
      <c r="R108" s="450" t="str">
        <f t="array" ref="R108">XLOOKUP(MasterTech!$AF$4:$AF$214,RawTech!$AO$2:$AO$212,RawTech!$AV$2:$AV$212)</f>
        <v>SelfOfficerTalNotOnBridge</v>
      </c>
      <c r="S108" s="419" t="str">
        <f t="array" ref="S108">XLOOKUP(MasterTech!$AF$4:$AF$214,RawTech!$AO$2:$AO$212,RawTech!$AK$2:$AK$212)</f>
        <v>➖</v>
      </c>
      <c r="T108" s="422" t="str">
        <f t="array" ref="T108">XLOOKUP(MasterTech!$AF$4:$AF$214,RawTech!$AO$2:$AO$212,RawTech!$AM$2:$AM$212)</f>
        <v>➖</v>
      </c>
      <c r="U108" s="423" t="str">
        <f t="array" ref="U108">XLOOKUP(MasterTech!$AF$4:$AF$214,RawTech!$AO$2:$AO$212,RawTech!$D$2:$D$212)</f>
        <v>ApexBarrier</v>
      </c>
      <c r="V108" s="420" t="str">
        <f t="array" ref="V108">XLOOKUP(MasterTech!$AF$4:$AF$214,RawTech!$AO$2:$AO$212,RawTech!$I$2:$I$212)</f>
        <v/>
      </c>
      <c r="W108" s="443" t="str">
        <f t="array" ref="W108">XLOOKUP(MasterTech!$AF$4:$AF$214,RawTech!$AO$2:$AO$212,RawTech!$E$2:$E$212)</f>
        <v>EnemyHostile, TargetNotArmada, SelfOfficerTalNotOnBridge</v>
      </c>
      <c r="X108" s="423" t="str">
        <f t="array" ref="X108">XLOOKUP(MasterTech!$AF$4:$AF$214,RawTech!$AO$2:$AO$212,RawTech!$F$2:$F$212)</f>
        <v>CombatStart</v>
      </c>
      <c r="Y108" s="423" t="str">
        <f t="array" ref="Y108">XLOOKUP(MasterTech!$AF$4:$AF$214,RawTech!$AO$2:$AO$212,RawTech!$G$2:$G$212)</f>
        <v>SelfShip</v>
      </c>
      <c r="Z108" s="423" t="str">
        <f t="array" ref="Z108">XLOOKUP(MasterTech!$AF$4:$AF$214,RawTech!$AO$2:$AO$212,RawTech!$H$2:$H$212)</f>
        <v>Add</v>
      </c>
      <c r="AA108" s="423" t="str">
        <f t="array" ref="AA108">XLOOKUP(MasterTech!$AF$4:$AF$214,RawTech!$AO$2:$AO$212,RawTech!$J$2:$J$212)</f>
        <v>Increases Apex Barrier against non-Armada hostiles X</v>
      </c>
      <c r="AB108" s="424"/>
      <c r="AC108" s="425"/>
      <c r="AD108" s="425"/>
      <c r="AE108" s="461">
        <f t="array" ref="AE108">XLOOKUP(MasterTech!$AF$4:$AF$214,RawTech!$AO$2:$AO$212,RawTech!$AR$2:$AR$212)</f>
        <v>30</v>
      </c>
      <c r="AF108" s="427">
        <v>3.58691739E9</v>
      </c>
      <c r="AG108" s="428"/>
      <c r="AH108" s="428"/>
      <c r="AI108" s="429"/>
      <c r="AJ108" s="430"/>
    </row>
    <row r="109" ht="37.5" customHeight="1">
      <c r="A109" s="415" t="str">
        <f t="array" ref="A109">LEFT(XLOOKUP(LCARS_Tech[BuffID],RawTech[BuffID],RawTech[TechRarity]), 1)</f>
        <v>E</v>
      </c>
      <c r="B109" s="416"/>
      <c r="C109" s="464" t="str">
        <f t="array" ref="C109">HYPERLINK("https://stfc.space/forbidden_and_chaos_tech/" &amp; XLOOKUP(MasterTech!$AF$4:$AF$214,RawTech!$AO$2:$AO$212,RawTech!$AQ$2:$AQ$212), XLOOKUP(MasterTech!$AF$4:$AF$214,RawTech!$AO$2:$AO$212,RawTech!$B$2:$B$212))</f>
        <v>Agony Booth</v>
      </c>
      <c r="D109" s="432">
        <f t="array" ref="D109">XLOOKUP(LCARS_Tech[BuffID],RawTech[BuffID],RawTech[BuffOrder])</f>
        <v>2</v>
      </c>
      <c r="E109" s="433" t="str">
        <f t="array" ref="E109">XLOOKUP(LCARS_Tech[BuffID],RawTech[BuffID],RawTech[TechType])</f>
        <v>FT</v>
      </c>
      <c r="F109" s="433" t="str">
        <f t="array" ref="F109">XLOOKUP(LCARS_Tech[BuffID],RawTech[BuffID],RawTech[Tag_PvPinSpace])</f>
        <v>➖</v>
      </c>
      <c r="G109" s="433" t="str">
        <f t="array" ref="G109">XLOOKUP(LCARS_Tech[BuffID],RawTech[BuffID],RawTech[Tag_PvPStation])</f>
        <v>➖</v>
      </c>
      <c r="H109" s="433" t="str">
        <f t="array" ref="H109">XLOOKUP(LCARS_Tech[BuffID],RawTech[BuffID],RawTech[Tag_NonArmadaHostiles])</f>
        <v>✴️</v>
      </c>
      <c r="I109" s="433" t="str">
        <f t="array" ref="I109">XLOOKUP(LCARS_Tech[BuffID],RawTech[BuffID],RawTech[Tag_WaveDefense])</f>
        <v>➖</v>
      </c>
      <c r="J109" s="433" t="str">
        <f t="array" ref="J109">XLOOKUP(LCARS_Tech[BuffID],RawTech[BuffID],RawTech[Tag_QTrial])</f>
        <v>➖</v>
      </c>
      <c r="K109" s="433" t="str">
        <f t="array" ref="K109">XLOOKUP(LCARS_Tech[BuffID],RawTech[BuffID],RawTech[Tag_MissionBosses])</f>
        <v>➖</v>
      </c>
      <c r="L109" s="433" t="str">
        <f t="array" ref="L109">XLOOKUP(LCARS_Tech[BuffID],RawTech[BuffID],RawTech[Tag_GroupArmadas])</f>
        <v>✴️</v>
      </c>
      <c r="M109" s="433" t="str">
        <f t="array" ref="M109">XLOOKUP(LCARS_Tech[BuffID],RawTech[BuffID],RawTech[Tag_SoloArmadas])</f>
        <v>✴️</v>
      </c>
      <c r="N109" s="433" t="str">
        <f t="array" ref="N109">XLOOKUP(LCARS_Tech[BuffID],RawTech[BuffID],RawTech[Tag_InvadingEntities])</f>
        <v>➖</v>
      </c>
      <c r="O109" s="433" t="str">
        <f t="array" ref="O109">XLOOKUP(LCARS_Tech[BuffID],RawTech[BuffID],RawTech[Tag_Assaults])</f>
        <v>➖</v>
      </c>
      <c r="P109" s="434" t="str">
        <f t="array" ref="P109">XLOOKUP(LCARS_Tech[BuffID],RawTech[BuffID],RawTech[Tag_OutpostArmadas])</f>
        <v>➖</v>
      </c>
      <c r="Q109" s="451" t="str">
        <f t="array" ref="Q109">XLOOKUP(LCARS_Tech[BuffID],RawTech[BuffID],RawTech[Tag_OutpostRetaliators])</f>
        <v>➖</v>
      </c>
      <c r="R109" s="451" t="str">
        <f t="array" ref="R109">XLOOKUP(MasterTech!$AF$4:$AF$214,RawTech!$AO$2:$AO$212,RawTech!$AV$2:$AV$212)</f>
        <v>FactionPointsGain</v>
      </c>
      <c r="S109" s="433" t="str">
        <f t="array" ref="S109">XLOOKUP(MasterTech!$AF$4:$AF$214,RawTech!$AO$2:$AO$212,RawTech!$AK$2:$AK$212)</f>
        <v>✅</v>
      </c>
      <c r="T109" s="435" t="str">
        <f t="array" ref="T109">XLOOKUP(MasterTech!$AF$4:$AF$214,RawTech!$AO$2:$AO$212,RawTech!$AM$2:$AM$212)</f>
        <v>➖</v>
      </c>
      <c r="U109" s="438" t="str">
        <f t="array" ref="U109">XLOOKUP(MasterTech!$AF$4:$AF$214,RawTech!$AO$2:$AO$212,RawTech!$D$2:$D$212)</f>
        <v>FactionPointsGain</v>
      </c>
      <c r="V109" s="416" t="str">
        <f t="array" ref="V109">XLOOKUP(MasterTech!$AF$4:$AF$214,RawTech!$AO$2:$AO$212,RawTech!$I$2:$I$212)</f>
        <v/>
      </c>
      <c r="W109" s="437" t="str">
        <f t="array" ref="W109">XLOOKUP(MasterTech!$AF$4:$AF$214,RawTech!$AO$2:$AO$212,RawTech!$E$2:$E$212)</f>
        <v/>
      </c>
      <c r="X109" s="438" t="str">
        <f t="array" ref="X109">XLOOKUP(MasterTech!$AF$4:$AF$214,RawTech!$AO$2:$AO$212,RawTech!$F$2:$F$212)</f>
        <v>ShipLaunched</v>
      </c>
      <c r="Y109" s="438" t="str">
        <f t="array" ref="Y109">XLOOKUP(MasterTech!$AF$4:$AF$214,RawTech!$AO$2:$AO$212,RawTech!$G$2:$G$212)</f>
        <v>SelfShip</v>
      </c>
      <c r="Z109" s="438" t="str">
        <f t="array" ref="Z109">XLOOKUP(MasterTech!$AF$4:$AF$214,RawTech!$AO$2:$AO$212,RawTech!$H$2:$H$212)</f>
        <v>MultiplyAdd</v>
      </c>
      <c r="AA109" s="438" t="str">
        <f t="array" ref="AA109">XLOOKUP(MasterTech!$AF$4:$AF$214,RawTech!$AO$2:$AO$212,RawTech!$J$2:$J$212)</f>
        <v>Increases Positive FKR Reputation gains X</v>
      </c>
      <c r="AB109" s="439"/>
      <c r="AC109" s="465"/>
      <c r="AD109" s="465"/>
      <c r="AE109" s="462">
        <f t="array" ref="AE109">XLOOKUP(MasterTech!$AF$4:$AF$214,RawTech!$AO$2:$AO$212,RawTech!$AR$2:$AR$212)</f>
        <v>30</v>
      </c>
      <c r="AF109" s="427">
        <v>2.243322002E9</v>
      </c>
      <c r="AG109" s="428"/>
      <c r="AH109" s="428"/>
      <c r="AI109" s="429"/>
      <c r="AJ109" s="430"/>
    </row>
    <row r="110" ht="37.5" customHeight="1">
      <c r="A110" s="415" t="str">
        <f t="array" ref="A110">LEFT(XLOOKUP(LCARS_Tech[BuffID],RawTech[BuffID],RawTech[TechRarity]), 1)</f>
        <v>E</v>
      </c>
      <c r="B110" s="420"/>
      <c r="C110" s="417" t="str">
        <f t="array" ref="C110">HYPERLINK("https://stfc.space/forbidden_and_chaos_tech/" &amp; XLOOKUP(LCARS_Tech[BuffID],RawTech[BuffID],RawTech[TechId]), XLOOKUP(LCARS_Tech[BuffID],RawTech[BuffID],RawTech[TechName]))</f>
        <v>Agony Booth</v>
      </c>
      <c r="D110" s="418">
        <f t="array" ref="D110">XLOOKUP(LCARS_Tech[BuffID],RawTech[BuffID],RawTech[BuffOrder])</f>
        <v>3</v>
      </c>
      <c r="E110" s="419" t="str">
        <f t="array" ref="E110">XLOOKUP(LCARS_Tech[BuffID],RawTech[BuffID],RawTech[TechType])</f>
        <v>FT</v>
      </c>
      <c r="F110" s="419" t="str">
        <f t="array" ref="F110">XLOOKUP(LCARS_Tech[BuffID],RawTech[BuffID],RawTech[Tag_PvPinSpace])</f>
        <v>✅</v>
      </c>
      <c r="G110" s="419" t="str">
        <f t="array" ref="G110">XLOOKUP(LCARS_Tech[BuffID],RawTech[BuffID],RawTech[Tag_PvPStation])</f>
        <v>✅</v>
      </c>
      <c r="H110" s="419" t="str">
        <f t="array" ref="H110">XLOOKUP(LCARS_Tech[BuffID],RawTech[BuffID],RawTech[Tag_NonArmadaHostiles])</f>
        <v>✅</v>
      </c>
      <c r="I110" s="419" t="str">
        <f t="array" ref="I110">XLOOKUP(LCARS_Tech[BuffID],RawTech[BuffID],RawTech[Tag_WaveDefense])</f>
        <v>✅</v>
      </c>
      <c r="J110" s="419" t="str">
        <f t="array" ref="J110">XLOOKUP(LCARS_Tech[BuffID],RawTech[BuffID],RawTech[Tag_QTrial])</f>
        <v>✅</v>
      </c>
      <c r="K110" s="419" t="str">
        <f t="array" ref="K110">XLOOKUP(LCARS_Tech[BuffID],RawTech[BuffID],RawTech[Tag_MissionBosses])</f>
        <v>✅</v>
      </c>
      <c r="L110" s="419" t="str">
        <f t="array" ref="L110">XLOOKUP(LCARS_Tech[BuffID],RawTech[BuffID],RawTech[Tag_GroupArmadas])</f>
        <v>✅</v>
      </c>
      <c r="M110" s="419" t="str">
        <f t="array" ref="M110">XLOOKUP(LCARS_Tech[BuffID],RawTech[BuffID],RawTech[Tag_SoloArmadas])</f>
        <v>✅</v>
      </c>
      <c r="N110" s="419" t="str">
        <f t="array" ref="N110">XLOOKUP(LCARS_Tech[BuffID],RawTech[BuffID],RawTech[Tag_InvadingEntities])</f>
        <v>✅</v>
      </c>
      <c r="O110" s="419" t="str">
        <f t="array" ref="O110">XLOOKUP(LCARS_Tech[BuffID],RawTech[BuffID],RawTech[Tag_Assaults])</f>
        <v>✅</v>
      </c>
      <c r="P110" s="442" t="str">
        <f t="array" ref="P110">XLOOKUP(LCARS_Tech[BuffID],RawTech[BuffID],RawTech[Tag_OutpostArmadas])</f>
        <v>✅</v>
      </c>
      <c r="Q110" s="420" t="str">
        <f t="array" ref="Q110">XLOOKUP(LCARS_Tech[BuffID],RawTech[BuffID],RawTech[Tag_OutpostRetaliators])</f>
        <v>✅</v>
      </c>
      <c r="R110" s="420" t="str">
        <f t="array" ref="R110">XLOOKUP(MasterTech!$AF$4:$AF$214,RawTech!$AO$2:$AO$212,RawTech!$AV$2:$AV$212)</f>
        <v/>
      </c>
      <c r="S110" s="419" t="str">
        <f t="array" ref="S110">XLOOKUP(MasterTech!$AF$4:$AF$214,RawTech!$AO$2:$AO$212,RawTech!$AK$2:$AK$212)</f>
        <v>➖</v>
      </c>
      <c r="T110" s="422" t="str">
        <f t="array" ref="T110">XLOOKUP(MasterTech!$AF$4:$AF$214,RawTech!$AO$2:$AO$212,RawTech!$AM$2:$AM$212)</f>
        <v>➖</v>
      </c>
      <c r="U110" s="423" t="str">
        <f t="array" ref="U110">XLOOKUP(MasterTech!$AF$4:$AF$214,RawTech!$AO$2:$AO$212,RawTech!$D$2:$D$212)</f>
        <v>HullHPMax</v>
      </c>
      <c r="V110" s="420" t="str">
        <f t="array" ref="V110">XLOOKUP(MasterTech!$AF$4:$AF$214,RawTech!$AO$2:$AO$212,RawTech!$I$2:$I$212)</f>
        <v/>
      </c>
      <c r="W110" s="421" t="str">
        <f t="array" ref="W110">XLOOKUP(MasterTech!$AF$4:$AF$214,RawTech!$AO$2:$AO$212,RawTech!$E$2:$E$212)</f>
        <v/>
      </c>
      <c r="X110" s="423" t="str">
        <f t="array" ref="X110">XLOOKUP(MasterTech!$AF$4:$AF$214,RawTech!$AO$2:$AO$212,RawTech!$F$2:$F$212)</f>
        <v>ShipLaunched</v>
      </c>
      <c r="Y110" s="423" t="str">
        <f t="array" ref="Y110">XLOOKUP(MasterTech!$AF$4:$AF$214,RawTech!$AO$2:$AO$212,RawTech!$G$2:$G$212)</f>
        <v>SelfShip</v>
      </c>
      <c r="Z110" s="423" t="str">
        <f t="array" ref="Z110">XLOOKUP(MasterTech!$AF$4:$AF$214,RawTech!$AO$2:$AO$212,RawTech!$H$2:$H$212)</f>
        <v>MultiplyAdd</v>
      </c>
      <c r="AA110" s="423" t="str">
        <f t="array" ref="AA110">XLOOKUP(MasterTech!$AF$4:$AF$214,RawTech!$AO$2:$AO$212,RawTech!$J$2:$J$212)</f>
        <v>Increases Hull Health X</v>
      </c>
      <c r="AB110" s="424"/>
      <c r="AC110" s="425"/>
      <c r="AD110" s="425"/>
      <c r="AE110" s="461">
        <f t="array" ref="AE110">XLOOKUP(MasterTech!$AF$4:$AF$214,RawTech!$AO$2:$AO$212,RawTech!$AR$2:$AR$212)</f>
        <v>30</v>
      </c>
      <c r="AF110" s="427">
        <v>3.21777682E9</v>
      </c>
      <c r="AG110" s="428"/>
      <c r="AH110" s="428"/>
      <c r="AI110" s="429"/>
      <c r="AJ110" s="430"/>
    </row>
    <row r="111" ht="37.5" customHeight="1">
      <c r="A111" s="415" t="str">
        <f t="array" ref="A111">LEFT(XLOOKUP(LCARS_Tech[BuffID],RawTech[BuffID],RawTech[TechRarity]), 1)</f>
        <v>E</v>
      </c>
      <c r="B111" s="416"/>
      <c r="C111" s="464" t="str">
        <f t="array" ref="C111">HYPERLINK("https://stfc.space/forbidden_and_chaos_tech/" &amp; XLOOKUP(MasterTech!$AF$4:$AF$214,RawTech!$AO$2:$AO$212,RawTech!$AQ$2:$AQ$212), XLOOKUP(MasterTech!$AF$4:$AF$214,RawTech!$AO$2:$AO$212,RawTech!$B$2:$B$212))</f>
        <v>Agony Booth</v>
      </c>
      <c r="D111" s="432">
        <f t="array" ref="D111">XLOOKUP(LCARS_Tech[BuffID],RawTech[BuffID],RawTech[BuffOrder])</f>
        <v>4</v>
      </c>
      <c r="E111" s="433" t="str">
        <f t="array" ref="E111">XLOOKUP(LCARS_Tech[BuffID],RawTech[BuffID],RawTech[TechType])</f>
        <v>FT</v>
      </c>
      <c r="F111" s="433" t="str">
        <f t="array" ref="F111">XLOOKUP(LCARS_Tech[BuffID],RawTech[BuffID],RawTech[Tag_PvPinSpace])</f>
        <v>➖</v>
      </c>
      <c r="G111" s="433" t="str">
        <f t="array" ref="G111">XLOOKUP(LCARS_Tech[BuffID],RawTech[BuffID],RawTech[Tag_PvPStation])</f>
        <v>➖</v>
      </c>
      <c r="H111" s="433" t="str">
        <f t="array" ref="H111">XLOOKUP(LCARS_Tech[BuffID],RawTech[BuffID],RawTech[Tag_NonArmadaHostiles])</f>
        <v>✅</v>
      </c>
      <c r="I111" s="433" t="str">
        <f t="array" ref="I111">XLOOKUP(LCARS_Tech[BuffID],RawTech[BuffID],RawTech[Tag_WaveDefense])</f>
        <v>✅</v>
      </c>
      <c r="J111" s="433" t="str">
        <f t="array" ref="J111">XLOOKUP(LCARS_Tech[BuffID],RawTech[BuffID],RawTech[Tag_QTrial])</f>
        <v>✅</v>
      </c>
      <c r="K111" s="433" t="str">
        <f t="array" ref="K111">XLOOKUP(LCARS_Tech[BuffID],RawTech[BuffID],RawTech[Tag_MissionBosses])</f>
        <v>➖</v>
      </c>
      <c r="L111" s="433" t="str">
        <f t="array" ref="L111">XLOOKUP(LCARS_Tech[BuffID],RawTech[BuffID],RawTech[Tag_GroupArmadas])</f>
        <v>➖</v>
      </c>
      <c r="M111" s="433" t="str">
        <f t="array" ref="M111">XLOOKUP(LCARS_Tech[BuffID],RawTech[BuffID],RawTech[Tag_SoloArmadas])</f>
        <v>➖</v>
      </c>
      <c r="N111" s="433" t="str">
        <f t="array" ref="N111">XLOOKUP(LCARS_Tech[BuffID],RawTech[BuffID],RawTech[Tag_InvadingEntities])</f>
        <v>➖</v>
      </c>
      <c r="O111" s="433" t="str">
        <f t="array" ref="O111">XLOOKUP(LCARS_Tech[BuffID],RawTech[BuffID],RawTech[Tag_Assaults])</f>
        <v>➖</v>
      </c>
      <c r="P111" s="434" t="str">
        <f t="array" ref="P111">XLOOKUP(LCARS_Tech[BuffID],RawTech[BuffID],RawTech[Tag_OutpostArmadas])</f>
        <v>➖</v>
      </c>
      <c r="Q111" s="416" t="str">
        <f t="array" ref="Q111">XLOOKUP(LCARS_Tech[BuffID],RawTech[BuffID],RawTech[Tag_OutpostRetaliators])</f>
        <v>➖</v>
      </c>
      <c r="R111" s="416" t="str">
        <f t="array" ref="R111">XLOOKUP(MasterTech!$AF$4:$AF$214,RawTech!$AO$2:$AO$212,RawTech!$AV$2:$AV$212)</f>
        <v/>
      </c>
      <c r="S111" s="433" t="str">
        <f t="array" ref="S111">XLOOKUP(MasterTech!$AF$4:$AF$214,RawTech!$AO$2:$AO$212,RawTech!$AK$2:$AK$212)</f>
        <v>➖</v>
      </c>
      <c r="T111" s="435" t="str">
        <f t="array" ref="T111">XLOOKUP(MasterTech!$AF$4:$AF$214,RawTech!$AO$2:$AO$212,RawTech!$AM$2:$AM$212)</f>
        <v>➖</v>
      </c>
      <c r="U111" s="438" t="str">
        <f t="array" ref="U111">XLOOKUP(MasterTech!$AF$4:$AF$214,RawTech!$AO$2:$AO$212,RawTech!$D$2:$D$212)</f>
        <v>AllDamage</v>
      </c>
      <c r="V111" s="416" t="str">
        <f t="array" ref="V111">XLOOKUP(MasterTech!$AF$4:$AF$214,RawTech!$AO$2:$AO$212,RawTech!$I$2:$I$212)</f>
        <v/>
      </c>
      <c r="W111" s="447" t="str">
        <f t="array" ref="W111">XLOOKUP(MasterTech!$AF$4:$AF$214,RawTech!$AO$2:$AO$212,RawTech!$E$2:$E$212)</f>
        <v>EnemyHostile, TargetNotArmada</v>
      </c>
      <c r="X111" s="438" t="str">
        <f t="array" ref="X111">XLOOKUP(MasterTech!$AF$4:$AF$214,RawTech!$AO$2:$AO$212,RawTech!$F$2:$F$212)</f>
        <v>CombatStart</v>
      </c>
      <c r="Y111" s="438" t="str">
        <f t="array" ref="Y111">XLOOKUP(MasterTech!$AF$4:$AF$214,RawTech!$AO$2:$AO$212,RawTech!$G$2:$G$212)</f>
        <v>SelfShip</v>
      </c>
      <c r="Z111" s="438" t="str">
        <f t="array" ref="Z111">XLOOKUP(MasterTech!$AF$4:$AF$214,RawTech!$AO$2:$AO$212,RawTech!$H$2:$H$212)</f>
        <v>MultiplyAdd</v>
      </c>
      <c r="AA111" s="438" t="str">
        <f t="array" ref="AA111">XLOOKUP(MasterTech!$AF$4:$AF$214,RawTech!$AO$2:$AO$212,RawTech!$J$2:$J$212)</f>
        <v>Increases Damage against non-Armada hostiles X</v>
      </c>
      <c r="AB111" s="439"/>
      <c r="AC111" s="440"/>
      <c r="AD111" s="440"/>
      <c r="AE111" s="462">
        <f t="array" ref="AE111">XLOOKUP(MasterTech!$AF$4:$AF$214,RawTech!$AO$2:$AO$212,RawTech!$AR$2:$AR$212)</f>
        <v>30</v>
      </c>
      <c r="AF111" s="427">
        <v>3.023328707E9</v>
      </c>
      <c r="AG111" s="428"/>
      <c r="AH111" s="428"/>
      <c r="AI111" s="429"/>
      <c r="AJ111" s="430"/>
    </row>
    <row r="112" ht="37.5" customHeight="1">
      <c r="A112" s="415" t="str">
        <f t="array" ref="A112">LEFT(XLOOKUP(LCARS_Tech[BuffID],RawTech[BuffID],RawTech[TechRarity]), 1)</f>
        <v>E</v>
      </c>
      <c r="B112" s="420"/>
      <c r="C112" s="460" t="str">
        <f t="array" ref="C112">HYPERLINK("https://stfc.space/forbidden_and_chaos_tech/" &amp; XLOOKUP(MasterTech!$AF$4:$AF$214,RawTech!$AO$2:$AO$212,RawTech!$AQ$2:$AQ$212), XLOOKUP(MasterTech!$AF$4:$AF$214,RawTech!$AO$2:$AO$212,RawTech!$B$2:$B$212))</f>
        <v>Quantum Slipstream Drive</v>
      </c>
      <c r="D112" s="418">
        <f t="array" ref="D112">XLOOKUP(LCARS_Tech[BuffID],RawTech[BuffID],RawTech[BuffOrder])</f>
        <v>1</v>
      </c>
      <c r="E112" s="419" t="str">
        <f t="array" ref="E112">XLOOKUP(LCARS_Tech[BuffID],RawTech[BuffID],RawTech[TechType])</f>
        <v>FT</v>
      </c>
      <c r="F112" s="419" t="str">
        <f t="array" ref="F112">XLOOKUP(LCARS_Tech[BuffID],RawTech[BuffID],RawTech[Tag_PvPinSpace])</f>
        <v>➖</v>
      </c>
      <c r="G112" s="419" t="str">
        <f t="array" ref="G112">XLOOKUP(LCARS_Tech[BuffID],RawTech[BuffID],RawTech[Tag_PvPStation])</f>
        <v>➖</v>
      </c>
      <c r="H112" s="419" t="str">
        <f t="array" ref="H112">XLOOKUP(LCARS_Tech[BuffID],RawTech[BuffID],RawTech[Tag_NonArmadaHostiles])</f>
        <v>➖</v>
      </c>
      <c r="I112" s="419" t="str">
        <f t="array" ref="I112">XLOOKUP(LCARS_Tech[BuffID],RawTech[BuffID],RawTech[Tag_WaveDefense])</f>
        <v>➖</v>
      </c>
      <c r="J112" s="419" t="str">
        <f t="array" ref="J112">XLOOKUP(LCARS_Tech[BuffID],RawTech[BuffID],RawTech[Tag_QTrial])</f>
        <v>➖</v>
      </c>
      <c r="K112" s="419" t="str">
        <f t="array" ref="K112">XLOOKUP(LCARS_Tech[BuffID],RawTech[BuffID],RawTech[Tag_MissionBosses])</f>
        <v>➖</v>
      </c>
      <c r="L112" s="419" t="str">
        <f t="array" ref="L112">XLOOKUP(LCARS_Tech[BuffID],RawTech[BuffID],RawTech[Tag_GroupArmadas])</f>
        <v>➖</v>
      </c>
      <c r="M112" s="419" t="str">
        <f t="array" ref="M112">XLOOKUP(LCARS_Tech[BuffID],RawTech[BuffID],RawTech[Tag_SoloArmadas])</f>
        <v>➖</v>
      </c>
      <c r="N112" s="419" t="str">
        <f t="array" ref="N112">XLOOKUP(LCARS_Tech[BuffID],RawTech[BuffID],RawTech[Tag_InvadingEntities])</f>
        <v>➖</v>
      </c>
      <c r="O112" s="419" t="str">
        <f t="array" ref="O112">XLOOKUP(LCARS_Tech[BuffID],RawTech[BuffID],RawTech[Tag_Assaults])</f>
        <v>➖</v>
      </c>
      <c r="P112" s="442" t="str">
        <f t="array" ref="P112">XLOOKUP(LCARS_Tech[BuffID],RawTech[BuffID],RawTech[Tag_OutpostArmadas])</f>
        <v>➖</v>
      </c>
      <c r="Q112" s="420" t="str">
        <f t="array" ref="Q112">XLOOKUP(LCARS_Tech[BuffID],RawTech[BuffID],RawTech[Tag_OutpostRetaliators])</f>
        <v>➖</v>
      </c>
      <c r="R112" s="420" t="str">
        <f t="array" ref="R112">XLOOKUP(MasterTech!$AF$4:$AF$214,RawTech!$AO$2:$AO$212,RawTech!$AV$2:$AV$212)</f>
        <v/>
      </c>
      <c r="S112" s="419" t="str">
        <f t="array" ref="S112">XLOOKUP(MasterTech!$AF$4:$AF$214,RawTech!$AO$2:$AO$212,RawTech!$AK$2:$AK$212)</f>
        <v>➖</v>
      </c>
      <c r="T112" s="422" t="str">
        <f t="array" ref="T112">XLOOKUP(MasterTech!$AF$4:$AF$214,RawTech!$AO$2:$AO$212,RawTech!$AM$2:$AM$212)</f>
        <v>✅</v>
      </c>
      <c r="U112" s="423" t="str">
        <f t="array" ref="U112">XLOOKUP(MasterTech!$AF$4:$AF$214,RawTech!$AO$2:$AO$212,RawTech!$D$2:$D$212)</f>
        <v>WarpDistance</v>
      </c>
      <c r="V112" s="420" t="str">
        <f t="array" ref="V112">XLOOKUP(MasterTech!$AF$4:$AF$214,RawTech!$AO$2:$AO$212,RawTech!$I$2:$I$212)</f>
        <v/>
      </c>
      <c r="W112" s="421" t="str">
        <f t="array" ref="W112">XLOOKUP(MasterTech!$AF$4:$AF$214,RawTech!$AO$2:$AO$212,RawTech!$E$2:$E$212)</f>
        <v/>
      </c>
      <c r="X112" s="423" t="str">
        <f t="array" ref="X112">XLOOKUP(MasterTech!$AF$4:$AF$214,RawTech!$AO$2:$AO$212,RawTech!$F$2:$F$212)</f>
        <v>ShipLaunched</v>
      </c>
      <c r="Y112" s="423" t="str">
        <f t="array" ref="Y112">XLOOKUP(MasterTech!$AF$4:$AF$214,RawTech!$AO$2:$AO$212,RawTech!$G$2:$G$212)</f>
        <v>SelfShip</v>
      </c>
      <c r="Z112" s="423" t="str">
        <f t="array" ref="Z112">XLOOKUP(MasterTech!$AF$4:$AF$214,RawTech!$AO$2:$AO$212,RawTech!$H$2:$H$212)</f>
        <v>MultiplyAdd</v>
      </c>
      <c r="AA112" s="423" t="str">
        <f t="array" ref="AA112">XLOOKUP(MasterTech!$AF$4:$AF$214,RawTech!$AO$2:$AO$212,RawTech!$J$2:$J$212)</f>
        <v>Increases base Warp Range X</v>
      </c>
      <c r="AB112" s="424"/>
      <c r="AC112" s="425"/>
      <c r="AD112" s="425"/>
      <c r="AE112" s="461">
        <f t="array" ref="AE112">XLOOKUP(MasterTech!$AF$4:$AF$214,RawTech!$AO$2:$AO$212,RawTech!$AR$2:$AR$212)</f>
        <v>31</v>
      </c>
      <c r="AF112" s="427">
        <v>4.152379455E9</v>
      </c>
      <c r="AG112" s="428"/>
      <c r="AH112" s="428"/>
      <c r="AI112" s="429"/>
      <c r="AJ112" s="430"/>
    </row>
    <row r="113" ht="37.5" customHeight="1">
      <c r="A113" s="415" t="str">
        <f t="array" ref="A113">LEFT(XLOOKUP(LCARS_Tech[BuffID],RawTech[BuffID],RawTech[TechRarity]), 1)</f>
        <v>E</v>
      </c>
      <c r="B113" s="416"/>
      <c r="C113" s="417" t="str">
        <f t="array" ref="C113">HYPERLINK("https://stfc.space/forbidden_and_chaos_tech/" &amp; XLOOKUP(LCARS_Tech[BuffID],RawTech[BuffID],RawTech[TechId]), XLOOKUP(LCARS_Tech[BuffID],RawTech[BuffID],RawTech[TechName]))</f>
        <v>Quantum Slipstream Drive</v>
      </c>
      <c r="D113" s="432">
        <f t="array" ref="D113">XLOOKUP(LCARS_Tech[BuffID],RawTech[BuffID],RawTech[BuffOrder])</f>
        <v>2</v>
      </c>
      <c r="E113" s="433" t="str">
        <f t="array" ref="E113">XLOOKUP(LCARS_Tech[BuffID],RawTech[BuffID],RawTech[TechType])</f>
        <v>FT</v>
      </c>
      <c r="F113" s="433" t="str">
        <f t="array" ref="F113">XLOOKUP(LCARS_Tech[BuffID],RawTech[BuffID],RawTech[Tag_PvPinSpace])</f>
        <v>✅</v>
      </c>
      <c r="G113" s="433" t="str">
        <f t="array" ref="G113">XLOOKUP(LCARS_Tech[BuffID],RawTech[BuffID],RawTech[Tag_PvPStation])</f>
        <v>✅</v>
      </c>
      <c r="H113" s="433" t="str">
        <f t="array" ref="H113">XLOOKUP(LCARS_Tech[BuffID],RawTech[BuffID],RawTech[Tag_NonArmadaHostiles])</f>
        <v>✅</v>
      </c>
      <c r="I113" s="433" t="str">
        <f t="array" ref="I113">XLOOKUP(LCARS_Tech[BuffID],RawTech[BuffID],RawTech[Tag_WaveDefense])</f>
        <v>✅</v>
      </c>
      <c r="J113" s="433" t="str">
        <f t="array" ref="J113">XLOOKUP(LCARS_Tech[BuffID],RawTech[BuffID],RawTech[Tag_QTrial])</f>
        <v>✅</v>
      </c>
      <c r="K113" s="433" t="str">
        <f t="array" ref="K113">XLOOKUP(LCARS_Tech[BuffID],RawTech[BuffID],RawTech[Tag_MissionBosses])</f>
        <v>✅</v>
      </c>
      <c r="L113" s="433" t="str">
        <f t="array" ref="L113">XLOOKUP(LCARS_Tech[BuffID],RawTech[BuffID],RawTech[Tag_GroupArmadas])</f>
        <v>✅</v>
      </c>
      <c r="M113" s="433" t="str">
        <f t="array" ref="M113">XLOOKUP(LCARS_Tech[BuffID],RawTech[BuffID],RawTech[Tag_SoloArmadas])</f>
        <v>✅</v>
      </c>
      <c r="N113" s="433" t="str">
        <f t="array" ref="N113">XLOOKUP(LCARS_Tech[BuffID],RawTech[BuffID],RawTech[Tag_InvadingEntities])</f>
        <v>✅</v>
      </c>
      <c r="O113" s="433" t="str">
        <f t="array" ref="O113">XLOOKUP(LCARS_Tech[BuffID],RawTech[BuffID],RawTech[Tag_Assaults])</f>
        <v>✅</v>
      </c>
      <c r="P113" s="434" t="str">
        <f t="array" ref="P113">XLOOKUP(LCARS_Tech[BuffID],RawTech[BuffID],RawTech[Tag_OutpostArmadas])</f>
        <v>✅</v>
      </c>
      <c r="Q113" s="416" t="str">
        <f t="array" ref="Q113">XLOOKUP(LCARS_Tech[BuffID],RawTech[BuffID],RawTech[Tag_OutpostRetaliators])</f>
        <v>✅</v>
      </c>
      <c r="R113" s="416" t="str">
        <f t="array" ref="R113">XLOOKUP(MasterTech!$AF$4:$AF$214,RawTech!$AO$2:$AO$212,RawTech!$AV$2:$AV$212)</f>
        <v/>
      </c>
      <c r="S113" s="433" t="str">
        <f t="array" ref="S113">XLOOKUP(MasterTech!$AF$4:$AF$214,RawTech!$AO$2:$AO$212,RawTech!$AK$2:$AK$212)</f>
        <v>➖</v>
      </c>
      <c r="T113" s="435" t="str">
        <f t="array" ref="T113">XLOOKUP(MasterTech!$AF$4:$AF$214,RawTech!$AO$2:$AO$212,RawTech!$AM$2:$AM$212)</f>
        <v>➖</v>
      </c>
      <c r="U113" s="438" t="str">
        <f t="array" ref="U113">XLOOKUP(MasterTech!$AF$4:$AF$214,RawTech!$AO$2:$AO$212,RawTech!$D$2:$D$212)</f>
        <v>CritChance</v>
      </c>
      <c r="V113" s="416" t="str">
        <f t="array" ref="V113">XLOOKUP(MasterTech!$AF$4:$AF$214,RawTech!$AO$2:$AO$212,RawTech!$I$2:$I$212)</f>
        <v/>
      </c>
      <c r="W113" s="437" t="str">
        <f t="array" ref="W113">XLOOKUP(MasterTech!$AF$4:$AF$214,RawTech!$AO$2:$AO$212,RawTech!$E$2:$E$212)</f>
        <v/>
      </c>
      <c r="X113" s="438" t="str">
        <f t="array" ref="X113">XLOOKUP(MasterTech!$AF$4:$AF$214,RawTech!$AO$2:$AO$212,RawTech!$F$2:$F$212)</f>
        <v>ShipLaunched</v>
      </c>
      <c r="Y113" s="438" t="str">
        <f t="array" ref="Y113">XLOOKUP(MasterTech!$AF$4:$AF$214,RawTech!$AO$2:$AO$212,RawTech!$G$2:$G$212)</f>
        <v>SelfShip</v>
      </c>
      <c r="Z113" s="438" t="str">
        <f t="array" ref="Z113">XLOOKUP(MasterTech!$AF$4:$AF$214,RawTech!$AO$2:$AO$212,RawTech!$H$2:$H$212)</f>
        <v>Add</v>
      </c>
      <c r="AA113" s="438" t="str">
        <f t="array" ref="AA113">XLOOKUP(MasterTech!$AF$4:$AF$214,RawTech!$AO$2:$AO$212,RawTech!$J$2:$J$212)</f>
        <v>Increases Critical Hit Chance X</v>
      </c>
      <c r="AB113" s="439"/>
      <c r="AC113" s="440"/>
      <c r="AD113" s="440"/>
      <c r="AE113" s="462">
        <f t="array" ref="AE113">XLOOKUP(MasterTech!$AF$4:$AF$214,RawTech!$AO$2:$AO$212,RawTech!$AR$2:$AR$212)</f>
        <v>31</v>
      </c>
      <c r="AF113" s="427">
        <v>1.746739507E9</v>
      </c>
      <c r="AG113" s="428"/>
      <c r="AH113" s="428"/>
      <c r="AI113" s="429"/>
      <c r="AJ113" s="430"/>
    </row>
    <row r="114" ht="37.5" customHeight="1">
      <c r="A114" s="415" t="str">
        <f t="array" ref="A114">LEFT(XLOOKUP(LCARS_Tech[BuffID],RawTech[BuffID],RawTech[TechRarity]), 1)</f>
        <v>E</v>
      </c>
      <c r="B114" s="420"/>
      <c r="C114" s="417" t="str">
        <f t="array" ref="C114">HYPERLINK("https://stfc.space/forbidden_and_chaos_tech/" &amp; XLOOKUP(LCARS_Tech[BuffID],RawTech[BuffID],RawTech[TechId]), XLOOKUP(LCARS_Tech[BuffID],RawTech[BuffID],RawTech[TechName]))</f>
        <v>Quantum Slipstream Drive</v>
      </c>
      <c r="D114" s="418">
        <f t="array" ref="D114">XLOOKUP(LCARS_Tech[BuffID],RawTech[BuffID],RawTech[BuffOrder])</f>
        <v>3</v>
      </c>
      <c r="E114" s="419" t="str">
        <f t="array" ref="E114">XLOOKUP(LCARS_Tech[BuffID],RawTech[BuffID],RawTech[TechType])</f>
        <v>FT</v>
      </c>
      <c r="F114" s="419" t="str">
        <f t="array" ref="F114">XLOOKUP(LCARS_Tech[BuffID],RawTech[BuffID],RawTech[Tag_PvPinSpace])</f>
        <v>✅</v>
      </c>
      <c r="G114" s="419" t="str">
        <f t="array" ref="G114">XLOOKUP(LCARS_Tech[BuffID],RawTech[BuffID],RawTech[Tag_PvPStation])</f>
        <v>✅</v>
      </c>
      <c r="H114" s="419" t="str">
        <f t="array" ref="H114">XLOOKUP(LCARS_Tech[BuffID],RawTech[BuffID],RawTech[Tag_NonArmadaHostiles])</f>
        <v>✅</v>
      </c>
      <c r="I114" s="419" t="str">
        <f t="array" ref="I114">XLOOKUP(LCARS_Tech[BuffID],RawTech[BuffID],RawTech[Tag_WaveDefense])</f>
        <v>✅</v>
      </c>
      <c r="J114" s="419" t="str">
        <f t="array" ref="J114">XLOOKUP(LCARS_Tech[BuffID],RawTech[BuffID],RawTech[Tag_QTrial])</f>
        <v>✅</v>
      </c>
      <c r="K114" s="419" t="str">
        <f t="array" ref="K114">XLOOKUP(LCARS_Tech[BuffID],RawTech[BuffID],RawTech[Tag_MissionBosses])</f>
        <v>✅</v>
      </c>
      <c r="L114" s="419" t="str">
        <f t="array" ref="L114">XLOOKUP(LCARS_Tech[BuffID],RawTech[BuffID],RawTech[Tag_GroupArmadas])</f>
        <v>✅</v>
      </c>
      <c r="M114" s="419" t="str">
        <f t="array" ref="M114">XLOOKUP(LCARS_Tech[BuffID],RawTech[BuffID],RawTech[Tag_SoloArmadas])</f>
        <v>✅</v>
      </c>
      <c r="N114" s="419" t="str">
        <f t="array" ref="N114">XLOOKUP(LCARS_Tech[BuffID],RawTech[BuffID],RawTech[Tag_InvadingEntities])</f>
        <v>✅</v>
      </c>
      <c r="O114" s="419" t="str">
        <f t="array" ref="O114">XLOOKUP(LCARS_Tech[BuffID],RawTech[BuffID],RawTech[Tag_Assaults])</f>
        <v>✅</v>
      </c>
      <c r="P114" s="442" t="str">
        <f t="array" ref="P114">XLOOKUP(LCARS_Tech[BuffID],RawTech[BuffID],RawTech[Tag_OutpostArmadas])</f>
        <v>✅</v>
      </c>
      <c r="Q114" s="420" t="str">
        <f t="array" ref="Q114">XLOOKUP(LCARS_Tech[BuffID],RawTech[BuffID],RawTech[Tag_OutpostRetaliators])</f>
        <v>✅</v>
      </c>
      <c r="R114" s="420" t="str">
        <f t="array" ref="R114">XLOOKUP(MasterTech!$AF$4:$AF$214,RawTech!$AO$2:$AO$212,RawTech!$AV$2:$AV$212)</f>
        <v/>
      </c>
      <c r="S114" s="419" t="str">
        <f t="array" ref="S114">XLOOKUP(MasterTech!$AF$4:$AF$214,RawTech!$AO$2:$AO$212,RawTech!$AK$2:$AK$212)</f>
        <v>➖</v>
      </c>
      <c r="T114" s="422" t="str">
        <f t="array" ref="T114">XLOOKUP(MasterTech!$AF$4:$AF$214,RawTech!$AO$2:$AO$212,RawTech!$AM$2:$AM$212)</f>
        <v>➖</v>
      </c>
      <c r="U114" s="423" t="str">
        <f t="array" ref="U114">XLOOKUP(MasterTech!$AF$4:$AF$214,RawTech!$AO$2:$AO$212,RawTech!$D$2:$D$212)</f>
        <v>ShieldMitigation</v>
      </c>
      <c r="V114" s="420" t="str">
        <f t="array" ref="V114">XLOOKUP(MasterTech!$AF$4:$AF$214,RawTech!$AO$2:$AO$212,RawTech!$I$2:$I$212)</f>
        <v/>
      </c>
      <c r="W114" s="421" t="str">
        <f t="array" ref="W114">XLOOKUP(MasterTech!$AF$4:$AF$214,RawTech!$AO$2:$AO$212,RawTech!$E$2:$E$212)</f>
        <v/>
      </c>
      <c r="X114" s="423" t="str">
        <f t="array" ref="X114">XLOOKUP(MasterTech!$AF$4:$AF$214,RawTech!$AO$2:$AO$212,RawTech!$F$2:$F$212)</f>
        <v>RoundStart</v>
      </c>
      <c r="Y114" s="423" t="str">
        <f t="array" ref="Y114">XLOOKUP(MasterTech!$AF$4:$AF$214,RawTech!$AO$2:$AO$212,RawTech!$G$2:$G$212)</f>
        <v>EnemyShip</v>
      </c>
      <c r="Z114" s="423" t="str">
        <f t="array" ref="Z114">XLOOKUP(MasterTech!$AF$4:$AF$214,RawTech!$AO$2:$AO$212,RawTech!$H$2:$H$212)</f>
        <v>Sub</v>
      </c>
      <c r="AA114" s="423" t="str">
        <f t="array" ref="AA114">XLOOKUP(MasterTech!$AF$4:$AF$214,RawTech!$AO$2:$AO$212,RawTech!$J$2:$J$212)</f>
        <v>Decreases opponent's Shield Mitigation every round X</v>
      </c>
      <c r="AB114" s="424"/>
      <c r="AC114" s="425"/>
      <c r="AD114" s="425"/>
      <c r="AE114" s="461">
        <f t="array" ref="AE114">XLOOKUP(MasterTech!$AF$4:$AF$214,RawTech!$AO$2:$AO$212,RawTech!$AR$2:$AR$212)</f>
        <v>31</v>
      </c>
      <c r="AF114" s="427">
        <v>2.885215064E9</v>
      </c>
      <c r="AG114" s="428"/>
      <c r="AH114" s="428"/>
      <c r="AI114" s="429"/>
      <c r="AJ114" s="430"/>
    </row>
    <row r="115" ht="37.5" customHeight="1">
      <c r="A115" s="415" t="str">
        <f t="array" ref="A115">LEFT(XLOOKUP(LCARS_Tech[BuffID],RawTech[BuffID],RawTech[TechRarity]), 1)</f>
        <v>E</v>
      </c>
      <c r="B115" s="416"/>
      <c r="C115" s="417" t="str">
        <f t="array" ref="C115">HYPERLINK("https://stfc.space/forbidden_and_chaos_tech/" &amp; XLOOKUP(LCARS_Tech[BuffID],RawTech[BuffID],RawTech[TechId]), XLOOKUP(LCARS_Tech[BuffID],RawTech[BuffID],RawTech[TechName]))</f>
        <v>Quantum Slipstream Drive</v>
      </c>
      <c r="D115" s="432">
        <f t="array" ref="D115">XLOOKUP(LCARS_Tech[BuffID],RawTech[BuffID],RawTech[BuffOrder])</f>
        <v>4</v>
      </c>
      <c r="E115" s="433" t="str">
        <f t="array" ref="E115">XLOOKUP(LCARS_Tech[BuffID],RawTech[BuffID],RawTech[TechType])</f>
        <v>FT</v>
      </c>
      <c r="F115" s="433" t="str">
        <f t="array" ref="F115">XLOOKUP(LCARS_Tech[BuffID],RawTech[BuffID],RawTech[Tag_PvPinSpace])</f>
        <v>✅</v>
      </c>
      <c r="G115" s="433" t="str">
        <f t="array" ref="G115">XLOOKUP(LCARS_Tech[BuffID],RawTech[BuffID],RawTech[Tag_PvPStation])</f>
        <v>✅</v>
      </c>
      <c r="H115" s="433" t="str">
        <f t="array" ref="H115">XLOOKUP(LCARS_Tech[BuffID],RawTech[BuffID],RawTech[Tag_NonArmadaHostiles])</f>
        <v>✅</v>
      </c>
      <c r="I115" s="433" t="str">
        <f t="array" ref="I115">XLOOKUP(LCARS_Tech[BuffID],RawTech[BuffID],RawTech[Tag_WaveDefense])</f>
        <v>✅</v>
      </c>
      <c r="J115" s="433" t="str">
        <f t="array" ref="J115">XLOOKUP(LCARS_Tech[BuffID],RawTech[BuffID],RawTech[Tag_QTrial])</f>
        <v>✅</v>
      </c>
      <c r="K115" s="433" t="str">
        <f t="array" ref="K115">XLOOKUP(LCARS_Tech[BuffID],RawTech[BuffID],RawTech[Tag_MissionBosses])</f>
        <v>✅</v>
      </c>
      <c r="L115" s="433" t="str">
        <f t="array" ref="L115">XLOOKUP(LCARS_Tech[BuffID],RawTech[BuffID],RawTech[Tag_GroupArmadas])</f>
        <v>✅</v>
      </c>
      <c r="M115" s="433" t="str">
        <f t="array" ref="M115">XLOOKUP(LCARS_Tech[BuffID],RawTech[BuffID],RawTech[Tag_SoloArmadas])</f>
        <v>✅</v>
      </c>
      <c r="N115" s="433" t="str">
        <f t="array" ref="N115">XLOOKUP(LCARS_Tech[BuffID],RawTech[BuffID],RawTech[Tag_InvadingEntities])</f>
        <v>✅</v>
      </c>
      <c r="O115" s="433" t="str">
        <f t="array" ref="O115">XLOOKUP(LCARS_Tech[BuffID],RawTech[BuffID],RawTech[Tag_Assaults])</f>
        <v>✅</v>
      </c>
      <c r="P115" s="434" t="str">
        <f t="array" ref="P115">XLOOKUP(LCARS_Tech[BuffID],RawTech[BuffID],RawTech[Tag_OutpostArmadas])</f>
        <v>✅</v>
      </c>
      <c r="Q115" s="416" t="str">
        <f t="array" ref="Q115">XLOOKUP(LCARS_Tech[BuffID],RawTech[BuffID],RawTech[Tag_OutpostRetaliators])</f>
        <v>✅</v>
      </c>
      <c r="R115" s="416" t="str">
        <f t="array" ref="R115">XLOOKUP(MasterTech!$AF$4:$AF$214,RawTech!$AO$2:$AO$212,RawTech!$AV$2:$AV$212)</f>
        <v/>
      </c>
      <c r="S115" s="433" t="str">
        <f t="array" ref="S115">XLOOKUP(MasterTech!$AF$4:$AF$214,RawTech!$AO$2:$AO$212,RawTech!$AK$2:$AK$212)</f>
        <v>➖</v>
      </c>
      <c r="T115" s="435" t="str">
        <f t="array" ref="T115">XLOOKUP(MasterTech!$AF$4:$AF$214,RawTech!$AO$2:$AO$212,RawTech!$AM$2:$AM$212)</f>
        <v>➖</v>
      </c>
      <c r="U115" s="438" t="str">
        <f t="array" ref="U115">XLOOKUP(MasterTech!$AF$4:$AF$214,RawTech!$AO$2:$AO$212,RawTech!$D$2:$D$212)</f>
        <v>ShieldHPMax</v>
      </c>
      <c r="V115" s="416" t="str">
        <f t="array" ref="V115">XLOOKUP(MasterTech!$AF$4:$AF$214,RawTech!$AO$2:$AO$212,RawTech!$I$2:$I$212)</f>
        <v/>
      </c>
      <c r="W115" s="437" t="str">
        <f t="array" ref="W115">XLOOKUP(MasterTech!$AF$4:$AF$214,RawTech!$AO$2:$AO$212,RawTech!$E$2:$E$212)</f>
        <v/>
      </c>
      <c r="X115" s="438" t="str">
        <f t="array" ref="X115">XLOOKUP(MasterTech!$AF$4:$AF$214,RawTech!$AO$2:$AO$212,RawTech!$F$2:$F$212)</f>
        <v>ShipLaunched</v>
      </c>
      <c r="Y115" s="438" t="str">
        <f t="array" ref="Y115">XLOOKUP(MasterTech!$AF$4:$AF$214,RawTech!$AO$2:$AO$212,RawTech!$G$2:$G$212)</f>
        <v>SelfShip</v>
      </c>
      <c r="Z115" s="438" t="str">
        <f t="array" ref="Z115">XLOOKUP(MasterTech!$AF$4:$AF$214,RawTech!$AO$2:$AO$212,RawTech!$H$2:$H$212)</f>
        <v>MultiplyAdd</v>
      </c>
      <c r="AA115" s="438" t="str">
        <f t="array" ref="AA115">XLOOKUP(MasterTech!$AF$4:$AF$214,RawTech!$AO$2:$AO$212,RawTech!$J$2:$J$212)</f>
        <v>Increases base Shield Health X</v>
      </c>
      <c r="AB115" s="439"/>
      <c r="AC115" s="440"/>
      <c r="AD115" s="440"/>
      <c r="AE115" s="462">
        <f t="array" ref="AE115">XLOOKUP(MasterTech!$AF$4:$AF$214,RawTech!$AO$2:$AO$212,RawTech!$AR$2:$AR$212)</f>
        <v>31</v>
      </c>
      <c r="AF115" s="427">
        <v>3.3154713E8</v>
      </c>
      <c r="AG115" s="428"/>
      <c r="AH115" s="428"/>
      <c r="AI115" s="429"/>
      <c r="AJ115" s="430"/>
    </row>
    <row r="116" ht="37.5" customHeight="1">
      <c r="A116" s="415" t="str">
        <f t="array" ref="A116">LEFT(XLOOKUP(LCARS_Tech[BuffID],RawTech[BuffID],RawTech[TechRarity]), 1)</f>
        <v>E</v>
      </c>
      <c r="B116" s="420"/>
      <c r="C116" s="460" t="str">
        <f t="array" ref="C116">HYPERLINK("https://stfc.space/forbidden_and_chaos_tech/" &amp; XLOOKUP(MasterTech!$AF$4:$AF$214,RawTech!$AO$2:$AO$212,RawTech!$AQ$2:$AQ$212), XLOOKUP(MasterTech!$AF$4:$AF$214,RawTech!$AO$2:$AO$212,RawTech!$B$2:$B$212))</f>
        <v>Q Cannon</v>
      </c>
      <c r="D116" s="418">
        <f t="array" ref="D116">XLOOKUP(LCARS_Tech[BuffID],RawTech[BuffID],RawTech[BuffOrder])</f>
        <v>1</v>
      </c>
      <c r="E116" s="419" t="str">
        <f t="array" ref="E116">XLOOKUP(LCARS_Tech[BuffID],RawTech[BuffID],RawTech[TechType])</f>
        <v>CT</v>
      </c>
      <c r="F116" s="419" t="str">
        <f t="array" ref="F116">XLOOKUP(LCARS_Tech[BuffID],RawTech[BuffID],RawTech[Tag_PvPinSpace])</f>
        <v>✅</v>
      </c>
      <c r="G116" s="419" t="str">
        <f t="array" ref="G116">XLOOKUP(LCARS_Tech[BuffID],RawTech[BuffID],RawTech[Tag_PvPStation])</f>
        <v>✅</v>
      </c>
      <c r="H116" s="419" t="str">
        <f t="array" ref="H116">XLOOKUP(LCARS_Tech[BuffID],RawTech[BuffID],RawTech[Tag_NonArmadaHostiles])</f>
        <v>➖</v>
      </c>
      <c r="I116" s="419" t="str">
        <f t="array" ref="I116">XLOOKUP(LCARS_Tech[BuffID],RawTech[BuffID],RawTech[Tag_WaveDefense])</f>
        <v>➖</v>
      </c>
      <c r="J116" s="419" t="str">
        <f t="array" ref="J116">XLOOKUP(LCARS_Tech[BuffID],RawTech[BuffID],RawTech[Tag_QTrial])</f>
        <v>➖</v>
      </c>
      <c r="K116" s="419" t="str">
        <f t="array" ref="K116">XLOOKUP(LCARS_Tech[BuffID],RawTech[BuffID],RawTech[Tag_MissionBosses])</f>
        <v>➖</v>
      </c>
      <c r="L116" s="419" t="str">
        <f t="array" ref="L116">XLOOKUP(LCARS_Tech[BuffID],RawTech[BuffID],RawTech[Tag_GroupArmadas])</f>
        <v>➖</v>
      </c>
      <c r="M116" s="419" t="str">
        <f t="array" ref="M116">XLOOKUP(LCARS_Tech[BuffID],RawTech[BuffID],RawTech[Tag_SoloArmadas])</f>
        <v>➖</v>
      </c>
      <c r="N116" s="419" t="str">
        <f t="array" ref="N116">XLOOKUP(LCARS_Tech[BuffID],RawTech[BuffID],RawTech[Tag_InvadingEntities])</f>
        <v>➖</v>
      </c>
      <c r="O116" s="419" t="str">
        <f t="array" ref="O116">XLOOKUP(LCARS_Tech[BuffID],RawTech[BuffID],RawTech[Tag_Assaults])</f>
        <v>➖</v>
      </c>
      <c r="P116" s="442" t="str">
        <f t="array" ref="P116">XLOOKUP(LCARS_Tech[BuffID],RawTech[BuffID],RawTech[Tag_OutpostArmadas])</f>
        <v>➖</v>
      </c>
      <c r="Q116" s="420" t="str">
        <f t="array" ref="Q116">XLOOKUP(LCARS_Tech[BuffID],RawTech[BuffID],RawTech[Tag_OutpostRetaliators])</f>
        <v>➖</v>
      </c>
      <c r="R116" s="420" t="str">
        <f t="array" ref="R116">XLOOKUP(MasterTech!$AF$4:$AF$214,RawTech!$AO$2:$AO$212,RawTech!$AV$2:$AV$212)</f>
        <v/>
      </c>
      <c r="S116" s="419" t="str">
        <f t="array" ref="S116">XLOOKUP(MasterTech!$AF$4:$AF$214,RawTech!$AO$2:$AO$212,RawTech!$AK$2:$AK$212)</f>
        <v>➖</v>
      </c>
      <c r="T116" s="422" t="str">
        <f t="array" ref="T116">XLOOKUP(MasterTech!$AF$4:$AF$214,RawTech!$AO$2:$AO$212,RawTech!$AM$2:$AM$212)</f>
        <v>➖</v>
      </c>
      <c r="U116" s="423" t="str">
        <f t="array" ref="U116">XLOOKUP(MasterTech!$AF$4:$AF$214,RawTech!$AO$2:$AO$212,RawTech!$D$2:$D$212)</f>
        <v>AllDamage</v>
      </c>
      <c r="V116" s="423" t="str">
        <f t="array" ref="V116">XLOOKUP(MasterTech!$AF$4:$AF$214,RawTech!$AO$2:$AO$212,RawTech!$I$2:$I$212)</f>
        <v>num_rounds=2</v>
      </c>
      <c r="W116" s="443" t="str">
        <f t="array" ref="W116">XLOOKUP(MasterTech!$AF$4:$AF$214,RawTech!$AO$2:$AO$212,RawTech!$E$2:$E$212)</f>
        <v>EnemyPlayer</v>
      </c>
      <c r="X116" s="423" t="str">
        <f t="array" ref="X116">XLOOKUP(MasterTech!$AF$4:$AF$214,RawTech!$AO$2:$AO$212,RawTech!$F$2:$F$212)</f>
        <v>CriticalShotTaken</v>
      </c>
      <c r="Y116" s="423" t="str">
        <f t="array" ref="Y116">XLOOKUP(MasterTech!$AF$4:$AF$214,RawTech!$AO$2:$AO$212,RawTech!$G$2:$G$212)</f>
        <v>EnemyShip</v>
      </c>
      <c r="Z116" s="423" t="str">
        <f t="array" ref="Z116">XLOOKUP(MasterTech!$AF$4:$AF$214,RawTech!$AO$2:$AO$212,RawTech!$H$2:$H$212)</f>
        <v>MultiplySub</v>
      </c>
      <c r="AA116" s="423" t="str">
        <f t="array" ref="AA116">XLOOKUP(MasterTech!$AF$4:$AF$214,RawTech!$AO$2:$AO$212,RawTech!$J$2:$J$212)</f>
        <v>Against players, each time the Opponent scores a Critical Hit, reduce their base weapon Damage by X for 2 rounds.</v>
      </c>
      <c r="AB116" s="424"/>
      <c r="AC116" s="425"/>
      <c r="AD116" s="425"/>
      <c r="AE116" s="461">
        <f t="array" ref="AE116">XLOOKUP(MasterTech!$AF$4:$AF$214,RawTech!$AO$2:$AO$212,RawTech!$AR$2:$AR$212)</f>
        <v>32</v>
      </c>
      <c r="AF116" s="427">
        <v>1.73165202E8</v>
      </c>
      <c r="AG116" s="428"/>
      <c r="AH116" s="428"/>
      <c r="AI116" s="429"/>
      <c r="AJ116" s="430"/>
    </row>
    <row r="117" ht="37.5" customHeight="1">
      <c r="A117" s="415" t="str">
        <f t="array" ref="A117">LEFT(XLOOKUP(LCARS_Tech[BuffID],RawTech[BuffID],RawTech[TechRarity]), 1)</f>
        <v>E</v>
      </c>
      <c r="B117" s="416"/>
      <c r="C117" s="464" t="str">
        <f t="array" ref="C117">HYPERLINK("https://stfc.space/forbidden_and_chaos_tech/" &amp; XLOOKUP(MasterTech!$AF$4:$AF$214,RawTech!$AO$2:$AO$212,RawTech!$AQ$2:$AQ$212), XLOOKUP(MasterTech!$AF$4:$AF$214,RawTech!$AO$2:$AO$212,RawTech!$B$2:$B$212))</f>
        <v>Q Cannon</v>
      </c>
      <c r="D117" s="432">
        <f t="array" ref="D117">XLOOKUP(LCARS_Tech[BuffID],RawTech[BuffID],RawTech[BuffOrder])</f>
        <v>2</v>
      </c>
      <c r="E117" s="433" t="str">
        <f t="array" ref="E117">XLOOKUP(LCARS_Tech[BuffID],RawTech[BuffID],RawTech[TechType])</f>
        <v>CT</v>
      </c>
      <c r="F117" s="433" t="str">
        <f t="array" ref="F117">XLOOKUP(LCARS_Tech[BuffID],RawTech[BuffID],RawTech[Tag_PvPinSpace])</f>
        <v>✅</v>
      </c>
      <c r="G117" s="433" t="str">
        <f t="array" ref="G117">XLOOKUP(LCARS_Tech[BuffID],RawTech[BuffID],RawTech[Tag_PvPStation])</f>
        <v>✅</v>
      </c>
      <c r="H117" s="433" t="str">
        <f t="array" ref="H117">XLOOKUP(LCARS_Tech[BuffID],RawTech[BuffID],RawTech[Tag_NonArmadaHostiles])</f>
        <v>➖</v>
      </c>
      <c r="I117" s="433" t="str">
        <f t="array" ref="I117">XLOOKUP(LCARS_Tech[BuffID],RawTech[BuffID],RawTech[Tag_WaveDefense])</f>
        <v>➖</v>
      </c>
      <c r="J117" s="433" t="str">
        <f t="array" ref="J117">XLOOKUP(LCARS_Tech[BuffID],RawTech[BuffID],RawTech[Tag_QTrial])</f>
        <v>➖</v>
      </c>
      <c r="K117" s="433" t="str">
        <f t="array" ref="K117">XLOOKUP(LCARS_Tech[BuffID],RawTech[BuffID],RawTech[Tag_MissionBosses])</f>
        <v>➖</v>
      </c>
      <c r="L117" s="433" t="str">
        <f t="array" ref="L117">XLOOKUP(LCARS_Tech[BuffID],RawTech[BuffID],RawTech[Tag_GroupArmadas])</f>
        <v>➖</v>
      </c>
      <c r="M117" s="433" t="str">
        <f t="array" ref="M117">XLOOKUP(LCARS_Tech[BuffID],RawTech[BuffID],RawTech[Tag_SoloArmadas])</f>
        <v>➖</v>
      </c>
      <c r="N117" s="433" t="str">
        <f t="array" ref="N117">XLOOKUP(LCARS_Tech[BuffID],RawTech[BuffID],RawTech[Tag_InvadingEntities])</f>
        <v>➖</v>
      </c>
      <c r="O117" s="433" t="str">
        <f t="array" ref="O117">XLOOKUP(LCARS_Tech[BuffID],RawTech[BuffID],RawTech[Tag_Assaults])</f>
        <v>➖</v>
      </c>
      <c r="P117" s="434" t="str">
        <f t="array" ref="P117">XLOOKUP(LCARS_Tech[BuffID],RawTech[BuffID],RawTech[Tag_OutpostArmadas])</f>
        <v>➖</v>
      </c>
      <c r="Q117" s="416" t="str">
        <f t="array" ref="Q117">XLOOKUP(LCARS_Tech[BuffID],RawTech[BuffID],RawTech[Tag_OutpostRetaliators])</f>
        <v>➖</v>
      </c>
      <c r="R117" s="416" t="str">
        <f t="array" ref="R117">XLOOKUP(MasterTech!$AF$4:$AF$214,RawTech!$AO$2:$AO$212,RawTech!$AV$2:$AV$212)</f>
        <v/>
      </c>
      <c r="S117" s="433" t="str">
        <f t="array" ref="S117">XLOOKUP(MasterTech!$AF$4:$AF$214,RawTech!$AO$2:$AO$212,RawTech!$AK$2:$AK$212)</f>
        <v>➖</v>
      </c>
      <c r="T117" s="435" t="str">
        <f t="array" ref="T117">XLOOKUP(MasterTech!$AF$4:$AF$214,RawTech!$AO$2:$AO$212,RawTech!$AM$2:$AM$212)</f>
        <v>➖</v>
      </c>
      <c r="U117" s="438" t="str">
        <f t="array" ref="U117">XLOOKUP(MasterTech!$AF$4:$AF$214,RawTech!$AO$2:$AO$212,RawTech!$D$2:$D$212)</f>
        <v>CritDamage</v>
      </c>
      <c r="V117" s="416" t="str">
        <f t="array" ref="V117">XLOOKUP(MasterTech!$AF$4:$AF$214,RawTech!$AO$2:$AO$212,RawTech!$I$2:$I$212)</f>
        <v/>
      </c>
      <c r="W117" s="447" t="str">
        <f t="array" ref="W117">XLOOKUP(MasterTech!$AF$4:$AF$214,RawTech!$AO$2:$AO$212,RawTech!$E$2:$E$212)</f>
        <v>EnemyPlayer</v>
      </c>
      <c r="X117" s="438" t="str">
        <f t="array" ref="X117">XLOOKUP(MasterTech!$AF$4:$AF$214,RawTech!$AO$2:$AO$212,RawTech!$F$2:$F$212)</f>
        <v>CombatStart</v>
      </c>
      <c r="Y117" s="438" t="str">
        <f t="array" ref="Y117">XLOOKUP(MasterTech!$AF$4:$AF$214,RawTech!$AO$2:$AO$212,RawTech!$G$2:$G$212)</f>
        <v>EnemyShip</v>
      </c>
      <c r="Z117" s="438" t="str">
        <f t="array" ref="Z117">XLOOKUP(MasterTech!$AF$4:$AF$214,RawTech!$AO$2:$AO$212,RawTech!$H$2:$H$212)</f>
        <v>Sub</v>
      </c>
      <c r="AA117" s="438" t="str">
        <f t="array" ref="AA117">XLOOKUP(MasterTech!$AF$4:$AF$214,RawTech!$AO$2:$AO$212,RawTech!$J$2:$J$212)</f>
        <v>Against players, reduce the Opponent's base Critical Hit Damage by X.</v>
      </c>
      <c r="AB117" s="439"/>
      <c r="AC117" s="440"/>
      <c r="AD117" s="440"/>
      <c r="AE117" s="462">
        <f t="array" ref="AE117">XLOOKUP(MasterTech!$AF$4:$AF$214,RawTech!$AO$2:$AO$212,RawTech!$AR$2:$AR$212)</f>
        <v>32</v>
      </c>
      <c r="AF117" s="427">
        <v>8.22880788E8</v>
      </c>
      <c r="AG117" s="428"/>
      <c r="AH117" s="428"/>
      <c r="AI117" s="429"/>
      <c r="AJ117" s="430"/>
    </row>
    <row r="118" ht="37.5" customHeight="1">
      <c r="A118" s="415" t="str">
        <f t="array" ref="A118">LEFT(XLOOKUP(LCARS_Tech[BuffID],RawTech[BuffID],RawTech[TechRarity]), 1)</f>
        <v>E</v>
      </c>
      <c r="B118" s="420"/>
      <c r="C118" s="460" t="str">
        <f t="array" ref="C118">HYPERLINK("https://stfc.space/forbidden_and_chaos_tech/" &amp; XLOOKUP(MasterTech!$AF$4:$AF$214,RawTech!$AO$2:$AO$212,RawTech!$AQ$2:$AQ$212), XLOOKUP(MasterTech!$AF$4:$AF$214,RawTech!$AO$2:$AO$212,RawTech!$B$2:$B$212))</f>
        <v>Q Cannon</v>
      </c>
      <c r="D118" s="418">
        <f t="array" ref="D118">XLOOKUP(LCARS_Tech[BuffID],RawTech[BuffID],RawTech[BuffOrder])</f>
        <v>3</v>
      </c>
      <c r="E118" s="419" t="str">
        <f t="array" ref="E118">XLOOKUP(LCARS_Tech[BuffID],RawTech[BuffID],RawTech[TechType])</f>
        <v>CT</v>
      </c>
      <c r="F118" s="419" t="str">
        <f t="array" ref="F118">XLOOKUP(LCARS_Tech[BuffID],RawTech[BuffID],RawTech[Tag_PvPinSpace])</f>
        <v>✅</v>
      </c>
      <c r="G118" s="419" t="str">
        <f t="array" ref="G118">XLOOKUP(LCARS_Tech[BuffID],RawTech[BuffID],RawTech[Tag_PvPStation])</f>
        <v>✅</v>
      </c>
      <c r="H118" s="419" t="str">
        <f t="array" ref="H118">XLOOKUP(LCARS_Tech[BuffID],RawTech[BuffID],RawTech[Tag_NonArmadaHostiles])</f>
        <v>➖</v>
      </c>
      <c r="I118" s="419" t="str">
        <f t="array" ref="I118">XLOOKUP(LCARS_Tech[BuffID],RawTech[BuffID],RawTech[Tag_WaveDefense])</f>
        <v>➖</v>
      </c>
      <c r="J118" s="419" t="str">
        <f t="array" ref="J118">XLOOKUP(LCARS_Tech[BuffID],RawTech[BuffID],RawTech[Tag_QTrial])</f>
        <v>➖</v>
      </c>
      <c r="K118" s="419" t="str">
        <f t="array" ref="K118">XLOOKUP(LCARS_Tech[BuffID],RawTech[BuffID],RawTech[Tag_MissionBosses])</f>
        <v>➖</v>
      </c>
      <c r="L118" s="419" t="str">
        <f t="array" ref="L118">XLOOKUP(LCARS_Tech[BuffID],RawTech[BuffID],RawTech[Tag_GroupArmadas])</f>
        <v>➖</v>
      </c>
      <c r="M118" s="419" t="str">
        <f t="array" ref="M118">XLOOKUP(LCARS_Tech[BuffID],RawTech[BuffID],RawTech[Tag_SoloArmadas])</f>
        <v>➖</v>
      </c>
      <c r="N118" s="419" t="str">
        <f t="array" ref="N118">XLOOKUP(LCARS_Tech[BuffID],RawTech[BuffID],RawTech[Tag_InvadingEntities])</f>
        <v>➖</v>
      </c>
      <c r="O118" s="419" t="str">
        <f t="array" ref="O118">XLOOKUP(LCARS_Tech[BuffID],RawTech[BuffID],RawTech[Tag_Assaults])</f>
        <v>➖</v>
      </c>
      <c r="P118" s="442" t="str">
        <f t="array" ref="P118">XLOOKUP(LCARS_Tech[BuffID],RawTech[BuffID],RawTech[Tag_OutpostArmadas])</f>
        <v>➖</v>
      </c>
      <c r="Q118" s="420" t="str">
        <f t="array" ref="Q118">XLOOKUP(LCARS_Tech[BuffID],RawTech[BuffID],RawTech[Tag_OutpostRetaliators])</f>
        <v>➖</v>
      </c>
      <c r="R118" s="420" t="str">
        <f t="array" ref="R118">XLOOKUP(MasterTech!$AF$4:$AF$214,RawTech!$AO$2:$AO$212,RawTech!$AV$2:$AV$212)</f>
        <v/>
      </c>
      <c r="S118" s="419" t="str">
        <f t="array" ref="S118">XLOOKUP(MasterTech!$AF$4:$AF$214,RawTech!$AO$2:$AO$212,RawTech!$AK$2:$AK$212)</f>
        <v>➖</v>
      </c>
      <c r="T118" s="422" t="str">
        <f t="array" ref="T118">XLOOKUP(MasterTech!$AF$4:$AF$214,RawTech!$AO$2:$AO$212,RawTech!$AM$2:$AM$212)</f>
        <v>➖</v>
      </c>
      <c r="U118" s="423" t="str">
        <f t="array" ref="U118">XLOOKUP(MasterTech!$AF$4:$AF$214,RawTech!$AO$2:$AO$212,RawTech!$D$2:$D$212)</f>
        <v>AllDamage</v>
      </c>
      <c r="V118" s="420" t="str">
        <f t="array" ref="V118">XLOOKUP(MasterTech!$AF$4:$AF$214,RawTech!$AO$2:$AO$212,RawTech!$I$2:$I$212)</f>
        <v/>
      </c>
      <c r="W118" s="443" t="str">
        <f t="array" ref="W118">XLOOKUP(MasterTech!$AF$4:$AF$214,RawTech!$AO$2:$AO$212,RawTech!$E$2:$E$212)</f>
        <v>EnemyPlayer</v>
      </c>
      <c r="X118" s="423" t="str">
        <f t="array" ref="X118">XLOOKUP(MasterTech!$AF$4:$AF$214,RawTech!$AO$2:$AO$212,RawTech!$F$2:$F$212)</f>
        <v>CombatStart</v>
      </c>
      <c r="Y118" s="423" t="str">
        <f t="array" ref="Y118">XLOOKUP(MasterTech!$AF$4:$AF$214,RawTech!$AO$2:$AO$212,RawTech!$G$2:$G$212)</f>
        <v>SelfShip</v>
      </c>
      <c r="Z118" s="423" t="str">
        <f t="array" ref="Z118">XLOOKUP(MasterTech!$AF$4:$AF$214,RawTech!$AO$2:$AO$212,RawTech!$H$2:$H$212)</f>
        <v>MultiplyAdd</v>
      </c>
      <c r="AA118" s="423" t="str">
        <f t="array" ref="AA118">XLOOKUP(MasterTech!$AF$4:$AF$214,RawTech!$AO$2:$AO$212,RawTech!$J$2:$J$212)</f>
        <v>Against players, increase base weapon Damage by X.</v>
      </c>
      <c r="AB118" s="424"/>
      <c r="AC118" s="425"/>
      <c r="AD118" s="425"/>
      <c r="AE118" s="461">
        <f t="array" ref="AE118">XLOOKUP(MasterTech!$AF$4:$AF$214,RawTech!$AO$2:$AO$212,RawTech!$AR$2:$AR$212)</f>
        <v>32</v>
      </c>
      <c r="AF118" s="427">
        <v>1.299146674E9</v>
      </c>
      <c r="AG118" s="428"/>
      <c r="AH118" s="428"/>
      <c r="AI118" s="429"/>
      <c r="AJ118" s="430"/>
    </row>
    <row r="119" ht="37.5" customHeight="1">
      <c r="A119" s="415" t="str">
        <f t="array" ref="A119">LEFT(XLOOKUP(LCARS_Tech[BuffID],RawTech[BuffID],RawTech[TechRarity]), 1)</f>
        <v>E</v>
      </c>
      <c r="B119" s="416"/>
      <c r="C119" s="464" t="str">
        <f t="array" ref="C119">HYPERLINK("https://stfc.space/forbidden_and_chaos_tech/" &amp; XLOOKUP(MasterTech!$AF$4:$AF$214,RawTech!$AO$2:$AO$212,RawTech!$AQ$2:$AQ$212), XLOOKUP(MasterTech!$AF$4:$AF$214,RawTech!$AO$2:$AO$212,RawTech!$B$2:$B$212))</f>
        <v>Temporal Conduit</v>
      </c>
      <c r="D119" s="432">
        <f t="array" ref="D119">XLOOKUP(LCARS_Tech[BuffID],RawTech[BuffID],RawTech[BuffOrder])</f>
        <v>1</v>
      </c>
      <c r="E119" s="433" t="str">
        <f t="array" ref="E119">XLOOKUP(LCARS_Tech[BuffID],RawTech[BuffID],RawTech[TechType])</f>
        <v>CT</v>
      </c>
      <c r="F119" s="433" t="str">
        <f t="array" ref="F119">XLOOKUP(LCARS_Tech[BuffID],RawTech[BuffID],RawTech[Tag_PvPinSpace])</f>
        <v>➖</v>
      </c>
      <c r="G119" s="433" t="str">
        <f t="array" ref="G119">XLOOKUP(LCARS_Tech[BuffID],RawTech[BuffID],RawTech[Tag_PvPStation])</f>
        <v>➖</v>
      </c>
      <c r="H119" s="433" t="str">
        <f t="array" ref="H119">XLOOKUP(LCARS_Tech[BuffID],RawTech[BuffID],RawTech[Tag_NonArmadaHostiles])</f>
        <v>✅</v>
      </c>
      <c r="I119" s="433" t="str">
        <f t="array" ref="I119">XLOOKUP(LCARS_Tech[BuffID],RawTech[BuffID],RawTech[Tag_WaveDefense])</f>
        <v>✅</v>
      </c>
      <c r="J119" s="433" t="str">
        <f t="array" ref="J119">XLOOKUP(LCARS_Tech[BuffID],RawTech[BuffID],RawTech[Tag_QTrial])</f>
        <v>✅</v>
      </c>
      <c r="K119" s="433" t="str">
        <f t="array" ref="K119">XLOOKUP(LCARS_Tech[BuffID],RawTech[BuffID],RawTech[Tag_MissionBosses])</f>
        <v>➖</v>
      </c>
      <c r="L119" s="433" t="str">
        <f t="array" ref="L119">XLOOKUP(LCARS_Tech[BuffID],RawTech[BuffID],RawTech[Tag_GroupArmadas])</f>
        <v>✅</v>
      </c>
      <c r="M119" s="433" t="str">
        <f t="array" ref="M119">XLOOKUP(LCARS_Tech[BuffID],RawTech[BuffID],RawTech[Tag_SoloArmadas])</f>
        <v>✅</v>
      </c>
      <c r="N119" s="433" t="str">
        <f t="array" ref="N119">XLOOKUP(LCARS_Tech[BuffID],RawTech[BuffID],RawTech[Tag_InvadingEntities])</f>
        <v>✅</v>
      </c>
      <c r="O119" s="433" t="str">
        <f t="array" ref="O119">XLOOKUP(LCARS_Tech[BuffID],RawTech[BuffID],RawTech[Tag_Assaults])</f>
        <v>➖</v>
      </c>
      <c r="P119" s="434" t="str">
        <f t="array" ref="P119">XLOOKUP(LCARS_Tech[BuffID],RawTech[BuffID],RawTech[Tag_OutpostArmadas])</f>
        <v>➖</v>
      </c>
      <c r="Q119" s="416" t="str">
        <f t="array" ref="Q119">XLOOKUP(LCARS_Tech[BuffID],RawTech[BuffID],RawTech[Tag_OutpostRetaliators])</f>
        <v>➖</v>
      </c>
      <c r="R119" s="416" t="str">
        <f t="array" ref="R119">XLOOKUP(MasterTech!$AF$4:$AF$214,RawTech!$AO$2:$AO$212,RawTech!$AV$2:$AV$212)</f>
        <v/>
      </c>
      <c r="S119" s="433" t="str">
        <f t="array" ref="S119">XLOOKUP(MasterTech!$AF$4:$AF$214,RawTech!$AO$2:$AO$212,RawTech!$AK$2:$AK$212)</f>
        <v>➖</v>
      </c>
      <c r="T119" s="435" t="str">
        <f t="array" ref="T119">XLOOKUP(MasterTech!$AF$4:$AF$214,RawTech!$AO$2:$AO$212,RawTech!$AM$2:$AM$212)</f>
        <v>➖</v>
      </c>
      <c r="U119" s="438" t="str">
        <f t="array" ref="U119">XLOOKUP(MasterTech!$AF$4:$AF$214,RawTech!$AO$2:$AO$212,RawTech!$D$2:$D$212)</f>
        <v>AddState</v>
      </c>
      <c r="V119" s="438" t="str">
        <f t="array" ref="V119">XLOOKUP(MasterTech!$AF$4:$AF$214,RawTech!$AO$2:$AO$212,RawTech!$I$2:$I$212)</f>
        <v>num_rounds=2, state=4</v>
      </c>
      <c r="W119" s="447" t="str">
        <f t="array" ref="W119">XLOOKUP(MasterTech!$AF$4:$AF$214,RawTech!$AO$2:$AO$212,RawTech!$E$2:$E$212)</f>
        <v>EnemyHostile</v>
      </c>
      <c r="X119" s="438" t="str">
        <f t="array" ref="X119">XLOOKUP(MasterTech!$AF$4:$AF$214,RawTech!$AO$2:$AO$212,RawTech!$F$2:$F$212)</f>
        <v>RoundStart</v>
      </c>
      <c r="Y119" s="438" t="str">
        <f t="array" ref="Y119">XLOOKUP(MasterTech!$AF$4:$AF$214,RawTech!$AO$2:$AO$212,RawTech!$G$2:$G$212)</f>
        <v>EnemyShip</v>
      </c>
      <c r="Z119" s="438" t="str">
        <f t="array" ref="Z119">XLOOKUP(MasterTech!$AF$4:$AF$214,RawTech!$AO$2:$AO$212,RawTech!$H$2:$H$212)</f>
        <v>Set</v>
      </c>
      <c r="AA119" s="438" t="str">
        <f t="array" ref="AA119">XLOOKUP(MasterTech!$AF$4:$AF$214,RawTech!$AO$2:$AO$212,RawTech!$J$2:$J$212)</f>
        <v>When fighting Hostiles or Armadas, at the start of each round gain an X chance to apply Hull Breach for 2 rounds.</v>
      </c>
      <c r="AB119" s="439"/>
      <c r="AC119" s="440"/>
      <c r="AD119" s="440"/>
      <c r="AE119" s="462">
        <f t="array" ref="AE119">XLOOKUP(MasterTech!$AF$4:$AF$214,RawTech!$AO$2:$AO$212,RawTech!$AR$2:$AR$212)</f>
        <v>33</v>
      </c>
      <c r="AF119" s="427">
        <v>1.202092082E9</v>
      </c>
      <c r="AG119" s="428"/>
      <c r="AH119" s="428"/>
      <c r="AI119" s="429"/>
      <c r="AJ119" s="430"/>
    </row>
    <row r="120" ht="37.5" customHeight="1">
      <c r="A120" s="415" t="str">
        <f t="array" ref="A120">LEFT(XLOOKUP(LCARS_Tech[BuffID],RawTech[BuffID],RawTech[TechRarity]), 1)</f>
        <v>E</v>
      </c>
      <c r="B120" s="420"/>
      <c r="C120" s="460" t="str">
        <f t="array" ref="C120">HYPERLINK("https://stfc.space/forbidden_and_chaos_tech/" &amp; XLOOKUP(MasterTech!$AF$4:$AF$214,RawTech!$AO$2:$AO$212,RawTech!$AQ$2:$AQ$212), XLOOKUP(MasterTech!$AF$4:$AF$214,RawTech!$AO$2:$AO$212,RawTech!$B$2:$B$212))</f>
        <v>Temporal Conduit</v>
      </c>
      <c r="D120" s="418">
        <f t="array" ref="D120">XLOOKUP(LCARS_Tech[BuffID],RawTech[BuffID],RawTech[BuffOrder])</f>
        <v>2</v>
      </c>
      <c r="E120" s="419" t="str">
        <f t="array" ref="E120">XLOOKUP(LCARS_Tech[BuffID],RawTech[BuffID],RawTech[TechType])</f>
        <v>CT</v>
      </c>
      <c r="F120" s="419" t="str">
        <f t="array" ref="F120">XLOOKUP(LCARS_Tech[BuffID],RawTech[BuffID],RawTech[Tag_PvPinSpace])</f>
        <v>➖</v>
      </c>
      <c r="G120" s="419" t="str">
        <f t="array" ref="G120">XLOOKUP(LCARS_Tech[BuffID],RawTech[BuffID],RawTech[Tag_PvPStation])</f>
        <v>➖</v>
      </c>
      <c r="H120" s="419" t="str">
        <f t="array" ref="H120">XLOOKUP(LCARS_Tech[BuffID],RawTech[BuffID],RawTech[Tag_NonArmadaHostiles])</f>
        <v>✴️</v>
      </c>
      <c r="I120" s="419" t="str">
        <f t="array" ref="I120">XLOOKUP(LCARS_Tech[BuffID],RawTech[BuffID],RawTech[Tag_WaveDefense])</f>
        <v>➖</v>
      </c>
      <c r="J120" s="419" t="str">
        <f t="array" ref="J120">XLOOKUP(LCARS_Tech[BuffID],RawTech[BuffID],RawTech[Tag_QTrial])</f>
        <v>➖</v>
      </c>
      <c r="K120" s="419" t="str">
        <f t="array" ref="K120">XLOOKUP(LCARS_Tech[BuffID],RawTech[BuffID],RawTech[Tag_MissionBosses])</f>
        <v>➖</v>
      </c>
      <c r="L120" s="419" t="str">
        <f t="array" ref="L120">XLOOKUP(LCARS_Tech[BuffID],RawTech[BuffID],RawTech[Tag_GroupArmadas])</f>
        <v>➖</v>
      </c>
      <c r="M120" s="419" t="str">
        <f t="array" ref="M120">XLOOKUP(LCARS_Tech[BuffID],RawTech[BuffID],RawTech[Tag_SoloArmadas])</f>
        <v>➖</v>
      </c>
      <c r="N120" s="419" t="str">
        <f t="array" ref="N120">XLOOKUP(LCARS_Tech[BuffID],RawTech[BuffID],RawTech[Tag_InvadingEntities])</f>
        <v>➖</v>
      </c>
      <c r="O120" s="419" t="str">
        <f t="array" ref="O120">XLOOKUP(LCARS_Tech[BuffID],RawTech[BuffID],RawTech[Tag_Assaults])</f>
        <v>➖</v>
      </c>
      <c r="P120" s="442" t="str">
        <f t="array" ref="P120">XLOOKUP(LCARS_Tech[BuffID],RawTech[BuffID],RawTech[Tag_OutpostArmadas])</f>
        <v>➖</v>
      </c>
      <c r="Q120" s="450" t="str">
        <f t="array" ref="Q120">XLOOKUP(LCARS_Tech[BuffID],RawTech[BuffID],RawTech[Tag_OutpostRetaliators])</f>
        <v>➖</v>
      </c>
      <c r="R120" s="450" t="str">
        <f t="array" ref="R120">XLOOKUP(MasterTech!$AF$4:$AF$214,RawTech!$AO$2:$AO$212,RawTech!$AV$2:$AV$212)</f>
        <v>XindiHostileLoot</v>
      </c>
      <c r="S120" s="419" t="str">
        <f t="array" ref="S120">XLOOKUP(MasterTech!$AF$4:$AF$214,RawTech!$AO$2:$AO$212,RawTech!$AK$2:$AK$212)</f>
        <v>✅</v>
      </c>
      <c r="T120" s="422" t="str">
        <f t="array" ref="T120">XLOOKUP(MasterTech!$AF$4:$AF$214,RawTech!$AO$2:$AO$212,RawTech!$AM$2:$AM$212)</f>
        <v>➖</v>
      </c>
      <c r="U120" s="423" t="str">
        <f t="array" ref="U120">XLOOKUP(MasterTech!$AF$4:$AF$214,RawTech!$AO$2:$AO$212,RawTech!$D$2:$D$212)</f>
        <v>XindiHostileLoot</v>
      </c>
      <c r="V120" s="420" t="str">
        <f t="array" ref="V120">XLOOKUP(MasterTech!$AF$4:$AF$214,RawTech!$AO$2:$AO$212,RawTech!$I$2:$I$212)</f>
        <v/>
      </c>
      <c r="W120" s="421" t="str">
        <f t="array" ref="W120">XLOOKUP(MasterTech!$AF$4:$AF$214,RawTech!$AO$2:$AO$212,RawTech!$E$2:$E$212)</f>
        <v/>
      </c>
      <c r="X120" s="423" t="str">
        <f t="array" ref="X120">XLOOKUP(MasterTech!$AF$4:$AF$214,RawTech!$AO$2:$AO$212,RawTech!$F$2:$F$212)</f>
        <v>ShipLaunched</v>
      </c>
      <c r="Y120" s="423" t="str">
        <f t="array" ref="Y120">XLOOKUP(MasterTech!$AF$4:$AF$214,RawTech!$AO$2:$AO$212,RawTech!$G$2:$G$212)</f>
        <v>SelfShip</v>
      </c>
      <c r="Z120" s="423" t="str">
        <f t="array" ref="Z120">XLOOKUP(MasterTech!$AF$4:$AF$214,RawTech!$AO$2:$AO$212,RawTech!$H$2:$H$212)</f>
        <v>MultiplyAdd</v>
      </c>
      <c r="AA120" s="423" t="str">
        <f t="array" ref="AA120">XLOOKUP(MasterTech!$AF$4:$AF$214,RawTech!$AO$2:$AO$212,RawTech!$J$2:$J$212)</f>
        <v>Increases the amount of resources you get from destroying non-armada Xindi hostiles with any ship by X.</v>
      </c>
      <c r="AB120" s="424"/>
      <c r="AC120" s="425"/>
      <c r="AD120" s="425"/>
      <c r="AE120" s="461">
        <f t="array" ref="AE120">XLOOKUP(MasterTech!$AF$4:$AF$214,RawTech!$AO$2:$AO$212,RawTech!$AR$2:$AR$212)</f>
        <v>33</v>
      </c>
      <c r="AF120" s="427">
        <v>2.291243222E9</v>
      </c>
      <c r="AG120" s="428"/>
      <c r="AH120" s="428"/>
      <c r="AI120" s="429"/>
      <c r="AJ120" s="430"/>
    </row>
    <row r="121" ht="37.5" customHeight="1">
      <c r="A121" s="415" t="str">
        <f t="array" ref="A121">LEFT(XLOOKUP(LCARS_Tech[BuffID],RawTech[BuffID],RawTech[TechRarity]), 1)</f>
        <v>E</v>
      </c>
      <c r="B121" s="416"/>
      <c r="C121" s="464" t="str">
        <f t="array" ref="C121">HYPERLINK("https://stfc.space/forbidden_and_chaos_tech/" &amp; XLOOKUP(MasterTech!$AF$4:$AF$214,RawTech!$AO$2:$AO$212,RawTech!$AQ$2:$AQ$212), XLOOKUP(MasterTech!$AF$4:$AF$214,RawTech!$AO$2:$AO$212,RawTech!$B$2:$B$212))</f>
        <v>Temporal Conduit</v>
      </c>
      <c r="D121" s="432">
        <f t="array" ref="D121">XLOOKUP(LCARS_Tech[BuffID],RawTech[BuffID],RawTech[BuffOrder])</f>
        <v>3</v>
      </c>
      <c r="E121" s="433" t="str">
        <f t="array" ref="E121">XLOOKUP(LCARS_Tech[BuffID],RawTech[BuffID],RawTech[TechType])</f>
        <v>CT</v>
      </c>
      <c r="F121" s="433" t="str">
        <f t="array" ref="F121">XLOOKUP(LCARS_Tech[BuffID],RawTech[BuffID],RawTech[Tag_PvPinSpace])</f>
        <v>➖</v>
      </c>
      <c r="G121" s="433" t="str">
        <f t="array" ref="G121">XLOOKUP(LCARS_Tech[BuffID],RawTech[BuffID],RawTech[Tag_PvPStation])</f>
        <v>➖</v>
      </c>
      <c r="H121" s="433" t="str">
        <f t="array" ref="H121">XLOOKUP(LCARS_Tech[BuffID],RawTech[BuffID],RawTech[Tag_NonArmadaHostiles])</f>
        <v>➖</v>
      </c>
      <c r="I121" s="433" t="str">
        <f t="array" ref="I121">XLOOKUP(LCARS_Tech[BuffID],RawTech[BuffID],RawTech[Tag_WaveDefense])</f>
        <v>➖</v>
      </c>
      <c r="J121" s="433" t="str">
        <f t="array" ref="J121">XLOOKUP(LCARS_Tech[BuffID],RawTech[BuffID],RawTech[Tag_QTrial])</f>
        <v>➖</v>
      </c>
      <c r="K121" s="433" t="str">
        <f t="array" ref="K121">XLOOKUP(LCARS_Tech[BuffID],RawTech[BuffID],RawTech[Tag_MissionBosses])</f>
        <v>➖</v>
      </c>
      <c r="L121" s="433" t="str">
        <f t="array" ref="L121">XLOOKUP(LCARS_Tech[BuffID],RawTech[BuffID],RawTech[Tag_GroupArmadas])</f>
        <v>➖</v>
      </c>
      <c r="M121" s="433" t="str">
        <f t="array" ref="M121">XLOOKUP(LCARS_Tech[BuffID],RawTech[BuffID],RawTech[Tag_SoloArmadas])</f>
        <v>➖</v>
      </c>
      <c r="N121" s="433" t="str">
        <f t="array" ref="N121">XLOOKUP(LCARS_Tech[BuffID],RawTech[BuffID],RawTech[Tag_InvadingEntities])</f>
        <v>➖</v>
      </c>
      <c r="O121" s="433" t="str">
        <f t="array" ref="O121">XLOOKUP(LCARS_Tech[BuffID],RawTech[BuffID],RawTech[Tag_Assaults])</f>
        <v>➖</v>
      </c>
      <c r="P121" s="434" t="str">
        <f t="array" ref="P121">XLOOKUP(LCARS_Tech[BuffID],RawTech[BuffID],RawTech[Tag_OutpostArmadas])</f>
        <v>➖</v>
      </c>
      <c r="Q121" s="416" t="str">
        <f t="array" ref="Q121">XLOOKUP(LCARS_Tech[BuffID],RawTech[BuffID],RawTech[Tag_OutpostRetaliators])</f>
        <v>➖</v>
      </c>
      <c r="R121" s="416" t="str">
        <f t="array" ref="R121">XLOOKUP(MasterTech!$AF$4:$AF$214,RawTech!$AO$2:$AO$212,RawTech!$AV$2:$AV$212)</f>
        <v/>
      </c>
      <c r="S121" s="433" t="str">
        <f t="array" ref="S121">XLOOKUP(MasterTech!$AF$4:$AF$214,RawTech!$AO$2:$AO$212,RawTech!$AK$2:$AK$212)</f>
        <v>➖</v>
      </c>
      <c r="T121" s="435" t="str">
        <f t="array" ref="T121">XLOOKUP(MasterTech!$AF$4:$AF$214,RawTech!$AO$2:$AO$212,RawTech!$AM$2:$AM$212)</f>
        <v>➖</v>
      </c>
      <c r="U121" s="438" t="str">
        <f t="array" ref="U121">XLOOKUP(MasterTech!$AF$4:$AF$214,RawTech!$AO$2:$AO$212,RawTech!$D$2:$D$212)</f>
        <v>ApexBarrier</v>
      </c>
      <c r="V121" s="416" t="str">
        <f t="array" ref="V121">XLOOKUP(MasterTech!$AF$4:$AF$214,RawTech!$AO$2:$AO$212,RawTech!$I$2:$I$212)</f>
        <v/>
      </c>
      <c r="W121" s="447" t="str">
        <f t="array" ref="W121">XLOOKUP(MasterTech!$AF$4:$AF$214,RawTech!$AO$2:$AO$212,RawTech!$E$2:$E$212)</f>
        <v>TargetXindi, TargetNotArmada, SelfOfficerTalNotOnBridge</v>
      </c>
      <c r="X121" s="438" t="str">
        <f t="array" ref="X121">XLOOKUP(MasterTech!$AF$4:$AF$214,RawTech!$AO$2:$AO$212,RawTech!$F$2:$F$212)</f>
        <v>CombatStart</v>
      </c>
      <c r="Y121" s="438" t="str">
        <f t="array" ref="Y121">XLOOKUP(MasterTech!$AF$4:$AF$214,RawTech!$AO$2:$AO$212,RawTech!$G$2:$G$212)</f>
        <v>SelfShip</v>
      </c>
      <c r="Z121" s="438" t="str">
        <f t="array" ref="Z121">XLOOKUP(MasterTech!$AF$4:$AF$214,RawTech!$AO$2:$AO$212,RawTech!$H$2:$H$212)</f>
        <v>Add</v>
      </c>
      <c r="AA121" s="438" t="str">
        <f t="array" ref="AA121">XLOOKUP(MasterTech!$AF$4:$AF$214,RawTech!$AO$2:$AO$212,RawTech!$J$2:$J$212)</f>
        <v>Gain X Apex Barrier when fighting Xindi Reptiles or Xindi Aquatics.</v>
      </c>
      <c r="AB121" s="439"/>
      <c r="AC121" s="440"/>
      <c r="AD121" s="440"/>
      <c r="AE121" s="462">
        <f t="array" ref="AE121">XLOOKUP(MasterTech!$AF$4:$AF$214,RawTech!$AO$2:$AO$212,RawTech!$AR$2:$AR$212)</f>
        <v>33</v>
      </c>
      <c r="AF121" s="427">
        <v>3.438063136E9</v>
      </c>
      <c r="AG121" s="428"/>
      <c r="AH121" s="428"/>
      <c r="AI121" s="429"/>
      <c r="AJ121" s="430"/>
    </row>
    <row r="122" ht="37.5" customHeight="1">
      <c r="A122" s="415" t="str">
        <f t="array" ref="A122">LEFT(XLOOKUP(LCARS_Tech[BuffID],RawTech[BuffID],RawTech[TechRarity]), 1)</f>
        <v>C</v>
      </c>
      <c r="B122" s="420"/>
      <c r="C122" s="417" t="str">
        <f t="array" ref="C122">HYPERLINK("https://stfc.space/forbidden_and_chaos_tech/" &amp; XLOOKUP(MasterTech!$AF$4:$AF$214,RawTech!$AO$2:$AO$212,RawTech!$AQ$2:$AQ$212), XLOOKUP(MasterTech!$AF$4:$AF$214,RawTech!$AO$2:$AO$212,RawTech!$B$2:$B$212))</f>
        <v>Thought Maker</v>
      </c>
      <c r="D122" s="418">
        <f t="array" ref="D122">XLOOKUP(LCARS_Tech[BuffID],RawTech[BuffID],RawTech[BuffOrder])</f>
        <v>1</v>
      </c>
      <c r="E122" s="419" t="str">
        <f t="array" ref="E122">XLOOKUP(LCARS_Tech[BuffID],RawTech[BuffID],RawTech[TechType])</f>
        <v>CT</v>
      </c>
      <c r="F122" s="419" t="str">
        <f t="array" ref="F122">XLOOKUP(LCARS_Tech[BuffID],RawTech[BuffID],RawTech[Tag_PvPinSpace])</f>
        <v>➖</v>
      </c>
      <c r="G122" s="419" t="str">
        <f t="array" ref="G122">XLOOKUP(LCARS_Tech[BuffID],RawTech[BuffID],RawTech[Tag_PvPStation])</f>
        <v>➖</v>
      </c>
      <c r="H122" s="419" t="str">
        <f t="array" ref="H122">XLOOKUP(LCARS_Tech[BuffID],RawTech[BuffID],RawTech[Tag_NonArmadaHostiles])</f>
        <v>✴️</v>
      </c>
      <c r="I122" s="419" t="str">
        <f t="array" ref="I122">XLOOKUP(LCARS_Tech[BuffID],RawTech[BuffID],RawTech[Tag_WaveDefense])</f>
        <v>✴️</v>
      </c>
      <c r="J122" s="419" t="str">
        <f t="array" ref="J122">XLOOKUP(LCARS_Tech[BuffID],RawTech[BuffID],RawTech[Tag_QTrial])</f>
        <v>✴️</v>
      </c>
      <c r="K122" s="419" t="str">
        <f t="array" ref="K122">XLOOKUP(LCARS_Tech[BuffID],RawTech[BuffID],RawTech[Tag_MissionBosses])</f>
        <v>➖</v>
      </c>
      <c r="L122" s="419" t="str">
        <f t="array" ref="L122">XLOOKUP(LCARS_Tech[BuffID],RawTech[BuffID],RawTech[Tag_GroupArmadas])</f>
        <v>➖</v>
      </c>
      <c r="M122" s="419" t="str">
        <f t="array" ref="M122">XLOOKUP(LCARS_Tech[BuffID],RawTech[BuffID],RawTech[Tag_SoloArmadas])</f>
        <v>➖</v>
      </c>
      <c r="N122" s="419" t="str">
        <f t="array" ref="N122">XLOOKUP(LCARS_Tech[BuffID],RawTech[BuffID],RawTech[Tag_InvadingEntities])</f>
        <v>➖</v>
      </c>
      <c r="O122" s="419" t="str">
        <f t="array" ref="O122">XLOOKUP(LCARS_Tech[BuffID],RawTech[BuffID],RawTech[Tag_Assaults])</f>
        <v>➖</v>
      </c>
      <c r="P122" s="442" t="str">
        <f t="array" ref="P122">XLOOKUP(LCARS_Tech[BuffID],RawTech[BuffID],RawTech[Tag_OutpostArmadas])</f>
        <v>➖</v>
      </c>
      <c r="Q122" s="450" t="str">
        <f t="array" ref="Q122">XLOOKUP(LCARS_Tech[BuffID],RawTech[BuffID],RawTech[Tag_OutpostRetaliators])</f>
        <v>➖</v>
      </c>
      <c r="R122" s="450" t="str">
        <f t="array" ref="R122">XLOOKUP(MasterTech!$AF$4:$AF$214,RawTech!$AO$2:$AO$212,RawTech!$AV$2:$AV$212)</f>
        <v>SelfOfficerTalNotOnBridge</v>
      </c>
      <c r="S122" s="419" t="str">
        <f t="array" ref="S122">XLOOKUP(MasterTech!$AF$4:$AF$214,RawTech!$AO$2:$AO$212,RawTech!$AK$2:$AK$212)</f>
        <v>➖</v>
      </c>
      <c r="T122" s="422" t="str">
        <f t="array" ref="T122">XLOOKUP(MasterTech!$AF$4:$AF$214,RawTech!$AO$2:$AO$212,RawTech!$AM$2:$AM$212)</f>
        <v>➖</v>
      </c>
      <c r="U122" s="423" t="str">
        <f t="array" ref="U122">XLOOKUP(MasterTech!$AF$4:$AF$214,RawTech!$AO$2:$AO$212,RawTech!$D$2:$D$212)</f>
        <v>ApexBarrier</v>
      </c>
      <c r="V122" s="423" t="str">
        <f t="array" ref="V122">XLOOKUP(MasterTech!$AF$4:$AF$214,RawTech!$AO$2:$AO$212,RawTech!$I$2:$I$212)</f>
        <v>num_rounds=5</v>
      </c>
      <c r="W122" s="443" t="str">
        <f t="array" ref="W122">XLOOKUP(MasterTech!$AF$4:$AF$214,RawTech!$AO$2:$AO$212,RawTech!$E$2:$E$212)</f>
        <v>EnemyHostile, TargetNotArmada, SelfOfficerTalNotOnBridge</v>
      </c>
      <c r="X122" s="423" t="str">
        <f t="array" ref="X122">XLOOKUP(MasterTech!$AF$4:$AF$214,RawTech!$AO$2:$AO$212,RawTech!$F$2:$F$212)</f>
        <v>RoundStart</v>
      </c>
      <c r="Y122" s="423" t="str">
        <f t="array" ref="Y122">XLOOKUP(MasterTech!$AF$4:$AF$214,RawTech!$AO$2:$AO$212,RawTech!$G$2:$G$212)</f>
        <v>SelfShip</v>
      </c>
      <c r="Z122" s="423" t="str">
        <f t="array" ref="Z122">XLOOKUP(MasterTech!$AF$4:$AF$214,RawTech!$AO$2:$AO$212,RawTech!$H$2:$H$212)</f>
        <v>Add</v>
      </c>
      <c r="AA122" s="423" t="str">
        <f t="array" ref="AA122">XLOOKUP(MasterTech!$AF$4:$AF$214,RawTech!$AO$2:$AO$212,RawTech!$J$2:$J$212)</f>
        <v>When fighting non-Armada Hostiles, at the start of each round increase Apex Barrier by X for 5 rounds.</v>
      </c>
      <c r="AB122" s="424"/>
      <c r="AC122" s="463"/>
      <c r="AD122" s="463"/>
      <c r="AE122" s="426">
        <f t="array" ref="AE122">XLOOKUP(MasterTech!$AF$4:$AF$214,RawTech!$AO$2:$AO$212,RawTech!$AR$2:$AR$212)</f>
        <v>34</v>
      </c>
      <c r="AF122" s="427">
        <v>2.815343192E9</v>
      </c>
      <c r="AG122" s="428"/>
      <c r="AH122" s="428"/>
      <c r="AI122" s="429"/>
      <c r="AJ122" s="430"/>
    </row>
    <row r="123" ht="37.5" customHeight="1">
      <c r="A123" s="415" t="str">
        <f t="array" ref="A123">LEFT(XLOOKUP(LCARS_Tech[BuffID],RawTech[BuffID],RawTech[TechRarity]), 1)</f>
        <v>C</v>
      </c>
      <c r="B123" s="416"/>
      <c r="C123" s="431" t="str">
        <f t="array" ref="C123">HYPERLINK("https://stfc.space/forbidden_and_chaos_tech/" &amp; XLOOKUP(MasterTech!$AF$4:$AF$214,RawTech!$AO$2:$AO$212,RawTech!$AQ$2:$AQ$212), XLOOKUP(MasterTech!$AF$4:$AF$214,RawTech!$AO$2:$AO$212,RawTech!$B$2:$B$212))</f>
        <v>Thought Maker</v>
      </c>
      <c r="D123" s="432">
        <f t="array" ref="D123">XLOOKUP(LCARS_Tech[BuffID],RawTech[BuffID],RawTech[BuffOrder])</f>
        <v>2</v>
      </c>
      <c r="E123" s="433" t="str">
        <f t="array" ref="E123">XLOOKUP(LCARS_Tech[BuffID],RawTech[BuffID],RawTech[TechType])</f>
        <v>CT</v>
      </c>
      <c r="F123" s="433" t="str">
        <f t="array" ref="F123">XLOOKUP(LCARS_Tech[BuffID],RawTech[BuffID],RawTech[Tag_PvPinSpace])</f>
        <v>➖</v>
      </c>
      <c r="G123" s="433" t="str">
        <f t="array" ref="G123">XLOOKUP(LCARS_Tech[BuffID],RawTech[BuffID],RawTech[Tag_PvPStation])</f>
        <v>➖</v>
      </c>
      <c r="H123" s="433" t="str">
        <f t="array" ref="H123">XLOOKUP(LCARS_Tech[BuffID],RawTech[BuffID],RawTech[Tag_NonArmadaHostiles])</f>
        <v>✅</v>
      </c>
      <c r="I123" s="433" t="str">
        <f t="array" ref="I123">XLOOKUP(LCARS_Tech[BuffID],RawTech[BuffID],RawTech[Tag_WaveDefense])</f>
        <v>➖</v>
      </c>
      <c r="J123" s="433" t="str">
        <f t="array" ref="J123">XLOOKUP(LCARS_Tech[BuffID],RawTech[BuffID],RawTech[Tag_QTrial])</f>
        <v>➖</v>
      </c>
      <c r="K123" s="433" t="str">
        <f t="array" ref="K123">XLOOKUP(LCARS_Tech[BuffID],RawTech[BuffID],RawTech[Tag_MissionBosses])</f>
        <v>➖</v>
      </c>
      <c r="L123" s="433" t="str">
        <f t="array" ref="L123">XLOOKUP(LCARS_Tech[BuffID],RawTech[BuffID],RawTech[Tag_GroupArmadas])</f>
        <v>➖</v>
      </c>
      <c r="M123" s="433" t="str">
        <f t="array" ref="M123">XLOOKUP(LCARS_Tech[BuffID],RawTech[BuffID],RawTech[Tag_SoloArmadas])</f>
        <v>➖</v>
      </c>
      <c r="N123" s="433" t="str">
        <f t="array" ref="N123">XLOOKUP(LCARS_Tech[BuffID],RawTech[BuffID],RawTech[Tag_InvadingEntities])</f>
        <v>➖</v>
      </c>
      <c r="O123" s="433" t="str">
        <f t="array" ref="O123">XLOOKUP(LCARS_Tech[BuffID],RawTech[BuffID],RawTech[Tag_Assaults])</f>
        <v>➖</v>
      </c>
      <c r="P123" s="434" t="str">
        <f t="array" ref="P123">XLOOKUP(LCARS_Tech[BuffID],RawTech[BuffID],RawTech[Tag_OutpostArmadas])</f>
        <v>➖</v>
      </c>
      <c r="Q123" s="416" t="str">
        <f t="array" ref="Q123">XLOOKUP(LCARS_Tech[BuffID],RawTech[BuffID],RawTech[Tag_OutpostRetaliators])</f>
        <v>➖</v>
      </c>
      <c r="R123" s="416" t="str">
        <f t="array" ref="R123">XLOOKUP(MasterTech!$AF$4:$AF$214,RawTech!$AO$2:$AO$212,RawTech!$AV$2:$AV$212)</f>
        <v/>
      </c>
      <c r="S123" s="433" t="str">
        <f t="array" ref="S123">XLOOKUP(MasterTech!$AF$4:$AF$214,RawTech!$AO$2:$AO$212,RawTech!$AK$2:$AK$212)</f>
        <v>✅</v>
      </c>
      <c r="T123" s="435" t="str">
        <f t="array" ref="T123">XLOOKUP(MasterTech!$AF$4:$AF$214,RawTech!$AO$2:$AO$212,RawTech!$AM$2:$AM$212)</f>
        <v>➖</v>
      </c>
      <c r="U123" s="438" t="str">
        <f t="array" ref="U123">XLOOKUP(MasterTech!$AF$4:$AF$214,RawTech!$AO$2:$AO$212,RawTech!$D$2:$D$212)</f>
        <v>HostileLoot</v>
      </c>
      <c r="V123" s="416" t="str">
        <f t="array" ref="V123">XLOOKUP(MasterTech!$AF$4:$AF$214,RawTech!$AO$2:$AO$212,RawTech!$I$2:$I$212)</f>
        <v/>
      </c>
      <c r="W123" s="437" t="str">
        <f t="array" ref="W123">XLOOKUP(MasterTech!$AF$4:$AF$214,RawTech!$AO$2:$AO$212,RawTech!$E$2:$E$212)</f>
        <v/>
      </c>
      <c r="X123" s="438" t="str">
        <f t="array" ref="X123">XLOOKUP(MasterTech!$AF$4:$AF$214,RawTech!$AO$2:$AO$212,RawTech!$F$2:$F$212)</f>
        <v>ShipLaunched</v>
      </c>
      <c r="Y123" s="438" t="str">
        <f t="array" ref="Y123">XLOOKUP(MasterTech!$AF$4:$AF$214,RawTech!$AO$2:$AO$212,RawTech!$G$2:$G$212)</f>
        <v>SelfShip</v>
      </c>
      <c r="Z123" s="438" t="str">
        <f t="array" ref="Z123">XLOOKUP(MasterTech!$AF$4:$AF$214,RawTech!$AO$2:$AO$212,RawTech!$H$2:$H$212)</f>
        <v>MultiplyAdd</v>
      </c>
      <c r="AA123" s="438" t="str">
        <f t="array" ref="AA123">XLOOKUP(MasterTech!$AF$4:$AF$214,RawTech!$AO$2:$AO$212,RawTech!$J$2:$J$212)</f>
        <v>Increase the amount of resources your ship receives from non-Armada Hostiles by X.</v>
      </c>
      <c r="AB123" s="439"/>
      <c r="AC123" s="440"/>
      <c r="AD123" s="440"/>
      <c r="AE123" s="441">
        <f t="array" ref="AE123">XLOOKUP(MasterTech!$AF$4:$AF$214,RawTech!$AO$2:$AO$212,RawTech!$AR$2:$AR$212)</f>
        <v>34</v>
      </c>
      <c r="AF123" s="427">
        <v>3.553747693E9</v>
      </c>
      <c r="AG123" s="428"/>
      <c r="AH123" s="428"/>
      <c r="AI123" s="429"/>
      <c r="AJ123" s="430"/>
    </row>
    <row r="124" ht="37.5" customHeight="1">
      <c r="A124" s="415" t="str">
        <f t="array" ref="A124">LEFT(XLOOKUP(LCARS_Tech[BuffID],RawTech[BuffID],RawTech[TechRarity]), 1)</f>
        <v>R</v>
      </c>
      <c r="B124" s="420"/>
      <c r="C124" s="452" t="str">
        <f t="array" ref="C124">HYPERLINK("https://stfc.space/forbidden_and_chaos_tech/" &amp; XLOOKUP(MasterTech!$AF$4:$AF$214,RawTech!$AO$2:$AO$212,RawTech!$AQ$2:$AQ$212), XLOOKUP(MasterTech!$AF$4:$AF$214,RawTech!$AO$2:$AO$212,RawTech!$B$2:$B$212))</f>
        <v>Electromagnetic Lute</v>
      </c>
      <c r="D124" s="418">
        <f t="array" ref="D124">XLOOKUP(LCARS_Tech[BuffID],RawTech[BuffID],RawTech[BuffOrder])</f>
        <v>1</v>
      </c>
      <c r="E124" s="419" t="str">
        <f t="array" ref="E124">XLOOKUP(LCARS_Tech[BuffID],RawTech[BuffID],RawTech[TechType])</f>
        <v>CT</v>
      </c>
      <c r="F124" s="419" t="str">
        <f t="array" ref="F124">XLOOKUP(LCARS_Tech[BuffID],RawTech[BuffID],RawTech[Tag_PvPinSpace])</f>
        <v>➖</v>
      </c>
      <c r="G124" s="419" t="str">
        <f t="array" ref="G124">XLOOKUP(LCARS_Tech[BuffID],RawTech[BuffID],RawTech[Tag_PvPStation])</f>
        <v>➖</v>
      </c>
      <c r="H124" s="419" t="str">
        <f t="array" ref="H124">XLOOKUP(LCARS_Tech[BuffID],RawTech[BuffID],RawTech[Tag_NonArmadaHostiles])</f>
        <v>✅</v>
      </c>
      <c r="I124" s="419" t="str">
        <f t="array" ref="I124">XLOOKUP(LCARS_Tech[BuffID],RawTech[BuffID],RawTech[Tag_WaveDefense])</f>
        <v>✅</v>
      </c>
      <c r="J124" s="419" t="str">
        <f t="array" ref="J124">XLOOKUP(LCARS_Tech[BuffID],RawTech[BuffID],RawTech[Tag_QTrial])</f>
        <v>✅</v>
      </c>
      <c r="K124" s="419" t="str">
        <f t="array" ref="K124">XLOOKUP(LCARS_Tech[BuffID],RawTech[BuffID],RawTech[Tag_MissionBosses])</f>
        <v>➖</v>
      </c>
      <c r="L124" s="419" t="str">
        <f t="array" ref="L124">XLOOKUP(LCARS_Tech[BuffID],RawTech[BuffID],RawTech[Tag_GroupArmadas])</f>
        <v>➖</v>
      </c>
      <c r="M124" s="419" t="str">
        <f t="array" ref="M124">XLOOKUP(LCARS_Tech[BuffID],RawTech[BuffID],RawTech[Tag_SoloArmadas])</f>
        <v>➖</v>
      </c>
      <c r="N124" s="419" t="str">
        <f t="array" ref="N124">XLOOKUP(LCARS_Tech[BuffID],RawTech[BuffID],RawTech[Tag_InvadingEntities])</f>
        <v>➖</v>
      </c>
      <c r="O124" s="419" t="str">
        <f t="array" ref="O124">XLOOKUP(LCARS_Tech[BuffID],RawTech[BuffID],RawTech[Tag_Assaults])</f>
        <v>➖</v>
      </c>
      <c r="P124" s="442" t="str">
        <f t="array" ref="P124">XLOOKUP(LCARS_Tech[BuffID],RawTech[BuffID],RawTech[Tag_OutpostArmadas])</f>
        <v>➖</v>
      </c>
      <c r="Q124" s="420" t="str">
        <f t="array" ref="Q124">XLOOKUP(LCARS_Tech[BuffID],RawTech[BuffID],RawTech[Tag_OutpostRetaliators])</f>
        <v>➖</v>
      </c>
      <c r="R124" s="420" t="str">
        <f t="array" ref="R124">XLOOKUP(MasterTech!$AF$4:$AF$214,RawTech!$AO$2:$AO$212,RawTech!$AV$2:$AV$212)</f>
        <v/>
      </c>
      <c r="S124" s="419" t="str">
        <f t="array" ref="S124">XLOOKUP(MasterTech!$AF$4:$AF$214,RawTech!$AO$2:$AO$212,RawTech!$AK$2:$AK$212)</f>
        <v>➖</v>
      </c>
      <c r="T124" s="422" t="str">
        <f t="array" ref="T124">XLOOKUP(MasterTech!$AF$4:$AF$214,RawTech!$AO$2:$AO$212,RawTech!$AM$2:$AM$212)</f>
        <v>➖</v>
      </c>
      <c r="U124" s="423" t="str">
        <f t="array" ref="U124">XLOOKUP(MasterTech!$AF$4:$AF$214,RawTech!$AO$2:$AO$212,RawTech!$D$2:$D$212)</f>
        <v>IsolyticDamage</v>
      </c>
      <c r="V124" s="423" t="str">
        <f t="array" ref="V124">XLOOKUP(MasterTech!$AF$4:$AF$214,RawTech!$AO$2:$AO$212,RawTech!$I$2:$I$212)</f>
        <v>num_rounds=3</v>
      </c>
      <c r="W124" s="443" t="str">
        <f t="array" ref="W124">XLOOKUP(MasterTech!$AF$4:$AF$214,RawTech!$AO$2:$AO$212,RawTech!$E$2:$E$212)</f>
        <v>EnemyHostile, TargetNotArmada</v>
      </c>
      <c r="X124" s="423" t="str">
        <f t="array" ref="X124">XLOOKUP(MasterTech!$AF$4:$AF$214,RawTech!$AO$2:$AO$212,RawTech!$F$2:$F$212)</f>
        <v>RoundStart</v>
      </c>
      <c r="Y124" s="423" t="str">
        <f t="array" ref="Y124">XLOOKUP(MasterTech!$AF$4:$AF$214,RawTech!$AO$2:$AO$212,RawTech!$G$2:$G$212)</f>
        <v>SelfShip</v>
      </c>
      <c r="Z124" s="423" t="str">
        <f t="array" ref="Z124">XLOOKUP(MasterTech!$AF$4:$AF$214,RawTech!$AO$2:$AO$212,RawTech!$H$2:$H$212)</f>
        <v>Add</v>
      </c>
      <c r="AA124" s="423" t="str">
        <f t="array" ref="AA124">XLOOKUP(MasterTech!$AF$4:$AF$214,RawTech!$AO$2:$AO$212,RawTech!$J$2:$J$212)</f>
        <v>When fighting non-Armada Hostiles, at the start of each round increases Isolytic Cascade Damage by X for 3 rounds.</v>
      </c>
      <c r="AB124" s="424"/>
      <c r="AC124" s="425"/>
      <c r="AD124" s="425"/>
      <c r="AE124" s="453">
        <f t="array" ref="AE124">XLOOKUP(MasterTech!$AF$4:$AF$214,RawTech!$AO$2:$AO$212,RawTech!$AR$2:$AR$212)</f>
        <v>35</v>
      </c>
      <c r="AF124" s="427">
        <v>1.005191827E9</v>
      </c>
      <c r="AG124" s="428"/>
      <c r="AH124" s="428"/>
      <c r="AI124" s="429"/>
      <c r="AJ124" s="430"/>
    </row>
    <row r="125" ht="37.5" customHeight="1">
      <c r="A125" s="415" t="str">
        <f t="array" ref="A125">LEFT(XLOOKUP(LCARS_Tech[BuffID],RawTech[BuffID],RawTech[TechRarity]), 1)</f>
        <v>R</v>
      </c>
      <c r="B125" s="416"/>
      <c r="C125" s="454" t="str">
        <f t="array" ref="C125">HYPERLINK("https://stfc.space/forbidden_and_chaos_tech/" &amp; XLOOKUP(MasterTech!$AF$4:$AF$214,RawTech!$AO$2:$AO$212,RawTech!$AQ$2:$AQ$212), XLOOKUP(MasterTech!$AF$4:$AF$214,RawTech!$AO$2:$AO$212,RawTech!$B$2:$B$212))</f>
        <v>Electromagnetic Lute</v>
      </c>
      <c r="D125" s="432">
        <f t="array" ref="D125">XLOOKUP(LCARS_Tech[BuffID],RawTech[BuffID],RawTech[BuffOrder])</f>
        <v>2</v>
      </c>
      <c r="E125" s="433" t="str">
        <f t="array" ref="E125">XLOOKUP(LCARS_Tech[BuffID],RawTech[BuffID],RawTech[TechType])</f>
        <v>CT</v>
      </c>
      <c r="F125" s="433" t="str">
        <f t="array" ref="F125">XLOOKUP(LCARS_Tech[BuffID],RawTech[BuffID],RawTech[Tag_PvPinSpace])</f>
        <v>➖</v>
      </c>
      <c r="G125" s="433" t="str">
        <f t="array" ref="G125">XLOOKUP(LCARS_Tech[BuffID],RawTech[BuffID],RawTech[Tag_PvPStation])</f>
        <v>➖</v>
      </c>
      <c r="H125" s="433" t="str">
        <f t="array" ref="H125">XLOOKUP(LCARS_Tech[BuffID],RawTech[BuffID],RawTech[Tag_NonArmadaHostiles])</f>
        <v>✴️</v>
      </c>
      <c r="I125" s="433" t="str">
        <f t="array" ref="I125">XLOOKUP(LCARS_Tech[BuffID],RawTech[BuffID],RawTech[Tag_WaveDefense])</f>
        <v>➖</v>
      </c>
      <c r="J125" s="433" t="str">
        <f t="array" ref="J125">XLOOKUP(LCARS_Tech[BuffID],RawTech[BuffID],RawTech[Tag_QTrial])</f>
        <v>➖</v>
      </c>
      <c r="K125" s="433" t="str">
        <f t="array" ref="K125">XLOOKUP(LCARS_Tech[BuffID],RawTech[BuffID],RawTech[Tag_MissionBosses])</f>
        <v>➖</v>
      </c>
      <c r="L125" s="433" t="str">
        <f t="array" ref="L125">XLOOKUP(LCARS_Tech[BuffID],RawTech[BuffID],RawTech[Tag_GroupArmadas])</f>
        <v>➖</v>
      </c>
      <c r="M125" s="433" t="str">
        <f t="array" ref="M125">XLOOKUP(LCARS_Tech[BuffID],RawTech[BuffID],RawTech[Tag_SoloArmadas])</f>
        <v>➖</v>
      </c>
      <c r="N125" s="433" t="str">
        <f t="array" ref="N125">XLOOKUP(LCARS_Tech[BuffID],RawTech[BuffID],RawTech[Tag_InvadingEntities])</f>
        <v>➖</v>
      </c>
      <c r="O125" s="433" t="str">
        <f t="array" ref="O125">XLOOKUP(LCARS_Tech[BuffID],RawTech[BuffID],RawTech[Tag_Assaults])</f>
        <v>➖</v>
      </c>
      <c r="P125" s="434" t="str">
        <f t="array" ref="P125">XLOOKUP(LCARS_Tech[BuffID],RawTech[BuffID],RawTech[Tag_OutpostArmadas])</f>
        <v>➖</v>
      </c>
      <c r="Q125" s="451" t="str">
        <f t="array" ref="Q125">XLOOKUP(LCARS_Tech[BuffID],RawTech[BuffID],RawTech[Tag_OutpostRetaliators])</f>
        <v>➖</v>
      </c>
      <c r="R125" s="451" t="str">
        <f t="array" ref="R125">XLOOKUP(MasterTech!$AF$4:$AF$214,RawTech!$AO$2:$AO$212,RawTech!$AV$2:$AV$212)</f>
        <v>NetChipLoot</v>
      </c>
      <c r="S125" s="433" t="str">
        <f t="array" ref="S125">XLOOKUP(MasterTech!$AF$4:$AF$214,RawTech!$AO$2:$AO$212,RawTech!$AK$2:$AK$212)</f>
        <v>✅</v>
      </c>
      <c r="T125" s="435" t="str">
        <f t="array" ref="T125">XLOOKUP(MasterTech!$AF$4:$AF$214,RawTech!$AO$2:$AO$212,RawTech!$AM$2:$AM$212)</f>
        <v>➖</v>
      </c>
      <c r="U125" s="438" t="str">
        <f t="array" ref="U125">XLOOKUP(MasterTech!$AF$4:$AF$214,RawTech!$AO$2:$AO$212,RawTech!$D$2:$D$212)</f>
        <v>NetChipLoot</v>
      </c>
      <c r="V125" s="416" t="str">
        <f t="array" ref="V125">XLOOKUP(MasterTech!$AF$4:$AF$214,RawTech!$AO$2:$AO$212,RawTech!$I$2:$I$212)</f>
        <v/>
      </c>
      <c r="W125" s="437" t="str">
        <f t="array" ref="W125">XLOOKUP(MasterTech!$AF$4:$AF$214,RawTech!$AO$2:$AO$212,RawTech!$E$2:$E$212)</f>
        <v/>
      </c>
      <c r="X125" s="438" t="str">
        <f t="array" ref="X125">XLOOKUP(MasterTech!$AF$4:$AF$214,RawTech!$AO$2:$AO$212,RawTech!$F$2:$F$212)</f>
        <v>ShipLaunched</v>
      </c>
      <c r="Y125" s="438" t="str">
        <f t="array" ref="Y125">XLOOKUP(MasterTech!$AF$4:$AF$214,RawTech!$AO$2:$AO$212,RawTech!$G$2:$G$212)</f>
        <v>SelfShip</v>
      </c>
      <c r="Z125" s="438" t="str">
        <f t="array" ref="Z125">XLOOKUP(MasterTech!$AF$4:$AF$214,RawTech!$AO$2:$AO$212,RawTech!$H$2:$H$212)</f>
        <v>MultiplyAdd</v>
      </c>
      <c r="AA125" s="438" t="str">
        <f t="array" ref="AA125">XLOOKUP(MasterTech!$AF$4:$AF$214,RawTech!$AO$2:$AO$212,RawTech!$J$2:$J$212)</f>
        <v>Increases the amount of resources you get from destroying hostiles with the Texas-class [DAL] tag by X.</v>
      </c>
      <c r="AB125" s="439"/>
      <c r="AC125" s="440"/>
      <c r="AD125" s="440"/>
      <c r="AE125" s="455">
        <f t="array" ref="AE125">XLOOKUP(MasterTech!$AF$4:$AF$214,RawTech!$AO$2:$AO$212,RawTech!$AR$2:$AR$212)</f>
        <v>35</v>
      </c>
      <c r="AF125" s="427">
        <v>1.986628218E9</v>
      </c>
      <c r="AG125" s="428"/>
      <c r="AH125" s="428"/>
      <c r="AI125" s="429"/>
      <c r="AJ125" s="430"/>
    </row>
    <row r="126" ht="37.5" customHeight="1">
      <c r="A126" s="415" t="str">
        <f t="array" ref="A126">LEFT(XLOOKUP(LCARS_Tech[BuffID],RawTech[BuffID],RawTech[TechRarity]), 1)</f>
        <v>R</v>
      </c>
      <c r="B126" s="420"/>
      <c r="C126" s="417" t="str">
        <f t="array" ref="C126">HYPERLINK("https://stfc.space/forbidden_and_chaos_tech/" &amp; XLOOKUP(LCARS_Tech[BuffID],RawTech[BuffID],RawTech[TechId]), XLOOKUP(LCARS_Tech[BuffID],RawTech[BuffID],RawTech[TechName]))</f>
        <v>Electromagnetic Lute</v>
      </c>
      <c r="D126" s="418">
        <f t="array" ref="D126">XLOOKUP(LCARS_Tech[BuffID],RawTech[BuffID],RawTech[BuffOrder])</f>
        <v>3</v>
      </c>
      <c r="E126" s="419" t="str">
        <f t="array" ref="E126">XLOOKUP(LCARS_Tech[BuffID],RawTech[BuffID],RawTech[TechType])</f>
        <v>CT</v>
      </c>
      <c r="F126" s="419" t="str">
        <f t="array" ref="F126">XLOOKUP(LCARS_Tech[BuffID],RawTech[BuffID],RawTech[Tag_PvPinSpace])</f>
        <v>➖</v>
      </c>
      <c r="G126" s="419" t="str">
        <f t="array" ref="G126">XLOOKUP(LCARS_Tech[BuffID],RawTech[BuffID],RawTech[Tag_PvPStation])</f>
        <v>➖</v>
      </c>
      <c r="H126" s="419" t="str">
        <f t="array" ref="H126">XLOOKUP(LCARS_Tech[BuffID],RawTech[BuffID],RawTech[Tag_NonArmadaHostiles])</f>
        <v>✴️</v>
      </c>
      <c r="I126" s="419" t="str">
        <f t="array" ref="I126">XLOOKUP(LCARS_Tech[BuffID],RawTech[BuffID],RawTech[Tag_WaveDefense])</f>
        <v>✴️</v>
      </c>
      <c r="J126" s="419" t="str">
        <f t="array" ref="J126">XLOOKUP(LCARS_Tech[BuffID],RawTech[BuffID],RawTech[Tag_QTrial])</f>
        <v>✴️</v>
      </c>
      <c r="K126" s="419" t="str">
        <f t="array" ref="K126">XLOOKUP(LCARS_Tech[BuffID],RawTech[BuffID],RawTech[Tag_MissionBosses])</f>
        <v>✴️</v>
      </c>
      <c r="L126" s="419" t="str">
        <f t="array" ref="L126">XLOOKUP(LCARS_Tech[BuffID],RawTech[BuffID],RawTech[Tag_GroupArmadas])</f>
        <v>✴️</v>
      </c>
      <c r="M126" s="419" t="str">
        <f t="array" ref="M126">XLOOKUP(LCARS_Tech[BuffID],RawTech[BuffID],RawTech[Tag_SoloArmadas])</f>
        <v>✴️</v>
      </c>
      <c r="N126" s="419" t="str">
        <f t="array" ref="N126">XLOOKUP(LCARS_Tech[BuffID],RawTech[BuffID],RawTech[Tag_InvadingEntities])</f>
        <v>➖</v>
      </c>
      <c r="O126" s="419" t="str">
        <f t="array" ref="O126">XLOOKUP(LCARS_Tech[BuffID],RawTech[BuffID],RawTech[Tag_Assaults])</f>
        <v>✴️</v>
      </c>
      <c r="P126" s="442" t="str">
        <f t="array" ref="P126">XLOOKUP(LCARS_Tech[BuffID],RawTech[BuffID],RawTech[Tag_OutpostArmadas])</f>
        <v>➖</v>
      </c>
      <c r="Q126" s="450" t="str">
        <f t="array" ref="Q126">XLOOKUP(LCARS_Tech[BuffID],RawTech[BuffID],RawTech[Tag_OutpostRetaliators])</f>
        <v>➖</v>
      </c>
      <c r="R126" s="450" t="str">
        <f t="array" ref="R126">XLOOKUP(MasterTech!$AF$4:$AF$214,RawTech!$AO$2:$AO$212,RawTech!$AV$2:$AV$212)</f>
        <v>EnemyHullFaction, SelfOfficerTalNotOnBridge</v>
      </c>
      <c r="S126" s="419" t="str">
        <f t="array" ref="S126">XLOOKUP(MasterTech!$AF$4:$AF$214,RawTech!$AO$2:$AO$212,RawTech!$AK$2:$AK$212)</f>
        <v>➖</v>
      </c>
      <c r="T126" s="422" t="str">
        <f t="array" ref="T126">XLOOKUP(MasterTech!$AF$4:$AF$214,RawTech!$AO$2:$AO$212,RawTech!$AM$2:$AM$212)</f>
        <v>➖</v>
      </c>
      <c r="U126" s="423" t="str">
        <f t="array" ref="U126">XLOOKUP(MasterTech!$AF$4:$AF$214,RawTech!$AO$2:$AO$212,RawTech!$D$2:$D$212)</f>
        <v>ApexBarrier</v>
      </c>
      <c r="V126" s="423" t="str">
        <f t="array" ref="V126">XLOOKUP(MasterTech!$AF$4:$AF$214,RawTech!$AO$2:$AO$212,RawTech!$I$2:$I$212)</f>
        <v>faction_id=2796195869</v>
      </c>
      <c r="W126" s="443" t="str">
        <f t="array" ref="W126">XLOOKUP(MasterTech!$AF$4:$AF$214,RawTech!$AO$2:$AO$212,RawTech!$E$2:$E$212)</f>
        <v>EnemyHullFaction, SelfOfficerTalNotOnBridge</v>
      </c>
      <c r="X126" s="423" t="str">
        <f t="array" ref="X126">XLOOKUP(MasterTech!$AF$4:$AF$214,RawTech!$AO$2:$AO$212,RawTech!$F$2:$F$212)</f>
        <v>CombatStart</v>
      </c>
      <c r="Y126" s="423" t="str">
        <f t="array" ref="Y126">XLOOKUP(MasterTech!$AF$4:$AF$214,RawTech!$AO$2:$AO$212,RawTech!$G$2:$G$212)</f>
        <v>SelfShip</v>
      </c>
      <c r="Z126" s="423" t="str">
        <f t="array" ref="Z126">XLOOKUP(MasterTech!$AF$4:$AF$214,RawTech!$AO$2:$AO$212,RawTech!$H$2:$H$212)</f>
        <v>Add</v>
      </c>
      <c r="AA126" s="423" t="str">
        <f t="array" ref="AA126">XLOOKUP(MasterTech!$AF$4:$AF$214,RawTech!$AO$2:$AO$212,RawTech!$J$2:$J$212)</f>
        <v>Gain X Apex Barrier when fighting hostiles with the Texas-class [DAL] tag.</v>
      </c>
      <c r="AB126" s="424"/>
      <c r="AC126" s="425"/>
      <c r="AD126" s="425"/>
      <c r="AE126" s="453">
        <f t="array" ref="AE126">XLOOKUP(MasterTech!$AF$4:$AF$214,RawTech!$AO$2:$AO$212,RawTech!$AR$2:$AR$212)</f>
        <v>35</v>
      </c>
      <c r="AF126" s="427">
        <v>2.62988827E8</v>
      </c>
      <c r="AG126" s="428"/>
      <c r="AH126" s="428"/>
      <c r="AI126" s="429"/>
      <c r="AJ126" s="430"/>
    </row>
    <row r="127" ht="37.5" customHeight="1">
      <c r="A127" s="415" t="str">
        <f t="array" ref="A127">LEFT(XLOOKUP(LCARS_Tech[BuffID],RawTech[BuffID],RawTech[TechRarity]), 1)</f>
        <v>U</v>
      </c>
      <c r="B127" s="416"/>
      <c r="C127" s="446" t="str">
        <f t="array" ref="C127">HYPERLINK("https://stfc.space/forbidden_and_chaos_tech/" &amp; XLOOKUP(MasterTech!$AF$4:$AF$214,RawTech!$AO$2:$AO$212,RawTech!$AQ$2:$AQ$212), XLOOKUP(MasterTech!$AF$4:$AF$214,RawTech!$AO$2:$AO$212,RawTech!$B$2:$B$212))</f>
        <v>Interphasic Mirror</v>
      </c>
      <c r="D127" s="432">
        <f t="array" ref="D127">XLOOKUP(LCARS_Tech[BuffID],RawTech[BuffID],RawTech[BuffOrder])</f>
        <v>1</v>
      </c>
      <c r="E127" s="433" t="str">
        <f t="array" ref="E127">XLOOKUP(LCARS_Tech[BuffID],RawTech[BuffID],RawTech[TechType])</f>
        <v>CT</v>
      </c>
      <c r="F127" s="433" t="str">
        <f t="array" ref="F127">XLOOKUP(LCARS_Tech[BuffID],RawTech[BuffID],RawTech[Tag_PvPinSpace])</f>
        <v>➖</v>
      </c>
      <c r="G127" s="433" t="str">
        <f t="array" ref="G127">XLOOKUP(LCARS_Tech[BuffID],RawTech[BuffID],RawTech[Tag_PvPStation])</f>
        <v>➖</v>
      </c>
      <c r="H127" s="433" t="str">
        <f t="array" ref="H127">XLOOKUP(LCARS_Tech[BuffID],RawTech[BuffID],RawTech[Tag_NonArmadaHostiles])</f>
        <v>✅</v>
      </c>
      <c r="I127" s="433" t="str">
        <f t="array" ref="I127">XLOOKUP(LCARS_Tech[BuffID],RawTech[BuffID],RawTech[Tag_WaveDefense])</f>
        <v>✅</v>
      </c>
      <c r="J127" s="433" t="str">
        <f t="array" ref="J127">XLOOKUP(LCARS_Tech[BuffID],RawTech[BuffID],RawTech[Tag_QTrial])</f>
        <v>✅</v>
      </c>
      <c r="K127" s="433" t="str">
        <f t="array" ref="K127">XLOOKUP(LCARS_Tech[BuffID],RawTech[BuffID],RawTech[Tag_MissionBosses])</f>
        <v>➖</v>
      </c>
      <c r="L127" s="433" t="str">
        <f t="array" ref="L127">XLOOKUP(LCARS_Tech[BuffID],RawTech[BuffID],RawTech[Tag_GroupArmadas])</f>
        <v>✅</v>
      </c>
      <c r="M127" s="433" t="str">
        <f t="array" ref="M127">XLOOKUP(LCARS_Tech[BuffID],RawTech[BuffID],RawTech[Tag_SoloArmadas])</f>
        <v>✅</v>
      </c>
      <c r="N127" s="433" t="str">
        <f t="array" ref="N127">XLOOKUP(LCARS_Tech[BuffID],RawTech[BuffID],RawTech[Tag_InvadingEntities])</f>
        <v>✅</v>
      </c>
      <c r="O127" s="433" t="str">
        <f t="array" ref="O127">XLOOKUP(LCARS_Tech[BuffID],RawTech[BuffID],RawTech[Tag_Assaults])</f>
        <v>➖</v>
      </c>
      <c r="P127" s="434" t="str">
        <f t="array" ref="P127">XLOOKUP(LCARS_Tech[BuffID],RawTech[BuffID],RawTech[Tag_OutpostArmadas])</f>
        <v>➖</v>
      </c>
      <c r="Q127" s="416" t="str">
        <f t="array" ref="Q127">XLOOKUP(LCARS_Tech[BuffID],RawTech[BuffID],RawTech[Tag_OutpostRetaliators])</f>
        <v>➖</v>
      </c>
      <c r="R127" s="416" t="str">
        <f t="array" ref="R127">XLOOKUP(MasterTech!$AF$4:$AF$214,RawTech!$AO$2:$AO$212,RawTech!$AV$2:$AV$212)</f>
        <v/>
      </c>
      <c r="S127" s="433" t="str">
        <f t="array" ref="S127">XLOOKUP(MasterTech!$AF$4:$AF$214,RawTech!$AO$2:$AO$212,RawTech!$AK$2:$AK$212)</f>
        <v>➖</v>
      </c>
      <c r="T127" s="435" t="str">
        <f t="array" ref="T127">XLOOKUP(MasterTech!$AF$4:$AF$214,RawTech!$AO$2:$AO$212,RawTech!$AM$2:$AM$212)</f>
        <v>➖</v>
      </c>
      <c r="U127" s="438" t="str">
        <f t="array" ref="U127">XLOOKUP(MasterTech!$AF$4:$AF$214,RawTech!$AO$2:$AO$212,RawTech!$D$2:$D$212)</f>
        <v>IsolyticDamage</v>
      </c>
      <c r="V127" s="438" t="str">
        <f t="array" ref="V127">XLOOKUP(MasterTech!$AF$4:$AF$214,RawTech!$AO$2:$AO$212,RawTech!$I$2:$I$212)</f>
        <v>num_rounds=1</v>
      </c>
      <c r="W127" s="447" t="str">
        <f t="array" ref="W127">XLOOKUP(MasterTech!$AF$4:$AF$214,RawTech!$AO$2:$AO$212,RawTech!$E$2:$E$212)</f>
        <v>EnemyHostile</v>
      </c>
      <c r="X127" s="438" t="str">
        <f t="array" ref="X127">XLOOKUP(MasterTech!$AF$4:$AF$214,RawTech!$AO$2:$AO$212,RawTech!$F$2:$F$212)</f>
        <v>HullDamageTaken</v>
      </c>
      <c r="Y127" s="438" t="str">
        <f t="array" ref="Y127">XLOOKUP(MasterTech!$AF$4:$AF$214,RawTech!$AO$2:$AO$212,RawTech!$G$2:$G$212)</f>
        <v>SelfShip</v>
      </c>
      <c r="Z127" s="438" t="str">
        <f t="array" ref="Z127">XLOOKUP(MasterTech!$AF$4:$AF$214,RawTech!$AO$2:$AO$212,RawTech!$H$2:$H$212)</f>
        <v>MultiplyAdd</v>
      </c>
      <c r="AA127" s="438" t="str">
        <f t="array" ref="AA127">XLOOKUP(MasterTech!$AF$4:$AF$214,RawTech!$AO$2:$AO$212,RawTech!$J$2:$J$212)</f>
        <v>Increases Isolytic Cascade damage by X for 1 round (This ability can stack)</v>
      </c>
      <c r="AB127" s="439"/>
      <c r="AC127" s="440"/>
      <c r="AD127" s="440"/>
      <c r="AE127" s="448">
        <f t="array" ref="AE127">XLOOKUP(MasterTech!$AF$4:$AF$214,RawTech!$AO$2:$AO$212,RawTech!$AR$2:$AR$212)</f>
        <v>29</v>
      </c>
      <c r="AF127" s="427">
        <v>1.588963497E9</v>
      </c>
      <c r="AG127" s="428"/>
      <c r="AH127" s="428"/>
      <c r="AI127" s="429"/>
      <c r="AJ127" s="430"/>
    </row>
    <row r="128" ht="37.5" customHeight="1">
      <c r="A128" s="415" t="str">
        <f t="array" ref="A128">LEFT(XLOOKUP(LCARS_Tech[BuffID],RawTech[BuffID],RawTech[TechRarity]), 1)</f>
        <v>U</v>
      </c>
      <c r="B128" s="420"/>
      <c r="C128" s="444" t="str">
        <f t="array" ref="C128">HYPERLINK("https://stfc.space/forbidden_and_chaos_tech/" &amp; XLOOKUP(MasterTech!$AF$4:$AF$214,RawTech!$AO$2:$AO$212,RawTech!$AQ$2:$AQ$212), XLOOKUP(MasterTech!$AF$4:$AF$214,RawTech!$AO$2:$AO$212,RawTech!$B$2:$B$212))</f>
        <v>Interphasic Mirror</v>
      </c>
      <c r="D128" s="418">
        <f t="array" ref="D128">XLOOKUP(LCARS_Tech[BuffID],RawTech[BuffID],RawTech[BuffOrder])</f>
        <v>2</v>
      </c>
      <c r="E128" s="419" t="str">
        <f t="array" ref="E128">XLOOKUP(LCARS_Tech[BuffID],RawTech[BuffID],RawTech[TechType])</f>
        <v>CT</v>
      </c>
      <c r="F128" s="419" t="str">
        <f t="array" ref="F128">XLOOKUP(LCARS_Tech[BuffID],RawTech[BuffID],RawTech[Tag_PvPinSpace])</f>
        <v>➖</v>
      </c>
      <c r="G128" s="419" t="str">
        <f t="array" ref="G128">XLOOKUP(LCARS_Tech[BuffID],RawTech[BuffID],RawTech[Tag_PvPStation])</f>
        <v>➖</v>
      </c>
      <c r="H128" s="419" t="str">
        <f t="array" ref="H128">XLOOKUP(LCARS_Tech[BuffID],RawTech[BuffID],RawTech[Tag_NonArmadaHostiles])</f>
        <v>✅</v>
      </c>
      <c r="I128" s="419" t="str">
        <f t="array" ref="I128">XLOOKUP(LCARS_Tech[BuffID],RawTech[BuffID],RawTech[Tag_WaveDefense])</f>
        <v>✅</v>
      </c>
      <c r="J128" s="419" t="str">
        <f t="array" ref="J128">XLOOKUP(LCARS_Tech[BuffID],RawTech[BuffID],RawTech[Tag_QTrial])</f>
        <v>✅</v>
      </c>
      <c r="K128" s="419" t="str">
        <f t="array" ref="K128">XLOOKUP(LCARS_Tech[BuffID],RawTech[BuffID],RawTech[Tag_MissionBosses])</f>
        <v>➖</v>
      </c>
      <c r="L128" s="419" t="str">
        <f t="array" ref="L128">XLOOKUP(LCARS_Tech[BuffID],RawTech[BuffID],RawTech[Tag_GroupArmadas])</f>
        <v>✅</v>
      </c>
      <c r="M128" s="419" t="str">
        <f t="array" ref="M128">XLOOKUP(LCARS_Tech[BuffID],RawTech[BuffID],RawTech[Tag_SoloArmadas])</f>
        <v>✅</v>
      </c>
      <c r="N128" s="419" t="str">
        <f t="array" ref="N128">XLOOKUP(LCARS_Tech[BuffID],RawTech[BuffID],RawTech[Tag_InvadingEntities])</f>
        <v>✅</v>
      </c>
      <c r="O128" s="419" t="str">
        <f t="array" ref="O128">XLOOKUP(LCARS_Tech[BuffID],RawTech[BuffID],RawTech[Tag_Assaults])</f>
        <v>➖</v>
      </c>
      <c r="P128" s="442" t="str">
        <f t="array" ref="P128">XLOOKUP(LCARS_Tech[BuffID],RawTech[BuffID],RawTech[Tag_OutpostArmadas])</f>
        <v>➖</v>
      </c>
      <c r="Q128" s="420" t="str">
        <f t="array" ref="Q128">XLOOKUP(LCARS_Tech[BuffID],RawTech[BuffID],RawTech[Tag_OutpostRetaliators])</f>
        <v>➖</v>
      </c>
      <c r="R128" s="420" t="str">
        <f t="array" ref="R128">XLOOKUP(MasterTech!$AF$4:$AF$214,RawTech!$AO$2:$AO$212,RawTech!$AV$2:$AV$212)</f>
        <v/>
      </c>
      <c r="S128" s="419" t="str">
        <f t="array" ref="S128">XLOOKUP(MasterTech!$AF$4:$AF$214,RawTech!$AO$2:$AO$212,RawTech!$AK$2:$AK$212)</f>
        <v>➖</v>
      </c>
      <c r="T128" s="422" t="str">
        <f t="array" ref="T128">XLOOKUP(MasterTech!$AF$4:$AF$214,RawTech!$AO$2:$AO$212,RawTech!$AM$2:$AM$212)</f>
        <v>➖</v>
      </c>
      <c r="U128" s="423" t="str">
        <f t="array" ref="U128">XLOOKUP(MasterTech!$AF$4:$AF$214,RawTech!$AO$2:$AO$212,RawTech!$D$2:$D$212)</f>
        <v>IsolyticDefense</v>
      </c>
      <c r="V128" s="420" t="str">
        <f t="array" ref="V128">XLOOKUP(MasterTech!$AF$4:$AF$214,RawTech!$AO$2:$AO$212,RawTech!$I$2:$I$212)</f>
        <v/>
      </c>
      <c r="W128" s="443" t="str">
        <f t="array" ref="W128">XLOOKUP(MasterTech!$AF$4:$AF$214,RawTech!$AO$2:$AO$212,RawTech!$E$2:$E$212)</f>
        <v>EnemyHostile</v>
      </c>
      <c r="X128" s="423" t="str">
        <f t="array" ref="X128">XLOOKUP(MasterTech!$AF$4:$AF$214,RawTech!$AO$2:$AO$212,RawTech!$F$2:$F$212)</f>
        <v>CombatStart</v>
      </c>
      <c r="Y128" s="423" t="str">
        <f t="array" ref="Y128">XLOOKUP(MasterTech!$AF$4:$AF$214,RawTech!$AO$2:$AO$212,RawTech!$G$2:$G$212)</f>
        <v>SelfShip</v>
      </c>
      <c r="Z128" s="423" t="str">
        <f t="array" ref="Z128">XLOOKUP(MasterTech!$AF$4:$AF$214,RawTech!$AO$2:$AO$212,RawTech!$H$2:$H$212)</f>
        <v>Add</v>
      </c>
      <c r="AA128" s="423" t="str">
        <f t="array" ref="AA128">XLOOKUP(MasterTech!$AF$4:$AF$214,RawTech!$AO$2:$AO$212,RawTech!$J$2:$J$212)</f>
        <v>Reduces Isolytic Damage received from Hostiles and Armadas by X.</v>
      </c>
      <c r="AB128" s="468" t="b">
        <v>1</v>
      </c>
      <c r="AC128" s="469" t="s">
        <v>546</v>
      </c>
      <c r="AD128" s="469" t="s">
        <v>547</v>
      </c>
      <c r="AE128" s="445">
        <f t="array" ref="AE128">XLOOKUP(MasterTech!$AF$4:$AF$214,RawTech!$AO$2:$AO$212,RawTech!$AR$2:$AR$212)</f>
        <v>29</v>
      </c>
      <c r="AF128" s="427">
        <v>2.785717743E9</v>
      </c>
      <c r="AG128" s="428"/>
      <c r="AH128" s="428"/>
      <c r="AI128" s="429"/>
      <c r="AJ128" s="430"/>
    </row>
    <row r="129" ht="37.5" customHeight="1">
      <c r="A129" s="415" t="str">
        <f t="array" ref="A129">LEFT(XLOOKUP(LCARS_Tech[BuffID],RawTech[BuffID],RawTech[TechRarity]), 1)</f>
        <v>R</v>
      </c>
      <c r="B129" s="416"/>
      <c r="C129" s="454" t="str">
        <f t="array" ref="C129">HYPERLINK("https://stfc.space/forbidden_and_chaos_tech/" &amp; XLOOKUP(MasterTech!$AF$4:$AF$214,RawTech!$AO$2:$AO$212,RawTech!$AQ$2:$AQ$212), XLOOKUP(MasterTech!$AF$4:$AF$214,RawTech!$AO$2:$AO$212,RawTech!$B$2:$B$212))</f>
        <v>Unimatrix Shielding</v>
      </c>
      <c r="D129" s="432">
        <f t="array" ref="D129">XLOOKUP(LCARS_Tech[BuffID],RawTech[BuffID],RawTech[BuffOrder])</f>
        <v>1</v>
      </c>
      <c r="E129" s="433" t="str">
        <f t="array" ref="E129">XLOOKUP(LCARS_Tech[BuffID],RawTech[BuffID],RawTech[TechType])</f>
        <v>CT</v>
      </c>
      <c r="F129" s="433" t="str">
        <f t="array" ref="F129">XLOOKUP(LCARS_Tech[BuffID],RawTech[BuffID],RawTech[Tag_PvPinSpace])</f>
        <v>✴️</v>
      </c>
      <c r="G129" s="433" t="str">
        <f t="array" ref="G129">XLOOKUP(LCARS_Tech[BuffID],RawTech[BuffID],RawTech[Tag_PvPStation])</f>
        <v>✴️</v>
      </c>
      <c r="H129" s="433" t="str">
        <f t="array" ref="H129">XLOOKUP(LCARS_Tech[BuffID],RawTech[BuffID],RawTech[Tag_NonArmadaHostiles])</f>
        <v>➖</v>
      </c>
      <c r="I129" s="433" t="str">
        <f t="array" ref="I129">XLOOKUP(LCARS_Tech[BuffID],RawTech[BuffID],RawTech[Tag_WaveDefense])</f>
        <v>➖</v>
      </c>
      <c r="J129" s="433" t="str">
        <f t="array" ref="J129">XLOOKUP(LCARS_Tech[BuffID],RawTech[BuffID],RawTech[Tag_QTrial])</f>
        <v>➖</v>
      </c>
      <c r="K129" s="433" t="str">
        <f t="array" ref="K129">XLOOKUP(LCARS_Tech[BuffID],RawTech[BuffID],RawTech[Tag_MissionBosses])</f>
        <v>➖</v>
      </c>
      <c r="L129" s="433" t="str">
        <f t="array" ref="L129">XLOOKUP(LCARS_Tech[BuffID],RawTech[BuffID],RawTech[Tag_GroupArmadas])</f>
        <v>➖</v>
      </c>
      <c r="M129" s="433" t="str">
        <f t="array" ref="M129">XLOOKUP(LCARS_Tech[BuffID],RawTech[BuffID],RawTech[Tag_SoloArmadas])</f>
        <v>➖</v>
      </c>
      <c r="N129" s="433" t="str">
        <f t="array" ref="N129">XLOOKUP(LCARS_Tech[BuffID],RawTech[BuffID],RawTech[Tag_InvadingEntities])</f>
        <v>➖</v>
      </c>
      <c r="O129" s="433" t="str">
        <f t="array" ref="O129">XLOOKUP(LCARS_Tech[BuffID],RawTech[BuffID],RawTech[Tag_Assaults])</f>
        <v>➖</v>
      </c>
      <c r="P129" s="434" t="str">
        <f t="array" ref="P129">XLOOKUP(LCARS_Tech[BuffID],RawTech[BuffID],RawTech[Tag_OutpostArmadas])</f>
        <v>➖</v>
      </c>
      <c r="Q129" s="451" t="str">
        <f t="array" ref="Q129">XLOOKUP(LCARS_Tech[BuffID],RawTech[BuffID],RawTech[Tag_OutpostRetaliators])</f>
        <v>➖</v>
      </c>
      <c r="R129" s="451" t="str">
        <f t="array" ref="R129">XLOOKUP(MasterTech!$AF$4:$AF$214,RawTech!$AO$2:$AO$212,RawTech!$AV$2:$AV$212)</f>
        <v>SelfStateAny</v>
      </c>
      <c r="S129" s="433" t="str">
        <f t="array" ref="S129">XLOOKUP(MasterTech!$AF$4:$AF$214,RawTech!$AO$2:$AO$212,RawTech!$AK$2:$AK$212)</f>
        <v>➖</v>
      </c>
      <c r="T129" s="435" t="str">
        <f t="array" ref="T129">XLOOKUP(MasterTech!$AF$4:$AF$214,RawTech!$AO$2:$AO$212,RawTech!$AM$2:$AM$212)</f>
        <v>➖</v>
      </c>
      <c r="U129" s="438" t="str">
        <f t="array" ref="U129">XLOOKUP(MasterTech!$AF$4:$AF$214,RawTech!$AO$2:$AO$212,RawTech!$D$2:$D$212)</f>
        <v>IsolyticDamage</v>
      </c>
      <c r="V129" s="438" t="str">
        <f t="array" ref="V129">XLOOKUP(MasterTech!$AF$4:$AF$214,RawTech!$AO$2:$AO$212,RawTech!$I$2:$I$212)</f>
        <v>num_rounds=2</v>
      </c>
      <c r="W129" s="447" t="str">
        <f t="array" ref="W129">XLOOKUP(MasterTech!$AF$4:$AF$214,RawTech!$AO$2:$AO$212,RawTech!$E$2:$E$212)</f>
        <v>SelfStateAny, EnemyPlayer</v>
      </c>
      <c r="X129" s="438" t="str">
        <f t="array" ref="X129">XLOOKUP(MasterTech!$AF$4:$AF$214,RawTech!$AO$2:$AO$212,RawTech!$F$2:$F$212)</f>
        <v>RoundStart</v>
      </c>
      <c r="Y129" s="438" t="str">
        <f t="array" ref="Y129">XLOOKUP(MasterTech!$AF$4:$AF$214,RawTech!$AO$2:$AO$212,RawTech!$G$2:$G$212)</f>
        <v>EnemyShip</v>
      </c>
      <c r="Z129" s="438" t="str">
        <f t="array" ref="Z129">XLOOKUP(MasterTech!$AF$4:$AF$214,RawTech!$AO$2:$AO$212,RawTech!$H$2:$H$212)</f>
        <v>MultiplySub</v>
      </c>
      <c r="AA129" s="438" t="str">
        <f t="array" ref="AA129">XLOOKUP(MasterTech!$AF$4:$AF$214,RawTech!$AO$2:$AO$212,RawTech!$J$2:$J$212)</f>
        <v>Against players, on round start if your ship has any state active reduce the Opponent's Isolytic Cascade damage by X for 2 rounds.</v>
      </c>
      <c r="AB129" s="439"/>
      <c r="AC129" s="440"/>
      <c r="AD129" s="440"/>
      <c r="AE129" s="455">
        <f t="array" ref="AE129">XLOOKUP(MasterTech!$AF$4:$AF$214,RawTech!$AO$2:$AO$212,RawTech!$AR$2:$AR$212)</f>
        <v>38</v>
      </c>
      <c r="AF129" s="427">
        <v>3.47944958E8</v>
      </c>
      <c r="AG129" s="428"/>
      <c r="AH129" s="428"/>
      <c r="AI129" s="429"/>
      <c r="AJ129" s="430"/>
    </row>
    <row r="130" ht="37.5" customHeight="1">
      <c r="A130" s="415" t="str">
        <f t="array" ref="A130">LEFT(XLOOKUP(LCARS_Tech[BuffID],RawTech[BuffID],RawTech[TechRarity]), 1)</f>
        <v>R</v>
      </c>
      <c r="B130" s="420"/>
      <c r="C130" s="452" t="str">
        <f t="array" ref="C130">HYPERLINK("https://stfc.space/forbidden_and_chaos_tech/" &amp; XLOOKUP(MasterTech!$AF$4:$AF$214,RawTech!$AO$2:$AO$212,RawTech!$AQ$2:$AQ$212), XLOOKUP(MasterTech!$AF$4:$AF$214,RawTech!$AO$2:$AO$212,RawTech!$B$2:$B$212))</f>
        <v>Unimatrix Shielding</v>
      </c>
      <c r="D130" s="418">
        <f t="array" ref="D130">XLOOKUP(LCARS_Tech[BuffID],RawTech[BuffID],RawTech[BuffOrder])</f>
        <v>2</v>
      </c>
      <c r="E130" s="419" t="str">
        <f t="array" ref="E130">XLOOKUP(LCARS_Tech[BuffID],RawTech[BuffID],RawTech[TechType])</f>
        <v>CT</v>
      </c>
      <c r="F130" s="419" t="str">
        <f t="array" ref="F130">XLOOKUP(LCARS_Tech[BuffID],RawTech[BuffID],RawTech[Tag_PvPinSpace])</f>
        <v>✅</v>
      </c>
      <c r="G130" s="419" t="str">
        <f t="array" ref="G130">XLOOKUP(LCARS_Tech[BuffID],RawTech[BuffID],RawTech[Tag_PvPStation])</f>
        <v>✅</v>
      </c>
      <c r="H130" s="419" t="str">
        <f t="array" ref="H130">XLOOKUP(LCARS_Tech[BuffID],RawTech[BuffID],RawTech[Tag_NonArmadaHostiles])</f>
        <v>➖</v>
      </c>
      <c r="I130" s="419" t="str">
        <f t="array" ref="I130">XLOOKUP(LCARS_Tech[BuffID],RawTech[BuffID],RawTech[Tag_WaveDefense])</f>
        <v>➖</v>
      </c>
      <c r="J130" s="419" t="str">
        <f t="array" ref="J130">XLOOKUP(LCARS_Tech[BuffID],RawTech[BuffID],RawTech[Tag_QTrial])</f>
        <v>➖</v>
      </c>
      <c r="K130" s="419" t="str">
        <f t="array" ref="K130">XLOOKUP(LCARS_Tech[BuffID],RawTech[BuffID],RawTech[Tag_MissionBosses])</f>
        <v>➖</v>
      </c>
      <c r="L130" s="419" t="str">
        <f t="array" ref="L130">XLOOKUP(LCARS_Tech[BuffID],RawTech[BuffID],RawTech[Tag_GroupArmadas])</f>
        <v>➖</v>
      </c>
      <c r="M130" s="419" t="str">
        <f t="array" ref="M130">XLOOKUP(LCARS_Tech[BuffID],RawTech[BuffID],RawTech[Tag_SoloArmadas])</f>
        <v>➖</v>
      </c>
      <c r="N130" s="419" t="str">
        <f t="array" ref="N130">XLOOKUP(LCARS_Tech[BuffID],RawTech[BuffID],RawTech[Tag_InvadingEntities])</f>
        <v>➖</v>
      </c>
      <c r="O130" s="419" t="str">
        <f t="array" ref="O130">XLOOKUP(LCARS_Tech[BuffID],RawTech[BuffID],RawTech[Tag_Assaults])</f>
        <v>➖</v>
      </c>
      <c r="P130" s="442" t="str">
        <f t="array" ref="P130">XLOOKUP(LCARS_Tech[BuffID],RawTech[BuffID],RawTech[Tag_OutpostArmadas])</f>
        <v>➖</v>
      </c>
      <c r="Q130" s="420" t="str">
        <f t="array" ref="Q130">XLOOKUP(LCARS_Tech[BuffID],RawTech[BuffID],RawTech[Tag_OutpostRetaliators])</f>
        <v>➖</v>
      </c>
      <c r="R130" s="420" t="str">
        <f t="array" ref="R130">XLOOKUP(MasterTech!$AF$4:$AF$214,RawTech!$AO$2:$AO$212,RawTech!$AV$2:$AV$212)</f>
        <v/>
      </c>
      <c r="S130" s="419" t="str">
        <f t="array" ref="S130">XLOOKUP(MasterTech!$AF$4:$AF$214,RawTech!$AO$2:$AO$212,RawTech!$AK$2:$AK$212)</f>
        <v>➖</v>
      </c>
      <c r="T130" s="422" t="str">
        <f t="array" ref="T130">XLOOKUP(MasterTech!$AF$4:$AF$214,RawTech!$AO$2:$AO$212,RawTech!$AM$2:$AM$212)</f>
        <v>➖</v>
      </c>
      <c r="U130" s="423" t="str">
        <f t="array" ref="U130">XLOOKUP(MasterTech!$AF$4:$AF$214,RawTech!$AO$2:$AO$212,RawTech!$D$2:$D$212)</f>
        <v>IsolyticDefense</v>
      </c>
      <c r="V130" s="420" t="str">
        <f t="array" ref="V130">XLOOKUP(MasterTech!$AF$4:$AF$214,RawTech!$AO$2:$AO$212,RawTech!$I$2:$I$212)</f>
        <v/>
      </c>
      <c r="W130" s="443" t="str">
        <f t="array" ref="W130">XLOOKUP(MasterTech!$AF$4:$AF$214,RawTech!$AO$2:$AO$212,RawTech!$E$2:$E$212)</f>
        <v>EnemyPlayer</v>
      </c>
      <c r="X130" s="423" t="str">
        <f t="array" ref="X130">XLOOKUP(MasterTech!$AF$4:$AF$214,RawTech!$AO$2:$AO$212,RawTech!$F$2:$F$212)</f>
        <v>CombatStart</v>
      </c>
      <c r="Y130" s="423" t="str">
        <f t="array" ref="Y130">XLOOKUP(MasterTech!$AF$4:$AF$214,RawTech!$AO$2:$AO$212,RawTech!$G$2:$G$212)</f>
        <v>SelfShip</v>
      </c>
      <c r="Z130" s="423" t="str">
        <f t="array" ref="Z130">XLOOKUP(MasterTech!$AF$4:$AF$214,RawTech!$AO$2:$AO$212,RawTech!$H$2:$H$212)</f>
        <v>Add</v>
      </c>
      <c r="AA130" s="423" t="str">
        <f t="array" ref="AA130">XLOOKUP(MasterTech!$AF$4:$AF$214,RawTech!$AO$2:$AO$212,RawTech!$J$2:$J$212)</f>
        <v>Against players, increase your Isolytic defense by X.</v>
      </c>
      <c r="AB130" s="424"/>
      <c r="AC130" s="425"/>
      <c r="AD130" s="425"/>
      <c r="AE130" s="453">
        <f t="array" ref="AE130">XLOOKUP(MasterTech!$AF$4:$AF$214,RawTech!$AO$2:$AO$212,RawTech!$AR$2:$AR$212)</f>
        <v>38</v>
      </c>
      <c r="AF130" s="427">
        <v>4.224703065E9</v>
      </c>
      <c r="AG130" s="428"/>
      <c r="AH130" s="428"/>
      <c r="AI130" s="429"/>
      <c r="AJ130" s="430"/>
    </row>
    <row r="131" ht="37.5" customHeight="1">
      <c r="A131" s="415" t="str">
        <f t="array" ref="A131">LEFT(XLOOKUP(LCARS_Tech[BuffID],RawTech[BuffID],RawTech[TechRarity]), 1)</f>
        <v>R</v>
      </c>
      <c r="B131" s="416"/>
      <c r="C131" s="454" t="str">
        <f t="array" ref="C131">HYPERLINK("https://stfc.space/forbidden_and_chaos_tech/" &amp; XLOOKUP(MasterTech!$AF$4:$AF$214,RawTech!$AO$2:$AO$212,RawTech!$AQ$2:$AQ$212), XLOOKUP(MasterTech!$AF$4:$AF$214,RawTech!$AO$2:$AO$212,RawTech!$B$2:$B$212))</f>
        <v>Unimatrix Shielding</v>
      </c>
      <c r="D131" s="432">
        <f t="array" ref="D131">XLOOKUP(LCARS_Tech[BuffID],RawTech[BuffID],RawTech[BuffOrder])</f>
        <v>3</v>
      </c>
      <c r="E131" s="433" t="str">
        <f t="array" ref="E131">XLOOKUP(LCARS_Tech[BuffID],RawTech[BuffID],RawTech[TechType])</f>
        <v>CT</v>
      </c>
      <c r="F131" s="433" t="str">
        <f t="array" ref="F131">XLOOKUP(LCARS_Tech[BuffID],RawTech[BuffID],RawTech[Tag_PvPinSpace])</f>
        <v>✴️</v>
      </c>
      <c r="G131" s="433" t="str">
        <f t="array" ref="G131">XLOOKUP(LCARS_Tech[BuffID],RawTech[BuffID],RawTech[Tag_PvPStation])</f>
        <v>✴️</v>
      </c>
      <c r="H131" s="433" t="str">
        <f t="array" ref="H131">XLOOKUP(LCARS_Tech[BuffID],RawTech[BuffID],RawTech[Tag_NonArmadaHostiles])</f>
        <v>➖</v>
      </c>
      <c r="I131" s="433" t="str">
        <f t="array" ref="I131">XLOOKUP(LCARS_Tech[BuffID],RawTech[BuffID],RawTech[Tag_WaveDefense])</f>
        <v>➖</v>
      </c>
      <c r="J131" s="433" t="str">
        <f t="array" ref="J131">XLOOKUP(LCARS_Tech[BuffID],RawTech[BuffID],RawTech[Tag_QTrial])</f>
        <v>➖</v>
      </c>
      <c r="K131" s="433" t="str">
        <f t="array" ref="K131">XLOOKUP(LCARS_Tech[BuffID],RawTech[BuffID],RawTech[Tag_MissionBosses])</f>
        <v>➖</v>
      </c>
      <c r="L131" s="433" t="str">
        <f t="array" ref="L131">XLOOKUP(LCARS_Tech[BuffID],RawTech[BuffID],RawTech[Tag_GroupArmadas])</f>
        <v>➖</v>
      </c>
      <c r="M131" s="433" t="str">
        <f t="array" ref="M131">XLOOKUP(LCARS_Tech[BuffID],RawTech[BuffID],RawTech[Tag_SoloArmadas])</f>
        <v>➖</v>
      </c>
      <c r="N131" s="433" t="str">
        <f t="array" ref="N131">XLOOKUP(LCARS_Tech[BuffID],RawTech[BuffID],RawTech[Tag_InvadingEntities])</f>
        <v>➖</v>
      </c>
      <c r="O131" s="433" t="str">
        <f t="array" ref="O131">XLOOKUP(LCARS_Tech[BuffID],RawTech[BuffID],RawTech[Tag_Assaults])</f>
        <v>➖</v>
      </c>
      <c r="P131" s="434" t="str">
        <f t="array" ref="P131">XLOOKUP(LCARS_Tech[BuffID],RawTech[BuffID],RawTech[Tag_OutpostArmadas])</f>
        <v>➖</v>
      </c>
      <c r="Q131" s="451" t="str">
        <f t="array" ref="Q131">XLOOKUP(LCARS_Tech[BuffID],RawTech[BuffID],RawTech[Tag_OutpostRetaliators])</f>
        <v>➖</v>
      </c>
      <c r="R131" s="451" t="str">
        <f t="array" ref="R131">XLOOKUP(MasterTech!$AF$4:$AF$214,RawTech!$AO$2:$AO$212,RawTech!$AV$2:$AV$212)</f>
        <v>SelfStateAny</v>
      </c>
      <c r="S131" s="433" t="str">
        <f t="array" ref="S131">XLOOKUP(MasterTech!$AF$4:$AF$214,RawTech!$AO$2:$AO$212,RawTech!$AK$2:$AK$212)</f>
        <v>➖</v>
      </c>
      <c r="T131" s="435" t="str">
        <f t="array" ref="T131">XLOOKUP(MasterTech!$AF$4:$AF$214,RawTech!$AO$2:$AO$212,RawTech!$AM$2:$AM$212)</f>
        <v>➖</v>
      </c>
      <c r="U131" s="438" t="str">
        <f t="array" ref="U131">XLOOKUP(MasterTech!$AF$4:$AF$214,RawTech!$AO$2:$AO$212,RawTech!$D$2:$D$212)</f>
        <v>AllDamage</v>
      </c>
      <c r="V131" s="438" t="str">
        <f t="array" ref="V131">XLOOKUP(MasterTech!$AF$4:$AF$214,RawTech!$AO$2:$AO$212,RawTech!$I$2:$I$212)</f>
        <v>num_rounds=1</v>
      </c>
      <c r="W131" s="447" t="str">
        <f t="array" ref="W131">XLOOKUP(MasterTech!$AF$4:$AF$214,RawTech!$AO$2:$AO$212,RawTech!$E$2:$E$212)</f>
        <v>SelfStateAny, EnemyPlayer</v>
      </c>
      <c r="X131" s="438" t="str">
        <f t="array" ref="X131">XLOOKUP(MasterTech!$AF$4:$AF$214,RawTech!$AO$2:$AO$212,RawTech!$F$2:$F$212)</f>
        <v>RoundStart</v>
      </c>
      <c r="Y131" s="438" t="str">
        <f t="array" ref="Y131">XLOOKUP(MasterTech!$AF$4:$AF$214,RawTech!$AO$2:$AO$212,RawTech!$G$2:$G$212)</f>
        <v>SelfShip</v>
      </c>
      <c r="Z131" s="438" t="str">
        <f t="array" ref="Z131">XLOOKUP(MasterTech!$AF$4:$AF$214,RawTech!$AO$2:$AO$212,RawTech!$H$2:$H$212)</f>
        <v>MultiplyAdd</v>
      </c>
      <c r="AA131" s="438" t="str">
        <f t="array" ref="AA131">XLOOKUP(MasterTech!$AF$4:$AF$214,RawTech!$AO$2:$AO$212,RawTech!$J$2:$J$212)</f>
        <v>Against players while your ship has any state active, increase base weapon damage by X.</v>
      </c>
      <c r="AB131" s="439"/>
      <c r="AC131" s="440"/>
      <c r="AD131" s="440"/>
      <c r="AE131" s="455">
        <f t="array" ref="AE131">XLOOKUP(MasterTech!$AF$4:$AF$214,RawTech!$AO$2:$AO$212,RawTech!$AR$2:$AR$212)</f>
        <v>38</v>
      </c>
      <c r="AF131" s="427">
        <v>5.85391951E8</v>
      </c>
      <c r="AG131" s="428"/>
      <c r="AH131" s="428"/>
      <c r="AI131" s="429"/>
      <c r="AJ131" s="430"/>
    </row>
    <row r="132" ht="37.5" customHeight="1">
      <c r="A132" s="415" t="str">
        <f t="array" ref="A132">LEFT(XLOOKUP(LCARS_Tech[BuffID],RawTech[BuffID],RawTech[TechRarity]), 1)</f>
        <v>E</v>
      </c>
      <c r="B132" s="420"/>
      <c r="C132" s="460" t="str">
        <f t="array" ref="C132">HYPERLINK("https://stfc.space/forbidden_and_chaos_tech/" &amp; XLOOKUP(MasterTech!$AF$4:$AF$214,RawTech!$AO$2:$AO$212,RawTech!$AQ$2:$AQ$212), XLOOKUP(MasterTech!$AF$4:$AF$214,RawTech!$AO$2:$AO$212,RawTech!$B$2:$B$212))</f>
        <v>Enaran Execution Post</v>
      </c>
      <c r="D132" s="418">
        <f t="array" ref="D132">XLOOKUP(LCARS_Tech[BuffID],RawTech[BuffID],RawTech[BuffOrder])</f>
        <v>1</v>
      </c>
      <c r="E132" s="419" t="str">
        <f t="array" ref="E132">XLOOKUP(LCARS_Tech[BuffID],RawTech[BuffID],RawTech[TechType])</f>
        <v>CT</v>
      </c>
      <c r="F132" s="419" t="str">
        <f t="array" ref="F132">XLOOKUP(LCARS_Tech[BuffID],RawTech[BuffID],RawTech[Tag_PvPinSpace])</f>
        <v>➖</v>
      </c>
      <c r="G132" s="419" t="str">
        <f t="array" ref="G132">XLOOKUP(LCARS_Tech[BuffID],RawTech[BuffID],RawTech[Tag_PvPStation])</f>
        <v>➖</v>
      </c>
      <c r="H132" s="419" t="str">
        <f t="array" ref="H132">XLOOKUP(LCARS_Tech[BuffID],RawTech[BuffID],RawTech[Tag_NonArmadaHostiles])</f>
        <v>✴️</v>
      </c>
      <c r="I132" s="419" t="str">
        <f t="array" ref="I132">XLOOKUP(LCARS_Tech[BuffID],RawTech[BuffID],RawTech[Tag_WaveDefense])</f>
        <v>✴️</v>
      </c>
      <c r="J132" s="419" t="str">
        <f t="array" ref="J132">XLOOKUP(LCARS_Tech[BuffID],RawTech[BuffID],RawTech[Tag_QTrial])</f>
        <v>✴️</v>
      </c>
      <c r="K132" s="419" t="str">
        <f t="array" ref="K132">XLOOKUP(LCARS_Tech[BuffID],RawTech[BuffID],RawTech[Tag_MissionBosses])</f>
        <v>➖</v>
      </c>
      <c r="L132" s="419" t="str">
        <f t="array" ref="L132">XLOOKUP(LCARS_Tech[BuffID],RawTech[BuffID],RawTech[Tag_GroupArmadas])</f>
        <v>✴️</v>
      </c>
      <c r="M132" s="419" t="str">
        <f t="array" ref="M132">XLOOKUP(LCARS_Tech[BuffID],RawTech[BuffID],RawTech[Tag_SoloArmadas])</f>
        <v>✴️</v>
      </c>
      <c r="N132" s="419" t="str">
        <f t="array" ref="N132">XLOOKUP(LCARS_Tech[BuffID],RawTech[BuffID],RawTech[Tag_InvadingEntities])</f>
        <v>✴️</v>
      </c>
      <c r="O132" s="419" t="str">
        <f t="array" ref="O132">XLOOKUP(LCARS_Tech[BuffID],RawTech[BuffID],RawTech[Tag_Assaults])</f>
        <v>➖</v>
      </c>
      <c r="P132" s="442" t="str">
        <f t="array" ref="P132">XLOOKUP(LCARS_Tech[BuffID],RawTech[BuffID],RawTech[Tag_OutpostArmadas])</f>
        <v>➖</v>
      </c>
      <c r="Q132" s="450" t="str">
        <f t="array" ref="Q132">XLOOKUP(LCARS_Tech[BuffID],RawTech[BuffID],RawTech[Tag_OutpostRetaliators])</f>
        <v>➖</v>
      </c>
      <c r="R132" s="450" t="str">
        <f t="array" ref="R132">XLOOKUP(MasterTech!$AF$4:$AF$214,RawTech!$AO$2:$AO$212,RawTech!$AV$2:$AV$212)</f>
        <v>SelfOfficerTalNotOnBridge</v>
      </c>
      <c r="S132" s="419" t="str">
        <f t="array" ref="S132">XLOOKUP(MasterTech!$AF$4:$AF$214,RawTech!$AO$2:$AO$212,RawTech!$AK$2:$AK$212)</f>
        <v>➖</v>
      </c>
      <c r="T132" s="422" t="str">
        <f t="array" ref="T132">XLOOKUP(MasterTech!$AF$4:$AF$214,RawTech!$AO$2:$AO$212,RawTech!$AM$2:$AM$212)</f>
        <v>➖</v>
      </c>
      <c r="U132" s="423" t="str">
        <f t="array" ref="U132">XLOOKUP(MasterTech!$AF$4:$AF$214,RawTech!$AO$2:$AO$212,RawTech!$D$2:$D$212)</f>
        <v>AddState</v>
      </c>
      <c r="V132" s="423" t="str">
        <f t="array" ref="V132">XLOOKUP(MasterTech!$AF$4:$AF$214,RawTech!$AO$2:$AO$212,RawTech!$I$2:$I$212)</f>
        <v>num_rounds=2, state=2</v>
      </c>
      <c r="W132" s="443" t="str">
        <f t="array" ref="W132">XLOOKUP(MasterTech!$AF$4:$AF$214,RawTech!$AO$2:$AO$212,RawTech!$E$2:$E$212)</f>
        <v>EnemyHostile, SelfOfficerTalNotOnBridge</v>
      </c>
      <c r="X132" s="423" t="str">
        <f t="array" ref="X132">XLOOKUP(MasterTech!$AF$4:$AF$214,RawTech!$AO$2:$AO$212,RawTech!$F$2:$F$212)</f>
        <v>RoundStart</v>
      </c>
      <c r="Y132" s="423" t="str">
        <f t="array" ref="Y132">XLOOKUP(MasterTech!$AF$4:$AF$214,RawTech!$AO$2:$AO$212,RawTech!$G$2:$G$212)</f>
        <v>EnemyShip</v>
      </c>
      <c r="Z132" s="423" t="str">
        <f t="array" ref="Z132">XLOOKUP(MasterTech!$AF$4:$AF$214,RawTech!$AO$2:$AO$212,RawTech!$H$2:$H$212)</f>
        <v>Set</v>
      </c>
      <c r="AA132" s="423" t="str">
        <f t="array" ref="AA132">XLOOKUP(MasterTech!$AF$4:$AF$214,RawTech!$AO$2:$AO$212,RawTech!$J$2:$J$212)</f>
        <v>When fighting Hostiles or Armadas, at the start of each round gain an X chance to apply Burning for 2 rounds.</v>
      </c>
      <c r="AB132" s="424"/>
      <c r="AC132" s="463"/>
      <c r="AD132" s="463"/>
      <c r="AE132" s="461">
        <f t="array" ref="AE132">XLOOKUP(MasterTech!$AF$4:$AF$214,RawTech!$AO$2:$AO$212,RawTech!$AR$2:$AR$212)</f>
        <v>37</v>
      </c>
      <c r="AF132" s="427">
        <v>4.59798558E8</v>
      </c>
      <c r="AG132" s="428"/>
      <c r="AH132" s="428"/>
      <c r="AI132" s="429"/>
      <c r="AJ132" s="430"/>
    </row>
    <row r="133" ht="37.5" customHeight="1">
      <c r="A133" s="415" t="str">
        <f t="array" ref="A133">LEFT(XLOOKUP(LCARS_Tech[BuffID],RawTech[BuffID],RawTech[TechRarity]), 1)</f>
        <v>E</v>
      </c>
      <c r="B133" s="416"/>
      <c r="C133" s="417" t="str">
        <f t="array" ref="C133">HYPERLINK("https://stfc.space/forbidden_and_chaos_tech/" &amp; XLOOKUP(LCARS_Tech[BuffID],RawTech[BuffID],RawTech[TechId]), XLOOKUP(LCARS_Tech[BuffID],RawTech[BuffID],RawTech[TechName]))</f>
        <v>Enaran Execution Post</v>
      </c>
      <c r="D133" s="432">
        <f t="array" ref="D133">XLOOKUP(LCARS_Tech[BuffID],RawTech[BuffID],RawTech[BuffOrder])</f>
        <v>2</v>
      </c>
      <c r="E133" s="433" t="str">
        <f t="array" ref="E133">XLOOKUP(LCARS_Tech[BuffID],RawTech[BuffID],RawTech[TechType])</f>
        <v>CT</v>
      </c>
      <c r="F133" s="433" t="str">
        <f t="array" ref="F133">XLOOKUP(LCARS_Tech[BuffID],RawTech[BuffID],RawTech[Tag_PvPinSpace])</f>
        <v>➖</v>
      </c>
      <c r="G133" s="433" t="str">
        <f t="array" ref="G133">XLOOKUP(LCARS_Tech[BuffID],RawTech[BuffID],RawTech[Tag_PvPStation])</f>
        <v>➖</v>
      </c>
      <c r="H133" s="433" t="str">
        <f t="array" ref="H133">XLOOKUP(LCARS_Tech[BuffID],RawTech[BuffID],RawTech[Tag_NonArmadaHostiles])</f>
        <v>✴️</v>
      </c>
      <c r="I133" s="433" t="str">
        <f t="array" ref="I133">XLOOKUP(LCARS_Tech[BuffID],RawTech[BuffID],RawTech[Tag_WaveDefense])</f>
        <v>✴️</v>
      </c>
      <c r="J133" s="433" t="str">
        <f t="array" ref="J133">XLOOKUP(LCARS_Tech[BuffID],RawTech[BuffID],RawTech[Tag_QTrial])</f>
        <v>✴️</v>
      </c>
      <c r="K133" s="433" t="str">
        <f t="array" ref="K133">XLOOKUP(LCARS_Tech[BuffID],RawTech[BuffID],RawTech[Tag_MissionBosses])</f>
        <v>✴️</v>
      </c>
      <c r="L133" s="433" t="str">
        <f t="array" ref="L133">XLOOKUP(LCARS_Tech[BuffID],RawTech[BuffID],RawTech[Tag_GroupArmadas])</f>
        <v>✴️</v>
      </c>
      <c r="M133" s="433" t="str">
        <f t="array" ref="M133">XLOOKUP(LCARS_Tech[BuffID],RawTech[BuffID],RawTech[Tag_SoloArmadas])</f>
        <v>✴️</v>
      </c>
      <c r="N133" s="433" t="str">
        <f t="array" ref="N133">XLOOKUP(LCARS_Tech[BuffID],RawTech[BuffID],RawTech[Tag_InvadingEntities])</f>
        <v>➖</v>
      </c>
      <c r="O133" s="433" t="str">
        <f t="array" ref="O133">XLOOKUP(LCARS_Tech[BuffID],RawTech[BuffID],RawTech[Tag_Assaults])</f>
        <v>✴️</v>
      </c>
      <c r="P133" s="434" t="str">
        <f t="array" ref="P133">XLOOKUP(LCARS_Tech[BuffID],RawTech[BuffID],RawTech[Tag_OutpostArmadas])</f>
        <v>➖</v>
      </c>
      <c r="Q133" s="451" t="str">
        <f t="array" ref="Q133">XLOOKUP(LCARS_Tech[BuffID],RawTech[BuffID],RawTech[Tag_OutpostRetaliators])</f>
        <v>➖</v>
      </c>
      <c r="R133" s="451" t="str">
        <f t="array" ref="R133">XLOOKUP(MasterTech!$AF$4:$AF$214,RawTech!$AO$2:$AO$212,RawTech!$AV$2:$AV$212)</f>
        <v>SNWGorn</v>
      </c>
      <c r="S133" s="433" t="str">
        <f t="array" ref="S133">XLOOKUP(MasterTech!$AF$4:$AF$214,RawTech!$AO$2:$AO$212,RawTech!$AK$2:$AK$212)</f>
        <v>➖</v>
      </c>
      <c r="T133" s="435" t="str">
        <f t="array" ref="T133">XLOOKUP(MasterTech!$AF$4:$AF$214,RawTech!$AO$2:$AO$212,RawTech!$AM$2:$AM$212)</f>
        <v>➖</v>
      </c>
      <c r="U133" s="438" t="str">
        <f t="array" ref="U133">XLOOKUP(MasterTech!$AF$4:$AF$214,RawTech!$AO$2:$AO$212,RawTech!$D$2:$D$212)</f>
        <v>IsolyticDamage</v>
      </c>
      <c r="V133" s="438" t="str">
        <f t="array" ref="V133">XLOOKUP(MasterTech!$AF$4:$AF$214,RawTech!$AO$2:$AO$212,RawTech!$I$2:$I$212)</f>
        <v>faction_id=133823197</v>
      </c>
      <c r="W133" s="447" t="str">
        <f t="array" ref="W133">XLOOKUP(MasterTech!$AF$4:$AF$214,RawTech!$AO$2:$AO$212,RawTech!$E$2:$E$212)</f>
        <v>EnemyHullFaction</v>
      </c>
      <c r="X133" s="438" t="str">
        <f t="array" ref="X133">XLOOKUP(MasterTech!$AF$4:$AF$214,RawTech!$AO$2:$AO$212,RawTech!$F$2:$F$212)</f>
        <v>CombatStart</v>
      </c>
      <c r="Y133" s="438" t="str">
        <f t="array" ref="Y133">XLOOKUP(MasterTech!$AF$4:$AF$214,RawTech!$AO$2:$AO$212,RawTech!$G$2:$G$212)</f>
        <v>SelfShip</v>
      </c>
      <c r="Z133" s="438" t="str">
        <f t="array" ref="Z133">XLOOKUP(MasterTech!$AF$4:$AF$214,RawTech!$AO$2:$AO$212,RawTech!$H$2:$H$212)</f>
        <v>Add</v>
      </c>
      <c r="AA133" s="438" t="str">
        <f t="array" ref="AA133">XLOOKUP(MasterTech!$AF$4:$AF$214,RawTech!$AO$2:$AO$212,RawTech!$J$2:$J$212)</f>
        <v>Increases Isolytic Damage for the Gorn Eviscerator against Gorn Hunters by X.</v>
      </c>
      <c r="AB133" s="439"/>
      <c r="AC133" s="440"/>
      <c r="AD133" s="440"/>
      <c r="AE133" s="462">
        <f t="array" ref="AE133">XLOOKUP(MasterTech!$AF$4:$AF$214,RawTech!$AO$2:$AO$212,RawTech!$AR$2:$AR$212)</f>
        <v>37</v>
      </c>
      <c r="AF133" s="427">
        <v>8.01611551E8</v>
      </c>
      <c r="AG133" s="428"/>
      <c r="AH133" s="428"/>
      <c r="AI133" s="429"/>
      <c r="AJ133" s="430"/>
    </row>
    <row r="134" ht="37.5" customHeight="1">
      <c r="A134" s="415" t="str">
        <f t="array" ref="A134">LEFT(XLOOKUP(LCARS_Tech[BuffID],RawTech[BuffID],RawTech[TechRarity]), 1)</f>
        <v>E</v>
      </c>
      <c r="B134" s="420"/>
      <c r="C134" s="460" t="str">
        <f t="array" ref="C134">HYPERLINK("https://stfc.space/forbidden_and_chaos_tech/" &amp; XLOOKUP(MasterTech!$AF$4:$AF$214,RawTech!$AO$2:$AO$212,RawTech!$AQ$2:$AQ$212), XLOOKUP(MasterTech!$AF$4:$AF$214,RawTech!$AO$2:$AO$212,RawTech!$B$2:$B$212))</f>
        <v>Enaran Execution Post</v>
      </c>
      <c r="D134" s="418">
        <f t="array" ref="D134">XLOOKUP(LCARS_Tech[BuffID],RawTech[BuffID],RawTech[BuffOrder])</f>
        <v>3</v>
      </c>
      <c r="E134" s="419" t="str">
        <f t="array" ref="E134">XLOOKUP(LCARS_Tech[BuffID],RawTech[BuffID],RawTech[TechType])</f>
        <v>CT</v>
      </c>
      <c r="F134" s="419" t="str">
        <f t="array" ref="F134">XLOOKUP(LCARS_Tech[BuffID],RawTech[BuffID],RawTech[Tag_PvPinSpace])</f>
        <v>➖</v>
      </c>
      <c r="G134" s="419" t="str">
        <f t="array" ref="G134">XLOOKUP(LCARS_Tech[BuffID],RawTech[BuffID],RawTech[Tag_PvPStation])</f>
        <v>➖</v>
      </c>
      <c r="H134" s="419" t="str">
        <f t="array" ref="H134">XLOOKUP(LCARS_Tech[BuffID],RawTech[BuffID],RawTech[Tag_NonArmadaHostiles])</f>
        <v>✴️</v>
      </c>
      <c r="I134" s="419" t="str">
        <f t="array" ref="I134">XLOOKUP(LCARS_Tech[BuffID],RawTech[BuffID],RawTech[Tag_WaveDefense])</f>
        <v>➖</v>
      </c>
      <c r="J134" s="419" t="str">
        <f t="array" ref="J134">XLOOKUP(LCARS_Tech[BuffID],RawTech[BuffID],RawTech[Tag_QTrial])</f>
        <v>➖</v>
      </c>
      <c r="K134" s="419" t="str">
        <f t="array" ref="K134">XLOOKUP(LCARS_Tech[BuffID],RawTech[BuffID],RawTech[Tag_MissionBosses])</f>
        <v>➖</v>
      </c>
      <c r="L134" s="419" t="str">
        <f t="array" ref="L134">XLOOKUP(LCARS_Tech[BuffID],RawTech[BuffID],RawTech[Tag_GroupArmadas])</f>
        <v>➖</v>
      </c>
      <c r="M134" s="419" t="str">
        <f t="array" ref="M134">XLOOKUP(LCARS_Tech[BuffID],RawTech[BuffID],RawTech[Tag_SoloArmadas])</f>
        <v>➖</v>
      </c>
      <c r="N134" s="419" t="str">
        <f t="array" ref="N134">XLOOKUP(LCARS_Tech[BuffID],RawTech[BuffID],RawTech[Tag_InvadingEntities])</f>
        <v>➖</v>
      </c>
      <c r="O134" s="419" t="str">
        <f t="array" ref="O134">XLOOKUP(LCARS_Tech[BuffID],RawTech[BuffID],RawTech[Tag_Assaults])</f>
        <v>➖</v>
      </c>
      <c r="P134" s="442" t="str">
        <f t="array" ref="P134">XLOOKUP(LCARS_Tech[BuffID],RawTech[BuffID],RawTech[Tag_OutpostArmadas])</f>
        <v>➖</v>
      </c>
      <c r="Q134" s="450" t="str">
        <f t="array" ref="Q134">XLOOKUP(LCARS_Tech[BuffID],RawTech[BuffID],RawTech[Tag_OutpostRetaliators])</f>
        <v>➖</v>
      </c>
      <c r="R134" s="450" t="str">
        <f t="array" ref="R134">XLOOKUP(MasterTech!$AF$4:$AF$214,RawTech!$AO$2:$AO$212,RawTech!$AV$2:$AV$212)</f>
        <v>GornHostileIsomatterLoot</v>
      </c>
      <c r="S134" s="419" t="str">
        <f t="array" ref="S134">XLOOKUP(MasterTech!$AF$4:$AF$214,RawTech!$AO$2:$AO$212,RawTech!$AK$2:$AK$212)</f>
        <v>✅</v>
      </c>
      <c r="T134" s="422" t="str">
        <f t="array" ref="T134">XLOOKUP(MasterTech!$AF$4:$AF$214,RawTech!$AO$2:$AO$212,RawTech!$AM$2:$AM$212)</f>
        <v>➖</v>
      </c>
      <c r="U134" s="423" t="str">
        <f t="array" ref="U134">XLOOKUP(MasterTech!$AF$4:$AF$214,RawTech!$AO$2:$AO$212,RawTech!$D$2:$D$212)</f>
        <v>GornHostileIsomatterLoot</v>
      </c>
      <c r="V134" s="420" t="str">
        <f t="array" ref="V134">XLOOKUP(MasterTech!$AF$4:$AF$214,RawTech!$AO$2:$AO$212,RawTech!$I$2:$I$212)</f>
        <v/>
      </c>
      <c r="W134" s="421" t="str">
        <f t="array" ref="W134">XLOOKUP(MasterTech!$AF$4:$AF$214,RawTech!$AO$2:$AO$212,RawTech!$E$2:$E$212)</f>
        <v/>
      </c>
      <c r="X134" s="423" t="str">
        <f t="array" ref="X134">XLOOKUP(MasterTech!$AF$4:$AF$214,RawTech!$AO$2:$AO$212,RawTech!$F$2:$F$212)</f>
        <v>ShipLaunched</v>
      </c>
      <c r="Y134" s="423" t="str">
        <f t="array" ref="Y134">XLOOKUP(MasterTech!$AF$4:$AF$214,RawTech!$AO$2:$AO$212,RawTech!$G$2:$G$212)</f>
        <v>SelfShip</v>
      </c>
      <c r="Z134" s="423" t="str">
        <f t="array" ref="Z134">XLOOKUP(MasterTech!$AF$4:$AF$214,RawTech!$AO$2:$AO$212,RawTech!$H$2:$H$212)</f>
        <v>MultiplyAdd</v>
      </c>
      <c r="AA134" s="423" t="str">
        <f t="array" ref="AA134">XLOOKUP(MasterTech!$AF$4:$AF$214,RawTech!$AO$2:$AO$212,RawTech!$J$2:$J$212)</f>
        <v>Increases the amount of Apex Isomatter gained when defeating Gorn Hunters by X.</v>
      </c>
      <c r="AB134" s="424"/>
      <c r="AC134" s="425"/>
      <c r="AD134" s="425"/>
      <c r="AE134" s="461">
        <f t="array" ref="AE134">XLOOKUP(MasterTech!$AF$4:$AF$214,RawTech!$AO$2:$AO$212,RawTech!$AR$2:$AR$212)</f>
        <v>37</v>
      </c>
      <c r="AF134" s="427">
        <v>8.69181822E8</v>
      </c>
      <c r="AG134" s="428"/>
      <c r="AH134" s="428"/>
      <c r="AI134" s="429"/>
      <c r="AJ134" s="430"/>
    </row>
    <row r="135" ht="37.5" customHeight="1">
      <c r="A135" s="415" t="str">
        <f t="array" ref="A135">LEFT(XLOOKUP(LCARS_Tech[BuffID],RawTech[BuffID],RawTech[TechRarity]), 1)</f>
        <v>E</v>
      </c>
      <c r="B135" s="416"/>
      <c r="C135" s="464" t="str">
        <f t="array" ref="C135">HYPERLINK("https://stfc.space/forbidden_and_chaos_tech/" &amp; XLOOKUP(MasterTech!$AF$4:$AF$214,RawTech!$AO$2:$AO$212,RawTech!$AQ$2:$AQ$212), XLOOKUP(MasterTech!$AF$4:$AF$214,RawTech!$AO$2:$AO$212,RawTech!$B$2:$B$212))</f>
        <v>Soran's Trilithium</v>
      </c>
      <c r="D135" s="432">
        <f t="array" ref="D135">XLOOKUP(LCARS_Tech[BuffID],RawTech[BuffID],RawTech[BuffOrder])</f>
        <v>1</v>
      </c>
      <c r="E135" s="433" t="str">
        <f t="array" ref="E135">XLOOKUP(LCARS_Tech[BuffID],RawTech[BuffID],RawTech[TechType])</f>
        <v>CT</v>
      </c>
      <c r="F135" s="433" t="str">
        <f t="array" ref="F135">XLOOKUP(LCARS_Tech[BuffID],RawTech[BuffID],RawTech[Tag_PvPinSpace])</f>
        <v>✴️</v>
      </c>
      <c r="G135" s="433" t="str">
        <f t="array" ref="G135">XLOOKUP(LCARS_Tech[BuffID],RawTech[BuffID],RawTech[Tag_PvPStation])</f>
        <v>✴️</v>
      </c>
      <c r="H135" s="433" t="str">
        <f t="array" ref="H135">XLOOKUP(LCARS_Tech[BuffID],RawTech[BuffID],RawTech[Tag_NonArmadaHostiles])</f>
        <v>➖</v>
      </c>
      <c r="I135" s="433" t="str">
        <f t="array" ref="I135">XLOOKUP(LCARS_Tech[BuffID],RawTech[BuffID],RawTech[Tag_WaveDefense])</f>
        <v>➖</v>
      </c>
      <c r="J135" s="433" t="str">
        <f t="array" ref="J135">XLOOKUP(LCARS_Tech[BuffID],RawTech[BuffID],RawTech[Tag_QTrial])</f>
        <v>➖</v>
      </c>
      <c r="K135" s="433" t="str">
        <f t="array" ref="K135">XLOOKUP(LCARS_Tech[BuffID],RawTech[BuffID],RawTech[Tag_MissionBosses])</f>
        <v>➖</v>
      </c>
      <c r="L135" s="433" t="str">
        <f t="array" ref="L135">XLOOKUP(LCARS_Tech[BuffID],RawTech[BuffID],RawTech[Tag_GroupArmadas])</f>
        <v>➖</v>
      </c>
      <c r="M135" s="433" t="str">
        <f t="array" ref="M135">XLOOKUP(LCARS_Tech[BuffID],RawTech[BuffID],RawTech[Tag_SoloArmadas])</f>
        <v>➖</v>
      </c>
      <c r="N135" s="433" t="str">
        <f t="array" ref="N135">XLOOKUP(LCARS_Tech[BuffID],RawTech[BuffID],RawTech[Tag_InvadingEntities])</f>
        <v>➖</v>
      </c>
      <c r="O135" s="433" t="str">
        <f t="array" ref="O135">XLOOKUP(LCARS_Tech[BuffID],RawTech[BuffID],RawTech[Tag_Assaults])</f>
        <v>➖</v>
      </c>
      <c r="P135" s="434" t="str">
        <f t="array" ref="P135">XLOOKUP(LCARS_Tech[BuffID],RawTech[BuffID],RawTech[Tag_OutpostArmadas])</f>
        <v>➖</v>
      </c>
      <c r="Q135" s="451" t="str">
        <f t="array" ref="Q135">XLOOKUP(LCARS_Tech[BuffID],RawTech[BuffID],RawTech[Tag_OutpostRetaliators])</f>
        <v>➖</v>
      </c>
      <c r="R135" s="451" t="str">
        <f t="array" ref="R135">XLOOKUP(MasterTech!$AF$4:$AF$214,RawTech!$AO$2:$AO$212,RawTech!$AV$2:$AV$212)</f>
        <v>SelfOfficerTalNotOnBridge</v>
      </c>
      <c r="S135" s="433" t="str">
        <f t="array" ref="S135">XLOOKUP(MasterTech!$AF$4:$AF$214,RawTech!$AO$2:$AO$212,RawTech!$AK$2:$AK$212)</f>
        <v>➖</v>
      </c>
      <c r="T135" s="435" t="str">
        <f t="array" ref="T135">XLOOKUP(MasterTech!$AF$4:$AF$214,RawTech!$AO$2:$AO$212,RawTech!$AM$2:$AM$212)</f>
        <v>➖</v>
      </c>
      <c r="U135" s="438" t="str">
        <f t="array" ref="U135">XLOOKUP(MasterTech!$AF$4:$AF$214,RawTech!$AO$2:$AO$212,RawTech!$D$2:$D$212)</f>
        <v>ApexBarrier</v>
      </c>
      <c r="V135" s="416" t="str">
        <f t="array" ref="V135">XLOOKUP(MasterTech!$AF$4:$AF$214,RawTech!$AO$2:$AO$212,RawTech!$I$2:$I$212)</f>
        <v/>
      </c>
      <c r="W135" s="447" t="str">
        <f t="array" ref="W135">XLOOKUP(MasterTech!$AF$4:$AF$214,RawTech!$AO$2:$AO$212,RawTech!$E$2:$E$212)</f>
        <v>EnemyPlayer, SelfOfficerTalNotOnBridge</v>
      </c>
      <c r="X135" s="438" t="str">
        <f t="array" ref="X135">XLOOKUP(MasterTech!$AF$4:$AF$214,RawTech!$AO$2:$AO$212,RawTech!$F$2:$F$212)</f>
        <v>CombatStart</v>
      </c>
      <c r="Y135" s="438" t="str">
        <f t="array" ref="Y135">XLOOKUP(MasterTech!$AF$4:$AF$214,RawTech!$AO$2:$AO$212,RawTech!$G$2:$G$212)</f>
        <v>SelfShip</v>
      </c>
      <c r="Z135" s="438" t="str">
        <f t="array" ref="Z135">XLOOKUP(MasterTech!$AF$4:$AF$214,RawTech!$AO$2:$AO$212,RawTech!$H$2:$H$212)</f>
        <v>Add</v>
      </c>
      <c r="AA135" s="438" t="str">
        <f t="array" ref="AA135">XLOOKUP(MasterTech!$AF$4:$AF$214,RawTech!$AO$2:$AO$212,RawTech!$J$2:$J$212)</f>
        <v>Against players, increase Apex Barrier by X at combat start.</v>
      </c>
      <c r="AB135" s="439"/>
      <c r="AC135" s="440"/>
      <c r="AD135" s="440"/>
      <c r="AE135" s="462">
        <f t="array" ref="AE135">XLOOKUP(MasterTech!$AF$4:$AF$214,RawTech!$AO$2:$AO$212,RawTech!$AR$2:$AR$212)</f>
        <v>36</v>
      </c>
      <c r="AF135" s="427">
        <v>1.048556902E9</v>
      </c>
      <c r="AG135" s="428"/>
      <c r="AH135" s="428"/>
      <c r="AI135" s="429"/>
      <c r="AJ135" s="430"/>
    </row>
    <row r="136" ht="37.5" customHeight="1">
      <c r="A136" s="415" t="str">
        <f t="array" ref="A136">LEFT(XLOOKUP(LCARS_Tech[BuffID],RawTech[BuffID],RawTech[TechRarity]), 1)</f>
        <v>E</v>
      </c>
      <c r="B136" s="420"/>
      <c r="C136" s="460" t="str">
        <f t="array" ref="C136">HYPERLINK("https://stfc.space/forbidden_and_chaos_tech/" &amp; XLOOKUP(MasterTech!$AF$4:$AF$214,RawTech!$AO$2:$AO$212,RawTech!$AQ$2:$AQ$212), XLOOKUP(MasterTech!$AF$4:$AF$214,RawTech!$AO$2:$AO$212,RawTech!$B$2:$B$212))</f>
        <v>Soran's Trilithium</v>
      </c>
      <c r="D136" s="418">
        <f t="array" ref="D136">XLOOKUP(LCARS_Tech[BuffID],RawTech[BuffID],RawTech[BuffOrder])</f>
        <v>2</v>
      </c>
      <c r="E136" s="419" t="str">
        <f t="array" ref="E136">XLOOKUP(LCARS_Tech[BuffID],RawTech[BuffID],RawTech[TechType])</f>
        <v>CT</v>
      </c>
      <c r="F136" s="419" t="str">
        <f t="array" ref="F136">XLOOKUP(LCARS_Tech[BuffID],RawTech[BuffID],RawTech[Tag_PvPinSpace])</f>
        <v>✴️</v>
      </c>
      <c r="G136" s="419" t="str">
        <f t="array" ref="G136">XLOOKUP(LCARS_Tech[BuffID],RawTech[BuffID],RawTech[Tag_PvPStation])</f>
        <v>✴️</v>
      </c>
      <c r="H136" s="419" t="str">
        <f t="array" ref="H136">XLOOKUP(LCARS_Tech[BuffID],RawTech[BuffID],RawTech[Tag_NonArmadaHostiles])</f>
        <v>➖</v>
      </c>
      <c r="I136" s="419" t="str">
        <f t="array" ref="I136">XLOOKUP(LCARS_Tech[BuffID],RawTech[BuffID],RawTech[Tag_WaveDefense])</f>
        <v>➖</v>
      </c>
      <c r="J136" s="419" t="str">
        <f t="array" ref="J136">XLOOKUP(LCARS_Tech[BuffID],RawTech[BuffID],RawTech[Tag_QTrial])</f>
        <v>➖</v>
      </c>
      <c r="K136" s="419" t="str">
        <f t="array" ref="K136">XLOOKUP(LCARS_Tech[BuffID],RawTech[BuffID],RawTech[Tag_MissionBosses])</f>
        <v>➖</v>
      </c>
      <c r="L136" s="419" t="str">
        <f t="array" ref="L136">XLOOKUP(LCARS_Tech[BuffID],RawTech[BuffID],RawTech[Tag_GroupArmadas])</f>
        <v>➖</v>
      </c>
      <c r="M136" s="419" t="str">
        <f t="array" ref="M136">XLOOKUP(LCARS_Tech[BuffID],RawTech[BuffID],RawTech[Tag_SoloArmadas])</f>
        <v>➖</v>
      </c>
      <c r="N136" s="419" t="str">
        <f t="array" ref="N136">XLOOKUP(LCARS_Tech[BuffID],RawTech[BuffID],RawTech[Tag_InvadingEntities])</f>
        <v>➖</v>
      </c>
      <c r="O136" s="419" t="str">
        <f t="array" ref="O136">XLOOKUP(LCARS_Tech[BuffID],RawTech[BuffID],RawTech[Tag_Assaults])</f>
        <v>➖</v>
      </c>
      <c r="P136" s="442" t="str">
        <f t="array" ref="P136">XLOOKUP(LCARS_Tech[BuffID],RawTech[BuffID],RawTech[Tag_OutpostArmadas])</f>
        <v>➖</v>
      </c>
      <c r="Q136" s="450" t="str">
        <f t="array" ref="Q136">XLOOKUP(LCARS_Tech[BuffID],RawTech[BuffID],RawTech[Tag_OutpostRetaliators])</f>
        <v>➖</v>
      </c>
      <c r="R136" s="450" t="str">
        <f t="array" ref="R136">XLOOKUP(MasterTech!$AF$4:$AF$214,RawTech!$AO$2:$AO$212,RawTech!$AV$2:$AV$212)</f>
        <v>TargetHasMorale</v>
      </c>
      <c r="S136" s="419" t="str">
        <f t="array" ref="S136">XLOOKUP(MasterTech!$AF$4:$AF$214,RawTech!$AO$2:$AO$212,RawTech!$AK$2:$AK$212)</f>
        <v>➖</v>
      </c>
      <c r="T136" s="422" t="str">
        <f t="array" ref="T136">XLOOKUP(MasterTech!$AF$4:$AF$214,RawTech!$AO$2:$AO$212,RawTech!$AM$2:$AM$212)</f>
        <v>➖</v>
      </c>
      <c r="U136" s="423" t="str">
        <f t="array" ref="U136">XLOOKUP(MasterTech!$AF$4:$AF$214,RawTech!$AO$2:$AO$212,RawTech!$D$2:$D$212)</f>
        <v>ShotsPerAttack</v>
      </c>
      <c r="V136" s="423" t="str">
        <f t="array" ref="V136">XLOOKUP(MasterTech!$AF$4:$AF$214,RawTech!$AO$2:$AO$212,RawTech!$I$2:$I$212)</f>
        <v>num_rounds=1</v>
      </c>
      <c r="W136" s="443" t="str">
        <f t="array" ref="W136">XLOOKUP(MasterTech!$AF$4:$AF$214,RawTech!$AO$2:$AO$212,RawTech!$E$2:$E$212)</f>
        <v>EnemyPlayer, TargetHasMorale</v>
      </c>
      <c r="X136" s="423" t="str">
        <f t="array" ref="X136">XLOOKUP(MasterTech!$AF$4:$AF$214,RawTech!$AO$2:$AO$212,RawTech!$F$2:$F$212)</f>
        <v>RoundStart</v>
      </c>
      <c r="Y136" s="423" t="str">
        <f t="array" ref="Y136">XLOOKUP(MasterTech!$AF$4:$AF$214,RawTech!$AO$2:$AO$212,RawTech!$G$2:$G$212)</f>
        <v>EnemyShip</v>
      </c>
      <c r="Z136" s="423" t="str">
        <f t="array" ref="Z136">XLOOKUP(MasterTech!$AF$4:$AF$214,RawTech!$AO$2:$AO$212,RawTech!$H$2:$H$212)</f>
        <v>MultiplySub</v>
      </c>
      <c r="AA136" s="423" t="str">
        <f t="array" ref="AA136">XLOOKUP(MasterTech!$AF$4:$AF$214,RawTech!$AO$2:$AO$212,RawTech!$J$2:$J$212)</f>
        <v>Against players who have Morale active, reduce their weapon shots by X.</v>
      </c>
      <c r="AB136" s="424"/>
      <c r="AC136" s="425"/>
      <c r="AD136" s="425"/>
      <c r="AE136" s="461">
        <f t="array" ref="AE136">XLOOKUP(MasterTech!$AF$4:$AF$214,RawTech!$AO$2:$AO$212,RawTech!$AR$2:$AR$212)</f>
        <v>36</v>
      </c>
      <c r="AF136" s="427">
        <v>3.574008773E9</v>
      </c>
      <c r="AG136" s="428"/>
      <c r="AH136" s="428"/>
      <c r="AI136" s="429"/>
      <c r="AJ136" s="430"/>
    </row>
    <row r="137" ht="37.5" customHeight="1">
      <c r="A137" s="415" t="str">
        <f t="array" ref="A137">LEFT(XLOOKUP(LCARS_Tech[BuffID],RawTech[BuffID],RawTech[TechRarity]), 1)</f>
        <v>E</v>
      </c>
      <c r="B137" s="416"/>
      <c r="C137" s="464" t="str">
        <f t="array" ref="C137">HYPERLINK("https://stfc.space/forbidden_and_chaos_tech/" &amp; XLOOKUP(MasterTech!$AF$4:$AF$214,RawTech!$AO$2:$AO$212,RawTech!$AQ$2:$AQ$212), XLOOKUP(MasterTech!$AF$4:$AF$214,RawTech!$AO$2:$AO$212,RawTech!$B$2:$B$212))</f>
        <v>Soran's Trilithium</v>
      </c>
      <c r="D137" s="432">
        <f t="array" ref="D137">XLOOKUP(LCARS_Tech[BuffID],RawTech[BuffID],RawTech[BuffOrder])</f>
        <v>3</v>
      </c>
      <c r="E137" s="433" t="str">
        <f t="array" ref="E137">XLOOKUP(LCARS_Tech[BuffID],RawTech[BuffID],RawTech[TechType])</f>
        <v>CT</v>
      </c>
      <c r="F137" s="433" t="str">
        <f t="array" ref="F137">XLOOKUP(LCARS_Tech[BuffID],RawTech[BuffID],RawTech[Tag_PvPinSpace])</f>
        <v>✅</v>
      </c>
      <c r="G137" s="433" t="str">
        <f t="array" ref="G137">XLOOKUP(LCARS_Tech[BuffID],RawTech[BuffID],RawTech[Tag_PvPStation])</f>
        <v>✅</v>
      </c>
      <c r="H137" s="433" t="str">
        <f t="array" ref="H137">XLOOKUP(LCARS_Tech[BuffID],RawTech[BuffID],RawTech[Tag_NonArmadaHostiles])</f>
        <v>➖</v>
      </c>
      <c r="I137" s="433" t="str">
        <f t="array" ref="I137">XLOOKUP(LCARS_Tech[BuffID],RawTech[BuffID],RawTech[Tag_WaveDefense])</f>
        <v>➖</v>
      </c>
      <c r="J137" s="433" t="str">
        <f t="array" ref="J137">XLOOKUP(LCARS_Tech[BuffID],RawTech[BuffID],RawTech[Tag_QTrial])</f>
        <v>➖</v>
      </c>
      <c r="K137" s="433" t="str">
        <f t="array" ref="K137">XLOOKUP(LCARS_Tech[BuffID],RawTech[BuffID],RawTech[Tag_MissionBosses])</f>
        <v>➖</v>
      </c>
      <c r="L137" s="433" t="str">
        <f t="array" ref="L137">XLOOKUP(LCARS_Tech[BuffID],RawTech[BuffID],RawTech[Tag_GroupArmadas])</f>
        <v>➖</v>
      </c>
      <c r="M137" s="433" t="str">
        <f t="array" ref="M137">XLOOKUP(LCARS_Tech[BuffID],RawTech[BuffID],RawTech[Tag_SoloArmadas])</f>
        <v>➖</v>
      </c>
      <c r="N137" s="433" t="str">
        <f t="array" ref="N137">XLOOKUP(LCARS_Tech[BuffID],RawTech[BuffID],RawTech[Tag_InvadingEntities])</f>
        <v>➖</v>
      </c>
      <c r="O137" s="433" t="str">
        <f t="array" ref="O137">XLOOKUP(LCARS_Tech[BuffID],RawTech[BuffID],RawTech[Tag_Assaults])</f>
        <v>➖</v>
      </c>
      <c r="P137" s="434" t="str">
        <f t="array" ref="P137">XLOOKUP(LCARS_Tech[BuffID],RawTech[BuffID],RawTech[Tag_OutpostArmadas])</f>
        <v>➖</v>
      </c>
      <c r="Q137" s="416" t="str">
        <f t="array" ref="Q137">XLOOKUP(LCARS_Tech[BuffID],RawTech[BuffID],RawTech[Tag_OutpostRetaliators])</f>
        <v>➖</v>
      </c>
      <c r="R137" s="416" t="str">
        <f t="array" ref="R137">XLOOKUP(MasterTech!$AF$4:$AF$214,RawTech!$AO$2:$AO$212,RawTech!$AV$2:$AV$212)</f>
        <v/>
      </c>
      <c r="S137" s="433" t="str">
        <f t="array" ref="S137">XLOOKUP(MasterTech!$AF$4:$AF$214,RawTech!$AO$2:$AO$212,RawTech!$AK$2:$AK$212)</f>
        <v>➖</v>
      </c>
      <c r="T137" s="435" t="str">
        <f t="array" ref="T137">XLOOKUP(MasterTech!$AF$4:$AF$214,RawTech!$AO$2:$AO$212,RawTech!$AM$2:$AM$212)</f>
        <v>➖</v>
      </c>
      <c r="U137" s="438" t="str">
        <f t="array" ref="U137">XLOOKUP(MasterTech!$AF$4:$AF$214,RawTech!$AO$2:$AO$212,RawTech!$D$2:$D$212)</f>
        <v>ShieldHPMax</v>
      </c>
      <c r="V137" s="416" t="str">
        <f t="array" ref="V137">XLOOKUP(MasterTech!$AF$4:$AF$214,RawTech!$AO$2:$AO$212,RawTech!$I$2:$I$212)</f>
        <v/>
      </c>
      <c r="W137" s="447" t="str">
        <f t="array" ref="W137">XLOOKUP(MasterTech!$AF$4:$AF$214,RawTech!$AO$2:$AO$212,RawTech!$E$2:$E$212)</f>
        <v>EnemyPlayer</v>
      </c>
      <c r="X137" s="438" t="str">
        <f t="array" ref="X137">XLOOKUP(MasterTech!$AF$4:$AF$214,RawTech!$AO$2:$AO$212,RawTech!$F$2:$F$212)</f>
        <v>CombatStart</v>
      </c>
      <c r="Y137" s="438" t="str">
        <f t="array" ref="Y137">XLOOKUP(MasterTech!$AF$4:$AF$214,RawTech!$AO$2:$AO$212,RawTech!$G$2:$G$212)</f>
        <v>SelfShip</v>
      </c>
      <c r="Z137" s="438" t="str">
        <f t="array" ref="Z137">XLOOKUP(MasterTech!$AF$4:$AF$214,RawTech!$AO$2:$AO$212,RawTech!$H$2:$H$212)</f>
        <v>MultiplyAdd</v>
      </c>
      <c r="AA137" s="438" t="str">
        <f t="array" ref="AA137">XLOOKUP(MasterTech!$AF$4:$AF$214,RawTech!$AO$2:$AO$212,RawTech!$J$2:$J$212)</f>
        <v>Against players, increase Shield Health by X.</v>
      </c>
      <c r="AB137" s="439"/>
      <c r="AC137" s="440"/>
      <c r="AD137" s="440"/>
      <c r="AE137" s="462">
        <f t="array" ref="AE137">XLOOKUP(MasterTech!$AF$4:$AF$214,RawTech!$AO$2:$AO$212,RawTech!$AR$2:$AR$212)</f>
        <v>36</v>
      </c>
      <c r="AF137" s="427">
        <v>2.947407271E9</v>
      </c>
      <c r="AG137" s="428"/>
      <c r="AH137" s="428"/>
      <c r="AI137" s="429"/>
      <c r="AJ137" s="430"/>
    </row>
    <row r="138" ht="37.5" customHeight="1">
      <c r="A138" s="415" t="str">
        <f t="array" ref="A138">LEFT(XLOOKUP(LCARS_Tech[BuffID],RawTech[BuffID],RawTech[TechRarity]), 1)</f>
        <v>U</v>
      </c>
      <c r="B138" s="420"/>
      <c r="C138" s="444" t="str">
        <f t="array" ref="C138">HYPERLINK("https://stfc.space/forbidden_and_chaos_tech/" &amp; XLOOKUP(MasterTech!$AF$4:$AF$214,RawTech!$AO$2:$AO$212,RawTech!$AQ$2:$AQ$212), XLOOKUP(MasterTech!$AF$4:$AF$214,RawTech!$AO$2:$AO$212,RawTech!$B$2:$B$212))</f>
        <v>Multiphasic Chamber</v>
      </c>
      <c r="D138" s="418">
        <f t="array" ref="D138">XLOOKUP(LCARS_Tech[BuffID],RawTech[BuffID],RawTech[BuffOrder])</f>
        <v>1</v>
      </c>
      <c r="E138" s="419" t="str">
        <f t="array" ref="E138">XLOOKUP(LCARS_Tech[BuffID],RawTech[BuffID],RawTech[TechType])</f>
        <v>CT</v>
      </c>
      <c r="F138" s="419" t="str">
        <f t="array" ref="F138">XLOOKUP(LCARS_Tech[BuffID],RawTech[BuffID],RawTech[Tag_PvPinSpace])</f>
        <v>➖</v>
      </c>
      <c r="G138" s="419" t="str">
        <f t="array" ref="G138">XLOOKUP(LCARS_Tech[BuffID],RawTech[BuffID],RawTech[Tag_PvPStation])</f>
        <v>➖</v>
      </c>
      <c r="H138" s="419" t="str">
        <f t="array" ref="H138">XLOOKUP(LCARS_Tech[BuffID],RawTech[BuffID],RawTech[Tag_NonArmadaHostiles])</f>
        <v>➖</v>
      </c>
      <c r="I138" s="419" t="str">
        <f t="array" ref="I138">XLOOKUP(LCARS_Tech[BuffID],RawTech[BuffID],RawTech[Tag_WaveDefense])</f>
        <v>➖</v>
      </c>
      <c r="J138" s="419" t="str">
        <f t="array" ref="J138">XLOOKUP(LCARS_Tech[BuffID],RawTech[BuffID],RawTech[Tag_QTrial])</f>
        <v>➖</v>
      </c>
      <c r="K138" s="419" t="str">
        <f t="array" ref="K138">XLOOKUP(LCARS_Tech[BuffID],RawTech[BuffID],RawTech[Tag_MissionBosses])</f>
        <v>➖</v>
      </c>
      <c r="L138" s="419" t="str">
        <f t="array" ref="L138">XLOOKUP(LCARS_Tech[BuffID],RawTech[BuffID],RawTech[Tag_GroupArmadas])</f>
        <v>➖</v>
      </c>
      <c r="M138" s="419" t="str">
        <f t="array" ref="M138">XLOOKUP(LCARS_Tech[BuffID],RawTech[BuffID],RawTech[Tag_SoloArmadas])</f>
        <v>➖</v>
      </c>
      <c r="N138" s="419" t="str">
        <f t="array" ref="N138">XLOOKUP(LCARS_Tech[BuffID],RawTech[BuffID],RawTech[Tag_InvadingEntities])</f>
        <v>➖</v>
      </c>
      <c r="O138" s="419" t="str">
        <f t="array" ref="O138">XLOOKUP(LCARS_Tech[BuffID],RawTech[BuffID],RawTech[Tag_Assaults])</f>
        <v>➖</v>
      </c>
      <c r="P138" s="442" t="str">
        <f t="array" ref="P138">XLOOKUP(LCARS_Tech[BuffID],RawTech[BuffID],RawTech[Tag_OutpostArmadas])</f>
        <v>➖</v>
      </c>
      <c r="Q138" s="420" t="str">
        <f t="array" ref="Q138">XLOOKUP(LCARS_Tech[BuffID],RawTech[BuffID],RawTech[Tag_OutpostRetaliators])</f>
        <v>➖</v>
      </c>
      <c r="R138" s="420" t="str">
        <f t="array" ref="R138">XLOOKUP(MasterTech!$AF$4:$AF$214,RawTech!$AO$2:$AO$212,RawTech!$AV$2:$AV$212)</f>
        <v/>
      </c>
      <c r="S138" s="419" t="str">
        <f t="array" ref="S138">XLOOKUP(MasterTech!$AF$4:$AF$214,RawTech!$AO$2:$AO$212,RawTech!$AK$2:$AK$212)</f>
        <v>➖</v>
      </c>
      <c r="T138" s="422" t="str">
        <f t="array" ref="T138">XLOOKUP(MasterTech!$AF$4:$AF$214,RawTech!$AO$2:$AO$212,RawTech!$AM$2:$AM$212)</f>
        <v>✅</v>
      </c>
      <c r="U138" s="423" t="str">
        <f t="array" ref="U138">XLOOKUP(MasterTech!$AF$4:$AF$214,RawTech!$AO$2:$AO$212,RawTech!$D$2:$D$212)</f>
        <v>WarpDistance</v>
      </c>
      <c r="V138" s="420" t="str">
        <f t="array" ref="V138">XLOOKUP(MasterTech!$AF$4:$AF$214,RawTech!$AO$2:$AO$212,RawTech!$I$2:$I$212)</f>
        <v/>
      </c>
      <c r="W138" s="421" t="str">
        <f t="array" ref="W138">XLOOKUP(MasterTech!$AF$4:$AF$214,RawTech!$AO$2:$AO$212,RawTech!$E$2:$E$212)</f>
        <v/>
      </c>
      <c r="X138" s="423" t="str">
        <f t="array" ref="X138">XLOOKUP(MasterTech!$AF$4:$AF$214,RawTech!$AO$2:$AO$212,RawTech!$F$2:$F$212)</f>
        <v>ShipLaunched</v>
      </c>
      <c r="Y138" s="423" t="str">
        <f t="array" ref="Y138">XLOOKUP(MasterTech!$AF$4:$AF$214,RawTech!$AO$2:$AO$212,RawTech!$G$2:$G$212)</f>
        <v>SelfShip</v>
      </c>
      <c r="Z138" s="423" t="str">
        <f t="array" ref="Z138">XLOOKUP(MasterTech!$AF$4:$AF$214,RawTech!$AO$2:$AO$212,RawTech!$H$2:$H$212)</f>
        <v>Add</v>
      </c>
      <c r="AA138" s="423" t="str">
        <f t="array" ref="AA138">XLOOKUP(MasterTech!$AF$4:$AF$214,RawTech!$AO$2:$AO$212,RawTech!$J$2:$J$212)</f>
        <v>Increase the Warp Distance of the ship by X.</v>
      </c>
      <c r="AB138" s="424"/>
      <c r="AC138" s="425"/>
      <c r="AD138" s="425"/>
      <c r="AE138" s="445">
        <f t="array" ref="AE138">XLOOKUP(MasterTech!$AF$4:$AF$214,RawTech!$AO$2:$AO$212,RawTech!$AR$2:$AR$212)</f>
        <v>39</v>
      </c>
      <c r="AF138" s="427">
        <v>3.661089548E9</v>
      </c>
      <c r="AG138" s="428"/>
      <c r="AH138" s="428"/>
      <c r="AI138" s="429"/>
      <c r="AJ138" s="430"/>
    </row>
    <row r="139" ht="37.5" customHeight="1">
      <c r="A139" s="415" t="str">
        <f t="array" ref="A139">LEFT(XLOOKUP(LCARS_Tech[BuffID],RawTech[BuffID],RawTech[TechRarity]), 1)</f>
        <v>U</v>
      </c>
      <c r="B139" s="416"/>
      <c r="C139" s="446" t="str">
        <f t="array" ref="C139">HYPERLINK("https://stfc.space/forbidden_and_chaos_tech/" &amp; XLOOKUP(MasterTech!$AF$4:$AF$214,RawTech!$AO$2:$AO$212,RawTech!$AQ$2:$AQ$212), XLOOKUP(MasterTech!$AF$4:$AF$214,RawTech!$AO$2:$AO$212,RawTech!$B$2:$B$212))</f>
        <v>Multiphasic Chamber</v>
      </c>
      <c r="D139" s="432">
        <f t="array" ref="D139">XLOOKUP(LCARS_Tech[BuffID],RawTech[BuffID],RawTech[BuffOrder])</f>
        <v>2</v>
      </c>
      <c r="E139" s="433" t="str">
        <f t="array" ref="E139">XLOOKUP(LCARS_Tech[BuffID],RawTech[BuffID],RawTech[TechType])</f>
        <v>CT</v>
      </c>
      <c r="F139" s="433" t="str">
        <f t="array" ref="F139">XLOOKUP(LCARS_Tech[BuffID],RawTech[BuffID],RawTech[Tag_PvPinSpace])</f>
        <v>➖</v>
      </c>
      <c r="G139" s="433" t="str">
        <f t="array" ref="G139">XLOOKUP(LCARS_Tech[BuffID],RawTech[BuffID],RawTech[Tag_PvPStation])</f>
        <v>➖</v>
      </c>
      <c r="H139" s="433" t="str">
        <f t="array" ref="H139">XLOOKUP(LCARS_Tech[BuffID],RawTech[BuffID],RawTech[Tag_NonArmadaHostiles])</f>
        <v>➖</v>
      </c>
      <c r="I139" s="433" t="str">
        <f t="array" ref="I139">XLOOKUP(LCARS_Tech[BuffID],RawTech[BuffID],RawTech[Tag_WaveDefense])</f>
        <v>➖</v>
      </c>
      <c r="J139" s="433" t="str">
        <f t="array" ref="J139">XLOOKUP(LCARS_Tech[BuffID],RawTech[BuffID],RawTech[Tag_QTrial])</f>
        <v>➖</v>
      </c>
      <c r="K139" s="433" t="str">
        <f t="array" ref="K139">XLOOKUP(LCARS_Tech[BuffID],RawTech[BuffID],RawTech[Tag_MissionBosses])</f>
        <v>➖</v>
      </c>
      <c r="L139" s="433" t="str">
        <f t="array" ref="L139">XLOOKUP(LCARS_Tech[BuffID],RawTech[BuffID],RawTech[Tag_GroupArmadas])</f>
        <v>➖</v>
      </c>
      <c r="M139" s="433" t="str">
        <f t="array" ref="M139">XLOOKUP(LCARS_Tech[BuffID],RawTech[BuffID],RawTech[Tag_SoloArmadas])</f>
        <v>➖</v>
      </c>
      <c r="N139" s="433" t="str">
        <f t="array" ref="N139">XLOOKUP(LCARS_Tech[BuffID],RawTech[BuffID],RawTech[Tag_InvadingEntities])</f>
        <v>➖</v>
      </c>
      <c r="O139" s="433" t="str">
        <f t="array" ref="O139">XLOOKUP(LCARS_Tech[BuffID],RawTech[BuffID],RawTech[Tag_Assaults])</f>
        <v>➖</v>
      </c>
      <c r="P139" s="434" t="str">
        <f t="array" ref="P139">XLOOKUP(LCARS_Tech[BuffID],RawTech[BuffID],RawTech[Tag_OutpostArmadas])</f>
        <v>➖</v>
      </c>
      <c r="Q139" s="416" t="str">
        <f t="array" ref="Q139">XLOOKUP(LCARS_Tech[BuffID],RawTech[BuffID],RawTech[Tag_OutpostRetaliators])</f>
        <v>➖</v>
      </c>
      <c r="R139" s="416" t="str">
        <f t="array" ref="R139">XLOOKUP(MasterTech!$AF$4:$AF$214,RawTech!$AO$2:$AO$212,RawTech!$AV$2:$AV$212)</f>
        <v/>
      </c>
      <c r="S139" s="433" t="str">
        <f t="array" ref="S139">XLOOKUP(MasterTech!$AF$4:$AF$214,RawTech!$AO$2:$AO$212,RawTech!$AK$2:$AK$212)</f>
        <v>➖</v>
      </c>
      <c r="T139" s="435" t="str">
        <f t="array" ref="T139">XLOOKUP(MasterTech!$AF$4:$AF$214,RawTech!$AO$2:$AO$212,RawTech!$AM$2:$AM$212)</f>
        <v>✅</v>
      </c>
      <c r="U139" s="438" t="str">
        <f t="array" ref="U139">XLOOKUP(MasterTech!$AF$4:$AF$214,RawTech!$AO$2:$AO$212,RawTech!$D$2:$D$212)</f>
        <v>WarpSpeed</v>
      </c>
      <c r="V139" s="416" t="str">
        <f t="array" ref="V139">XLOOKUP(MasterTech!$AF$4:$AF$214,RawTech!$AO$2:$AO$212,RawTech!$I$2:$I$212)</f>
        <v/>
      </c>
      <c r="W139" s="437" t="str">
        <f t="array" ref="W139">XLOOKUP(MasterTech!$AF$4:$AF$214,RawTech!$AO$2:$AO$212,RawTech!$E$2:$E$212)</f>
        <v/>
      </c>
      <c r="X139" s="438" t="str">
        <f t="array" ref="X139">XLOOKUP(MasterTech!$AF$4:$AF$214,RawTech!$AO$2:$AO$212,RawTech!$F$2:$F$212)</f>
        <v>ShipLaunched</v>
      </c>
      <c r="Y139" s="438" t="str">
        <f t="array" ref="Y139">XLOOKUP(MasterTech!$AF$4:$AF$214,RawTech!$AO$2:$AO$212,RawTech!$G$2:$G$212)</f>
        <v>SelfShip</v>
      </c>
      <c r="Z139" s="438" t="str">
        <f t="array" ref="Z139">XLOOKUP(MasterTech!$AF$4:$AF$214,RawTech!$AO$2:$AO$212,RawTech!$H$2:$H$212)</f>
        <v>MultiplyAdd</v>
      </c>
      <c r="AA139" s="438" t="str">
        <f t="array" ref="AA139">XLOOKUP(MasterTech!$AF$4:$AF$214,RawTech!$AO$2:$AO$212,RawTech!$J$2:$J$212)</f>
        <v>Increase Warp Speed of the ship by X.</v>
      </c>
      <c r="AB139" s="439"/>
      <c r="AC139" s="440"/>
      <c r="AD139" s="440"/>
      <c r="AE139" s="448">
        <f t="array" ref="AE139">XLOOKUP(MasterTech!$AF$4:$AF$214,RawTech!$AO$2:$AO$212,RawTech!$AR$2:$AR$212)</f>
        <v>39</v>
      </c>
      <c r="AF139" s="427">
        <v>4.68346955E8</v>
      </c>
      <c r="AG139" s="428"/>
      <c r="AH139" s="428"/>
      <c r="AI139" s="429"/>
      <c r="AJ139" s="430"/>
    </row>
    <row r="140" ht="37.5" customHeight="1">
      <c r="A140" s="415" t="str">
        <f t="array" ref="A140">LEFT(XLOOKUP(LCARS_Tech[BuffID],RawTech[BuffID],RawTech[TechRarity]), 1)</f>
        <v>R</v>
      </c>
      <c r="B140" s="420"/>
      <c r="C140" s="452" t="str">
        <f t="array" ref="C140">HYPERLINK("https://stfc.space/forbidden_and_chaos_tech/" &amp; XLOOKUP(MasterTech!$AF$4:$AF$214,RawTech!$AO$2:$AO$212,RawTech!$AQ$2:$AQ$212), XLOOKUP(MasterTech!$AF$4:$AF$214,RawTech!$AO$2:$AO$212,RawTech!$B$2:$B$212))</f>
        <v>Chronophage</v>
      </c>
      <c r="D140" s="418">
        <f t="array" ref="D140">XLOOKUP(LCARS_Tech[BuffID],RawTech[BuffID],RawTech[BuffOrder])</f>
        <v>1</v>
      </c>
      <c r="E140" s="419" t="str">
        <f t="array" ref="E140">XLOOKUP(LCARS_Tech[BuffID],RawTech[BuffID],RawTech[TechType])</f>
        <v>CT</v>
      </c>
      <c r="F140" s="419" t="str">
        <f t="array" ref="F140">XLOOKUP(LCARS_Tech[BuffID],RawTech[BuffID],RawTech[Tag_PvPinSpace])</f>
        <v>✴️</v>
      </c>
      <c r="G140" s="419" t="str">
        <f t="array" ref="G140">XLOOKUP(LCARS_Tech[BuffID],RawTech[BuffID],RawTech[Tag_PvPStation])</f>
        <v>✴️</v>
      </c>
      <c r="H140" s="419" t="str">
        <f t="array" ref="H140">XLOOKUP(LCARS_Tech[BuffID],RawTech[BuffID],RawTech[Tag_NonArmadaHostiles])</f>
        <v>➖</v>
      </c>
      <c r="I140" s="419" t="str">
        <f t="array" ref="I140">XLOOKUP(LCARS_Tech[BuffID],RawTech[BuffID],RawTech[Tag_WaveDefense])</f>
        <v>➖</v>
      </c>
      <c r="J140" s="419" t="str">
        <f t="array" ref="J140">XLOOKUP(LCARS_Tech[BuffID],RawTech[BuffID],RawTech[Tag_QTrial])</f>
        <v>➖</v>
      </c>
      <c r="K140" s="419" t="str">
        <f t="array" ref="K140">XLOOKUP(LCARS_Tech[BuffID],RawTech[BuffID],RawTech[Tag_MissionBosses])</f>
        <v>➖</v>
      </c>
      <c r="L140" s="419" t="str">
        <f t="array" ref="L140">XLOOKUP(LCARS_Tech[BuffID],RawTech[BuffID],RawTech[Tag_GroupArmadas])</f>
        <v>➖</v>
      </c>
      <c r="M140" s="419" t="str">
        <f t="array" ref="M140">XLOOKUP(LCARS_Tech[BuffID],RawTech[BuffID],RawTech[Tag_SoloArmadas])</f>
        <v>➖</v>
      </c>
      <c r="N140" s="419" t="str">
        <f t="array" ref="N140">XLOOKUP(LCARS_Tech[BuffID],RawTech[BuffID],RawTech[Tag_InvadingEntities])</f>
        <v>➖</v>
      </c>
      <c r="O140" s="419" t="str">
        <f t="array" ref="O140">XLOOKUP(LCARS_Tech[BuffID],RawTech[BuffID],RawTech[Tag_Assaults])</f>
        <v>➖</v>
      </c>
      <c r="P140" s="442" t="str">
        <f t="array" ref="P140">XLOOKUP(LCARS_Tech[BuffID],RawTech[BuffID],RawTech[Tag_OutpostArmadas])</f>
        <v>➖</v>
      </c>
      <c r="Q140" s="450" t="str">
        <f t="array" ref="Q140">XLOOKUP(LCARS_Tech[BuffID],RawTech[BuffID],RawTech[Tag_OutpostRetaliators])</f>
        <v>➖</v>
      </c>
      <c r="R140" s="450" t="str">
        <f t="array" ref="R140">XLOOKUP(MasterTech!$AF$4:$AF$214,RawTech!$AO$2:$AO$212,RawTech!$AV$2:$AV$212)</f>
        <v>HullHealthBelowStartOfCombat</v>
      </c>
      <c r="S140" s="419" t="str">
        <f t="array" ref="S140">XLOOKUP(MasterTech!$AF$4:$AF$214,RawTech!$AO$2:$AO$212,RawTech!$AK$2:$AK$212)</f>
        <v>➖</v>
      </c>
      <c r="T140" s="422" t="str">
        <f t="array" ref="T140">XLOOKUP(MasterTech!$AF$4:$AF$214,RawTech!$AO$2:$AO$212,RawTech!$AM$2:$AM$212)</f>
        <v>➖</v>
      </c>
      <c r="U140" s="423" t="str">
        <f t="array" ref="U140">XLOOKUP(MasterTech!$AF$4:$AF$214,RawTech!$AO$2:$AO$212,RawTech!$D$2:$D$212)</f>
        <v>ShotsPerAttack</v>
      </c>
      <c r="V140" s="423" t="str">
        <f t="array" ref="V140">XLOOKUP(MasterTech!$AF$4:$AF$214,RawTech!$AO$2:$AO$212,RawTech!$I$2:$I$212)</f>
        <v>num_rounds=1, percentage=0.4</v>
      </c>
      <c r="W140" s="443" t="str">
        <f t="array" ref="W140">XLOOKUP(MasterTech!$AF$4:$AF$214,RawTech!$AO$2:$AO$212,RawTech!$E$2:$E$212)</f>
        <v>EnemyPlayer, HullHealthBelowStartOfCombat</v>
      </c>
      <c r="X140" s="423" t="str">
        <f t="array" ref="X140">XLOOKUP(MasterTech!$AF$4:$AF$214,RawTech!$AO$2:$AO$212,RawTech!$F$2:$F$212)</f>
        <v>RoundStart</v>
      </c>
      <c r="Y140" s="423" t="str">
        <f t="array" ref="Y140">XLOOKUP(MasterTech!$AF$4:$AF$214,RawTech!$AO$2:$AO$212,RawTech!$G$2:$G$212)</f>
        <v>SelfShip</v>
      </c>
      <c r="Z140" s="423" t="str">
        <f t="array" ref="Z140">XLOOKUP(MasterTech!$AF$4:$AF$214,RawTech!$AO$2:$AO$212,RawTech!$H$2:$H$212)</f>
        <v>MultiplyAdd</v>
      </c>
      <c r="AA140" s="423" t="str">
        <f t="array" ref="AA140">XLOOKUP(MasterTech!$AF$4:$AF$214,RawTech!$AO$2:$AO$212,RawTech!$J$2:$J$212)</f>
        <v>Against Players, on round start if your ship is below 40% Hull Health increase your Shots by X for 1 round</v>
      </c>
      <c r="AB140" s="424"/>
      <c r="AC140" s="425"/>
      <c r="AD140" s="425"/>
      <c r="AE140" s="453">
        <f t="array" ref="AE140">XLOOKUP(MasterTech!$AF$4:$AF$214,RawTech!$AO$2:$AO$212,RawTech!$AR$2:$AR$212)</f>
        <v>40</v>
      </c>
      <c r="AF140" s="427">
        <v>7.988936E8</v>
      </c>
      <c r="AG140" s="428"/>
      <c r="AH140" s="428"/>
      <c r="AI140" s="429"/>
      <c r="AJ140" s="430"/>
    </row>
    <row r="141" ht="37.5" customHeight="1">
      <c r="A141" s="415" t="str">
        <f t="array" ref="A141">LEFT(XLOOKUP(LCARS_Tech[BuffID],RawTech[BuffID],RawTech[TechRarity]), 1)</f>
        <v>R</v>
      </c>
      <c r="B141" s="416"/>
      <c r="C141" s="454" t="str">
        <f t="array" ref="C141">HYPERLINK("https://stfc.space/forbidden_and_chaos_tech/" &amp; XLOOKUP(MasterTech!$AF$4:$AF$214,RawTech!$AO$2:$AO$212,RawTech!$AQ$2:$AQ$212), XLOOKUP(MasterTech!$AF$4:$AF$214,RawTech!$AO$2:$AO$212,RawTech!$B$2:$B$212))</f>
        <v>Chronophage</v>
      </c>
      <c r="D141" s="432">
        <f t="array" ref="D141">XLOOKUP(LCARS_Tech[BuffID],RawTech[BuffID],RawTech[BuffOrder])</f>
        <v>2</v>
      </c>
      <c r="E141" s="433" t="str">
        <f t="array" ref="E141">XLOOKUP(LCARS_Tech[BuffID],RawTech[BuffID],RawTech[TechType])</f>
        <v>CT</v>
      </c>
      <c r="F141" s="433" t="str">
        <f t="array" ref="F141">XLOOKUP(LCARS_Tech[BuffID],RawTech[BuffID],RawTech[Tag_PvPinSpace])</f>
        <v>✴️</v>
      </c>
      <c r="G141" s="433" t="str">
        <f t="array" ref="G141">XLOOKUP(LCARS_Tech[BuffID],RawTech[BuffID],RawTech[Tag_PvPStation])</f>
        <v>✴️</v>
      </c>
      <c r="H141" s="433" t="str">
        <f t="array" ref="H141">XLOOKUP(LCARS_Tech[BuffID],RawTech[BuffID],RawTech[Tag_NonArmadaHostiles])</f>
        <v>➖</v>
      </c>
      <c r="I141" s="433" t="str">
        <f t="array" ref="I141">XLOOKUP(LCARS_Tech[BuffID],RawTech[BuffID],RawTech[Tag_WaveDefense])</f>
        <v>➖</v>
      </c>
      <c r="J141" s="433" t="str">
        <f t="array" ref="J141">XLOOKUP(LCARS_Tech[BuffID],RawTech[BuffID],RawTech[Tag_QTrial])</f>
        <v>➖</v>
      </c>
      <c r="K141" s="433" t="str">
        <f t="array" ref="K141">XLOOKUP(LCARS_Tech[BuffID],RawTech[BuffID],RawTech[Tag_MissionBosses])</f>
        <v>➖</v>
      </c>
      <c r="L141" s="433" t="str">
        <f t="array" ref="L141">XLOOKUP(LCARS_Tech[BuffID],RawTech[BuffID],RawTech[Tag_GroupArmadas])</f>
        <v>➖</v>
      </c>
      <c r="M141" s="433" t="str">
        <f t="array" ref="M141">XLOOKUP(LCARS_Tech[BuffID],RawTech[BuffID],RawTech[Tag_SoloArmadas])</f>
        <v>➖</v>
      </c>
      <c r="N141" s="433" t="str">
        <f t="array" ref="N141">XLOOKUP(LCARS_Tech[BuffID],RawTech[BuffID],RawTech[Tag_InvadingEntities])</f>
        <v>➖</v>
      </c>
      <c r="O141" s="433" t="str">
        <f t="array" ref="O141">XLOOKUP(LCARS_Tech[BuffID],RawTech[BuffID],RawTech[Tag_Assaults])</f>
        <v>➖</v>
      </c>
      <c r="P141" s="434" t="str">
        <f t="array" ref="P141">XLOOKUP(LCARS_Tech[BuffID],RawTech[BuffID],RawTech[Tag_OutpostArmadas])</f>
        <v>➖</v>
      </c>
      <c r="Q141" s="451" t="str">
        <f t="array" ref="Q141">XLOOKUP(LCARS_Tech[BuffID],RawTech[BuffID],RawTech[Tag_OutpostRetaliators])</f>
        <v>➖</v>
      </c>
      <c r="R141" s="451" t="str">
        <f t="array" ref="R141">XLOOKUP(MasterTech!$AF$4:$AF$214,RawTech!$AO$2:$AO$212,RawTech!$AV$2:$AV$212)</f>
        <v>HullHealthBelowStartOfCombat</v>
      </c>
      <c r="S141" s="433" t="str">
        <f t="array" ref="S141">XLOOKUP(MasterTech!$AF$4:$AF$214,RawTech!$AO$2:$AO$212,RawTech!$AK$2:$AK$212)</f>
        <v>➖</v>
      </c>
      <c r="T141" s="435" t="str">
        <f t="array" ref="T141">XLOOKUP(MasterTech!$AF$4:$AF$214,RawTech!$AO$2:$AO$212,RawTech!$AM$2:$AM$212)</f>
        <v>➖</v>
      </c>
      <c r="U141" s="438" t="str">
        <f t="array" ref="U141">XLOOKUP(MasterTech!$AF$4:$AF$214,RawTech!$AO$2:$AO$212,RawTech!$D$2:$D$212)</f>
        <v>ShieldHPRepair</v>
      </c>
      <c r="V141" s="438" t="str">
        <f t="array" ref="V141">XLOOKUP(MasterTech!$AF$4:$AF$214,RawTech!$AO$2:$AO$212,RawTech!$I$2:$I$212)</f>
        <v>num_rounds=1, percentage=0.4</v>
      </c>
      <c r="W141" s="447" t="str">
        <f t="array" ref="W141">XLOOKUP(MasterTech!$AF$4:$AF$214,RawTech!$AO$2:$AO$212,RawTech!$E$2:$E$212)</f>
        <v>EnemyPlayer, HullHealthBelowStartOfCombat</v>
      </c>
      <c r="X141" s="438" t="str">
        <f t="array" ref="X141">XLOOKUP(MasterTech!$AF$4:$AF$214,RawTech!$AO$2:$AO$212,RawTech!$F$2:$F$212)</f>
        <v>RoundStart</v>
      </c>
      <c r="Y141" s="438" t="str">
        <f t="array" ref="Y141">XLOOKUP(MasterTech!$AF$4:$AF$214,RawTech!$AO$2:$AO$212,RawTech!$G$2:$G$212)</f>
        <v>SelfShip</v>
      </c>
      <c r="Z141" s="438" t="str">
        <f t="array" ref="Z141">XLOOKUP(MasterTech!$AF$4:$AF$214,RawTech!$AO$2:$AO$212,RawTech!$H$2:$H$212)</f>
        <v>MultiplyAdd</v>
      </c>
      <c r="AA141" s="438" t="str">
        <f t="array" ref="AA141">XLOOKUP(MasterTech!$AF$4:$AF$214,RawTech!$AO$2:$AO$212,RawTech!$J$2:$J$212)</f>
        <v>Against Players, on round start if your ship is below 40% Hull Health repair your Shield by X for 1 round</v>
      </c>
      <c r="AB141" s="439"/>
      <c r="AC141" s="440"/>
      <c r="AD141" s="440"/>
      <c r="AE141" s="455">
        <f t="array" ref="AE141">XLOOKUP(MasterTech!$AF$4:$AF$214,RawTech!$AO$2:$AO$212,RawTech!$AR$2:$AR$212)</f>
        <v>40</v>
      </c>
      <c r="AF141" s="427">
        <v>7.50397083E8</v>
      </c>
      <c r="AG141" s="428"/>
      <c r="AH141" s="428"/>
      <c r="AI141" s="429"/>
      <c r="AJ141" s="430"/>
    </row>
    <row r="142" ht="37.5" customHeight="1">
      <c r="A142" s="415" t="str">
        <f t="array" ref="A142">LEFT(XLOOKUP(LCARS_Tech[BuffID],RawTech[BuffID],RawTech[TechRarity]), 1)</f>
        <v>R</v>
      </c>
      <c r="B142" s="420"/>
      <c r="C142" s="452" t="str">
        <f t="array" ref="C142">HYPERLINK("https://stfc.space/forbidden_and_chaos_tech/" &amp; XLOOKUP(MasterTech!$AF$4:$AF$214,RawTech!$AO$2:$AO$212,RawTech!$AQ$2:$AQ$212), XLOOKUP(MasterTech!$AF$4:$AF$214,RawTech!$AO$2:$AO$212,RawTech!$B$2:$B$212))</f>
        <v>Chronophage</v>
      </c>
      <c r="D142" s="418">
        <f t="array" ref="D142">XLOOKUP(LCARS_Tech[BuffID],RawTech[BuffID],RawTech[BuffOrder])</f>
        <v>3</v>
      </c>
      <c r="E142" s="419" t="str">
        <f t="array" ref="E142">XLOOKUP(LCARS_Tech[BuffID],RawTech[BuffID],RawTech[TechType])</f>
        <v>CT</v>
      </c>
      <c r="F142" s="419" t="str">
        <f t="array" ref="F142">XLOOKUP(LCARS_Tech[BuffID],RawTech[BuffID],RawTech[Tag_PvPinSpace])</f>
        <v>✴️</v>
      </c>
      <c r="G142" s="419" t="str">
        <f t="array" ref="G142">XLOOKUP(LCARS_Tech[BuffID],RawTech[BuffID],RawTech[Tag_PvPStation])</f>
        <v>✴️</v>
      </c>
      <c r="H142" s="419" t="str">
        <f t="array" ref="H142">XLOOKUP(LCARS_Tech[BuffID],RawTech[BuffID],RawTech[Tag_NonArmadaHostiles])</f>
        <v>➖</v>
      </c>
      <c r="I142" s="419" t="str">
        <f t="array" ref="I142">XLOOKUP(LCARS_Tech[BuffID],RawTech[BuffID],RawTech[Tag_WaveDefense])</f>
        <v>➖</v>
      </c>
      <c r="J142" s="419" t="str">
        <f t="array" ref="J142">XLOOKUP(LCARS_Tech[BuffID],RawTech[BuffID],RawTech[Tag_QTrial])</f>
        <v>➖</v>
      </c>
      <c r="K142" s="419" t="str">
        <f t="array" ref="K142">XLOOKUP(LCARS_Tech[BuffID],RawTech[BuffID],RawTech[Tag_MissionBosses])</f>
        <v>➖</v>
      </c>
      <c r="L142" s="419" t="str">
        <f t="array" ref="L142">XLOOKUP(LCARS_Tech[BuffID],RawTech[BuffID],RawTech[Tag_GroupArmadas])</f>
        <v>➖</v>
      </c>
      <c r="M142" s="419" t="str">
        <f t="array" ref="M142">XLOOKUP(LCARS_Tech[BuffID],RawTech[BuffID],RawTech[Tag_SoloArmadas])</f>
        <v>➖</v>
      </c>
      <c r="N142" s="419" t="str">
        <f t="array" ref="N142">XLOOKUP(LCARS_Tech[BuffID],RawTech[BuffID],RawTech[Tag_InvadingEntities])</f>
        <v>➖</v>
      </c>
      <c r="O142" s="419" t="str">
        <f t="array" ref="O142">XLOOKUP(LCARS_Tech[BuffID],RawTech[BuffID],RawTech[Tag_Assaults])</f>
        <v>➖</v>
      </c>
      <c r="P142" s="442" t="str">
        <f t="array" ref="P142">XLOOKUP(LCARS_Tech[BuffID],RawTech[BuffID],RawTech[Tag_OutpostArmadas])</f>
        <v>➖</v>
      </c>
      <c r="Q142" s="450" t="str">
        <f t="array" ref="Q142">XLOOKUP(LCARS_Tech[BuffID],RawTech[BuffID],RawTech[Tag_OutpostRetaliators])</f>
        <v>➖</v>
      </c>
      <c r="R142" s="450" t="str">
        <f t="array" ref="R142">XLOOKUP(MasterTech!$AF$4:$AF$214,RawTech!$AO$2:$AO$212,RawTech!$AV$2:$AV$212)</f>
        <v>HullHealthBelowStartOfCombat</v>
      </c>
      <c r="S142" s="419" t="str">
        <f t="array" ref="S142">XLOOKUP(MasterTech!$AF$4:$AF$214,RawTech!$AO$2:$AO$212,RawTech!$AK$2:$AK$212)</f>
        <v>➖</v>
      </c>
      <c r="T142" s="422" t="str">
        <f t="array" ref="T142">XLOOKUP(MasterTech!$AF$4:$AF$214,RawTech!$AO$2:$AO$212,RawTech!$AM$2:$AM$212)</f>
        <v>➖</v>
      </c>
      <c r="U142" s="423" t="str">
        <f t="array" ref="U142">XLOOKUP(MasterTech!$AF$4:$AF$214,RawTech!$AO$2:$AO$212,RawTech!$D$2:$D$212)</f>
        <v>IsolyticDefense</v>
      </c>
      <c r="V142" s="423" t="str">
        <f t="array" ref="V142">XLOOKUP(MasterTech!$AF$4:$AF$214,RawTech!$AO$2:$AO$212,RawTech!$I$2:$I$212)</f>
        <v>num_rounds=1, percentage=0.4</v>
      </c>
      <c r="W142" s="443" t="str">
        <f t="array" ref="W142">XLOOKUP(MasterTech!$AF$4:$AF$214,RawTech!$AO$2:$AO$212,RawTech!$E$2:$E$212)</f>
        <v>EnemyPlayer, HullHealthBelowStartOfCombat</v>
      </c>
      <c r="X142" s="423" t="str">
        <f t="array" ref="X142">XLOOKUP(MasterTech!$AF$4:$AF$214,RawTech!$AO$2:$AO$212,RawTech!$F$2:$F$212)</f>
        <v>RoundStart</v>
      </c>
      <c r="Y142" s="423" t="str">
        <f t="array" ref="Y142">XLOOKUP(MasterTech!$AF$4:$AF$214,RawTech!$AO$2:$AO$212,RawTech!$G$2:$G$212)</f>
        <v>EnemyShip</v>
      </c>
      <c r="Z142" s="423" t="str">
        <f t="array" ref="Z142">XLOOKUP(MasterTech!$AF$4:$AF$214,RawTech!$AO$2:$AO$212,RawTech!$H$2:$H$212)</f>
        <v>Sub</v>
      </c>
      <c r="AA142" s="423" t="str">
        <f t="array" ref="AA142">XLOOKUP(MasterTech!$AF$4:$AF$214,RawTech!$AO$2:$AO$212,RawTech!$J$2:$J$212)</f>
        <v>Against Players, on round start if your ship is below 40% Hull Health decrease the opponents Isolytic Defense by X</v>
      </c>
      <c r="AB142" s="424"/>
      <c r="AC142" s="425"/>
      <c r="AD142" s="425"/>
      <c r="AE142" s="453">
        <f t="array" ref="AE142">XLOOKUP(MasterTech!$AF$4:$AF$214,RawTech!$AO$2:$AO$212,RawTech!$AR$2:$AR$212)</f>
        <v>40</v>
      </c>
      <c r="AF142" s="427">
        <v>4.42238844E8</v>
      </c>
      <c r="AG142" s="428"/>
      <c r="AH142" s="428"/>
      <c r="AI142" s="429"/>
      <c r="AJ142" s="430"/>
    </row>
    <row r="143" ht="37.5" customHeight="1">
      <c r="A143" s="415" t="str">
        <f t="array" ref="A143">LEFT(XLOOKUP(LCARS_Tech[BuffID],RawTech[BuffID],RawTech[TechRarity]), 1)</f>
        <v>R</v>
      </c>
      <c r="B143" s="416"/>
      <c r="C143" s="454" t="str">
        <f t="array" ref="C143">HYPERLINK("https://stfc.space/forbidden_and_chaos_tech/" &amp; XLOOKUP(MasterTech!$AF$4:$AF$214,RawTech!$AO$2:$AO$212,RawTech!$AQ$2:$AQ$212), XLOOKUP(MasterTech!$AF$4:$AF$214,RawTech!$AO$2:$AO$212,RawTech!$B$2:$B$212))</f>
        <v>Chrono Deflector</v>
      </c>
      <c r="D143" s="432">
        <f t="array" ref="D143">XLOOKUP(LCARS_Tech[BuffID],RawTech[BuffID],RawTech[BuffOrder])</f>
        <v>1</v>
      </c>
      <c r="E143" s="433" t="str">
        <f t="array" ref="E143">XLOOKUP(LCARS_Tech[BuffID],RawTech[BuffID],RawTech[TechType])</f>
        <v>CT</v>
      </c>
      <c r="F143" s="433" t="str">
        <f t="array" ref="F143">XLOOKUP(LCARS_Tech[BuffID],RawTech[BuffID],RawTech[Tag_PvPinSpace])</f>
        <v>➖</v>
      </c>
      <c r="G143" s="433" t="str">
        <f t="array" ref="G143">XLOOKUP(LCARS_Tech[BuffID],RawTech[BuffID],RawTech[Tag_PvPStation])</f>
        <v>➖</v>
      </c>
      <c r="H143" s="433" t="str">
        <f t="array" ref="H143">XLOOKUP(LCARS_Tech[BuffID],RawTech[BuffID],RawTech[Tag_NonArmadaHostiles])</f>
        <v>✴️</v>
      </c>
      <c r="I143" s="433" t="str">
        <f t="array" ref="I143">XLOOKUP(LCARS_Tech[BuffID],RawTech[BuffID],RawTech[Tag_WaveDefense])</f>
        <v>✴️</v>
      </c>
      <c r="J143" s="433" t="str">
        <f t="array" ref="J143">XLOOKUP(LCARS_Tech[BuffID],RawTech[BuffID],RawTech[Tag_QTrial])</f>
        <v>➖</v>
      </c>
      <c r="K143" s="433" t="str">
        <f t="array" ref="K143">XLOOKUP(LCARS_Tech[BuffID],RawTech[BuffID],RawTech[Tag_MissionBosses])</f>
        <v>➖</v>
      </c>
      <c r="L143" s="433" t="str">
        <f t="array" ref="L143">XLOOKUP(LCARS_Tech[BuffID],RawTech[BuffID],RawTech[Tag_GroupArmadas])</f>
        <v>➖</v>
      </c>
      <c r="M143" s="433" t="str">
        <f t="array" ref="M143">XLOOKUP(LCARS_Tech[BuffID],RawTech[BuffID],RawTech[Tag_SoloArmadas])</f>
        <v>➖</v>
      </c>
      <c r="N143" s="433" t="str">
        <f t="array" ref="N143">XLOOKUP(LCARS_Tech[BuffID],RawTech[BuffID],RawTech[Tag_InvadingEntities])</f>
        <v>✴️</v>
      </c>
      <c r="O143" s="433" t="str">
        <f t="array" ref="O143">XLOOKUP(LCARS_Tech[BuffID],RawTech[BuffID],RawTech[Tag_Assaults])</f>
        <v>➖</v>
      </c>
      <c r="P143" s="434" t="str">
        <f t="array" ref="P143">XLOOKUP(LCARS_Tech[BuffID],RawTech[BuffID],RawTech[Tag_OutpostArmadas])</f>
        <v>➖</v>
      </c>
      <c r="Q143" s="416" t="str">
        <f t="array" ref="Q143">XLOOKUP(LCARS_Tech[BuffID],RawTech[BuffID],RawTech[Tag_OutpostRetaliators])</f>
        <v>➖</v>
      </c>
      <c r="R143" s="416" t="str">
        <f t="array" ref="R143">XLOOKUP(MasterTech!$AF$4:$AF$214,RawTech!$AO$2:$AO$212,RawTech!$AV$2:$AV$212)</f>
        <v>SelfOfficerTalNotOnBridge</v>
      </c>
      <c r="S143" s="433" t="str">
        <f t="array" ref="S143">XLOOKUP(MasterTech!$AF$4:$AF$214,RawTech!$AO$2:$AO$212,RawTech!$AK$2:$AK$212)</f>
        <v>➖</v>
      </c>
      <c r="T143" s="435" t="str">
        <f t="array" ref="T143">XLOOKUP(MasterTech!$AF$4:$AF$214,RawTech!$AO$2:$AO$212,RawTech!$AM$2:$AM$212)</f>
        <v>➖</v>
      </c>
      <c r="U143" s="438" t="str">
        <f t="array" ref="U143">XLOOKUP(MasterTech!$AF$4:$AF$214,RawTech!$AO$2:$AO$212,RawTech!$D$2:$D$212)</f>
        <v>ApexBarrier</v>
      </c>
      <c r="V143" s="438" t="str">
        <f t="array" ref="V143">XLOOKUP(MasterTech!$AF$4:$AF$214,RawTech!$AO$2:$AO$212,RawTech!$I$2:$I$212)</f>
        <v>num_rounds=3</v>
      </c>
      <c r="W143" s="447" t="str">
        <f t="array" ref="W143">XLOOKUP(MasterTech!$AF$4:$AF$214,RawTech!$AO$2:$AO$212,RawTech!$E$2:$E$212)</f>
        <v>TargetIsHostileOrInvadingEntity, SelfOfficerTalNotOnBridge</v>
      </c>
      <c r="X143" s="438" t="str">
        <f t="array" ref="X143">XLOOKUP(MasterTech!$AF$4:$AF$214,RawTech!$AO$2:$AO$212,RawTech!$F$2:$F$212)</f>
        <v>CombatStart</v>
      </c>
      <c r="Y143" s="438" t="str">
        <f t="array" ref="Y143">XLOOKUP(MasterTech!$AF$4:$AF$214,RawTech!$AO$2:$AO$212,RawTech!$G$2:$G$212)</f>
        <v>SelfShip</v>
      </c>
      <c r="Z143" s="438" t="str">
        <f t="array" ref="Z143">XLOOKUP(MasterTech!$AF$4:$AF$214,RawTech!$AO$2:$AO$212,RawTech!$H$2:$H$212)</f>
        <v>Add</v>
      </c>
      <c r="AA143" s="438" t="str">
        <f t="array" ref="AA143">XLOOKUP(MasterTech!$AF$4:$AF$214,RawTech!$AO$2:$AO$212,RawTech!$J$2:$J$212)</f>
        <v>Increases your Apex Barrier at start of battle when fighting Hostiles or Invading Entities by X for 3 rounds (if Tal not present on bridge)</v>
      </c>
      <c r="AB143" s="439"/>
      <c r="AC143" s="440"/>
      <c r="AD143" s="440"/>
      <c r="AE143" s="455">
        <f t="array" ref="AE143">XLOOKUP(MasterTech!$AF$4:$AF$214,RawTech!$AO$2:$AO$212,RawTech!$AR$2:$AR$212)</f>
        <v>41</v>
      </c>
      <c r="AF143" s="427">
        <v>2.08535303E9</v>
      </c>
      <c r="AG143" s="428"/>
      <c r="AH143" s="428"/>
      <c r="AI143" s="429"/>
      <c r="AJ143" s="430"/>
    </row>
    <row r="144" ht="37.5" customHeight="1">
      <c r="A144" s="415" t="str">
        <f t="array" ref="A144">LEFT(XLOOKUP(LCARS_Tech[BuffID],RawTech[BuffID],RawTech[TechRarity]), 1)</f>
        <v>R</v>
      </c>
      <c r="B144" s="420"/>
      <c r="C144" s="452" t="str">
        <f t="array" ref="C144">HYPERLINK("https://stfc.space/forbidden_and_chaos_tech/" &amp; XLOOKUP(MasterTech!$AF$4:$AF$214,RawTech!$AO$2:$AO$212,RawTech!$AQ$2:$AQ$212), XLOOKUP(MasterTech!$AF$4:$AF$214,RawTech!$AO$2:$AO$212,RawTech!$B$2:$B$212))</f>
        <v>Chrono Deflector</v>
      </c>
      <c r="D144" s="418">
        <f t="array" ref="D144">XLOOKUP(LCARS_Tech[BuffID],RawTech[BuffID],RawTech[BuffOrder])</f>
        <v>2</v>
      </c>
      <c r="E144" s="419" t="str">
        <f t="array" ref="E144">XLOOKUP(LCARS_Tech[BuffID],RawTech[BuffID],RawTech[TechType])</f>
        <v>CT</v>
      </c>
      <c r="F144" s="419" t="str">
        <f t="array" ref="F144">XLOOKUP(LCARS_Tech[BuffID],RawTech[BuffID],RawTech[Tag_PvPinSpace])</f>
        <v>➖</v>
      </c>
      <c r="G144" s="419" t="str">
        <f t="array" ref="G144">XLOOKUP(LCARS_Tech[BuffID],RawTech[BuffID],RawTech[Tag_PvPStation])</f>
        <v>➖</v>
      </c>
      <c r="H144" s="419" t="str">
        <f t="array" ref="H144">XLOOKUP(LCARS_Tech[BuffID],RawTech[BuffID],RawTech[Tag_NonArmadaHostiles])</f>
        <v>➖</v>
      </c>
      <c r="I144" s="419" t="str">
        <f t="array" ref="I144">XLOOKUP(LCARS_Tech[BuffID],RawTech[BuffID],RawTech[Tag_WaveDefense])</f>
        <v>➖</v>
      </c>
      <c r="J144" s="419" t="str">
        <f t="array" ref="J144">XLOOKUP(LCARS_Tech[BuffID],RawTech[BuffID],RawTech[Tag_QTrial])</f>
        <v>➖</v>
      </c>
      <c r="K144" s="419" t="str">
        <f t="array" ref="K144">XLOOKUP(LCARS_Tech[BuffID],RawTech[BuffID],RawTech[Tag_MissionBosses])</f>
        <v>➖</v>
      </c>
      <c r="L144" s="419" t="str">
        <f t="array" ref="L144">XLOOKUP(LCARS_Tech[BuffID],RawTech[BuffID],RawTech[Tag_GroupArmadas])</f>
        <v>✅</v>
      </c>
      <c r="M144" s="419" t="str">
        <f t="array" ref="M144">XLOOKUP(LCARS_Tech[BuffID],RawTech[BuffID],RawTech[Tag_SoloArmadas])</f>
        <v>✅</v>
      </c>
      <c r="N144" s="419" t="str">
        <f t="array" ref="N144">XLOOKUP(LCARS_Tech[BuffID],RawTech[BuffID],RawTech[Tag_InvadingEntities])</f>
        <v>✅</v>
      </c>
      <c r="O144" s="419" t="str">
        <f t="array" ref="O144">XLOOKUP(LCARS_Tech[BuffID],RawTech[BuffID],RawTech[Tag_Assaults])</f>
        <v>➖</v>
      </c>
      <c r="P144" s="442" t="str">
        <f t="array" ref="P144">XLOOKUP(LCARS_Tech[BuffID],RawTech[BuffID],RawTech[Tag_OutpostArmadas])</f>
        <v>➖</v>
      </c>
      <c r="Q144" s="420" t="str">
        <f t="array" ref="Q144">XLOOKUP(LCARS_Tech[BuffID],RawTech[BuffID],RawTech[Tag_OutpostRetaliators])</f>
        <v>➖</v>
      </c>
      <c r="R144" s="420" t="str">
        <f t="array" ref="R144">XLOOKUP(MasterTech!$AF$4:$AF$214,RawTech!$AO$2:$AO$212,RawTech!$AV$2:$AV$212)</f>
        <v/>
      </c>
      <c r="S144" s="419" t="str">
        <f t="array" ref="S144">XLOOKUP(MasterTech!$AF$4:$AF$214,RawTech!$AO$2:$AO$212,RawTech!$AK$2:$AK$212)</f>
        <v>➖</v>
      </c>
      <c r="T144" s="422" t="str">
        <f t="array" ref="T144">XLOOKUP(MasterTech!$AF$4:$AF$214,RawTech!$AO$2:$AO$212,RawTech!$AM$2:$AM$212)</f>
        <v>➖</v>
      </c>
      <c r="U144" s="423" t="str">
        <f t="array" ref="U144">XLOOKUP(MasterTech!$AF$4:$AF$214,RawTech!$AO$2:$AO$212,RawTech!$D$2:$D$212)</f>
        <v>CritDamage</v>
      </c>
      <c r="V144" s="423" t="str">
        <f t="array" ref="V144">XLOOKUP(MasterTech!$AF$4:$AF$214,RawTech!$AO$2:$AO$212,RawTech!$I$2:$I$212)</f>
        <v>num_rounds=3</v>
      </c>
      <c r="W144" s="443" t="str">
        <f t="array" ref="W144">XLOOKUP(MasterTech!$AF$4:$AF$214,RawTech!$AO$2:$AO$212,RawTech!$E$2:$E$212)</f>
        <v>TargetIsArmadaOrInvadingEntity</v>
      </c>
      <c r="X144" s="423" t="str">
        <f t="array" ref="X144">XLOOKUP(MasterTech!$AF$4:$AF$214,RawTech!$AO$2:$AO$212,RawTech!$F$2:$F$212)</f>
        <v>CombatStart</v>
      </c>
      <c r="Y144" s="423" t="str">
        <f t="array" ref="Y144">XLOOKUP(MasterTech!$AF$4:$AF$214,RawTech!$AO$2:$AO$212,RawTech!$G$2:$G$212)</f>
        <v>SelfShip</v>
      </c>
      <c r="Z144" s="423" t="str">
        <f t="array" ref="Z144">XLOOKUP(MasterTech!$AF$4:$AF$214,RawTech!$AO$2:$AO$212,RawTech!$H$2:$H$212)</f>
        <v>Add</v>
      </c>
      <c r="AA144" s="423" t="str">
        <f t="array" ref="AA144">XLOOKUP(MasterTech!$AF$4:$AF$214,RawTech!$AO$2:$AO$212,RawTech!$J$2:$J$212)</f>
        <v>Increases your Critical Damage at start of battle when fighting Armadas or Invading Entities by X for 3 rounds</v>
      </c>
      <c r="AB144" s="424"/>
      <c r="AC144" s="425"/>
      <c r="AD144" s="425"/>
      <c r="AE144" s="453">
        <f t="array" ref="AE144">XLOOKUP(MasterTech!$AF$4:$AF$214,RawTech!$AO$2:$AO$212,RawTech!$AR$2:$AR$212)</f>
        <v>41</v>
      </c>
      <c r="AF144" s="427">
        <v>2.929085195E9</v>
      </c>
      <c r="AG144" s="428"/>
      <c r="AH144" s="428"/>
      <c r="AI144" s="429"/>
      <c r="AJ144" s="430"/>
    </row>
    <row r="145" ht="37.5" customHeight="1">
      <c r="A145" s="415" t="str">
        <f t="array" ref="A145">LEFT(XLOOKUP(LCARS_Tech[BuffID],RawTech[BuffID],RawTech[TechRarity]), 1)</f>
        <v>R</v>
      </c>
      <c r="B145" s="416"/>
      <c r="C145" s="454" t="str">
        <f t="array" ref="C145">HYPERLINK("https://stfc.space/forbidden_and_chaos_tech/" &amp; XLOOKUP(MasterTech!$AF$4:$AF$214,RawTech!$AO$2:$AO$212,RawTech!$AQ$2:$AQ$212), XLOOKUP(MasterTech!$AF$4:$AF$214,RawTech!$AO$2:$AO$212,RawTech!$B$2:$B$212))</f>
        <v>Chrono Deflector</v>
      </c>
      <c r="D145" s="432">
        <f t="array" ref="D145">XLOOKUP(LCARS_Tech[BuffID],RawTech[BuffID],RawTech[BuffOrder])</f>
        <v>3</v>
      </c>
      <c r="E145" s="433" t="str">
        <f t="array" ref="E145">XLOOKUP(LCARS_Tech[BuffID],RawTech[BuffID],RawTech[TechType])</f>
        <v>CT</v>
      </c>
      <c r="F145" s="433" t="str">
        <f t="array" ref="F145">XLOOKUP(LCARS_Tech[BuffID],RawTech[BuffID],RawTech[Tag_PvPinSpace])</f>
        <v>➖</v>
      </c>
      <c r="G145" s="433" t="str">
        <f t="array" ref="G145">XLOOKUP(LCARS_Tech[BuffID],RawTech[BuffID],RawTech[Tag_PvPStation])</f>
        <v>➖</v>
      </c>
      <c r="H145" s="433" t="str">
        <f t="array" ref="H145">XLOOKUP(LCARS_Tech[BuffID],RawTech[BuffID],RawTech[Tag_NonArmadaHostiles])</f>
        <v>✅</v>
      </c>
      <c r="I145" s="433" t="str">
        <f t="array" ref="I145">XLOOKUP(LCARS_Tech[BuffID],RawTech[BuffID],RawTech[Tag_WaveDefense])</f>
        <v>✅</v>
      </c>
      <c r="J145" s="433" t="str">
        <f t="array" ref="J145">XLOOKUP(LCARS_Tech[BuffID],RawTech[BuffID],RawTech[Tag_QTrial])</f>
        <v>✅</v>
      </c>
      <c r="K145" s="433" t="str">
        <f t="array" ref="K145">XLOOKUP(LCARS_Tech[BuffID],RawTech[BuffID],RawTech[Tag_MissionBosses])</f>
        <v>➖</v>
      </c>
      <c r="L145" s="433" t="str">
        <f t="array" ref="L145">XLOOKUP(LCARS_Tech[BuffID],RawTech[BuffID],RawTech[Tag_GroupArmadas])</f>
        <v>✅</v>
      </c>
      <c r="M145" s="433" t="str">
        <f t="array" ref="M145">XLOOKUP(LCARS_Tech[BuffID],RawTech[BuffID],RawTech[Tag_SoloArmadas])</f>
        <v>✅</v>
      </c>
      <c r="N145" s="433" t="str">
        <f t="array" ref="N145">XLOOKUP(LCARS_Tech[BuffID],RawTech[BuffID],RawTech[Tag_InvadingEntities])</f>
        <v>✅</v>
      </c>
      <c r="O145" s="433" t="str">
        <f t="array" ref="O145">XLOOKUP(LCARS_Tech[BuffID],RawTech[BuffID],RawTech[Tag_Assaults])</f>
        <v>➖</v>
      </c>
      <c r="P145" s="434" t="str">
        <f t="array" ref="P145">XLOOKUP(LCARS_Tech[BuffID],RawTech[BuffID],RawTech[Tag_OutpostArmadas])</f>
        <v>➖</v>
      </c>
      <c r="Q145" s="416" t="str">
        <f t="array" ref="Q145">XLOOKUP(LCARS_Tech[BuffID],RawTech[BuffID],RawTech[Tag_OutpostRetaliators])</f>
        <v>➖</v>
      </c>
      <c r="R145" s="416" t="str">
        <f t="array" ref="R145">XLOOKUP(MasterTech!$AF$4:$AF$214,RawTech!$AO$2:$AO$212,RawTech!$AV$2:$AV$212)</f>
        <v/>
      </c>
      <c r="S145" s="433" t="str">
        <f t="array" ref="S145">XLOOKUP(MasterTech!$AF$4:$AF$214,RawTech!$AO$2:$AO$212,RawTech!$AK$2:$AK$212)</f>
        <v>➖</v>
      </c>
      <c r="T145" s="435" t="str">
        <f t="array" ref="T145">XLOOKUP(MasterTech!$AF$4:$AF$214,RawTech!$AO$2:$AO$212,RawTech!$AM$2:$AM$212)</f>
        <v>➖</v>
      </c>
      <c r="U145" s="438" t="str">
        <f t="array" ref="U145">XLOOKUP(MasterTech!$AF$4:$AF$214,RawTech!$AO$2:$AO$212,RawTech!$D$2:$D$212)</f>
        <v>ShieldHPRepair</v>
      </c>
      <c r="V145" s="438" t="str">
        <f t="array" ref="V145">XLOOKUP(MasterTech!$AF$4:$AF$214,RawTech!$AO$2:$AO$212,RawTech!$I$2:$I$212)</f>
        <v>num_rounds=3</v>
      </c>
      <c r="W145" s="447" t="str">
        <f t="array" ref="W145">XLOOKUP(MasterTech!$AF$4:$AF$214,RawTech!$AO$2:$AO$212,RawTech!$E$2:$E$212)</f>
        <v>EnemyHostile</v>
      </c>
      <c r="X145" s="438" t="str">
        <f t="array" ref="X145">XLOOKUP(MasterTech!$AF$4:$AF$214,RawTech!$AO$2:$AO$212,RawTech!$F$2:$F$212)</f>
        <v>CombatStart</v>
      </c>
      <c r="Y145" s="438" t="str">
        <f t="array" ref="Y145">XLOOKUP(MasterTech!$AF$4:$AF$214,RawTech!$AO$2:$AO$212,RawTech!$G$2:$G$212)</f>
        <v>SelfShip</v>
      </c>
      <c r="Z145" s="438" t="str">
        <f t="array" ref="Z145">XLOOKUP(MasterTech!$AF$4:$AF$214,RawTech!$AO$2:$AO$212,RawTech!$H$2:$H$212)</f>
        <v>MultiplyAdd</v>
      </c>
      <c r="AA145" s="438" t="str">
        <f t="array" ref="AA145">XLOOKUP(MasterTech!$AF$4:$AF$214,RawTech!$AO$2:$AO$212,RawTech!$J$2:$J$212)</f>
        <v>Increases your Shield Repair at start of battle when fighting Hostiles, Armadas or Invading Entities by X for 3 rounds</v>
      </c>
      <c r="AB145" s="439"/>
      <c r="AC145" s="440"/>
      <c r="AD145" s="440"/>
      <c r="AE145" s="455">
        <f t="array" ref="AE145">XLOOKUP(MasterTech!$AF$4:$AF$214,RawTech!$AO$2:$AO$212,RawTech!$AR$2:$AR$212)</f>
        <v>41</v>
      </c>
      <c r="AF145" s="427">
        <v>3.970062343E9</v>
      </c>
      <c r="AG145" s="428"/>
      <c r="AH145" s="428"/>
      <c r="AI145" s="429"/>
      <c r="AJ145" s="430"/>
    </row>
    <row r="146" ht="37.5" customHeight="1">
      <c r="A146" s="415" t="str">
        <f t="array" ref="A146">LEFT(XLOOKUP(LCARS_Tech[BuffID],RawTech[BuffID],RawTech[TechRarity]), 1)</f>
        <v>E</v>
      </c>
      <c r="B146" s="420"/>
      <c r="C146" s="417" t="str">
        <f t="array" ref="C146">HYPERLINK("https://stfc.space/forbidden_and_chaos_tech/" &amp; XLOOKUP(LCARS_Tech[BuffID],RawTech[BuffID],RawTech[TechId]), XLOOKUP(LCARS_Tech[BuffID],RawTech[BuffID],RawTech[TechName]))</f>
        <v>The Godsend</v>
      </c>
      <c r="D146" s="418">
        <f t="array" ref="D146">XLOOKUP(LCARS_Tech[BuffID],RawTech[BuffID],RawTech[BuffOrder])</f>
        <v>1</v>
      </c>
      <c r="E146" s="419" t="str">
        <f t="array" ref="E146">XLOOKUP(LCARS_Tech[BuffID],RawTech[BuffID],RawTech[TechType])</f>
        <v>CT</v>
      </c>
      <c r="F146" s="419" t="str">
        <f t="array" ref="F146">XLOOKUP(LCARS_Tech[BuffID],RawTech[BuffID],RawTech[Tag_PvPinSpace])</f>
        <v>✅</v>
      </c>
      <c r="G146" s="419" t="str">
        <f t="array" ref="G146">XLOOKUP(LCARS_Tech[BuffID],RawTech[BuffID],RawTech[Tag_PvPStation])</f>
        <v>✅</v>
      </c>
      <c r="H146" s="419" t="str">
        <f t="array" ref="H146">XLOOKUP(LCARS_Tech[BuffID],RawTech[BuffID],RawTech[Tag_NonArmadaHostiles])</f>
        <v>✅</v>
      </c>
      <c r="I146" s="419" t="str">
        <f t="array" ref="I146">XLOOKUP(LCARS_Tech[BuffID],RawTech[BuffID],RawTech[Tag_WaveDefense])</f>
        <v>✅</v>
      </c>
      <c r="J146" s="419" t="str">
        <f t="array" ref="J146">XLOOKUP(LCARS_Tech[BuffID],RawTech[BuffID],RawTech[Tag_QTrial])</f>
        <v>✅</v>
      </c>
      <c r="K146" s="419" t="str">
        <f t="array" ref="K146">XLOOKUP(LCARS_Tech[BuffID],RawTech[BuffID],RawTech[Tag_MissionBosses])</f>
        <v>✅</v>
      </c>
      <c r="L146" s="419" t="str">
        <f t="array" ref="L146">XLOOKUP(LCARS_Tech[BuffID],RawTech[BuffID],RawTech[Tag_GroupArmadas])</f>
        <v>✅</v>
      </c>
      <c r="M146" s="419" t="str">
        <f t="array" ref="M146">XLOOKUP(LCARS_Tech[BuffID],RawTech[BuffID],RawTech[Tag_SoloArmadas])</f>
        <v>✅</v>
      </c>
      <c r="N146" s="419" t="str">
        <f t="array" ref="N146">XLOOKUP(LCARS_Tech[BuffID],RawTech[BuffID],RawTech[Tag_InvadingEntities])</f>
        <v>✅</v>
      </c>
      <c r="O146" s="419" t="str">
        <f t="array" ref="O146">XLOOKUP(LCARS_Tech[BuffID],RawTech[BuffID],RawTech[Tag_Assaults])</f>
        <v>✅</v>
      </c>
      <c r="P146" s="442" t="str">
        <f t="array" ref="P146">XLOOKUP(LCARS_Tech[BuffID],RawTech[BuffID],RawTech[Tag_OutpostArmadas])</f>
        <v>✅</v>
      </c>
      <c r="Q146" s="420" t="str">
        <f t="array" ref="Q146">XLOOKUP(LCARS_Tech[BuffID],RawTech[BuffID],RawTech[Tag_OutpostRetaliators])</f>
        <v>✅</v>
      </c>
      <c r="R146" s="420" t="str">
        <f t="array" ref="R146">XLOOKUP(MasterTech!$AF$4:$AF$214,RawTech!$AO$2:$AO$212,RawTech!$AV$2:$AV$212)</f>
        <v/>
      </c>
      <c r="S146" s="419" t="str">
        <f t="array" ref="S146">XLOOKUP(MasterTech!$AF$4:$AF$214,RawTech!$AO$2:$AO$212,RawTech!$AK$2:$AK$212)</f>
        <v>➖</v>
      </c>
      <c r="T146" s="422" t="str">
        <f t="array" ref="T146">XLOOKUP(MasterTech!$AF$4:$AF$214,RawTech!$AO$2:$AO$212,RawTech!$AM$2:$AM$212)</f>
        <v>➖</v>
      </c>
      <c r="U146" s="423" t="str">
        <f t="array" ref="U146">XLOOKUP(MasterTech!$AF$4:$AF$214,RawTech!$AO$2:$AO$212,RawTech!$D$2:$D$212)</f>
        <v>AllDamage</v>
      </c>
      <c r="V146" s="420" t="str">
        <f t="array" ref="V146">XLOOKUP(MasterTech!$AF$4:$AF$214,RawTech!$AO$2:$AO$212,RawTech!$I$2:$I$212)</f>
        <v/>
      </c>
      <c r="W146" s="421" t="str">
        <f t="array" ref="W146">XLOOKUP(MasterTech!$AF$4:$AF$214,RawTech!$AO$2:$AO$212,RawTech!$E$2:$E$212)</f>
        <v/>
      </c>
      <c r="X146" s="423" t="str">
        <f t="array" ref="X146">XLOOKUP(MasterTech!$AF$4:$AF$214,RawTech!$AO$2:$AO$212,RawTech!$F$2:$F$212)</f>
        <v>CombatStart</v>
      </c>
      <c r="Y146" s="423" t="str">
        <f t="array" ref="Y146">XLOOKUP(MasterTech!$AF$4:$AF$214,RawTech!$AO$2:$AO$212,RawTech!$G$2:$G$212)</f>
        <v>SelfShip</v>
      </c>
      <c r="Z146" s="423" t="str">
        <f t="array" ref="Z146">XLOOKUP(MasterTech!$AF$4:$AF$214,RawTech!$AO$2:$AO$212,RawTech!$H$2:$H$212)</f>
        <v>MultiplyAdd</v>
      </c>
      <c r="AA146" s="456" t="str">
        <f t="array" ref="AA146">XLOOKUP(MasterTech!$AF$4:$AF$214,RawTech!$AO$2:$AO$212,RawTech!$J$2:$J$212)</f>
        <v>Increases base Weapon Damage against hostiles by X.</v>
      </c>
      <c r="AB146" s="457" t="b">
        <v>1</v>
      </c>
      <c r="AC146" s="458" t="s">
        <v>548</v>
      </c>
      <c r="AD146" s="425"/>
      <c r="AE146" s="461">
        <f t="array" ref="AE146">XLOOKUP(MasterTech!$AF$4:$AF$214,RawTech!$AO$2:$AO$212,RawTech!$AR$2:$AR$212)</f>
        <v>42</v>
      </c>
      <c r="AF146" s="427">
        <v>2.108941546E9</v>
      </c>
      <c r="AG146" s="428"/>
      <c r="AH146" s="428"/>
      <c r="AI146" s="429"/>
      <c r="AJ146" s="430"/>
    </row>
    <row r="147" ht="37.5" customHeight="1">
      <c r="A147" s="415" t="str">
        <f t="array" ref="A147">LEFT(XLOOKUP(LCARS_Tech[BuffID],RawTech[BuffID],RawTech[TechRarity]), 1)</f>
        <v>E</v>
      </c>
      <c r="B147" s="416"/>
      <c r="C147" s="464" t="str">
        <f t="array" ref="C147">HYPERLINK("https://stfc.space/forbidden_and_chaos_tech/" &amp; XLOOKUP(MasterTech!$AF$4:$AF$214,RawTech!$AO$2:$AO$212,RawTech!$AQ$2:$AQ$212), XLOOKUP(MasterTech!$AF$4:$AF$214,RawTech!$AO$2:$AO$212,RawTech!$B$2:$B$212))</f>
        <v>The Godsend</v>
      </c>
      <c r="D147" s="432">
        <f t="array" ref="D147">XLOOKUP(LCARS_Tech[BuffID],RawTech[BuffID],RawTech[BuffOrder])</f>
        <v>2</v>
      </c>
      <c r="E147" s="433" t="str">
        <f t="array" ref="E147">XLOOKUP(LCARS_Tech[BuffID],RawTech[BuffID],RawTech[TechType])</f>
        <v>CT</v>
      </c>
      <c r="F147" s="433" t="str">
        <f t="array" ref="F147">XLOOKUP(LCARS_Tech[BuffID],RawTech[BuffID],RawTech[Tag_PvPinSpace])</f>
        <v>➖</v>
      </c>
      <c r="G147" s="433" t="str">
        <f t="array" ref="G147">XLOOKUP(LCARS_Tech[BuffID],RawTech[BuffID],RawTech[Tag_PvPStation])</f>
        <v>➖</v>
      </c>
      <c r="H147" s="433" t="str">
        <f t="array" ref="H147">XLOOKUP(LCARS_Tech[BuffID],RawTech[BuffID],RawTech[Tag_NonArmadaHostiles])</f>
        <v>✴️</v>
      </c>
      <c r="I147" s="433" t="str">
        <f t="array" ref="I147">XLOOKUP(LCARS_Tech[BuffID],RawTech[BuffID],RawTech[Tag_WaveDefense])</f>
        <v>✴️</v>
      </c>
      <c r="J147" s="433" t="str">
        <f t="array" ref="J147">XLOOKUP(LCARS_Tech[BuffID],RawTech[BuffID],RawTech[Tag_QTrial])</f>
        <v>✴️</v>
      </c>
      <c r="K147" s="433" t="str">
        <f t="array" ref="K147">XLOOKUP(LCARS_Tech[BuffID],RawTech[BuffID],RawTech[Tag_MissionBosses])</f>
        <v>➖</v>
      </c>
      <c r="L147" s="433" t="str">
        <f t="array" ref="L147">XLOOKUP(LCARS_Tech[BuffID],RawTech[BuffID],RawTech[Tag_GroupArmadas])</f>
        <v>➖</v>
      </c>
      <c r="M147" s="433" t="str">
        <f t="array" ref="M147">XLOOKUP(LCARS_Tech[BuffID],RawTech[BuffID],RawTech[Tag_SoloArmadas])</f>
        <v>➖</v>
      </c>
      <c r="N147" s="433" t="str">
        <f t="array" ref="N147">XLOOKUP(LCARS_Tech[BuffID],RawTech[BuffID],RawTech[Tag_InvadingEntities])</f>
        <v>➖</v>
      </c>
      <c r="O147" s="433" t="str">
        <f t="array" ref="O147">XLOOKUP(LCARS_Tech[BuffID],RawTech[BuffID],RawTech[Tag_Assaults])</f>
        <v>➖</v>
      </c>
      <c r="P147" s="434" t="str">
        <f t="array" ref="P147">XLOOKUP(LCARS_Tech[BuffID],RawTech[BuffID],RawTech[Tag_OutpostArmadas])</f>
        <v>➖</v>
      </c>
      <c r="Q147" s="451" t="str">
        <f t="array" ref="Q147">XLOOKUP(LCARS_Tech[BuffID],RawTech[BuffID],RawTech[Tag_OutpostRetaliators])</f>
        <v>➖</v>
      </c>
      <c r="R147" s="451" t="str">
        <f t="array" ref="R147">XLOOKUP(MasterTech!$AF$4:$AF$214,RawTech!$AO$2:$AO$212,RawTech!$AV$2:$AV$212)</f>
        <v>SelfOfficerTalNotOnBridge</v>
      </c>
      <c r="S147" s="433" t="str">
        <f t="array" ref="S147">XLOOKUP(MasterTech!$AF$4:$AF$214,RawTech!$AO$2:$AO$212,RawTech!$AK$2:$AK$212)</f>
        <v>➖</v>
      </c>
      <c r="T147" s="435" t="str">
        <f t="array" ref="T147">XLOOKUP(MasterTech!$AF$4:$AF$214,RawTech!$AO$2:$AO$212,RawTech!$AM$2:$AM$212)</f>
        <v>➖</v>
      </c>
      <c r="U147" s="438" t="str">
        <f t="array" ref="U147">XLOOKUP(MasterTech!$AF$4:$AF$214,RawTech!$AO$2:$AO$212,RawTech!$D$2:$D$212)</f>
        <v>ApexBarrier</v>
      </c>
      <c r="V147" s="416" t="str">
        <f t="array" ref="V147">XLOOKUP(MasterTech!$AF$4:$AF$214,RawTech!$AO$2:$AO$212,RawTech!$I$2:$I$212)</f>
        <v/>
      </c>
      <c r="W147" s="447" t="str">
        <f t="array" ref="W147">XLOOKUP(MasterTech!$AF$4:$AF$214,RawTech!$AO$2:$AO$212,RawTech!$E$2:$E$212)</f>
        <v>EnemyHostile, TargetNotArmada, SelfOfficerTalNotOnBridge</v>
      </c>
      <c r="X147" s="438" t="str">
        <f t="array" ref="X147">XLOOKUP(MasterTech!$AF$4:$AF$214,RawTech!$AO$2:$AO$212,RawTech!$F$2:$F$212)</f>
        <v>CombatStart</v>
      </c>
      <c r="Y147" s="438" t="str">
        <f t="array" ref="Y147">XLOOKUP(MasterTech!$AF$4:$AF$214,RawTech!$AO$2:$AO$212,RawTech!$G$2:$G$212)</f>
        <v>SelfShip</v>
      </c>
      <c r="Z147" s="438" t="str">
        <f t="array" ref="Z147">XLOOKUP(MasterTech!$AF$4:$AF$214,RawTech!$AO$2:$AO$212,RawTech!$H$2:$H$212)</f>
        <v>Add</v>
      </c>
      <c r="AA147" s="456" t="str">
        <f t="array" ref="AA147">XLOOKUP(MasterTech!$AF$4:$AF$214,RawTech!$AO$2:$AO$212,RawTech!$J$2:$J$212)</f>
        <v>Increases Apex Barrier against non-Armada hostiles by X.</v>
      </c>
      <c r="AB147" s="459" t="b">
        <v>1</v>
      </c>
      <c r="AC147" s="438" t="s">
        <v>549</v>
      </c>
      <c r="AD147" s="449"/>
      <c r="AE147" s="462">
        <f t="array" ref="AE147">XLOOKUP(MasterTech!$AF$4:$AF$214,RawTech!$AO$2:$AO$212,RawTech!$AR$2:$AR$212)</f>
        <v>42</v>
      </c>
      <c r="AF147" s="427">
        <v>1.741270321E9</v>
      </c>
      <c r="AG147" s="428"/>
      <c r="AH147" s="428"/>
      <c r="AI147" s="429"/>
      <c r="AJ147" s="430"/>
    </row>
    <row r="148" ht="37.5" customHeight="1">
      <c r="A148" s="415" t="str">
        <f t="array" ref="A148">LEFT(XLOOKUP(LCARS_Tech[BuffID],RawTech[BuffID],RawTech[TechRarity]), 1)</f>
        <v>E</v>
      </c>
      <c r="B148" s="420"/>
      <c r="C148" s="460" t="str">
        <f t="array" ref="C148">HYPERLINK("https://stfc.space/forbidden_and_chaos_tech/" &amp; XLOOKUP(MasterTech!$AF$4:$AF$214,RawTech!$AO$2:$AO$212,RawTech!$AQ$2:$AQ$212), XLOOKUP(MasterTech!$AF$4:$AF$214,RawTech!$AO$2:$AO$212,RawTech!$B$2:$B$212))</f>
        <v>The Godsend</v>
      </c>
      <c r="D148" s="418">
        <f t="array" ref="D148">XLOOKUP(LCARS_Tech[BuffID],RawTech[BuffID],RawTech[BuffOrder])</f>
        <v>3</v>
      </c>
      <c r="E148" s="419" t="str">
        <f t="array" ref="E148">XLOOKUP(LCARS_Tech[BuffID],RawTech[BuffID],RawTech[TechType])</f>
        <v>CT</v>
      </c>
      <c r="F148" s="419" t="str">
        <f t="array" ref="F148">XLOOKUP(LCARS_Tech[BuffID],RawTech[BuffID],RawTech[Tag_PvPinSpace])</f>
        <v>➖</v>
      </c>
      <c r="G148" s="419" t="str">
        <f t="array" ref="G148">XLOOKUP(LCARS_Tech[BuffID],RawTech[BuffID],RawTech[Tag_PvPStation])</f>
        <v>➖</v>
      </c>
      <c r="H148" s="419" t="str">
        <f t="array" ref="H148">XLOOKUP(LCARS_Tech[BuffID],RawTech[BuffID],RawTech[Tag_NonArmadaHostiles])</f>
        <v>✅</v>
      </c>
      <c r="I148" s="419" t="str">
        <f t="array" ref="I148">XLOOKUP(LCARS_Tech[BuffID],RawTech[BuffID],RawTech[Tag_WaveDefense])</f>
        <v>✅</v>
      </c>
      <c r="J148" s="419" t="str">
        <f t="array" ref="J148">XLOOKUP(LCARS_Tech[BuffID],RawTech[BuffID],RawTech[Tag_QTrial])</f>
        <v>✅</v>
      </c>
      <c r="K148" s="419" t="str">
        <f t="array" ref="K148">XLOOKUP(LCARS_Tech[BuffID],RawTech[BuffID],RawTech[Tag_MissionBosses])</f>
        <v>➖</v>
      </c>
      <c r="L148" s="419" t="str">
        <f t="array" ref="L148">XLOOKUP(LCARS_Tech[BuffID],RawTech[BuffID],RawTech[Tag_GroupArmadas])</f>
        <v>➖</v>
      </c>
      <c r="M148" s="419" t="str">
        <f t="array" ref="M148">XLOOKUP(LCARS_Tech[BuffID],RawTech[BuffID],RawTech[Tag_SoloArmadas])</f>
        <v>➖</v>
      </c>
      <c r="N148" s="419" t="str">
        <f t="array" ref="N148">XLOOKUP(LCARS_Tech[BuffID],RawTech[BuffID],RawTech[Tag_InvadingEntities])</f>
        <v>➖</v>
      </c>
      <c r="O148" s="419" t="str">
        <f t="array" ref="O148">XLOOKUP(LCARS_Tech[BuffID],RawTech[BuffID],RawTech[Tag_Assaults])</f>
        <v>➖</v>
      </c>
      <c r="P148" s="442" t="str">
        <f t="array" ref="P148">XLOOKUP(LCARS_Tech[BuffID],RawTech[BuffID],RawTech[Tag_OutpostArmadas])</f>
        <v>➖</v>
      </c>
      <c r="Q148" s="420" t="str">
        <f t="array" ref="Q148">XLOOKUP(LCARS_Tech[BuffID],RawTech[BuffID],RawTech[Tag_OutpostRetaliators])</f>
        <v>➖</v>
      </c>
      <c r="R148" s="420" t="str">
        <f t="array" ref="R148">XLOOKUP(MasterTech!$AF$4:$AF$214,RawTech!$AO$2:$AO$212,RawTech!$AV$2:$AV$212)</f>
        <v/>
      </c>
      <c r="S148" s="419" t="str">
        <f t="array" ref="S148">XLOOKUP(MasterTech!$AF$4:$AF$214,RawTech!$AO$2:$AO$212,RawTech!$AK$2:$AK$212)</f>
        <v>➖</v>
      </c>
      <c r="T148" s="422" t="str">
        <f t="array" ref="T148">XLOOKUP(MasterTech!$AF$4:$AF$214,RawTech!$AO$2:$AO$212,RawTech!$AM$2:$AM$212)</f>
        <v>➖</v>
      </c>
      <c r="U148" s="423" t="str">
        <f t="array" ref="U148">XLOOKUP(MasterTech!$AF$4:$AF$214,RawTech!$AO$2:$AO$212,RawTech!$D$2:$D$212)</f>
        <v>ApexShred</v>
      </c>
      <c r="V148" s="420" t="str">
        <f t="array" ref="V148">XLOOKUP(MasterTech!$AF$4:$AF$214,RawTech!$AO$2:$AO$212,RawTech!$I$2:$I$212)</f>
        <v/>
      </c>
      <c r="W148" s="443" t="str">
        <f t="array" ref="W148">XLOOKUP(MasterTech!$AF$4:$AF$214,RawTech!$AO$2:$AO$212,RawTech!$E$2:$E$212)</f>
        <v>EnemyHostile, TargetNotArmada</v>
      </c>
      <c r="X148" s="423" t="str">
        <f t="array" ref="X148">XLOOKUP(MasterTech!$AF$4:$AF$214,RawTech!$AO$2:$AO$212,RawTech!$F$2:$F$212)</f>
        <v>CombatStart</v>
      </c>
      <c r="Y148" s="423" t="str">
        <f t="array" ref="Y148">XLOOKUP(MasterTech!$AF$4:$AF$214,RawTech!$AO$2:$AO$212,RawTech!$G$2:$G$212)</f>
        <v>EnemyShip</v>
      </c>
      <c r="Z148" s="423" t="str">
        <f t="array" ref="Z148">XLOOKUP(MasterTech!$AF$4:$AF$214,RawTech!$AO$2:$AO$212,RawTech!$H$2:$H$212)</f>
        <v>Add</v>
      </c>
      <c r="AA148" s="456" t="str">
        <f t="array" ref="AA148">XLOOKUP(MasterTech!$AF$4:$AF$214,RawTech!$AO$2:$AO$212,RawTech!$J$2:$J$212)</f>
        <v>Increases Apex Shred against hostiles by X .</v>
      </c>
      <c r="AB148" s="457" t="b">
        <v>1</v>
      </c>
      <c r="AC148" s="458" t="s">
        <v>545</v>
      </c>
      <c r="AD148" s="425"/>
      <c r="AE148" s="461">
        <f t="array" ref="AE148">XLOOKUP(MasterTech!$AF$4:$AF$214,RawTech!$AO$2:$AO$212,RawTech!$AR$2:$AR$212)</f>
        <v>42</v>
      </c>
      <c r="AF148" s="427">
        <v>2.979155591E9</v>
      </c>
      <c r="AG148" s="428"/>
      <c r="AH148" s="428"/>
      <c r="AI148" s="429"/>
      <c r="AJ148" s="430"/>
    </row>
    <row r="149" ht="37.5" customHeight="1">
      <c r="A149" s="415" t="str">
        <f t="array" ref="A149">LEFT(XLOOKUP(LCARS_Tech[BuffID],RawTech[BuffID],RawTech[TechRarity]), 1)</f>
        <v>U</v>
      </c>
      <c r="B149" s="416"/>
      <c r="C149" s="446" t="str">
        <f t="array" ref="C149">HYPERLINK("https://stfc.space/forbidden_and_chaos_tech/" &amp; XLOOKUP(MasterTech!$AF$4:$AF$214,RawTech!$AO$2:$AO$212,RawTech!$AQ$2:$AQ$212), XLOOKUP(MasterTech!$AF$4:$AF$214,RawTech!$AO$2:$AO$212,RawTech!$B$2:$B$212))</f>
        <v>Control</v>
      </c>
      <c r="D149" s="432">
        <f t="array" ref="D149">XLOOKUP(LCARS_Tech[BuffID],RawTech[BuffID],RawTech[BuffOrder])</f>
        <v>1</v>
      </c>
      <c r="E149" s="433" t="str">
        <f t="array" ref="E149">XLOOKUP(LCARS_Tech[BuffID],RawTech[BuffID],RawTech[TechType])</f>
        <v>CT</v>
      </c>
      <c r="F149" s="433" t="str">
        <f t="array" ref="F149">XLOOKUP(LCARS_Tech[BuffID],RawTech[BuffID],RawTech[Tag_PvPinSpace])</f>
        <v>➖</v>
      </c>
      <c r="G149" s="433" t="str">
        <f t="array" ref="G149">XLOOKUP(LCARS_Tech[BuffID],RawTech[BuffID],RawTech[Tag_PvPStation])</f>
        <v>➖</v>
      </c>
      <c r="H149" s="433" t="str">
        <f t="array" ref="H149">XLOOKUP(LCARS_Tech[BuffID],RawTech[BuffID],RawTech[Tag_NonArmadaHostiles])</f>
        <v>➖</v>
      </c>
      <c r="I149" s="433" t="str">
        <f t="array" ref="I149">XLOOKUP(LCARS_Tech[BuffID],RawTech[BuffID],RawTech[Tag_WaveDefense])</f>
        <v>➖</v>
      </c>
      <c r="J149" s="433" t="str">
        <f t="array" ref="J149">XLOOKUP(LCARS_Tech[BuffID],RawTech[BuffID],RawTech[Tag_QTrial])</f>
        <v>➖</v>
      </c>
      <c r="K149" s="433" t="str">
        <f t="array" ref="K149">XLOOKUP(LCARS_Tech[BuffID],RawTech[BuffID],RawTech[Tag_MissionBosses])</f>
        <v>➖</v>
      </c>
      <c r="L149" s="433" t="str">
        <f t="array" ref="L149">XLOOKUP(LCARS_Tech[BuffID],RawTech[BuffID],RawTech[Tag_GroupArmadas])</f>
        <v>➖</v>
      </c>
      <c r="M149" s="433" t="str">
        <f t="array" ref="M149">XLOOKUP(LCARS_Tech[BuffID],RawTech[BuffID],RawTech[Tag_SoloArmadas])</f>
        <v>➖</v>
      </c>
      <c r="N149" s="433" t="str">
        <f t="array" ref="N149">XLOOKUP(LCARS_Tech[BuffID],RawTech[BuffID],RawTech[Tag_InvadingEntities])</f>
        <v>➖</v>
      </c>
      <c r="O149" s="433" t="str">
        <f t="array" ref="O149">XLOOKUP(LCARS_Tech[BuffID],RawTech[BuffID],RawTech[Tag_Assaults])</f>
        <v>➖</v>
      </c>
      <c r="P149" s="434" t="str">
        <f t="array" ref="P149">XLOOKUP(LCARS_Tech[BuffID],RawTech[BuffID],RawTech[Tag_OutpostArmadas])</f>
        <v>➖</v>
      </c>
      <c r="Q149" s="416" t="str">
        <f t="array" ref="Q149">XLOOKUP(LCARS_Tech[BuffID],RawTech[BuffID],RawTech[Tag_OutpostRetaliators])</f>
        <v>➖</v>
      </c>
      <c r="R149" s="416" t="str">
        <f t="array" ref="R149">XLOOKUP(MasterTech!$AF$4:$AF$214,RawTech!$AO$2:$AO$212,RawTech!$AV$2:$AV$212)</f>
        <v/>
      </c>
      <c r="S149" s="433" t="str">
        <f t="array" ref="S149">XLOOKUP(MasterTech!$AF$4:$AF$214,RawTech!$AO$2:$AO$212,RawTech!$AK$2:$AK$212)</f>
        <v>➖</v>
      </c>
      <c r="T149" s="435" t="str">
        <f t="array" ref="T149">XLOOKUP(MasterTech!$AF$4:$AF$214,RawTech!$AO$2:$AO$212,RawTech!$AM$2:$AM$212)</f>
        <v>✅</v>
      </c>
      <c r="U149" s="438" t="str">
        <f t="array" ref="U149">XLOOKUP(MasterTech!$AF$4:$AF$214,RawTech!$AO$2:$AO$212,RawTech!$D$2:$D$212)</f>
        <v>CargoProtection</v>
      </c>
      <c r="V149" s="416" t="str">
        <f t="array" ref="V149">XLOOKUP(MasterTech!$AF$4:$AF$214,RawTech!$AO$2:$AO$212,RawTech!$I$2:$I$212)</f>
        <v/>
      </c>
      <c r="W149" s="437" t="str">
        <f t="array" ref="W149">XLOOKUP(MasterTech!$AF$4:$AF$214,RawTech!$AO$2:$AO$212,RawTech!$E$2:$E$212)</f>
        <v/>
      </c>
      <c r="X149" s="438" t="str">
        <f t="array" ref="X149">XLOOKUP(MasterTech!$AF$4:$AF$214,RawTech!$AO$2:$AO$212,RawTech!$F$2:$F$212)</f>
        <v>ShipLaunched</v>
      </c>
      <c r="Y149" s="438" t="str">
        <f t="array" ref="Y149">XLOOKUP(MasterTech!$AF$4:$AF$214,RawTech!$AO$2:$AO$212,RawTech!$G$2:$G$212)</f>
        <v>SelfShip</v>
      </c>
      <c r="Z149" s="438" t="str">
        <f t="array" ref="Z149">XLOOKUP(MasterTech!$AF$4:$AF$214,RawTech!$AO$2:$AO$212,RawTech!$H$2:$H$212)</f>
        <v>MultiplyAdd</v>
      </c>
      <c r="AA149" s="438" t="str">
        <f t="array" ref="AA149">XLOOKUP(MasterTech!$AF$4:$AF$214,RawTech!$AO$2:$AO$212,RawTech!$J$2:$J$212)</f>
        <v>Increases base Protected Cargo by X.</v>
      </c>
      <c r="AB149" s="439"/>
      <c r="AC149" s="440"/>
      <c r="AD149" s="440"/>
      <c r="AE149" s="448">
        <f t="array" ref="AE149">XLOOKUP(MasterTech!$AF$4:$AF$214,RawTech!$AO$2:$AO$212,RawTech!$AR$2:$AR$212)</f>
        <v>43</v>
      </c>
      <c r="AF149" s="427">
        <v>2.563464277E9</v>
      </c>
      <c r="AG149" s="428"/>
      <c r="AH149" s="428"/>
      <c r="AI149" s="429"/>
      <c r="AJ149" s="430"/>
    </row>
    <row r="150" ht="37.5" customHeight="1">
      <c r="A150" s="415" t="str">
        <f t="array" ref="A150">LEFT(XLOOKUP(LCARS_Tech[BuffID],RawTech[BuffID],RawTech[TechRarity]), 1)</f>
        <v>U</v>
      </c>
      <c r="B150" s="420"/>
      <c r="C150" s="444" t="str">
        <f t="array" ref="C150">HYPERLINK("https://stfc.space/forbidden_and_chaos_tech/" &amp; XLOOKUP(MasterTech!$AF$4:$AF$214,RawTech!$AO$2:$AO$212,RawTech!$AQ$2:$AQ$212), XLOOKUP(MasterTech!$AF$4:$AF$214,RawTech!$AO$2:$AO$212,RawTech!$B$2:$B$212))</f>
        <v>Control</v>
      </c>
      <c r="D150" s="418">
        <f t="array" ref="D150">XLOOKUP(LCARS_Tech[BuffID],RawTech[BuffID],RawTech[BuffOrder])</f>
        <v>2</v>
      </c>
      <c r="E150" s="419" t="str">
        <f t="array" ref="E150">XLOOKUP(LCARS_Tech[BuffID],RawTech[BuffID],RawTech[TechType])</f>
        <v>CT</v>
      </c>
      <c r="F150" s="419" t="str">
        <f t="array" ref="F150">XLOOKUP(LCARS_Tech[BuffID],RawTech[BuffID],RawTech[Tag_PvPinSpace])</f>
        <v>➖</v>
      </c>
      <c r="G150" s="419" t="str">
        <f t="array" ref="G150">XLOOKUP(LCARS_Tech[BuffID],RawTech[BuffID],RawTech[Tag_PvPStation])</f>
        <v>➖</v>
      </c>
      <c r="H150" s="419" t="str">
        <f t="array" ref="H150">XLOOKUP(LCARS_Tech[BuffID],RawTech[BuffID],RawTech[Tag_NonArmadaHostiles])</f>
        <v>➖</v>
      </c>
      <c r="I150" s="419" t="str">
        <f t="array" ref="I150">XLOOKUP(LCARS_Tech[BuffID],RawTech[BuffID],RawTech[Tag_WaveDefense])</f>
        <v>➖</v>
      </c>
      <c r="J150" s="419" t="str">
        <f t="array" ref="J150">XLOOKUP(LCARS_Tech[BuffID],RawTech[BuffID],RawTech[Tag_QTrial])</f>
        <v>➖</v>
      </c>
      <c r="K150" s="419" t="str">
        <f t="array" ref="K150">XLOOKUP(LCARS_Tech[BuffID],RawTech[BuffID],RawTech[Tag_MissionBosses])</f>
        <v>➖</v>
      </c>
      <c r="L150" s="419" t="str">
        <f t="array" ref="L150">XLOOKUP(LCARS_Tech[BuffID],RawTech[BuffID],RawTech[Tag_GroupArmadas])</f>
        <v>➖</v>
      </c>
      <c r="M150" s="419" t="str">
        <f t="array" ref="M150">XLOOKUP(LCARS_Tech[BuffID],RawTech[BuffID],RawTech[Tag_SoloArmadas])</f>
        <v>➖</v>
      </c>
      <c r="N150" s="419" t="str">
        <f t="array" ref="N150">XLOOKUP(LCARS_Tech[BuffID],RawTech[BuffID],RawTech[Tag_InvadingEntities])</f>
        <v>➖</v>
      </c>
      <c r="O150" s="419" t="str">
        <f t="array" ref="O150">XLOOKUP(LCARS_Tech[BuffID],RawTech[BuffID],RawTech[Tag_Assaults])</f>
        <v>➖</v>
      </c>
      <c r="P150" s="442" t="str">
        <f t="array" ref="P150">XLOOKUP(LCARS_Tech[BuffID],RawTech[BuffID],RawTech[Tag_OutpostArmadas])</f>
        <v>➖</v>
      </c>
      <c r="Q150" s="420" t="str">
        <f t="array" ref="Q150">XLOOKUP(LCARS_Tech[BuffID],RawTech[BuffID],RawTech[Tag_OutpostRetaliators])</f>
        <v>➖</v>
      </c>
      <c r="R150" s="420" t="str">
        <f t="array" ref="R150">XLOOKUP(MasterTech!$AF$4:$AF$214,RawTech!$AO$2:$AO$212,RawTech!$AV$2:$AV$212)</f>
        <v/>
      </c>
      <c r="S150" s="419" t="str">
        <f t="array" ref="S150">XLOOKUP(MasterTech!$AF$4:$AF$214,RawTech!$AO$2:$AO$212,RawTech!$AK$2:$AK$212)</f>
        <v>➖</v>
      </c>
      <c r="T150" s="422" t="str">
        <f t="array" ref="T150">XLOOKUP(MasterTech!$AF$4:$AF$214,RawTech!$AO$2:$AO$212,RawTech!$AM$2:$AM$212)</f>
        <v>✅</v>
      </c>
      <c r="U150" s="423" t="str">
        <f t="array" ref="U150">XLOOKUP(MasterTech!$AF$4:$AF$214,RawTech!$AO$2:$AO$212,RawTech!$D$2:$D$212)</f>
        <v>CombatXPReward</v>
      </c>
      <c r="V150" s="420" t="str">
        <f t="array" ref="V150">XLOOKUP(MasterTech!$AF$4:$AF$214,RawTech!$AO$2:$AO$212,RawTech!$I$2:$I$212)</f>
        <v/>
      </c>
      <c r="W150" s="421" t="str">
        <f t="array" ref="W150">XLOOKUP(MasterTech!$AF$4:$AF$214,RawTech!$AO$2:$AO$212,RawTech!$E$2:$E$212)</f>
        <v/>
      </c>
      <c r="X150" s="423" t="str">
        <f t="array" ref="X150">XLOOKUP(MasterTech!$AF$4:$AF$214,RawTech!$AO$2:$AO$212,RawTech!$F$2:$F$212)</f>
        <v>ShipLaunched</v>
      </c>
      <c r="Y150" s="423" t="str">
        <f t="array" ref="Y150">XLOOKUP(MasterTech!$AF$4:$AF$214,RawTech!$AO$2:$AO$212,RawTech!$G$2:$G$212)</f>
        <v>SelfShip</v>
      </c>
      <c r="Z150" s="423" t="str">
        <f t="array" ref="Z150">XLOOKUP(MasterTech!$AF$4:$AF$214,RawTech!$AO$2:$AO$212,RawTech!$H$2:$H$212)</f>
        <v>MultiplyAdd</v>
      </c>
      <c r="AA150" s="423" t="str">
        <f t="array" ref="AA150">XLOOKUP(MasterTech!$AF$4:$AF$214,RawTech!$AO$2:$AO$212,RawTech!$J$2:$J$212)</f>
        <v>Increases base Ship XP received from destroying hostiles by X.</v>
      </c>
      <c r="AB150" s="424"/>
      <c r="AC150" s="425"/>
      <c r="AD150" s="425"/>
      <c r="AE150" s="445">
        <f t="array" ref="AE150">XLOOKUP(MasterTech!$AF$4:$AF$214,RawTech!$AO$2:$AO$212,RawTech!$AR$2:$AR$212)</f>
        <v>43</v>
      </c>
      <c r="AF150" s="427">
        <v>6.1799873E8</v>
      </c>
      <c r="AG150" s="428"/>
      <c r="AH150" s="428"/>
      <c r="AI150" s="429"/>
      <c r="AJ150" s="430"/>
    </row>
    <row r="151" ht="37.5" customHeight="1">
      <c r="A151" s="415" t="str">
        <f t="array" ref="A151">LEFT(XLOOKUP(LCARS_Tech[BuffID],RawTech[BuffID],RawTech[TechRarity]), 1)</f>
        <v>R</v>
      </c>
      <c r="B151" s="416"/>
      <c r="C151" s="417" t="str">
        <f t="array" ref="C151">HYPERLINK("https://stfc.space/forbidden_and_chaos_tech/" &amp; XLOOKUP(LCARS_Tech[BuffID],RawTech[BuffID],RawTech[TechId]), XLOOKUP(LCARS_Tech[BuffID],RawTech[BuffID],RawTech[TechName]))</f>
        <v>Tothian Mines</v>
      </c>
      <c r="D151" s="432">
        <f t="array" ref="D151">XLOOKUP(LCARS_Tech[BuffID],RawTech[BuffID],RawTech[BuffOrder])</f>
        <v>1</v>
      </c>
      <c r="E151" s="433" t="str">
        <f t="array" ref="E151">XLOOKUP(LCARS_Tech[BuffID],RawTech[BuffID],RawTech[TechType])</f>
        <v>CT</v>
      </c>
      <c r="F151" s="433" t="str">
        <f t="array" ref="F151">XLOOKUP(LCARS_Tech[BuffID],RawTech[BuffID],RawTech[Tag_PvPinSpace])</f>
        <v>✅</v>
      </c>
      <c r="G151" s="433" t="str">
        <f t="array" ref="G151">XLOOKUP(LCARS_Tech[BuffID],RawTech[BuffID],RawTech[Tag_PvPStation])</f>
        <v>✅</v>
      </c>
      <c r="H151" s="433" t="str">
        <f t="array" ref="H151">XLOOKUP(LCARS_Tech[BuffID],RawTech[BuffID],RawTech[Tag_NonArmadaHostiles])</f>
        <v>✅</v>
      </c>
      <c r="I151" s="433" t="str">
        <f t="array" ref="I151">XLOOKUP(LCARS_Tech[BuffID],RawTech[BuffID],RawTech[Tag_WaveDefense])</f>
        <v>✅</v>
      </c>
      <c r="J151" s="433" t="str">
        <f t="array" ref="J151">XLOOKUP(LCARS_Tech[BuffID],RawTech[BuffID],RawTech[Tag_QTrial])</f>
        <v>✅</v>
      </c>
      <c r="K151" s="433" t="str">
        <f t="array" ref="K151">XLOOKUP(LCARS_Tech[BuffID],RawTech[BuffID],RawTech[Tag_MissionBosses])</f>
        <v>✅</v>
      </c>
      <c r="L151" s="433" t="str">
        <f t="array" ref="L151">XLOOKUP(LCARS_Tech[BuffID],RawTech[BuffID],RawTech[Tag_GroupArmadas])</f>
        <v>✅</v>
      </c>
      <c r="M151" s="433" t="str">
        <f t="array" ref="M151">XLOOKUP(LCARS_Tech[BuffID],RawTech[BuffID],RawTech[Tag_SoloArmadas])</f>
        <v>✅</v>
      </c>
      <c r="N151" s="433" t="str">
        <f t="array" ref="N151">XLOOKUP(LCARS_Tech[BuffID],RawTech[BuffID],RawTech[Tag_InvadingEntities])</f>
        <v>✅</v>
      </c>
      <c r="O151" s="433" t="str">
        <f t="array" ref="O151">XLOOKUP(LCARS_Tech[BuffID],RawTech[BuffID],RawTech[Tag_Assaults])</f>
        <v>✅</v>
      </c>
      <c r="P151" s="434" t="str">
        <f t="array" ref="P151">XLOOKUP(LCARS_Tech[BuffID],RawTech[BuffID],RawTech[Tag_OutpostArmadas])</f>
        <v>✅</v>
      </c>
      <c r="Q151" s="416" t="str">
        <f t="array" ref="Q151">XLOOKUP(LCARS_Tech[BuffID],RawTech[BuffID],RawTech[Tag_OutpostRetaliators])</f>
        <v>✅</v>
      </c>
      <c r="R151" s="416" t="str">
        <f t="array" ref="R151">XLOOKUP(MasterTech!$AF$4:$AF$214,RawTech!$AO$2:$AO$212,RawTech!$AV$2:$AV$212)</f>
        <v/>
      </c>
      <c r="S151" s="433" t="str">
        <f t="array" ref="S151">XLOOKUP(MasterTech!$AF$4:$AF$214,RawTech!$AO$2:$AO$212,RawTech!$AK$2:$AK$212)</f>
        <v>➖</v>
      </c>
      <c r="T151" s="435" t="str">
        <f t="array" ref="T151">XLOOKUP(MasterTech!$AF$4:$AF$214,RawTech!$AO$2:$AO$212,RawTech!$AM$2:$AM$212)</f>
        <v>➖</v>
      </c>
      <c r="U151" s="438" t="str">
        <f t="array" ref="U151">XLOOKUP(MasterTech!$AF$4:$AF$214,RawTech!$AO$2:$AO$212,RawTech!$D$2:$D$212)</f>
        <v>IsolyticDefense</v>
      </c>
      <c r="V151" s="438" t="str">
        <f t="array" ref="V151">XLOOKUP(MasterTech!$AF$4:$AF$214,RawTech!$AO$2:$AO$212,RawTech!$I$2:$I$212)</f>
        <v>num_rounds=2</v>
      </c>
      <c r="W151" s="437" t="str">
        <f t="array" ref="W151">XLOOKUP(MasterTech!$AF$4:$AF$214,RawTech!$AO$2:$AO$212,RawTech!$E$2:$E$212)</f>
        <v/>
      </c>
      <c r="X151" s="438" t="str">
        <f t="array" ref="X151">XLOOKUP(MasterTech!$AF$4:$AF$214,RawTech!$AO$2:$AO$212,RawTech!$F$2:$F$212)</f>
        <v>CriticalShotTaken</v>
      </c>
      <c r="Y151" s="438" t="str">
        <f t="array" ref="Y151">XLOOKUP(MasterTech!$AF$4:$AF$214,RawTech!$AO$2:$AO$212,RawTech!$G$2:$G$212)</f>
        <v>SelfShip</v>
      </c>
      <c r="Z151" s="438" t="str">
        <f t="array" ref="Z151">XLOOKUP(MasterTech!$AF$4:$AF$214,RawTech!$AO$2:$AO$212,RawTech!$H$2:$H$212)</f>
        <v>Add</v>
      </c>
      <c r="AA151" s="438" t="str">
        <f t="array" ref="AA151">XLOOKUP(MasterTech!$AF$4:$AF$214,RawTech!$AO$2:$AO$212,RawTech!$J$2:$J$212)</f>
        <v>Increases Isolytic Defense by X for 2 rounds when hit by a Critical Hit.</v>
      </c>
      <c r="AB151" s="439"/>
      <c r="AC151" s="440"/>
      <c r="AD151" s="440"/>
      <c r="AE151" s="455">
        <f t="array" ref="AE151">XLOOKUP(MasterTech!$AF$4:$AF$214,RawTech!$AO$2:$AO$212,RawTech!$AR$2:$AR$212)</f>
        <v>46</v>
      </c>
      <c r="AF151" s="427">
        <v>1.23954113E8</v>
      </c>
      <c r="AG151" s="428"/>
      <c r="AH151" s="428"/>
      <c r="AI151" s="429"/>
      <c r="AJ151" s="430"/>
    </row>
    <row r="152" ht="37.5" customHeight="1">
      <c r="A152" s="415" t="str">
        <f t="array" ref="A152">LEFT(XLOOKUP(LCARS_Tech[BuffID],RawTech[BuffID],RawTech[TechRarity]), 1)</f>
        <v>R</v>
      </c>
      <c r="B152" s="420"/>
      <c r="C152" s="452" t="str">
        <f t="array" ref="C152">HYPERLINK("https://stfc.space/forbidden_and_chaos_tech/" &amp; XLOOKUP(MasterTech!$AF$4:$AF$214,RawTech!$AO$2:$AO$212,RawTech!$AQ$2:$AQ$212), XLOOKUP(MasterTech!$AF$4:$AF$214,RawTech!$AO$2:$AO$212,RawTech!$B$2:$B$212))</f>
        <v>Tothian Mines</v>
      </c>
      <c r="D152" s="418">
        <f t="array" ref="D152">XLOOKUP(LCARS_Tech[BuffID],RawTech[BuffID],RawTech[BuffOrder])</f>
        <v>2</v>
      </c>
      <c r="E152" s="419" t="str">
        <f t="array" ref="E152">XLOOKUP(LCARS_Tech[BuffID],RawTech[BuffID],RawTech[TechType])</f>
        <v>CT</v>
      </c>
      <c r="F152" s="419" t="str">
        <f t="array" ref="F152">XLOOKUP(LCARS_Tech[BuffID],RawTech[BuffID],RawTech[Tag_PvPinSpace])</f>
        <v>➖</v>
      </c>
      <c r="G152" s="419" t="str">
        <f t="array" ref="G152">XLOOKUP(LCARS_Tech[BuffID],RawTech[BuffID],RawTech[Tag_PvPStation])</f>
        <v>➖</v>
      </c>
      <c r="H152" s="419" t="str">
        <f t="array" ref="H152">XLOOKUP(LCARS_Tech[BuffID],RawTech[BuffID],RawTech[Tag_NonArmadaHostiles])</f>
        <v>✴️</v>
      </c>
      <c r="I152" s="419" t="str">
        <f t="array" ref="I152">XLOOKUP(LCARS_Tech[BuffID],RawTech[BuffID],RawTech[Tag_WaveDefense])</f>
        <v>➖</v>
      </c>
      <c r="J152" s="419" t="str">
        <f t="array" ref="J152">XLOOKUP(LCARS_Tech[BuffID],RawTech[BuffID],RawTech[Tag_QTrial])</f>
        <v>➖</v>
      </c>
      <c r="K152" s="419" t="str">
        <f t="array" ref="K152">XLOOKUP(LCARS_Tech[BuffID],RawTech[BuffID],RawTech[Tag_MissionBosses])</f>
        <v>➖</v>
      </c>
      <c r="L152" s="419" t="str">
        <f t="array" ref="L152">XLOOKUP(LCARS_Tech[BuffID],RawTech[BuffID],RawTech[Tag_GroupArmadas])</f>
        <v>➖</v>
      </c>
      <c r="M152" s="419" t="str">
        <f t="array" ref="M152">XLOOKUP(LCARS_Tech[BuffID],RawTech[BuffID],RawTech[Tag_SoloArmadas])</f>
        <v>➖</v>
      </c>
      <c r="N152" s="419" t="str">
        <f t="array" ref="N152">XLOOKUP(LCARS_Tech[BuffID],RawTech[BuffID],RawTech[Tag_InvadingEntities])</f>
        <v>➖</v>
      </c>
      <c r="O152" s="419" t="str">
        <f t="array" ref="O152">XLOOKUP(LCARS_Tech[BuffID],RawTech[BuffID],RawTech[Tag_Assaults])</f>
        <v>➖</v>
      </c>
      <c r="P152" s="442" t="str">
        <f t="array" ref="P152">XLOOKUP(LCARS_Tech[BuffID],RawTech[BuffID],RawTech[Tag_OutpostArmadas])</f>
        <v>➖</v>
      </c>
      <c r="Q152" s="450" t="str">
        <f t="array" ref="Q152">XLOOKUP(LCARS_Tech[BuffID],RawTech[BuffID],RawTech[Tag_OutpostRetaliators])</f>
        <v>➖</v>
      </c>
      <c r="R152" s="450" t="str">
        <f t="array" ref="R152">XLOOKUP(MasterTech!$AF$4:$AF$214,RawTech!$AO$2:$AO$212,RawTech!$AV$2:$AV$212)</f>
        <v>TrelliumRewards</v>
      </c>
      <c r="S152" s="419" t="str">
        <f t="array" ref="S152">XLOOKUP(MasterTech!$AF$4:$AF$214,RawTech!$AO$2:$AO$212,RawTech!$AK$2:$AK$212)</f>
        <v>✅</v>
      </c>
      <c r="T152" s="422" t="str">
        <f t="array" ref="T152">XLOOKUP(MasterTech!$AF$4:$AF$214,RawTech!$AO$2:$AO$212,RawTech!$AM$2:$AM$212)</f>
        <v>➖</v>
      </c>
      <c r="U152" s="423" t="str">
        <f t="array" ref="U152">XLOOKUP(MasterTech!$AF$4:$AF$214,RawTech!$AO$2:$AO$212,RawTech!$D$2:$D$212)</f>
        <v>TrelliumRewards</v>
      </c>
      <c r="V152" s="420" t="str">
        <f t="array" ref="V152">XLOOKUP(MasterTech!$AF$4:$AF$214,RawTech!$AO$2:$AO$212,RawTech!$I$2:$I$212)</f>
        <v/>
      </c>
      <c r="W152" s="421" t="str">
        <f t="array" ref="W152">XLOOKUP(MasterTech!$AF$4:$AF$214,RawTech!$AO$2:$AO$212,RawTech!$E$2:$E$212)</f>
        <v/>
      </c>
      <c r="X152" s="423" t="str">
        <f t="array" ref="X152">XLOOKUP(MasterTech!$AF$4:$AF$214,RawTech!$AO$2:$AO$212,RawTech!$F$2:$F$212)</f>
        <v>ShipLaunched</v>
      </c>
      <c r="Y152" s="423" t="str">
        <f t="array" ref="Y152">XLOOKUP(MasterTech!$AF$4:$AF$214,RawTech!$AO$2:$AO$212,RawTech!$G$2:$G$212)</f>
        <v>SelfShip</v>
      </c>
      <c r="Z152" s="423" t="str">
        <f t="array" ref="Z152">XLOOKUP(MasterTech!$AF$4:$AF$214,RawTech!$AO$2:$AO$212,RawTech!$H$2:$H$212)</f>
        <v>MultiplyAdd</v>
      </c>
      <c r="AA152" s="423" t="str">
        <f t="array" ref="AA152">XLOOKUP(MasterTech!$AF$4:$AF$214,RawTech!$AO$2:$AO$212,RawTech!$J$2:$J$212)</f>
        <v>Increases Raw Trellium-A, Trellium-D, and Omega Trellium loot obtained from Mirror Universe hostiles by X.</v>
      </c>
      <c r="AB152" s="424"/>
      <c r="AC152" s="425"/>
      <c r="AD152" s="425"/>
      <c r="AE152" s="453">
        <f t="array" ref="AE152">XLOOKUP(MasterTech!$AF$4:$AF$214,RawTech!$AO$2:$AO$212,RawTech!$AR$2:$AR$212)</f>
        <v>46</v>
      </c>
      <c r="AF152" s="427">
        <v>1.042739247E9</v>
      </c>
      <c r="AG152" s="428"/>
      <c r="AH152" s="428"/>
      <c r="AI152" s="429"/>
      <c r="AJ152" s="430"/>
    </row>
    <row r="153" ht="37.5" customHeight="1">
      <c r="A153" s="415" t="str">
        <f t="array" ref="A153">LEFT(XLOOKUP(LCARS_Tech[BuffID],RawTech[BuffID],RawTech[TechRarity]), 1)</f>
        <v>R</v>
      </c>
      <c r="B153" s="416"/>
      <c r="C153" s="454" t="str">
        <f t="array" ref="C153">HYPERLINK("https://stfc.space/forbidden_and_chaos_tech/" &amp; XLOOKUP(MasterTech!$AF$4:$AF$214,RawTech!$AO$2:$AO$212,RawTech!$AQ$2:$AQ$212), XLOOKUP(MasterTech!$AF$4:$AF$214,RawTech!$AO$2:$AO$212,RawTech!$B$2:$B$212))</f>
        <v>Tothian Mines</v>
      </c>
      <c r="D153" s="432">
        <f t="array" ref="D153">XLOOKUP(LCARS_Tech[BuffID],RawTech[BuffID],RawTech[BuffOrder])</f>
        <v>3</v>
      </c>
      <c r="E153" s="433" t="str">
        <f t="array" ref="E153">XLOOKUP(LCARS_Tech[BuffID],RawTech[BuffID],RawTech[TechType])</f>
        <v>CT</v>
      </c>
      <c r="F153" s="433" t="str">
        <f t="array" ref="F153">XLOOKUP(LCARS_Tech[BuffID],RawTech[BuffID],RawTech[Tag_PvPinSpace])</f>
        <v>➖</v>
      </c>
      <c r="G153" s="433" t="str">
        <f t="array" ref="G153">XLOOKUP(LCARS_Tech[BuffID],RawTech[BuffID],RawTech[Tag_PvPStation])</f>
        <v>➖</v>
      </c>
      <c r="H153" s="433" t="str">
        <f t="array" ref="H153">XLOOKUP(LCARS_Tech[BuffID],RawTech[BuffID],RawTech[Tag_NonArmadaHostiles])</f>
        <v>✴️</v>
      </c>
      <c r="I153" s="433" t="str">
        <f t="array" ref="I153">XLOOKUP(LCARS_Tech[BuffID],RawTech[BuffID],RawTech[Tag_WaveDefense])</f>
        <v>✴️</v>
      </c>
      <c r="J153" s="433" t="str">
        <f t="array" ref="J153">XLOOKUP(LCARS_Tech[BuffID],RawTech[BuffID],RawTech[Tag_QTrial])</f>
        <v>✴️</v>
      </c>
      <c r="K153" s="433" t="str">
        <f t="array" ref="K153">XLOOKUP(LCARS_Tech[BuffID],RawTech[BuffID],RawTech[Tag_MissionBosses])</f>
        <v>➖</v>
      </c>
      <c r="L153" s="433" t="str">
        <f t="array" ref="L153">XLOOKUP(LCARS_Tech[BuffID],RawTech[BuffID],RawTech[Tag_GroupArmadas])</f>
        <v>✴️</v>
      </c>
      <c r="M153" s="433" t="str">
        <f t="array" ref="M153">XLOOKUP(LCARS_Tech[BuffID],RawTech[BuffID],RawTech[Tag_SoloArmadas])</f>
        <v>✴️</v>
      </c>
      <c r="N153" s="433" t="str">
        <f t="array" ref="N153">XLOOKUP(LCARS_Tech[BuffID],RawTech[BuffID],RawTech[Tag_InvadingEntities])</f>
        <v>➖</v>
      </c>
      <c r="O153" s="433" t="str">
        <f t="array" ref="O153">XLOOKUP(LCARS_Tech[BuffID],RawTech[BuffID],RawTech[Tag_Assaults])</f>
        <v>➖</v>
      </c>
      <c r="P153" s="434" t="str">
        <f t="array" ref="P153">XLOOKUP(LCARS_Tech[BuffID],RawTech[BuffID],RawTech[Tag_OutpostArmadas])</f>
        <v>➖</v>
      </c>
      <c r="Q153" s="451" t="str">
        <f t="array" ref="Q153">XLOOKUP(LCARS_Tech[BuffID],RawTech[BuffID],RawTech[Tag_OutpostRetaliators])</f>
        <v>➖</v>
      </c>
      <c r="R153" s="451" t="str">
        <f t="array" ref="R153">XLOOKUP(MasterTech!$AF$4:$AF$214,RawTech!$AO$2:$AO$212,RawTech!$AV$2:$AV$212)</f>
        <v>MirrorUniverse</v>
      </c>
      <c r="S153" s="433" t="str">
        <f t="array" ref="S153">XLOOKUP(MasterTech!$AF$4:$AF$214,RawTech!$AO$2:$AO$212,RawTech!$AK$2:$AK$212)</f>
        <v>➖</v>
      </c>
      <c r="T153" s="435" t="str">
        <f t="array" ref="T153">XLOOKUP(MasterTech!$AF$4:$AF$214,RawTech!$AO$2:$AO$212,RawTech!$AM$2:$AM$212)</f>
        <v>➖</v>
      </c>
      <c r="U153" s="438" t="str">
        <f t="array" ref="U153">XLOOKUP(MasterTech!$AF$4:$AF$214,RawTech!$AO$2:$AO$212,RawTech!$D$2:$D$212)</f>
        <v>CritDamage</v>
      </c>
      <c r="V153" s="438" t="str">
        <f t="array" ref="V153">XLOOKUP(MasterTech!$AF$4:$AF$214,RawTech!$AO$2:$AO$212,RawTech!$I$2:$I$212)</f>
        <v>faction_id=2504833658</v>
      </c>
      <c r="W153" s="447" t="str">
        <f t="array" ref="W153">XLOOKUP(MasterTech!$AF$4:$AF$214,RawTech!$AO$2:$AO$212,RawTech!$E$2:$E$212)</f>
        <v>EnemyHullFaction, EnemyHostile</v>
      </c>
      <c r="X153" s="438" t="str">
        <f t="array" ref="X153">XLOOKUP(MasterTech!$AF$4:$AF$214,RawTech!$AO$2:$AO$212,RawTech!$F$2:$F$212)</f>
        <v>CombatStart</v>
      </c>
      <c r="Y153" s="438" t="str">
        <f t="array" ref="Y153">XLOOKUP(MasterTech!$AF$4:$AF$214,RawTech!$AO$2:$AO$212,RawTech!$G$2:$G$212)</f>
        <v>SelfShip</v>
      </c>
      <c r="Z153" s="438" t="str">
        <f t="array" ref="Z153">XLOOKUP(MasterTech!$AF$4:$AF$214,RawTech!$AO$2:$AO$212,RawTech!$H$2:$H$212)</f>
        <v>Add</v>
      </c>
      <c r="AA153" s="438" t="str">
        <f t="array" ref="AA153">XLOOKUP(MasterTech!$AF$4:$AF$214,RawTech!$AO$2:$AO$212,RawTech!$J$2:$J$212)</f>
        <v>Increases Critical Damage against Mirror Universe hostiles by X.</v>
      </c>
      <c r="AB153" s="439"/>
      <c r="AC153" s="440"/>
      <c r="AD153" s="440"/>
      <c r="AE153" s="455">
        <f t="array" ref="AE153">XLOOKUP(MasterTech!$AF$4:$AF$214,RawTech!$AO$2:$AO$212,RawTech!$AR$2:$AR$212)</f>
        <v>46</v>
      </c>
      <c r="AF153" s="427">
        <v>3.06961242E9</v>
      </c>
      <c r="AG153" s="428"/>
      <c r="AH153" s="428"/>
      <c r="AI153" s="429"/>
      <c r="AJ153" s="430"/>
    </row>
    <row r="154" ht="37.5" customHeight="1">
      <c r="A154" s="415" t="str">
        <f t="array" ref="A154">LEFT(XLOOKUP(LCARS_Tech[BuffID],RawTech[BuffID],RawTech[TechRarity]), 1)</f>
        <v>E</v>
      </c>
      <c r="B154" s="420"/>
      <c r="C154" s="417" t="str">
        <f t="array" ref="C154">HYPERLINK("https://stfc.space/forbidden_and_chaos_tech/" &amp; XLOOKUP(LCARS_Tech[BuffID],RawTech[BuffID],RawTech[TechId]), XLOOKUP(LCARS_Tech[BuffID],RawTech[BuffID],RawTech[TechName]))</f>
        <v>Echo Papa 607</v>
      </c>
      <c r="D154" s="418">
        <f t="array" ref="D154">XLOOKUP(LCARS_Tech[BuffID],RawTech[BuffID],RawTech[BuffOrder])</f>
        <v>1</v>
      </c>
      <c r="E154" s="419" t="str">
        <f t="array" ref="E154">XLOOKUP(LCARS_Tech[BuffID],RawTech[BuffID],RawTech[TechType])</f>
        <v>CT</v>
      </c>
      <c r="F154" s="419" t="str">
        <f t="array" ref="F154">XLOOKUP(LCARS_Tech[BuffID],RawTech[BuffID],RawTech[Tag_PvPinSpace])</f>
        <v>✴️</v>
      </c>
      <c r="G154" s="419" t="str">
        <f t="array" ref="G154">XLOOKUP(LCARS_Tech[BuffID],RawTech[BuffID],RawTech[Tag_PvPStation])</f>
        <v>✴️</v>
      </c>
      <c r="H154" s="419" t="str">
        <f t="array" ref="H154">XLOOKUP(LCARS_Tech[BuffID],RawTech[BuffID],RawTech[Tag_NonArmadaHostiles])</f>
        <v>✴️</v>
      </c>
      <c r="I154" s="419" t="str">
        <f t="array" ref="I154">XLOOKUP(LCARS_Tech[BuffID],RawTech[BuffID],RawTech[Tag_WaveDefense])</f>
        <v>✴️</v>
      </c>
      <c r="J154" s="419" t="str">
        <f t="array" ref="J154">XLOOKUP(LCARS_Tech[BuffID],RawTech[BuffID],RawTech[Tag_QTrial])</f>
        <v>✴️</v>
      </c>
      <c r="K154" s="419" t="str">
        <f t="array" ref="K154">XLOOKUP(LCARS_Tech[BuffID],RawTech[BuffID],RawTech[Tag_MissionBosses])</f>
        <v>✴️</v>
      </c>
      <c r="L154" s="419" t="str">
        <f t="array" ref="L154">XLOOKUP(LCARS_Tech[BuffID],RawTech[BuffID],RawTech[Tag_GroupArmadas])</f>
        <v>✴️</v>
      </c>
      <c r="M154" s="419" t="str">
        <f t="array" ref="M154">XLOOKUP(LCARS_Tech[BuffID],RawTech[BuffID],RawTech[Tag_SoloArmadas])</f>
        <v>✴️</v>
      </c>
      <c r="N154" s="419" t="str">
        <f t="array" ref="N154">XLOOKUP(LCARS_Tech[BuffID],RawTech[BuffID],RawTech[Tag_InvadingEntities])</f>
        <v>✴️</v>
      </c>
      <c r="O154" s="419" t="str">
        <f t="array" ref="O154">XLOOKUP(LCARS_Tech[BuffID],RawTech[BuffID],RawTech[Tag_Assaults])</f>
        <v>✴️</v>
      </c>
      <c r="P154" s="442" t="str">
        <f t="array" ref="P154">XLOOKUP(LCARS_Tech[BuffID],RawTech[BuffID],RawTech[Tag_OutpostArmadas])</f>
        <v>✴️</v>
      </c>
      <c r="Q154" s="450" t="str">
        <f t="array" ref="Q154">XLOOKUP(LCARS_Tech[BuffID],RawTech[BuffID],RawTech[Tag_OutpostRetaliators])</f>
        <v>✴️</v>
      </c>
      <c r="R154" s="450" t="str">
        <f t="array" ref="R154">XLOOKUP(MasterTech!$AF$4:$AF$214,RawTech!$AO$2:$AO$212,RawTech!$AV$2:$AV$212)</f>
        <v>HullHealthBelow</v>
      </c>
      <c r="S154" s="419" t="str">
        <f t="array" ref="S154">XLOOKUP(MasterTech!$AF$4:$AF$214,RawTech!$AO$2:$AO$212,RawTech!$AK$2:$AK$212)</f>
        <v>➖</v>
      </c>
      <c r="T154" s="422" t="str">
        <f t="array" ref="T154">XLOOKUP(MasterTech!$AF$4:$AF$214,RawTech!$AO$2:$AO$212,RawTech!$AM$2:$AM$212)</f>
        <v>➖</v>
      </c>
      <c r="U154" s="423" t="str">
        <f t="array" ref="U154">XLOOKUP(MasterTech!$AF$4:$AF$214,RawTech!$AO$2:$AO$212,RawTech!$D$2:$D$212)</f>
        <v>AllDamage</v>
      </c>
      <c r="V154" s="423" t="str">
        <f t="array" ref="V154">XLOOKUP(MasterTech!$AF$4:$AF$214,RawTech!$AO$2:$AO$212,RawTech!$I$2:$I$212)</f>
        <v>num_rounds=1, percentage=0.4</v>
      </c>
      <c r="W154" s="443" t="str">
        <f t="array" ref="W154">XLOOKUP(MasterTech!$AF$4:$AF$214,RawTech!$AO$2:$AO$212,RawTech!$E$2:$E$212)</f>
        <v>HullHealthBelow</v>
      </c>
      <c r="X154" s="423" t="str">
        <f t="array" ref="X154">XLOOKUP(MasterTech!$AF$4:$AF$214,RawTech!$AO$2:$AO$212,RawTech!$F$2:$F$212)</f>
        <v>RoundStart</v>
      </c>
      <c r="Y154" s="423" t="str">
        <f t="array" ref="Y154">XLOOKUP(MasterTech!$AF$4:$AF$214,RawTech!$AO$2:$AO$212,RawTech!$G$2:$G$212)</f>
        <v>SelfShip</v>
      </c>
      <c r="Z154" s="423" t="str">
        <f t="array" ref="Z154">XLOOKUP(MasterTech!$AF$4:$AF$214,RawTech!$AO$2:$AO$212,RawTech!$H$2:$H$212)</f>
        <v>MultiplyAdd</v>
      </c>
      <c r="AA154" s="423" t="str">
        <f t="array" ref="AA154">XLOOKUP(MasterTech!$AF$4:$AF$214,RawTech!$AO$2:$AO$212,RawTech!$J$2:$J$212)</f>
        <v>Increases Weapon Damage by X when enemy HHP is below 40%.</v>
      </c>
      <c r="AB154" s="424"/>
      <c r="AC154" s="425"/>
      <c r="AD154" s="425"/>
      <c r="AE154" s="461">
        <f t="array" ref="AE154">XLOOKUP(MasterTech!$AF$4:$AF$214,RawTech!$AO$2:$AO$212,RawTech!$AR$2:$AR$212)</f>
        <v>44</v>
      </c>
      <c r="AF154" s="427">
        <v>3.803060874E9</v>
      </c>
      <c r="AG154" s="428"/>
      <c r="AH154" s="428"/>
      <c r="AI154" s="429"/>
      <c r="AJ154" s="430"/>
    </row>
    <row r="155" ht="37.5" customHeight="1">
      <c r="A155" s="415" t="str">
        <f t="array" ref="A155">LEFT(XLOOKUP(LCARS_Tech[BuffID],RawTech[BuffID],RawTech[TechRarity]), 1)</f>
        <v>E</v>
      </c>
      <c r="B155" s="416"/>
      <c r="C155" s="464" t="str">
        <f t="array" ref="C155">HYPERLINK("https://stfc.space/forbidden_and_chaos_tech/" &amp; XLOOKUP(MasterTech!$AF$4:$AF$214,RawTech!$AO$2:$AO$212,RawTech!$AQ$2:$AQ$212), XLOOKUP(MasterTech!$AF$4:$AF$214,RawTech!$AO$2:$AO$212,RawTech!$B$2:$B$212))</f>
        <v>Echo Papa 607</v>
      </c>
      <c r="D155" s="432">
        <f t="array" ref="D155">XLOOKUP(LCARS_Tech[BuffID],RawTech[BuffID],RawTech[BuffOrder])</f>
        <v>2</v>
      </c>
      <c r="E155" s="433" t="str">
        <f t="array" ref="E155">XLOOKUP(LCARS_Tech[BuffID],RawTech[BuffID],RawTech[TechType])</f>
        <v>CT</v>
      </c>
      <c r="F155" s="433" t="str">
        <f t="array" ref="F155">XLOOKUP(LCARS_Tech[BuffID],RawTech[BuffID],RawTech[Tag_PvPinSpace])</f>
        <v>✅</v>
      </c>
      <c r="G155" s="433" t="str">
        <f t="array" ref="G155">XLOOKUP(LCARS_Tech[BuffID],RawTech[BuffID],RawTech[Tag_PvPStation])</f>
        <v>✅</v>
      </c>
      <c r="H155" s="433" t="str">
        <f t="array" ref="H155">XLOOKUP(LCARS_Tech[BuffID],RawTech[BuffID],RawTech[Tag_NonArmadaHostiles])</f>
        <v>➖</v>
      </c>
      <c r="I155" s="433" t="str">
        <f t="array" ref="I155">XLOOKUP(LCARS_Tech[BuffID],RawTech[BuffID],RawTech[Tag_WaveDefense])</f>
        <v>➖</v>
      </c>
      <c r="J155" s="433" t="str">
        <f t="array" ref="J155">XLOOKUP(LCARS_Tech[BuffID],RawTech[BuffID],RawTech[Tag_QTrial])</f>
        <v>➖</v>
      </c>
      <c r="K155" s="433" t="str">
        <f t="array" ref="K155">XLOOKUP(LCARS_Tech[BuffID],RawTech[BuffID],RawTech[Tag_MissionBosses])</f>
        <v>➖</v>
      </c>
      <c r="L155" s="433" t="str">
        <f t="array" ref="L155">XLOOKUP(LCARS_Tech[BuffID],RawTech[BuffID],RawTech[Tag_GroupArmadas])</f>
        <v>➖</v>
      </c>
      <c r="M155" s="433" t="str">
        <f t="array" ref="M155">XLOOKUP(LCARS_Tech[BuffID],RawTech[BuffID],RawTech[Tag_SoloArmadas])</f>
        <v>➖</v>
      </c>
      <c r="N155" s="433" t="str">
        <f t="array" ref="N155">XLOOKUP(LCARS_Tech[BuffID],RawTech[BuffID],RawTech[Tag_InvadingEntities])</f>
        <v>➖</v>
      </c>
      <c r="O155" s="433" t="str">
        <f t="array" ref="O155">XLOOKUP(LCARS_Tech[BuffID],RawTech[BuffID],RawTech[Tag_Assaults])</f>
        <v>➖</v>
      </c>
      <c r="P155" s="434" t="str">
        <f t="array" ref="P155">XLOOKUP(LCARS_Tech[BuffID],RawTech[BuffID],RawTech[Tag_OutpostArmadas])</f>
        <v>➖</v>
      </c>
      <c r="Q155" s="416" t="str">
        <f t="array" ref="Q155">XLOOKUP(LCARS_Tech[BuffID],RawTech[BuffID],RawTech[Tag_OutpostRetaliators])</f>
        <v>➖</v>
      </c>
      <c r="R155" s="416" t="str">
        <f t="array" ref="R155">XLOOKUP(MasterTech!$AF$4:$AF$214,RawTech!$AO$2:$AO$212,RawTech!$AV$2:$AV$212)</f>
        <v/>
      </c>
      <c r="S155" s="433" t="str">
        <f t="array" ref="S155">XLOOKUP(MasterTech!$AF$4:$AF$214,RawTech!$AO$2:$AO$212,RawTech!$AK$2:$AK$212)</f>
        <v>➖</v>
      </c>
      <c r="T155" s="435" t="str">
        <f t="array" ref="T155">XLOOKUP(MasterTech!$AF$4:$AF$214,RawTech!$AO$2:$AO$212,RawTech!$AM$2:$AM$212)</f>
        <v>➖</v>
      </c>
      <c r="U155" s="438" t="str">
        <f t="array" ref="U155">XLOOKUP(MasterTech!$AF$4:$AF$214,RawTech!$AO$2:$AO$212,RawTech!$D$2:$D$212)</f>
        <v>IsolyticDefense</v>
      </c>
      <c r="V155" s="438" t="str">
        <f t="array" ref="V155">XLOOKUP(MasterTech!$AF$4:$AF$214,RawTech!$AO$2:$AO$212,RawTech!$I$2:$I$212)</f>
        <v>num_rounds=4</v>
      </c>
      <c r="W155" s="447" t="str">
        <f t="array" ref="W155">XLOOKUP(MasterTech!$AF$4:$AF$214,RawTech!$AO$2:$AO$212,RawTech!$E$2:$E$212)</f>
        <v>EnemyPlayer</v>
      </c>
      <c r="X155" s="438" t="str">
        <f t="array" ref="X155">XLOOKUP(MasterTech!$AF$4:$AF$214,RawTech!$AO$2:$AO$212,RawTech!$F$2:$F$212)</f>
        <v>RoundStart</v>
      </c>
      <c r="Y155" s="438" t="str">
        <f t="array" ref="Y155">XLOOKUP(MasterTech!$AF$4:$AF$214,RawTech!$AO$2:$AO$212,RawTech!$G$2:$G$212)</f>
        <v>SelfShip</v>
      </c>
      <c r="Z155" s="438" t="str">
        <f t="array" ref="Z155">XLOOKUP(MasterTech!$AF$4:$AF$214,RawTech!$AO$2:$AO$212,RawTech!$H$2:$H$212)</f>
        <v>Add</v>
      </c>
      <c r="AA155" s="438" t="str">
        <f t="array" ref="AA155">XLOOKUP(MasterTech!$AF$4:$AF$214,RawTech!$AO$2:$AO$212,RawTech!$J$2:$J$212)</f>
        <v>At the start of each round, increases Isolytic Defense by X for 4 rounds against players.</v>
      </c>
      <c r="AB155" s="439"/>
      <c r="AC155" s="440"/>
      <c r="AD155" s="440"/>
      <c r="AE155" s="462">
        <f t="array" ref="AE155">XLOOKUP(MasterTech!$AF$4:$AF$214,RawTech!$AO$2:$AO$212,RawTech!$AR$2:$AR$212)</f>
        <v>44</v>
      </c>
      <c r="AF155" s="427">
        <v>4.093214898E9</v>
      </c>
      <c r="AG155" s="428"/>
      <c r="AH155" s="428"/>
      <c r="AI155" s="429"/>
      <c r="AJ155" s="430"/>
    </row>
    <row r="156" ht="37.5" customHeight="1">
      <c r="A156" s="415" t="str">
        <f t="array" ref="A156">LEFT(XLOOKUP(LCARS_Tech[BuffID],RawTech[BuffID],RawTech[TechRarity]), 1)</f>
        <v>E</v>
      </c>
      <c r="B156" s="420"/>
      <c r="C156" s="460" t="str">
        <f t="array" ref="C156">HYPERLINK("https://stfc.space/forbidden_and_chaos_tech/" &amp; XLOOKUP(MasterTech!$AF$4:$AF$214,RawTech!$AO$2:$AO$212,RawTech!$AQ$2:$AQ$212), XLOOKUP(MasterTech!$AF$4:$AF$214,RawTech!$AO$2:$AO$212,RawTech!$B$2:$B$212))</f>
        <v>Echo Papa 607</v>
      </c>
      <c r="D156" s="418">
        <f t="array" ref="D156">XLOOKUP(LCARS_Tech[BuffID],RawTech[BuffID],RawTech[BuffOrder])</f>
        <v>3</v>
      </c>
      <c r="E156" s="419" t="str">
        <f t="array" ref="E156">XLOOKUP(LCARS_Tech[BuffID],RawTech[BuffID],RawTech[TechType])</f>
        <v>CT</v>
      </c>
      <c r="F156" s="419" t="str">
        <f t="array" ref="F156">XLOOKUP(LCARS_Tech[BuffID],RawTech[BuffID],RawTech[Tag_PvPinSpace])</f>
        <v>✅</v>
      </c>
      <c r="G156" s="419" t="str">
        <f t="array" ref="G156">XLOOKUP(LCARS_Tech[BuffID],RawTech[BuffID],RawTech[Tag_PvPStation])</f>
        <v>➖</v>
      </c>
      <c r="H156" s="419" t="str">
        <f t="array" ref="H156">XLOOKUP(LCARS_Tech[BuffID],RawTech[BuffID],RawTech[Tag_NonArmadaHostiles])</f>
        <v>➖</v>
      </c>
      <c r="I156" s="419" t="str">
        <f t="array" ref="I156">XLOOKUP(LCARS_Tech[BuffID],RawTech[BuffID],RawTech[Tag_WaveDefense])</f>
        <v>➖</v>
      </c>
      <c r="J156" s="419" t="str">
        <f t="array" ref="J156">XLOOKUP(LCARS_Tech[BuffID],RawTech[BuffID],RawTech[Tag_QTrial])</f>
        <v>➖</v>
      </c>
      <c r="K156" s="419" t="str">
        <f t="array" ref="K156">XLOOKUP(LCARS_Tech[BuffID],RawTech[BuffID],RawTech[Tag_MissionBosses])</f>
        <v>➖</v>
      </c>
      <c r="L156" s="419" t="str">
        <f t="array" ref="L156">XLOOKUP(LCARS_Tech[BuffID],RawTech[BuffID],RawTech[Tag_GroupArmadas])</f>
        <v>➖</v>
      </c>
      <c r="M156" s="419" t="str">
        <f t="array" ref="M156">XLOOKUP(LCARS_Tech[BuffID],RawTech[BuffID],RawTech[Tag_SoloArmadas])</f>
        <v>➖</v>
      </c>
      <c r="N156" s="419" t="str">
        <f t="array" ref="N156">XLOOKUP(LCARS_Tech[BuffID],RawTech[BuffID],RawTech[Tag_InvadingEntities])</f>
        <v>➖</v>
      </c>
      <c r="O156" s="419" t="str">
        <f t="array" ref="O156">XLOOKUP(LCARS_Tech[BuffID],RawTech[BuffID],RawTech[Tag_Assaults])</f>
        <v>➖</v>
      </c>
      <c r="P156" s="442" t="str">
        <f t="array" ref="P156">XLOOKUP(LCARS_Tech[BuffID],RawTech[BuffID],RawTech[Tag_OutpostArmadas])</f>
        <v>➖</v>
      </c>
      <c r="Q156" s="420" t="str">
        <f t="array" ref="Q156">XLOOKUP(LCARS_Tech[BuffID],RawTech[BuffID],RawTech[Tag_OutpostRetaliators])</f>
        <v>➖</v>
      </c>
      <c r="R156" s="420" t="str">
        <f t="array" ref="R156">XLOOKUP(MasterTech!$AF$4:$AF$214,RawTech!$AO$2:$AO$212,RawTech!$AV$2:$AV$212)</f>
        <v/>
      </c>
      <c r="S156" s="419" t="str">
        <f t="array" ref="S156">XLOOKUP(MasterTech!$AF$4:$AF$214,RawTech!$AO$2:$AO$212,RawTech!$AK$2:$AK$212)</f>
        <v>➖</v>
      </c>
      <c r="T156" s="422" t="str">
        <f t="array" ref="T156">XLOOKUP(MasterTech!$AF$4:$AF$214,RawTech!$AO$2:$AO$212,RawTech!$AM$2:$AM$212)</f>
        <v>➖</v>
      </c>
      <c r="U156" s="423" t="str">
        <f t="array" ref="U156">XLOOKUP(MasterTech!$AF$4:$AF$214,RawTech!$AO$2:$AO$212,RawTech!$D$2:$D$212)</f>
        <v>ApexShred</v>
      </c>
      <c r="V156" s="420" t="str">
        <f t="array" ref="V156">XLOOKUP(MasterTech!$AF$4:$AF$214,RawTech!$AO$2:$AO$212,RawTech!$I$2:$I$212)</f>
        <v/>
      </c>
      <c r="W156" s="443" t="str">
        <f t="array" ref="W156">XLOOKUP(MasterTech!$AF$4:$AF$214,RawTech!$AO$2:$AO$212,RawTech!$E$2:$E$212)</f>
        <v>TargetNotPlayerStation, EnemyPlayer</v>
      </c>
      <c r="X156" s="423" t="str">
        <f t="array" ref="X156">XLOOKUP(MasterTech!$AF$4:$AF$214,RawTech!$AO$2:$AO$212,RawTech!$F$2:$F$212)</f>
        <v>CombatStart</v>
      </c>
      <c r="Y156" s="423" t="str">
        <f t="array" ref="Y156">XLOOKUP(MasterTech!$AF$4:$AF$214,RawTech!$AO$2:$AO$212,RawTech!$G$2:$G$212)</f>
        <v>EnemyShip</v>
      </c>
      <c r="Z156" s="423" t="str">
        <f t="array" ref="Z156">XLOOKUP(MasterTech!$AF$4:$AF$214,RawTech!$AO$2:$AO$212,RawTech!$H$2:$H$212)</f>
        <v>Add</v>
      </c>
      <c r="AA156" s="423" t="str">
        <f t="array" ref="AA156">XLOOKUP(MasterTech!$AF$4:$AF$214,RawTech!$AO$2:$AO$212,RawTech!$J$2:$J$212)</f>
        <v>Increases Apex Shred against players by X. Does not trigger during station combat.</v>
      </c>
      <c r="AB156" s="424"/>
      <c r="AC156" s="425"/>
      <c r="AD156" s="425"/>
      <c r="AE156" s="461">
        <f t="array" ref="AE156">XLOOKUP(MasterTech!$AF$4:$AF$214,RawTech!$AO$2:$AO$212,RawTech!$AR$2:$AR$212)</f>
        <v>44</v>
      </c>
      <c r="AF156" s="427">
        <v>2.472395414E9</v>
      </c>
      <c r="AG156" s="428"/>
      <c r="AH156" s="428"/>
      <c r="AI156" s="429"/>
      <c r="AJ156" s="430"/>
    </row>
    <row r="157" ht="37.5" customHeight="1">
      <c r="A157" s="415" t="str">
        <f t="array" ref="A157">LEFT(XLOOKUP(LCARS_Tech[BuffID],RawTech[BuffID],RawTech[TechRarity]), 1)</f>
        <v>R</v>
      </c>
      <c r="B157" s="416"/>
      <c r="C157" s="454" t="str">
        <f t="array" ref="C157">HYPERLINK("https://stfc.space/forbidden_and_chaos_tech/" &amp; XLOOKUP(MasterTech!$AF$4:$AF$214,RawTech!$AO$2:$AO$212,RawTech!$AQ$2:$AQ$212), XLOOKUP(MasterTech!$AF$4:$AF$214,RawTech!$AO$2:$AO$212,RawTech!$B$2:$B$212))</f>
        <v>Morphogenic Virus</v>
      </c>
      <c r="D157" s="432">
        <f t="array" ref="D157">XLOOKUP(LCARS_Tech[BuffID],RawTech[BuffID],RawTech[BuffOrder])</f>
        <v>1</v>
      </c>
      <c r="E157" s="433" t="str">
        <f t="array" ref="E157">XLOOKUP(LCARS_Tech[BuffID],RawTech[BuffID],RawTech[TechType])</f>
        <v>CT</v>
      </c>
      <c r="F157" s="433" t="str">
        <f t="array" ref="F157">XLOOKUP(LCARS_Tech[BuffID],RawTech[BuffID],RawTech[Tag_PvPinSpace])</f>
        <v>✅</v>
      </c>
      <c r="G157" s="433" t="str">
        <f t="array" ref="G157">XLOOKUP(LCARS_Tech[BuffID],RawTech[BuffID],RawTech[Tag_PvPStation])</f>
        <v>➖</v>
      </c>
      <c r="H157" s="433" t="str">
        <f t="array" ref="H157">XLOOKUP(LCARS_Tech[BuffID],RawTech[BuffID],RawTech[Tag_NonArmadaHostiles])</f>
        <v>➖</v>
      </c>
      <c r="I157" s="433" t="str">
        <f t="array" ref="I157">XLOOKUP(LCARS_Tech[BuffID],RawTech[BuffID],RawTech[Tag_WaveDefense])</f>
        <v>➖</v>
      </c>
      <c r="J157" s="433" t="str">
        <f t="array" ref="J157">XLOOKUP(LCARS_Tech[BuffID],RawTech[BuffID],RawTech[Tag_QTrial])</f>
        <v>➖</v>
      </c>
      <c r="K157" s="433" t="str">
        <f t="array" ref="K157">XLOOKUP(LCARS_Tech[BuffID],RawTech[BuffID],RawTech[Tag_MissionBosses])</f>
        <v>➖</v>
      </c>
      <c r="L157" s="433" t="str">
        <f t="array" ref="L157">XLOOKUP(LCARS_Tech[BuffID],RawTech[BuffID],RawTech[Tag_GroupArmadas])</f>
        <v>➖</v>
      </c>
      <c r="M157" s="433" t="str">
        <f t="array" ref="M157">XLOOKUP(LCARS_Tech[BuffID],RawTech[BuffID],RawTech[Tag_SoloArmadas])</f>
        <v>➖</v>
      </c>
      <c r="N157" s="433" t="str">
        <f t="array" ref="N157">XLOOKUP(LCARS_Tech[BuffID],RawTech[BuffID],RawTech[Tag_InvadingEntities])</f>
        <v>➖</v>
      </c>
      <c r="O157" s="433" t="str">
        <f t="array" ref="O157">XLOOKUP(LCARS_Tech[BuffID],RawTech[BuffID],RawTech[Tag_Assaults])</f>
        <v>➖</v>
      </c>
      <c r="P157" s="434" t="str">
        <f t="array" ref="P157">XLOOKUP(LCARS_Tech[BuffID],RawTech[BuffID],RawTech[Tag_OutpostArmadas])</f>
        <v>➖</v>
      </c>
      <c r="Q157" s="416" t="str">
        <f t="array" ref="Q157">XLOOKUP(LCARS_Tech[BuffID],RawTech[BuffID],RawTech[Tag_OutpostRetaliators])</f>
        <v>➖</v>
      </c>
      <c r="R157" s="416" t="str">
        <f t="array" ref="R157">XLOOKUP(MasterTech!$AF$4:$AF$214,RawTech!$AO$2:$AO$212,RawTech!$AV$2:$AV$212)</f>
        <v/>
      </c>
      <c r="S157" s="433" t="str">
        <f t="array" ref="S157">XLOOKUP(MasterTech!$AF$4:$AF$214,RawTech!$AO$2:$AO$212,RawTech!$AK$2:$AK$212)</f>
        <v>➖</v>
      </c>
      <c r="T157" s="435" t="str">
        <f t="array" ref="T157">XLOOKUP(MasterTech!$AF$4:$AF$214,RawTech!$AO$2:$AO$212,RawTech!$AM$2:$AM$212)</f>
        <v>➖</v>
      </c>
      <c r="U157" s="438" t="str">
        <f t="array" ref="U157">XLOOKUP(MasterTech!$AF$4:$AF$214,RawTech!$AO$2:$AO$212,RawTech!$D$2:$D$212)</f>
        <v>CritChance</v>
      </c>
      <c r="V157" s="438" t="str">
        <f t="array" ref="V157">XLOOKUP(MasterTech!$AF$4:$AF$214,RawTech!$AO$2:$AO$212,RawTech!$I$2:$I$212)</f>
        <v>num_rounds=5</v>
      </c>
      <c r="W157" s="447" t="str">
        <f t="array" ref="W157">XLOOKUP(MasterTech!$AF$4:$AF$214,RawTech!$AO$2:$AO$212,RawTech!$E$2:$E$212)</f>
        <v>TargetNotPlayerStation, EnemyPlayer</v>
      </c>
      <c r="X157" s="438" t="str">
        <f t="array" ref="X157">XLOOKUP(MasterTech!$AF$4:$AF$214,RawTech!$AO$2:$AO$212,RawTech!$F$2:$F$212)</f>
        <v>CombatStart</v>
      </c>
      <c r="Y157" s="438" t="str">
        <f t="array" ref="Y157">XLOOKUP(MasterTech!$AF$4:$AF$214,RawTech!$AO$2:$AO$212,RawTech!$G$2:$G$212)</f>
        <v>EnemyShip</v>
      </c>
      <c r="Z157" s="438" t="str">
        <f t="array" ref="Z157">XLOOKUP(MasterTech!$AF$4:$AF$214,RawTech!$AO$2:$AO$212,RawTech!$H$2:$H$212)</f>
        <v>Sub</v>
      </c>
      <c r="AA157" s="438" t="str">
        <f t="array" ref="AA157">XLOOKUP(MasterTech!$AF$4:$AF$214,RawTech!$AO$2:$AO$212,RawTech!$J$2:$J$212)</f>
        <v>On combat start against players, reduces the opponent's Critical Hit Chance by X for 5 rounds. Does not trigger during station combat.</v>
      </c>
      <c r="AB157" s="439"/>
      <c r="AC157" s="440"/>
      <c r="AD157" s="440"/>
      <c r="AE157" s="455">
        <f t="array" ref="AE157">XLOOKUP(MasterTech!$AF$4:$AF$214,RawTech!$AO$2:$AO$212,RawTech!$AR$2:$AR$212)</f>
        <v>45</v>
      </c>
      <c r="AF157" s="427">
        <v>2.150885162E9</v>
      </c>
      <c r="AG157" s="428"/>
      <c r="AH157" s="428"/>
      <c r="AI157" s="429"/>
      <c r="AJ157" s="430"/>
    </row>
    <row r="158" ht="37.5" customHeight="1">
      <c r="A158" s="415" t="str">
        <f t="array" ref="A158">LEFT(XLOOKUP(LCARS_Tech[BuffID],RawTech[BuffID],RawTech[TechRarity]), 1)</f>
        <v>R</v>
      </c>
      <c r="B158" s="420"/>
      <c r="C158" s="452" t="str">
        <f t="array" ref="C158">HYPERLINK("https://stfc.space/forbidden_and_chaos_tech/" &amp; XLOOKUP(MasterTech!$AF$4:$AF$214,RawTech!$AO$2:$AO$212,RawTech!$AQ$2:$AQ$212), XLOOKUP(MasterTech!$AF$4:$AF$214,RawTech!$AO$2:$AO$212,RawTech!$B$2:$B$212))</f>
        <v>Morphogenic Virus</v>
      </c>
      <c r="D158" s="418">
        <f t="array" ref="D158">XLOOKUP(LCARS_Tech[BuffID],RawTech[BuffID],RawTech[BuffOrder])</f>
        <v>2</v>
      </c>
      <c r="E158" s="419" t="str">
        <f t="array" ref="E158">XLOOKUP(LCARS_Tech[BuffID],RawTech[BuffID],RawTech[TechType])</f>
        <v>CT</v>
      </c>
      <c r="F158" s="419" t="str">
        <f t="array" ref="F158">XLOOKUP(LCARS_Tech[BuffID],RawTech[BuffID],RawTech[Tag_PvPinSpace])</f>
        <v>✴️</v>
      </c>
      <c r="G158" s="419" t="str">
        <f t="array" ref="G158">XLOOKUP(LCARS_Tech[BuffID],RawTech[BuffID],RawTech[Tag_PvPStation])</f>
        <v>✴️</v>
      </c>
      <c r="H158" s="419" t="str">
        <f t="array" ref="H158">XLOOKUP(LCARS_Tech[BuffID],RawTech[BuffID],RawTech[Tag_NonArmadaHostiles])</f>
        <v>➖</v>
      </c>
      <c r="I158" s="419" t="str">
        <f t="array" ref="I158">XLOOKUP(LCARS_Tech[BuffID],RawTech[BuffID],RawTech[Tag_WaveDefense])</f>
        <v>➖</v>
      </c>
      <c r="J158" s="419" t="str">
        <f t="array" ref="J158">XLOOKUP(LCARS_Tech[BuffID],RawTech[BuffID],RawTech[Tag_QTrial])</f>
        <v>➖</v>
      </c>
      <c r="K158" s="419" t="str">
        <f t="array" ref="K158">XLOOKUP(LCARS_Tech[BuffID],RawTech[BuffID],RawTech[Tag_MissionBosses])</f>
        <v>➖</v>
      </c>
      <c r="L158" s="419" t="str">
        <f t="array" ref="L158">XLOOKUP(LCARS_Tech[BuffID],RawTech[BuffID],RawTech[Tag_GroupArmadas])</f>
        <v>➖</v>
      </c>
      <c r="M158" s="419" t="str">
        <f t="array" ref="M158">XLOOKUP(LCARS_Tech[BuffID],RawTech[BuffID],RawTech[Tag_SoloArmadas])</f>
        <v>➖</v>
      </c>
      <c r="N158" s="419" t="str">
        <f t="array" ref="N158">XLOOKUP(LCARS_Tech[BuffID],RawTech[BuffID],RawTech[Tag_InvadingEntities])</f>
        <v>➖</v>
      </c>
      <c r="O158" s="419" t="str">
        <f t="array" ref="O158">XLOOKUP(LCARS_Tech[BuffID],RawTech[BuffID],RawTech[Tag_Assaults])</f>
        <v>➖</v>
      </c>
      <c r="P158" s="442" t="str">
        <f t="array" ref="P158">XLOOKUP(LCARS_Tech[BuffID],RawTech[BuffID],RawTech[Tag_OutpostArmadas])</f>
        <v>➖</v>
      </c>
      <c r="Q158" s="450" t="str">
        <f t="array" ref="Q158">XLOOKUP(LCARS_Tech[BuffID],RawTech[BuffID],RawTech[Tag_OutpostRetaliators])</f>
        <v>➖</v>
      </c>
      <c r="R158" s="450" t="str">
        <f t="array" ref="R158">XLOOKUP(MasterTech!$AF$4:$AF$214,RawTech!$AO$2:$AO$212,RawTech!$AV$2:$AV$212)</f>
        <v>SelfHullJunker</v>
      </c>
      <c r="S158" s="419" t="str">
        <f t="array" ref="S158">XLOOKUP(MasterTech!$AF$4:$AF$214,RawTech!$AO$2:$AO$212,RawTech!$AK$2:$AK$212)</f>
        <v>➖</v>
      </c>
      <c r="T158" s="422" t="str">
        <f t="array" ref="T158">XLOOKUP(MasterTech!$AF$4:$AF$214,RawTech!$AO$2:$AO$212,RawTech!$AM$2:$AM$212)</f>
        <v>➖</v>
      </c>
      <c r="U158" s="423" t="str">
        <f t="array" ref="U158">XLOOKUP(MasterTech!$AF$4:$AF$214,RawTech!$AO$2:$AO$212,RawTech!$D$2:$D$212)</f>
        <v>IsolyticDamage</v>
      </c>
      <c r="V158" s="420" t="str">
        <f t="array" ref="V158">XLOOKUP(MasterTech!$AF$4:$AF$214,RawTech!$AO$2:$AO$212,RawTech!$I$2:$I$212)</f>
        <v/>
      </c>
      <c r="W158" s="443" t="str">
        <f t="array" ref="W158">XLOOKUP(MasterTech!$AF$4:$AF$214,RawTech!$AO$2:$AO$212,RawTech!$E$2:$E$212)</f>
        <v>SelfHullJunker, EnemyPlayer</v>
      </c>
      <c r="X158" s="423" t="str">
        <f t="array" ref="X158">XLOOKUP(MasterTech!$AF$4:$AF$214,RawTech!$AO$2:$AO$212,RawTech!$F$2:$F$212)</f>
        <v>CombatStart</v>
      </c>
      <c r="Y158" s="423" t="str">
        <f t="array" ref="Y158">XLOOKUP(MasterTech!$AF$4:$AF$214,RawTech!$AO$2:$AO$212,RawTech!$G$2:$G$212)</f>
        <v>SelfShip</v>
      </c>
      <c r="Z158" s="423" t="str">
        <f t="array" ref="Z158">XLOOKUP(MasterTech!$AF$4:$AF$214,RawTech!$AO$2:$AO$212,RawTech!$H$2:$H$212)</f>
        <v>Add</v>
      </c>
      <c r="AA158" s="423" t="str">
        <f t="array" ref="AA158">XLOOKUP(MasterTech!$AF$4:$AF$214,RawTech!$AO$2:$AO$212,RawTech!$J$2:$J$212)</f>
        <v>Increases Isolytic Damage against players when using the GS-31 by X.</v>
      </c>
      <c r="AB158" s="424"/>
      <c r="AC158" s="425"/>
      <c r="AD158" s="425"/>
      <c r="AE158" s="453">
        <f t="array" ref="AE158">XLOOKUP(MasterTech!$AF$4:$AF$214,RawTech!$AO$2:$AO$212,RawTech!$AR$2:$AR$212)</f>
        <v>45</v>
      </c>
      <c r="AF158" s="427">
        <v>3.216362472E9</v>
      </c>
      <c r="AG158" s="428"/>
      <c r="AH158" s="428"/>
      <c r="AI158" s="429"/>
      <c r="AJ158" s="430"/>
    </row>
    <row r="159" ht="37.5" customHeight="1">
      <c r="A159" s="415" t="str">
        <f t="array" ref="A159">LEFT(XLOOKUP(LCARS_Tech[BuffID],RawTech[BuffID],RawTech[TechRarity]), 1)</f>
        <v>R</v>
      </c>
      <c r="B159" s="416"/>
      <c r="C159" s="454" t="str">
        <f t="array" ref="C159">HYPERLINK("https://stfc.space/forbidden_and_chaos_tech/" &amp; XLOOKUP(MasterTech!$AF$4:$AF$214,RawTech!$AO$2:$AO$212,RawTech!$AQ$2:$AQ$212), XLOOKUP(MasterTech!$AF$4:$AF$214,RawTech!$AO$2:$AO$212,RawTech!$B$2:$B$212))</f>
        <v>Morphogenic Virus</v>
      </c>
      <c r="D159" s="432">
        <f t="array" ref="D159">XLOOKUP(LCARS_Tech[BuffID],RawTech[BuffID],RawTech[BuffOrder])</f>
        <v>3</v>
      </c>
      <c r="E159" s="433" t="str">
        <f t="array" ref="E159">XLOOKUP(LCARS_Tech[BuffID],RawTech[BuffID],RawTech[TechType])</f>
        <v>CT</v>
      </c>
      <c r="F159" s="433" t="str">
        <f t="array" ref="F159">XLOOKUP(LCARS_Tech[BuffID],RawTech[BuffID],RawTech[Tag_PvPinSpace])</f>
        <v>➖</v>
      </c>
      <c r="G159" s="433" t="str">
        <f t="array" ref="G159">XLOOKUP(LCARS_Tech[BuffID],RawTech[BuffID],RawTech[Tag_PvPStation])</f>
        <v>➖</v>
      </c>
      <c r="H159" s="433" t="str">
        <f t="array" ref="H159">XLOOKUP(LCARS_Tech[BuffID],RawTech[BuffID],RawTech[Tag_NonArmadaHostiles])</f>
        <v>➖</v>
      </c>
      <c r="I159" s="433" t="str">
        <f t="array" ref="I159">XLOOKUP(LCARS_Tech[BuffID],RawTech[BuffID],RawTech[Tag_WaveDefense])</f>
        <v>➖</v>
      </c>
      <c r="J159" s="433" t="str">
        <f t="array" ref="J159">XLOOKUP(LCARS_Tech[BuffID],RawTech[BuffID],RawTech[Tag_QTrial])</f>
        <v>➖</v>
      </c>
      <c r="K159" s="433" t="str">
        <f t="array" ref="K159">XLOOKUP(LCARS_Tech[BuffID],RawTech[BuffID],RawTech[Tag_MissionBosses])</f>
        <v>➖</v>
      </c>
      <c r="L159" s="433" t="str">
        <f t="array" ref="L159">XLOOKUP(LCARS_Tech[BuffID],RawTech[BuffID],RawTech[Tag_GroupArmadas])</f>
        <v>➖</v>
      </c>
      <c r="M159" s="433" t="str">
        <f t="array" ref="M159">XLOOKUP(LCARS_Tech[BuffID],RawTech[BuffID],RawTech[Tag_SoloArmadas])</f>
        <v>➖</v>
      </c>
      <c r="N159" s="433" t="str">
        <f t="array" ref="N159">XLOOKUP(LCARS_Tech[BuffID],RawTech[BuffID],RawTech[Tag_InvadingEntities])</f>
        <v>➖</v>
      </c>
      <c r="O159" s="433" t="str">
        <f t="array" ref="O159">XLOOKUP(LCARS_Tech[BuffID],RawTech[BuffID],RawTech[Tag_Assaults])</f>
        <v>➖</v>
      </c>
      <c r="P159" s="434" t="str">
        <f t="array" ref="P159">XLOOKUP(LCARS_Tech[BuffID],RawTech[BuffID],RawTech[Tag_OutpostArmadas])</f>
        <v>➖</v>
      </c>
      <c r="Q159" s="416" t="str">
        <f t="array" ref="Q159">XLOOKUP(LCARS_Tech[BuffID],RawTech[BuffID],RawTech[Tag_OutpostRetaliators])</f>
        <v>➖</v>
      </c>
      <c r="R159" s="416" t="str">
        <f t="array" ref="R159">XLOOKUP(MasterTech!$AF$4:$AF$214,RawTech!$AO$2:$AO$212,RawTech!$AV$2:$AV$212)</f>
        <v/>
      </c>
      <c r="S159" s="433" t="str">
        <f t="array" ref="S159">XLOOKUP(MasterTech!$AF$4:$AF$214,RawTech!$AO$2:$AO$212,RawTech!$AK$2:$AK$212)</f>
        <v>➖</v>
      </c>
      <c r="T159" s="435" t="str">
        <f t="array" ref="T159">XLOOKUP(MasterTech!$AF$4:$AF$214,RawTech!$AO$2:$AO$212,RawTech!$AM$2:$AM$212)</f>
        <v>➖</v>
      </c>
      <c r="U159" s="438" t="str">
        <f t="array" ref="U159">XLOOKUP(MasterTech!$AF$4:$AF$214,RawTech!$AO$2:$AO$212,RawTech!$D$2:$D$212)</f>
        <v>CritDamage</v>
      </c>
      <c r="V159" s="438" t="str">
        <f t="array" ref="V159">XLOOKUP(MasterTech!$AF$4:$AF$214,RawTech!$AO$2:$AO$212,RawTech!$I$2:$I$212)</f>
        <v>num_rounds=1</v>
      </c>
      <c r="W159" s="447" t="str">
        <f t="array" ref="W159">XLOOKUP(MasterTech!$AF$4:$AF$214,RawTech!$AO$2:$AO$212,RawTech!$E$2:$E$212)</f>
        <v>TargetNotPlayerStation, TargetShipWeakened, EnemyPlayer</v>
      </c>
      <c r="X159" s="438" t="str">
        <f t="array" ref="X159">XLOOKUP(MasterTech!$AF$4:$AF$214,RawTech!$AO$2:$AO$212,RawTech!$F$2:$F$212)</f>
        <v>RoundStart</v>
      </c>
      <c r="Y159" s="438" t="str">
        <f t="array" ref="Y159">XLOOKUP(MasterTech!$AF$4:$AF$214,RawTech!$AO$2:$AO$212,RawTech!$G$2:$G$212)</f>
        <v>EnemyShip</v>
      </c>
      <c r="Z159" s="438" t="str">
        <f t="array" ref="Z159">XLOOKUP(MasterTech!$AF$4:$AF$214,RawTech!$AO$2:$AO$212,RawTech!$H$2:$H$212)</f>
        <v>Sub</v>
      </c>
      <c r="AA159" s="438" t="str">
        <f t="array" ref="AA159">XLOOKUP(MasterTech!$AF$4:$AF$214,RawTech!$AO$2:$AO$212,RawTech!$J$2:$J$212)</f>
        <v>Reduces Critical Damage of players Weakened by the Gravitational Blast by X. Does not trigger during station combat.</v>
      </c>
      <c r="AB159" s="439"/>
      <c r="AC159" s="440"/>
      <c r="AD159" s="440"/>
      <c r="AE159" s="455">
        <f t="array" ref="AE159">XLOOKUP(MasterTech!$AF$4:$AF$214,RawTech!$AO$2:$AO$212,RawTech!$AR$2:$AR$212)</f>
        <v>45</v>
      </c>
      <c r="AF159" s="427">
        <v>1.401383181E9</v>
      </c>
      <c r="AG159" s="428"/>
      <c r="AH159" s="428"/>
      <c r="AI159" s="429"/>
      <c r="AJ159" s="430"/>
    </row>
    <row r="160" ht="37.5" customHeight="1">
      <c r="A160" s="415" t="str">
        <f t="array" ref="A160">LEFT(XLOOKUP(LCARS_Tech[BuffID],RawTech[BuffID],RawTech[TechRarity]), 1)</f>
        <v>R</v>
      </c>
      <c r="B160" s="420"/>
      <c r="C160" s="452" t="str">
        <f t="array" ref="C160">HYPERLINK("https://stfc.space/forbidden_and_chaos_tech/" &amp; XLOOKUP(MasterTech!$AF$4:$AF$214,RawTech!$AO$2:$AO$212,RawTech!$AQ$2:$AQ$212), XLOOKUP(MasterTech!$AF$4:$AF$214,RawTech!$AO$2:$AO$212,RawTech!$B$2:$B$212))</f>
        <v>Genesis Device</v>
      </c>
      <c r="D160" s="418">
        <f t="array" ref="D160">XLOOKUP(LCARS_Tech[BuffID],RawTech[BuffID],RawTech[BuffOrder])</f>
        <v>1</v>
      </c>
      <c r="E160" s="419" t="str">
        <f t="array" ref="E160">XLOOKUP(LCARS_Tech[BuffID],RawTech[BuffID],RawTech[TechType])</f>
        <v>CT</v>
      </c>
      <c r="F160" s="419" t="str">
        <f t="array" ref="F160">XLOOKUP(LCARS_Tech[BuffID],RawTech[BuffID],RawTech[Tag_PvPinSpace])</f>
        <v>➖</v>
      </c>
      <c r="G160" s="419" t="str">
        <f t="array" ref="G160">XLOOKUP(LCARS_Tech[BuffID],RawTech[BuffID],RawTech[Tag_PvPStation])</f>
        <v>➖</v>
      </c>
      <c r="H160" s="419" t="str">
        <f t="array" ref="H160">XLOOKUP(LCARS_Tech[BuffID],RawTech[BuffID],RawTech[Tag_NonArmadaHostiles])</f>
        <v>➖</v>
      </c>
      <c r="I160" s="419" t="str">
        <f t="array" ref="I160">XLOOKUP(LCARS_Tech[BuffID],RawTech[BuffID],RawTech[Tag_WaveDefense])</f>
        <v>➖</v>
      </c>
      <c r="J160" s="419" t="str">
        <f t="array" ref="J160">XLOOKUP(LCARS_Tech[BuffID],RawTech[BuffID],RawTech[Tag_QTrial])</f>
        <v>➖</v>
      </c>
      <c r="K160" s="419" t="str">
        <f t="array" ref="K160">XLOOKUP(LCARS_Tech[BuffID],RawTech[BuffID],RawTech[Tag_MissionBosses])</f>
        <v>➖</v>
      </c>
      <c r="L160" s="419" t="str">
        <f t="array" ref="L160">XLOOKUP(LCARS_Tech[BuffID],RawTech[BuffID],RawTech[Tag_GroupArmadas])</f>
        <v>➖</v>
      </c>
      <c r="M160" s="419" t="str">
        <f t="array" ref="M160">XLOOKUP(LCARS_Tech[BuffID],RawTech[BuffID],RawTech[Tag_SoloArmadas])</f>
        <v>➖</v>
      </c>
      <c r="N160" s="419" t="str">
        <f t="array" ref="N160">XLOOKUP(LCARS_Tech[BuffID],RawTech[BuffID],RawTech[Tag_InvadingEntities])</f>
        <v>➖</v>
      </c>
      <c r="O160" s="419" t="str">
        <f t="array" ref="O160">XLOOKUP(LCARS_Tech[BuffID],RawTech[BuffID],RawTech[Tag_Assaults])</f>
        <v>➖</v>
      </c>
      <c r="P160" s="442" t="str">
        <f t="array" ref="P160">XLOOKUP(LCARS_Tech[BuffID],RawTech[BuffID],RawTech[Tag_OutpostArmadas])</f>
        <v>➖</v>
      </c>
      <c r="Q160" s="420" t="str">
        <f t="array" ref="Q160">XLOOKUP(LCARS_Tech[BuffID],RawTech[BuffID],RawTech[Tag_OutpostRetaliators])</f>
        <v>➖</v>
      </c>
      <c r="R160" s="420" t="str">
        <f t="array" ref="R160">XLOOKUP(MasterTech!$AF$4:$AF$214,RawTech!$AO$2:$AO$212,RawTech!$AV$2:$AV$212)</f>
        <v/>
      </c>
      <c r="S160" s="419" t="str">
        <f t="array" ref="S160">XLOOKUP(MasterTech!$AF$4:$AF$214,RawTech!$AO$2:$AO$212,RawTech!$AK$2:$AK$212)</f>
        <v>➖</v>
      </c>
      <c r="T160" s="422" t="str">
        <f t="array" ref="T160">XLOOKUP(MasterTech!$AF$4:$AF$214,RawTech!$AO$2:$AO$212,RawTech!$AM$2:$AM$212)</f>
        <v>➖</v>
      </c>
      <c r="U160" s="423" t="str">
        <f t="array" ref="U160">XLOOKUP(MasterTech!$AF$4:$AF$214,RawTech!$AO$2:$AO$212,RawTech!$D$2:$D$212)</f>
        <v>ShotsPerAttack</v>
      </c>
      <c r="V160" s="423" t="str">
        <f t="array" ref="V160">XLOOKUP(MasterTech!$AF$4:$AF$214,RawTech!$AO$2:$AO$212,RawTech!$I$2:$I$212)</f>
        <v>faction_id=4145760809</v>
      </c>
      <c r="W160" s="443" t="str">
        <f t="array" ref="W160">XLOOKUP(MasterTech!$AF$4:$AF$214,RawTech!$AO$2:$AO$212,RawTech!$E$2:$E$212)</f>
        <v>SelfAtSoloArmada, EnemyHullFaction, TargetBorgType03</v>
      </c>
      <c r="X160" s="423" t="str">
        <f t="array" ref="X160">XLOOKUP(MasterTech!$AF$4:$AF$214,RawTech!$AO$2:$AO$212,RawTech!$F$2:$F$212)</f>
        <v>CombatStart</v>
      </c>
      <c r="Y160" s="423" t="str">
        <f t="array" ref="Y160">XLOOKUP(MasterTech!$AF$4:$AF$214,RawTech!$AO$2:$AO$212,RawTech!$G$2:$G$212)</f>
        <v>SelfShip</v>
      </c>
      <c r="Z160" s="423" t="str">
        <f t="array" ref="Z160">XLOOKUP(MasterTech!$AF$4:$AF$214,RawTech!$AO$2:$AO$212,RawTech!$H$2:$H$212)</f>
        <v>Add</v>
      </c>
      <c r="AA160" s="423" t="str">
        <f t="array" ref="AA160">XLOOKUP(MasterTech!$AF$4:$AF$214,RawTech!$AO$2:$AO$212,RawTech!$J$2:$J$212)</f>
        <v>Increases SS Revenant Shots vs Borg Type 03 Solo Armadas by X.</v>
      </c>
      <c r="AB160" s="424"/>
      <c r="AC160" s="425"/>
      <c r="AD160" s="425"/>
      <c r="AE160" s="453">
        <f t="array" ref="AE160">XLOOKUP(MasterTech!$AF$4:$AF$214,RawTech!$AO$2:$AO$212,RawTech!$AR$2:$AR$212)</f>
        <v>48</v>
      </c>
      <c r="AF160" s="427">
        <v>2.377325098E9</v>
      </c>
      <c r="AG160" s="428"/>
      <c r="AH160" s="428"/>
      <c r="AI160" s="429"/>
      <c r="AJ160" s="430"/>
    </row>
    <row r="161" ht="37.5" customHeight="1">
      <c r="A161" s="415" t="str">
        <f t="array" ref="A161">LEFT(XLOOKUP(LCARS_Tech[BuffID],RawTech[BuffID],RawTech[TechRarity]), 1)</f>
        <v>R</v>
      </c>
      <c r="B161" s="416"/>
      <c r="C161" s="454" t="str">
        <f t="array" ref="C161">HYPERLINK("https://stfc.space/forbidden_and_chaos_tech/" &amp; XLOOKUP(MasterTech!$AF$4:$AF$214,RawTech!$AO$2:$AO$212,RawTech!$AQ$2:$AQ$212), XLOOKUP(MasterTech!$AF$4:$AF$214,RawTech!$AO$2:$AO$212,RawTech!$B$2:$B$212))</f>
        <v>Genesis Device</v>
      </c>
      <c r="D161" s="432">
        <f t="array" ref="D161">XLOOKUP(LCARS_Tech[BuffID],RawTech[BuffID],RawTech[BuffOrder])</f>
        <v>2</v>
      </c>
      <c r="E161" s="433" t="str">
        <f t="array" ref="E161">XLOOKUP(LCARS_Tech[BuffID],RawTech[BuffID],RawTech[TechType])</f>
        <v>CT</v>
      </c>
      <c r="F161" s="433" t="str">
        <f t="array" ref="F161">XLOOKUP(LCARS_Tech[BuffID],RawTech[BuffID],RawTech[Tag_PvPinSpace])</f>
        <v>➖</v>
      </c>
      <c r="G161" s="433" t="str">
        <f t="array" ref="G161">XLOOKUP(LCARS_Tech[BuffID],RawTech[BuffID],RawTech[Tag_PvPStation])</f>
        <v>➖</v>
      </c>
      <c r="H161" s="433" t="str">
        <f t="array" ref="H161">XLOOKUP(LCARS_Tech[BuffID],RawTech[BuffID],RawTech[Tag_NonArmadaHostiles])</f>
        <v>➖</v>
      </c>
      <c r="I161" s="433" t="str">
        <f t="array" ref="I161">XLOOKUP(LCARS_Tech[BuffID],RawTech[BuffID],RawTech[Tag_WaveDefense])</f>
        <v>➖</v>
      </c>
      <c r="J161" s="433" t="str">
        <f t="array" ref="J161">XLOOKUP(LCARS_Tech[BuffID],RawTech[BuffID],RawTech[Tag_QTrial])</f>
        <v>➖</v>
      </c>
      <c r="K161" s="433" t="str">
        <f t="array" ref="K161">XLOOKUP(LCARS_Tech[BuffID],RawTech[BuffID],RawTech[Tag_MissionBosses])</f>
        <v>➖</v>
      </c>
      <c r="L161" s="433" t="str">
        <f t="array" ref="L161">XLOOKUP(LCARS_Tech[BuffID],RawTech[BuffID],RawTech[Tag_GroupArmadas])</f>
        <v>➖</v>
      </c>
      <c r="M161" s="433" t="str">
        <f t="array" ref="M161">XLOOKUP(LCARS_Tech[BuffID],RawTech[BuffID],RawTech[Tag_SoloArmadas])</f>
        <v>➖</v>
      </c>
      <c r="N161" s="433" t="str">
        <f t="array" ref="N161">XLOOKUP(LCARS_Tech[BuffID],RawTech[BuffID],RawTech[Tag_InvadingEntities])</f>
        <v>➖</v>
      </c>
      <c r="O161" s="433" t="str">
        <f t="array" ref="O161">XLOOKUP(LCARS_Tech[BuffID],RawTech[BuffID],RawTech[Tag_Assaults])</f>
        <v>➖</v>
      </c>
      <c r="P161" s="434" t="str">
        <f t="array" ref="P161">XLOOKUP(LCARS_Tech[BuffID],RawTech[BuffID],RawTech[Tag_OutpostArmadas])</f>
        <v>➖</v>
      </c>
      <c r="Q161" s="416" t="str">
        <f t="array" ref="Q161">XLOOKUP(LCARS_Tech[BuffID],RawTech[BuffID],RawTech[Tag_OutpostRetaliators])</f>
        <v>➖</v>
      </c>
      <c r="R161" s="416" t="str">
        <f t="array" ref="R161">XLOOKUP(MasterTech!$AF$4:$AF$214,RawTech!$AO$2:$AO$212,RawTech!$AV$2:$AV$212)</f>
        <v/>
      </c>
      <c r="S161" s="433" t="str">
        <f t="array" ref="S161">XLOOKUP(MasterTech!$AF$4:$AF$214,RawTech!$AO$2:$AO$212,RawTech!$AK$2:$AK$212)</f>
        <v>➖</v>
      </c>
      <c r="T161" s="435" t="str">
        <f t="array" ref="T161">XLOOKUP(MasterTech!$AF$4:$AF$214,RawTech!$AO$2:$AO$212,RawTech!$AM$2:$AM$212)</f>
        <v>➖</v>
      </c>
      <c r="U161" s="438" t="str">
        <f t="array" ref="U161">XLOOKUP(MasterTech!$AF$4:$AF$214,RawTech!$AO$2:$AO$212,RawTech!$D$2:$D$212)</f>
        <v>CritDamage</v>
      </c>
      <c r="V161" s="438" t="str">
        <f t="array" ref="V161">XLOOKUP(MasterTech!$AF$4:$AF$214,RawTech!$AO$2:$AO$212,RawTech!$I$2:$I$212)</f>
        <v>faction_id=4145760809</v>
      </c>
      <c r="W161" s="447" t="str">
        <f t="array" ref="W161">XLOOKUP(MasterTech!$AF$4:$AF$214,RawTech!$AO$2:$AO$212,RawTech!$E$2:$E$212)</f>
        <v>TargetNotSoloArmada, TargetIsArmada, TargetBorgType03, EnemyHullFaction</v>
      </c>
      <c r="X161" s="438" t="str">
        <f t="array" ref="X161">XLOOKUP(MasterTech!$AF$4:$AF$214,RawTech!$AO$2:$AO$212,RawTech!$F$2:$F$212)</f>
        <v>CombatStart</v>
      </c>
      <c r="Y161" s="438" t="str">
        <f t="array" ref="Y161">XLOOKUP(MasterTech!$AF$4:$AF$214,RawTech!$AO$2:$AO$212,RawTech!$G$2:$G$212)</f>
        <v>SelfShip</v>
      </c>
      <c r="Z161" s="438" t="str">
        <f t="array" ref="Z161">XLOOKUP(MasterTech!$AF$4:$AF$214,RawTech!$AO$2:$AO$212,RawTech!$H$2:$H$212)</f>
        <v>Add</v>
      </c>
      <c r="AA161" s="438" t="str">
        <f t="array" ref="AA161">XLOOKUP(MasterTech!$AF$4:$AF$214,RawTech!$AO$2:$AO$212,RawTech!$J$2:$J$212)</f>
        <v>Increases Critical Damage for the SS Revenant against Borg Polygon Armadas by X.</v>
      </c>
      <c r="AB161" s="439"/>
      <c r="AC161" s="440"/>
      <c r="AD161" s="440"/>
      <c r="AE161" s="455">
        <f t="array" ref="AE161">XLOOKUP(MasterTech!$AF$4:$AF$214,RawTech!$AO$2:$AO$212,RawTech!$AR$2:$AR$212)</f>
        <v>48</v>
      </c>
      <c r="AF161" s="427">
        <v>8.59457704E8</v>
      </c>
      <c r="AG161" s="428"/>
      <c r="AH161" s="428"/>
      <c r="AI161" s="429"/>
      <c r="AJ161" s="430"/>
    </row>
    <row r="162" ht="37.5" customHeight="1">
      <c r="A162" s="415" t="str">
        <f t="array" ref="A162">LEFT(XLOOKUP(LCARS_Tech[BuffID],RawTech[BuffID],RawTech[TechRarity]), 1)</f>
        <v>R</v>
      </c>
      <c r="B162" s="420"/>
      <c r="C162" s="417" t="str">
        <f t="array" ref="C162">HYPERLINK("https://stfc.space/forbidden_and_chaos_tech/" &amp; XLOOKUP(LCARS_Tech[BuffID],RawTech[BuffID],RawTech[TechId]), XLOOKUP(LCARS_Tech[BuffID],RawTech[BuffID],RawTech[TechName]))</f>
        <v>Genesis Device</v>
      </c>
      <c r="D162" s="418">
        <f t="array" ref="D162">XLOOKUP(LCARS_Tech[BuffID],RawTech[BuffID],RawTech[BuffOrder])</f>
        <v>3</v>
      </c>
      <c r="E162" s="419" t="str">
        <f t="array" ref="E162">XLOOKUP(LCARS_Tech[BuffID],RawTech[BuffID],RawTech[TechType])</f>
        <v>CT</v>
      </c>
      <c r="F162" s="419" t="str">
        <f t="array" ref="F162">XLOOKUP(LCARS_Tech[BuffID],RawTech[BuffID],RawTech[Tag_PvPinSpace])</f>
        <v>✅</v>
      </c>
      <c r="G162" s="419" t="str">
        <f t="array" ref="G162">XLOOKUP(LCARS_Tech[BuffID],RawTech[BuffID],RawTech[Tag_PvPStation])</f>
        <v>✅</v>
      </c>
      <c r="H162" s="419" t="str">
        <f t="array" ref="H162">XLOOKUP(LCARS_Tech[BuffID],RawTech[BuffID],RawTech[Tag_NonArmadaHostiles])</f>
        <v>✅</v>
      </c>
      <c r="I162" s="419" t="str">
        <f t="array" ref="I162">XLOOKUP(LCARS_Tech[BuffID],RawTech[BuffID],RawTech[Tag_WaveDefense])</f>
        <v>✅</v>
      </c>
      <c r="J162" s="419" t="str">
        <f t="array" ref="J162">XLOOKUP(LCARS_Tech[BuffID],RawTech[BuffID],RawTech[Tag_QTrial])</f>
        <v>✅</v>
      </c>
      <c r="K162" s="419" t="str">
        <f t="array" ref="K162">XLOOKUP(LCARS_Tech[BuffID],RawTech[BuffID],RawTech[Tag_MissionBosses])</f>
        <v>✅</v>
      </c>
      <c r="L162" s="419" t="str">
        <f t="array" ref="L162">XLOOKUP(LCARS_Tech[BuffID],RawTech[BuffID],RawTech[Tag_GroupArmadas])</f>
        <v>✅</v>
      </c>
      <c r="M162" s="419" t="str">
        <f t="array" ref="M162">XLOOKUP(LCARS_Tech[BuffID],RawTech[BuffID],RawTech[Tag_SoloArmadas])</f>
        <v>✅</v>
      </c>
      <c r="N162" s="419" t="str">
        <f t="array" ref="N162">XLOOKUP(LCARS_Tech[BuffID],RawTech[BuffID],RawTech[Tag_InvadingEntities])</f>
        <v>✅</v>
      </c>
      <c r="O162" s="419" t="str">
        <f t="array" ref="O162">XLOOKUP(LCARS_Tech[BuffID],RawTech[BuffID],RawTech[Tag_Assaults])</f>
        <v>✅</v>
      </c>
      <c r="P162" s="442" t="str">
        <f t="array" ref="P162">XLOOKUP(LCARS_Tech[BuffID],RawTech[BuffID],RawTech[Tag_OutpostArmadas])</f>
        <v>✅</v>
      </c>
      <c r="Q162" s="420" t="str">
        <f t="array" ref="Q162">XLOOKUP(LCARS_Tech[BuffID],RawTech[BuffID],RawTech[Tag_OutpostRetaliators])</f>
        <v>✅</v>
      </c>
      <c r="R162" s="420" t="str">
        <f t="array" ref="R162">XLOOKUP(MasterTech!$AF$4:$AF$214,RawTech!$AO$2:$AO$212,RawTech!$AV$2:$AV$212)</f>
        <v/>
      </c>
      <c r="S162" s="419" t="str">
        <f t="array" ref="S162">XLOOKUP(MasterTech!$AF$4:$AF$214,RawTech!$AO$2:$AO$212,RawTech!$AK$2:$AK$212)</f>
        <v>➖</v>
      </c>
      <c r="T162" s="422" t="str">
        <f t="array" ref="T162">XLOOKUP(MasterTech!$AF$4:$AF$214,RawTech!$AO$2:$AO$212,RawTech!$AM$2:$AM$212)</f>
        <v>➖</v>
      </c>
      <c r="U162" s="423" t="str">
        <f t="array" ref="U162">XLOOKUP(MasterTech!$AF$4:$AF$214,RawTech!$AO$2:$AO$212,RawTech!$D$2:$D$212)</f>
        <v>ShieldHPMax</v>
      </c>
      <c r="V162" s="420" t="str">
        <f t="array" ref="V162">XLOOKUP(MasterTech!$AF$4:$AF$214,RawTech!$AO$2:$AO$212,RawTech!$I$2:$I$212)</f>
        <v/>
      </c>
      <c r="W162" s="421" t="str">
        <f t="array" ref="W162">XLOOKUP(MasterTech!$AF$4:$AF$214,RawTech!$AO$2:$AO$212,RawTech!$E$2:$E$212)</f>
        <v/>
      </c>
      <c r="X162" s="423" t="str">
        <f t="array" ref="X162">XLOOKUP(MasterTech!$AF$4:$AF$214,RawTech!$AO$2:$AO$212,RawTech!$F$2:$F$212)</f>
        <v>ShipLaunched</v>
      </c>
      <c r="Y162" s="423" t="str">
        <f t="array" ref="Y162">XLOOKUP(MasterTech!$AF$4:$AF$214,RawTech!$AO$2:$AO$212,RawTech!$G$2:$G$212)</f>
        <v>SelfShip</v>
      </c>
      <c r="Z162" s="423" t="str">
        <f t="array" ref="Z162">XLOOKUP(MasterTech!$AF$4:$AF$214,RawTech!$AO$2:$AO$212,RawTech!$H$2:$H$212)</f>
        <v>MultiplyAdd</v>
      </c>
      <c r="AA162" s="423" t="str">
        <f t="array" ref="AA162">XLOOKUP(MasterTech!$AF$4:$AF$214,RawTech!$AO$2:$AO$212,RawTech!$J$2:$J$212)</f>
        <v>Increases base SHP by X.</v>
      </c>
      <c r="AB162" s="424"/>
      <c r="AC162" s="425"/>
      <c r="AD162" s="425"/>
      <c r="AE162" s="453">
        <f t="array" ref="AE162">XLOOKUP(MasterTech!$AF$4:$AF$214,RawTech!$AO$2:$AO$212,RawTech!$AR$2:$AR$212)</f>
        <v>48</v>
      </c>
      <c r="AF162" s="427">
        <v>4.122925361E9</v>
      </c>
      <c r="AG162" s="428"/>
      <c r="AH162" s="428"/>
      <c r="AI162" s="429"/>
      <c r="AJ162" s="430"/>
    </row>
    <row r="163" ht="37.5" customHeight="1">
      <c r="A163" s="415" t="str">
        <f t="array" ref="A163">LEFT(XLOOKUP(LCARS_Tech[BuffID],RawTech[BuffID],RawTech[TechRarity]), 1)</f>
        <v>E</v>
      </c>
      <c r="B163" s="416"/>
      <c r="C163" s="464" t="str">
        <f t="array" ref="C163">HYPERLINK("https://stfc.space/forbidden_and_chaos_tech/" &amp; XLOOKUP(MasterTech!$AF$4:$AF$214,RawTech!$AO$2:$AO$212,RawTech!$AQ$2:$AQ$212), XLOOKUP(MasterTech!$AF$4:$AF$214,RawTech!$AO$2:$AO$212,RawTech!$B$2:$B$212))</f>
        <v>C-12 Stasis Globe</v>
      </c>
      <c r="D163" s="432">
        <f t="array" ref="D163">XLOOKUP(LCARS_Tech[BuffID],RawTech[BuffID],RawTech[BuffOrder])</f>
        <v>1</v>
      </c>
      <c r="E163" s="433" t="str">
        <f t="array" ref="E163">XLOOKUP(LCARS_Tech[BuffID],RawTech[BuffID],RawTech[TechType])</f>
        <v>CT</v>
      </c>
      <c r="F163" s="433" t="str">
        <f t="array" ref="F163">XLOOKUP(LCARS_Tech[BuffID],RawTech[BuffID],RawTech[Tag_PvPinSpace])</f>
        <v>➖</v>
      </c>
      <c r="G163" s="433" t="str">
        <f t="array" ref="G163">XLOOKUP(LCARS_Tech[BuffID],RawTech[BuffID],RawTech[Tag_PvPStation])</f>
        <v>➖</v>
      </c>
      <c r="H163" s="433" t="str">
        <f t="array" ref="H163">XLOOKUP(LCARS_Tech[BuffID],RawTech[BuffID],RawTech[Tag_NonArmadaHostiles])</f>
        <v>➖</v>
      </c>
      <c r="I163" s="433" t="str">
        <f t="array" ref="I163">XLOOKUP(LCARS_Tech[BuffID],RawTech[BuffID],RawTech[Tag_WaveDefense])</f>
        <v>➖</v>
      </c>
      <c r="J163" s="433" t="str">
        <f t="array" ref="J163">XLOOKUP(LCARS_Tech[BuffID],RawTech[BuffID],RawTech[Tag_QTrial])</f>
        <v>➖</v>
      </c>
      <c r="K163" s="433" t="str">
        <f t="array" ref="K163">XLOOKUP(LCARS_Tech[BuffID],RawTech[BuffID],RawTech[Tag_MissionBosses])</f>
        <v>➖</v>
      </c>
      <c r="L163" s="433" t="str">
        <f t="array" ref="L163">XLOOKUP(LCARS_Tech[BuffID],RawTech[BuffID],RawTech[Tag_GroupArmadas])</f>
        <v>➖</v>
      </c>
      <c r="M163" s="433" t="str">
        <f t="array" ref="M163">XLOOKUP(LCARS_Tech[BuffID],RawTech[BuffID],RawTech[Tag_SoloArmadas])</f>
        <v>➖</v>
      </c>
      <c r="N163" s="433" t="str">
        <f t="array" ref="N163">XLOOKUP(LCARS_Tech[BuffID],RawTech[BuffID],RawTech[Tag_InvadingEntities])</f>
        <v>➖</v>
      </c>
      <c r="O163" s="433" t="str">
        <f t="array" ref="O163">XLOOKUP(LCARS_Tech[BuffID],RawTech[BuffID],RawTech[Tag_Assaults])</f>
        <v>➖</v>
      </c>
      <c r="P163" s="434" t="str">
        <f t="array" ref="P163">XLOOKUP(LCARS_Tech[BuffID],RawTech[BuffID],RawTech[Tag_OutpostArmadas])</f>
        <v>➖</v>
      </c>
      <c r="Q163" s="416" t="str">
        <f t="array" ref="Q163">XLOOKUP(LCARS_Tech[BuffID],RawTech[BuffID],RawTech[Tag_OutpostRetaliators])</f>
        <v>➖</v>
      </c>
      <c r="R163" s="416" t="str">
        <f t="array" ref="R163">XLOOKUP(MasterTech!$AF$4:$AF$214,RawTech!$AO$2:$AO$212,RawTech!$AV$2:$AV$212)</f>
        <v/>
      </c>
      <c r="S163" s="433" t="str">
        <f t="array" ref="S163">XLOOKUP(MasterTech!$AF$4:$AF$214,RawTech!$AO$2:$AO$212,RawTech!$AK$2:$AK$212)</f>
        <v>➖</v>
      </c>
      <c r="T163" s="435" t="str">
        <f t="array" ref="T163">XLOOKUP(MasterTech!$AF$4:$AF$214,RawTech!$AO$2:$AO$212,RawTech!$AM$2:$AM$212)</f>
        <v>✅</v>
      </c>
      <c r="U163" s="438" t="str">
        <f t="array" ref="U163">XLOOKUP(MasterTech!$AF$4:$AF$214,RawTech!$AO$2:$AO$212,RawTech!$D$2:$D$212)</f>
        <v>HazardBaseMitigation</v>
      </c>
      <c r="V163" s="416" t="str">
        <f t="array" ref="V163">XLOOKUP(MasterTech!$AF$4:$AF$214,RawTech!$AO$2:$AO$212,RawTech!$I$2:$I$212)</f>
        <v/>
      </c>
      <c r="W163" s="437" t="str">
        <f t="array" ref="W163">XLOOKUP(MasterTech!$AF$4:$AF$214,RawTech!$AO$2:$AO$212,RawTech!$E$2:$E$212)</f>
        <v/>
      </c>
      <c r="X163" s="438" t="str">
        <f t="array" ref="X163">XLOOKUP(MasterTech!$AF$4:$AF$214,RawTech!$AO$2:$AO$212,RawTech!$F$2:$F$212)</f>
        <v>ShipLaunched</v>
      </c>
      <c r="Y163" s="438" t="str">
        <f t="array" ref="Y163">XLOOKUP(MasterTech!$AF$4:$AF$214,RawTech!$AO$2:$AO$212,RawTech!$G$2:$G$212)</f>
        <v>SelfShip</v>
      </c>
      <c r="Z163" s="438" t="str">
        <f t="array" ref="Z163">XLOOKUP(MasterTech!$AF$4:$AF$214,RawTech!$AO$2:$AO$212,RawTech!$H$2:$H$212)</f>
        <v>Add</v>
      </c>
      <c r="AA163" s="438" t="str">
        <f t="array" ref="AA163">XLOOKUP(MasterTech!$AF$4:$AF$214,RawTech!$AO$2:$AO$212,RawTech!$J$2:$J$212)</f>
        <v>Increases base Hazard Resistance by X.</v>
      </c>
      <c r="AB163" s="439"/>
      <c r="AC163" s="440"/>
      <c r="AD163" s="440"/>
      <c r="AE163" s="462">
        <f t="array" ref="AE163">XLOOKUP(MasterTech!$AF$4:$AF$214,RawTech!$AO$2:$AO$212,RawTech!$AR$2:$AR$212)</f>
        <v>47</v>
      </c>
      <c r="AF163" s="427">
        <v>3.914072116E9</v>
      </c>
      <c r="AG163" s="428"/>
      <c r="AH163" s="428"/>
      <c r="AI163" s="429"/>
      <c r="AJ163" s="430"/>
    </row>
    <row r="164" ht="37.5" customHeight="1">
      <c r="A164" s="415" t="str">
        <f t="array" ref="A164">LEFT(XLOOKUP(LCARS_Tech[BuffID],RawTech[BuffID],RawTech[TechRarity]), 1)</f>
        <v>E</v>
      </c>
      <c r="B164" s="420"/>
      <c r="C164" s="460" t="str">
        <f t="array" ref="C164">HYPERLINK("https://stfc.space/forbidden_and_chaos_tech/" &amp; XLOOKUP(MasterTech!$AF$4:$AF$214,RawTech!$AO$2:$AO$212,RawTech!$AQ$2:$AQ$212), XLOOKUP(MasterTech!$AF$4:$AF$214,RawTech!$AO$2:$AO$212,RawTech!$B$2:$B$212))</f>
        <v>C-12 Stasis Globe</v>
      </c>
      <c r="D164" s="418">
        <f t="array" ref="D164">XLOOKUP(LCARS_Tech[BuffID],RawTech[BuffID],RawTech[BuffOrder])</f>
        <v>2</v>
      </c>
      <c r="E164" s="419" t="str">
        <f t="array" ref="E164">XLOOKUP(LCARS_Tech[BuffID],RawTech[BuffID],RawTech[TechType])</f>
        <v>CT</v>
      </c>
      <c r="F164" s="419" t="str">
        <f t="array" ref="F164">XLOOKUP(LCARS_Tech[BuffID],RawTech[BuffID],RawTech[Tag_PvPinSpace])</f>
        <v>➖</v>
      </c>
      <c r="G164" s="419" t="str">
        <f t="array" ref="G164">XLOOKUP(LCARS_Tech[BuffID],RawTech[BuffID],RawTech[Tag_PvPStation])</f>
        <v>➖</v>
      </c>
      <c r="H164" s="419" t="str">
        <f t="array" ref="H164">XLOOKUP(LCARS_Tech[BuffID],RawTech[BuffID],RawTech[Tag_NonArmadaHostiles])</f>
        <v>➖</v>
      </c>
      <c r="I164" s="419" t="str">
        <f t="array" ref="I164">XLOOKUP(LCARS_Tech[BuffID],RawTech[BuffID],RawTech[Tag_WaveDefense])</f>
        <v>➖</v>
      </c>
      <c r="J164" s="419" t="str">
        <f t="array" ref="J164">XLOOKUP(LCARS_Tech[BuffID],RawTech[BuffID],RawTech[Tag_QTrial])</f>
        <v>➖</v>
      </c>
      <c r="K164" s="419" t="str">
        <f t="array" ref="K164">XLOOKUP(LCARS_Tech[BuffID],RawTech[BuffID],RawTech[Tag_MissionBosses])</f>
        <v>➖</v>
      </c>
      <c r="L164" s="419" t="str">
        <f t="array" ref="L164">XLOOKUP(LCARS_Tech[BuffID],RawTech[BuffID],RawTech[Tag_GroupArmadas])</f>
        <v>➖</v>
      </c>
      <c r="M164" s="419" t="str">
        <f t="array" ref="M164">XLOOKUP(LCARS_Tech[BuffID],RawTech[BuffID],RawTech[Tag_SoloArmadas])</f>
        <v>➖</v>
      </c>
      <c r="N164" s="419" t="str">
        <f t="array" ref="N164">XLOOKUP(LCARS_Tech[BuffID],RawTech[BuffID],RawTech[Tag_InvadingEntities])</f>
        <v>➖</v>
      </c>
      <c r="O164" s="419" t="str">
        <f t="array" ref="O164">XLOOKUP(LCARS_Tech[BuffID],RawTech[BuffID],RawTech[Tag_Assaults])</f>
        <v>➖</v>
      </c>
      <c r="P164" s="442" t="str">
        <f t="array" ref="P164">XLOOKUP(LCARS_Tech[BuffID],RawTech[BuffID],RawTech[Tag_OutpostArmadas])</f>
        <v>➖</v>
      </c>
      <c r="Q164" s="420" t="str">
        <f t="array" ref="Q164">XLOOKUP(LCARS_Tech[BuffID],RawTech[BuffID],RawTech[Tag_OutpostRetaliators])</f>
        <v>➖</v>
      </c>
      <c r="R164" s="420" t="str">
        <f t="array" ref="R164">XLOOKUP(MasterTech!$AF$4:$AF$214,RawTech!$AO$2:$AO$212,RawTech!$AV$2:$AV$212)</f>
        <v/>
      </c>
      <c r="S164" s="419" t="str">
        <f t="array" ref="S164">XLOOKUP(MasterTech!$AF$4:$AF$214,RawTech!$AO$2:$AO$212,RawTech!$AK$2:$AK$212)</f>
        <v>➖</v>
      </c>
      <c r="T164" s="422" t="str">
        <f t="array" ref="T164">XLOOKUP(MasterTech!$AF$4:$AF$214,RawTech!$AO$2:$AO$212,RawTech!$AM$2:$AM$212)</f>
        <v>✅</v>
      </c>
      <c r="U164" s="423" t="str">
        <f t="array" ref="U164">XLOOKUP(MasterTech!$AF$4:$AF$214,RawTech!$AO$2:$AO$212,RawTech!$D$2:$D$212)</f>
        <v>WarpSpeed</v>
      </c>
      <c r="V164" s="420" t="str">
        <f t="array" ref="V164">XLOOKUP(MasterTech!$AF$4:$AF$214,RawTech!$AO$2:$AO$212,RawTech!$I$2:$I$212)</f>
        <v/>
      </c>
      <c r="W164" s="421" t="str">
        <f t="array" ref="W164">XLOOKUP(MasterTech!$AF$4:$AF$214,RawTech!$AO$2:$AO$212,RawTech!$E$2:$E$212)</f>
        <v/>
      </c>
      <c r="X164" s="423" t="str">
        <f t="array" ref="X164">XLOOKUP(MasterTech!$AF$4:$AF$214,RawTech!$AO$2:$AO$212,RawTech!$F$2:$F$212)</f>
        <v>ShipLaunched</v>
      </c>
      <c r="Y164" s="423" t="str">
        <f t="array" ref="Y164">XLOOKUP(MasterTech!$AF$4:$AF$214,RawTech!$AO$2:$AO$212,RawTech!$G$2:$G$212)</f>
        <v>SelfShip</v>
      </c>
      <c r="Z164" s="423" t="str">
        <f t="array" ref="Z164">XLOOKUP(MasterTech!$AF$4:$AF$214,RawTech!$AO$2:$AO$212,RawTech!$H$2:$H$212)</f>
        <v>MultiplyAdd</v>
      </c>
      <c r="AA164" s="423" t="str">
        <f t="array" ref="AA164">XLOOKUP(MasterTech!$AF$4:$AF$214,RawTech!$AO$2:$AO$212,RawTech!$J$2:$J$212)</f>
        <v>Increases base Warp Speed by X.</v>
      </c>
      <c r="AB164" s="424"/>
      <c r="AC164" s="425"/>
      <c r="AD164" s="425"/>
      <c r="AE164" s="461">
        <f t="array" ref="AE164">XLOOKUP(MasterTech!$AF$4:$AF$214,RawTech!$AO$2:$AO$212,RawTech!$AR$2:$AR$212)</f>
        <v>47</v>
      </c>
      <c r="AF164" s="427">
        <v>4.070062661E9</v>
      </c>
      <c r="AG164" s="428"/>
      <c r="AH164" s="428"/>
      <c r="AI164" s="429"/>
      <c r="AJ164" s="430"/>
    </row>
    <row r="165" ht="37.5" customHeight="1">
      <c r="A165" s="415" t="str">
        <f t="array" ref="A165">LEFT(XLOOKUP(LCARS_Tech[BuffID],RawTech[BuffID],RawTech[TechRarity]), 1)</f>
        <v>E</v>
      </c>
      <c r="B165" s="416"/>
      <c r="C165" s="417" t="str">
        <f t="array" ref="C165">HYPERLINK("https://stfc.space/forbidden_and_chaos_tech/" &amp; XLOOKUP(LCARS_Tech[BuffID],RawTech[BuffID],RawTech[TechId]), XLOOKUP(LCARS_Tech[BuffID],RawTech[BuffID],RawTech[TechName]))</f>
        <v>C-12 Stasis Globe</v>
      </c>
      <c r="D165" s="432">
        <f t="array" ref="D165">XLOOKUP(LCARS_Tech[BuffID],RawTech[BuffID],RawTech[BuffOrder])</f>
        <v>3</v>
      </c>
      <c r="E165" s="433" t="str">
        <f t="array" ref="E165">XLOOKUP(LCARS_Tech[BuffID],RawTech[BuffID],RawTech[TechType])</f>
        <v>CT</v>
      </c>
      <c r="F165" s="433" t="str">
        <f t="array" ref="F165">XLOOKUP(LCARS_Tech[BuffID],RawTech[BuffID],RawTech[Tag_PvPinSpace])</f>
        <v>✅</v>
      </c>
      <c r="G165" s="433" t="str">
        <f t="array" ref="G165">XLOOKUP(LCARS_Tech[BuffID],RawTech[BuffID],RawTech[Tag_PvPStation])</f>
        <v>✅</v>
      </c>
      <c r="H165" s="433" t="str">
        <f t="array" ref="H165">XLOOKUP(LCARS_Tech[BuffID],RawTech[BuffID],RawTech[Tag_NonArmadaHostiles])</f>
        <v>✅</v>
      </c>
      <c r="I165" s="433" t="str">
        <f t="array" ref="I165">XLOOKUP(LCARS_Tech[BuffID],RawTech[BuffID],RawTech[Tag_WaveDefense])</f>
        <v>✅</v>
      </c>
      <c r="J165" s="433" t="str">
        <f t="array" ref="J165">XLOOKUP(LCARS_Tech[BuffID],RawTech[BuffID],RawTech[Tag_QTrial])</f>
        <v>✅</v>
      </c>
      <c r="K165" s="433" t="str">
        <f t="array" ref="K165">XLOOKUP(LCARS_Tech[BuffID],RawTech[BuffID],RawTech[Tag_MissionBosses])</f>
        <v>✅</v>
      </c>
      <c r="L165" s="433" t="str">
        <f t="array" ref="L165">XLOOKUP(LCARS_Tech[BuffID],RawTech[BuffID],RawTech[Tag_GroupArmadas])</f>
        <v>✅</v>
      </c>
      <c r="M165" s="433" t="str">
        <f t="array" ref="M165">XLOOKUP(LCARS_Tech[BuffID],RawTech[BuffID],RawTech[Tag_SoloArmadas])</f>
        <v>✅</v>
      </c>
      <c r="N165" s="433" t="str">
        <f t="array" ref="N165">XLOOKUP(LCARS_Tech[BuffID],RawTech[BuffID],RawTech[Tag_InvadingEntities])</f>
        <v>✅</v>
      </c>
      <c r="O165" s="433" t="str">
        <f t="array" ref="O165">XLOOKUP(LCARS_Tech[BuffID],RawTech[BuffID],RawTech[Tag_Assaults])</f>
        <v>✅</v>
      </c>
      <c r="P165" s="434" t="str">
        <f t="array" ref="P165">XLOOKUP(LCARS_Tech[BuffID],RawTech[BuffID],RawTech[Tag_OutpostArmadas])</f>
        <v>✅</v>
      </c>
      <c r="Q165" s="416" t="str">
        <f t="array" ref="Q165">XLOOKUP(LCARS_Tech[BuffID],RawTech[BuffID],RawTech[Tag_OutpostRetaliators])</f>
        <v>✅</v>
      </c>
      <c r="R165" s="416" t="str">
        <f t="array" ref="R165">XLOOKUP(MasterTech!$AF$4:$AF$214,RawTech!$AO$2:$AO$212,RawTech!$AV$2:$AV$212)</f>
        <v/>
      </c>
      <c r="S165" s="433" t="str">
        <f t="array" ref="S165">XLOOKUP(MasterTech!$AF$4:$AF$214,RawTech!$AO$2:$AO$212,RawTech!$AK$2:$AK$212)</f>
        <v>➖</v>
      </c>
      <c r="T165" s="435" t="str">
        <f t="array" ref="T165">XLOOKUP(MasterTech!$AF$4:$AF$214,RawTech!$AO$2:$AO$212,RawTech!$AM$2:$AM$212)</f>
        <v>➖</v>
      </c>
      <c r="U165" s="438" t="str">
        <f t="array" ref="U165">XLOOKUP(MasterTech!$AF$4:$AF$214,RawTech!$AO$2:$AO$212,RawTech!$D$2:$D$212)</f>
        <v>HullHPMax</v>
      </c>
      <c r="V165" s="416" t="str">
        <f t="array" ref="V165">XLOOKUP(MasterTech!$AF$4:$AF$214,RawTech!$AO$2:$AO$212,RawTech!$I$2:$I$212)</f>
        <v/>
      </c>
      <c r="W165" s="437" t="str">
        <f t="array" ref="W165">XLOOKUP(MasterTech!$AF$4:$AF$214,RawTech!$AO$2:$AO$212,RawTech!$E$2:$E$212)</f>
        <v/>
      </c>
      <c r="X165" s="438" t="str">
        <f t="array" ref="X165">XLOOKUP(MasterTech!$AF$4:$AF$214,RawTech!$AO$2:$AO$212,RawTech!$F$2:$F$212)</f>
        <v>ShipLaunched</v>
      </c>
      <c r="Y165" s="438" t="str">
        <f t="array" ref="Y165">XLOOKUP(MasterTech!$AF$4:$AF$214,RawTech!$AO$2:$AO$212,RawTech!$G$2:$G$212)</f>
        <v>SelfShip</v>
      </c>
      <c r="Z165" s="438" t="str">
        <f t="array" ref="Z165">XLOOKUP(MasterTech!$AF$4:$AF$214,RawTech!$AO$2:$AO$212,RawTech!$H$2:$H$212)</f>
        <v>MultiplyAdd</v>
      </c>
      <c r="AA165" s="438" t="str">
        <f t="array" ref="AA165">XLOOKUP(MasterTech!$AF$4:$AF$214,RawTech!$AO$2:$AO$212,RawTech!$J$2:$J$212)</f>
        <v>Increases base HHP by X.</v>
      </c>
      <c r="AB165" s="439"/>
      <c r="AC165" s="440"/>
      <c r="AD165" s="440"/>
      <c r="AE165" s="462">
        <f t="array" ref="AE165">XLOOKUP(MasterTech!$AF$4:$AF$214,RawTech!$AO$2:$AO$212,RawTech!$AR$2:$AR$212)</f>
        <v>47</v>
      </c>
      <c r="AF165" s="427">
        <v>9.13757396E8</v>
      </c>
      <c r="AG165" s="428"/>
      <c r="AH165" s="428"/>
      <c r="AI165" s="429"/>
      <c r="AJ165" s="430"/>
    </row>
    <row r="166" ht="37.5" customHeight="1">
      <c r="A166" s="415" t="str">
        <f t="array" ref="A166">LEFT(XLOOKUP(LCARS_Tech[BuffID],RawTech[BuffID],RawTech[TechRarity]), 1)</f>
        <v>R</v>
      </c>
      <c r="B166" s="420"/>
      <c r="C166" s="452" t="str">
        <f t="array" ref="C166">HYPERLINK("https://stfc.space/forbidden_and_chaos_tech/" &amp; XLOOKUP(MasterTech!$AF$4:$AF$214,RawTech!$AO$2:$AO$212,RawTech!$AQ$2:$AQ$212), XLOOKUP(MasterTech!$AF$4:$AF$214,RawTech!$AO$2:$AO$212,RawTech!$B$2:$B$212))</f>
        <v>Omega Molecule</v>
      </c>
      <c r="D166" s="418">
        <f t="array" ref="D166">XLOOKUP(LCARS_Tech[BuffID],RawTech[BuffID],RawTech[BuffOrder])</f>
        <v>1</v>
      </c>
      <c r="E166" s="419" t="str">
        <f t="array" ref="E166">XLOOKUP(LCARS_Tech[BuffID],RawTech[BuffID],RawTech[TechType])</f>
        <v>CT</v>
      </c>
      <c r="F166" s="419" t="str">
        <f t="array" ref="F166">XLOOKUP(LCARS_Tech[BuffID],RawTech[BuffID],RawTech[Tag_PvPinSpace])</f>
        <v>➖</v>
      </c>
      <c r="G166" s="419" t="str">
        <f t="array" ref="G166">XLOOKUP(LCARS_Tech[BuffID],RawTech[BuffID],RawTech[Tag_PvPStation])</f>
        <v>➖</v>
      </c>
      <c r="H166" s="419" t="str">
        <f t="array" ref="H166">XLOOKUP(LCARS_Tech[BuffID],RawTech[BuffID],RawTech[Tag_NonArmadaHostiles])</f>
        <v>➖</v>
      </c>
      <c r="I166" s="419" t="str">
        <f t="array" ref="I166">XLOOKUP(LCARS_Tech[BuffID],RawTech[BuffID],RawTech[Tag_WaveDefense])</f>
        <v>➖</v>
      </c>
      <c r="J166" s="419" t="str">
        <f t="array" ref="J166">XLOOKUP(LCARS_Tech[BuffID],RawTech[BuffID],RawTech[Tag_QTrial])</f>
        <v>➖</v>
      </c>
      <c r="K166" s="419" t="str">
        <f t="array" ref="K166">XLOOKUP(LCARS_Tech[BuffID],RawTech[BuffID],RawTech[Tag_MissionBosses])</f>
        <v>➖</v>
      </c>
      <c r="L166" s="419" t="str">
        <f t="array" ref="L166">XLOOKUP(LCARS_Tech[BuffID],RawTech[BuffID],RawTech[Tag_GroupArmadas])</f>
        <v>✴️</v>
      </c>
      <c r="M166" s="419" t="str">
        <f t="array" ref="M166">XLOOKUP(LCARS_Tech[BuffID],RawTech[BuffID],RawTech[Tag_SoloArmadas])</f>
        <v>➖</v>
      </c>
      <c r="N166" s="419" t="str">
        <f t="array" ref="N166">XLOOKUP(LCARS_Tech[BuffID],RawTech[BuffID],RawTech[Tag_InvadingEntities])</f>
        <v>➖</v>
      </c>
      <c r="O166" s="419" t="str">
        <f t="array" ref="O166">XLOOKUP(LCARS_Tech[BuffID],RawTech[BuffID],RawTech[Tag_Assaults])</f>
        <v>➖</v>
      </c>
      <c r="P166" s="442" t="str">
        <f t="array" ref="P166">XLOOKUP(LCARS_Tech[BuffID],RawTech[BuffID],RawTech[Tag_OutpostArmadas])</f>
        <v>➖</v>
      </c>
      <c r="Q166" s="450" t="str">
        <f t="array" ref="Q166">XLOOKUP(LCARS_Tech[BuffID],RawTech[BuffID],RawTech[Tag_OutpostRetaliators])</f>
        <v>➖</v>
      </c>
      <c r="R166" s="450" t="str">
        <f t="array" ref="R166">XLOOKUP(MasterTech!$AF$4:$AF$214,RawTech!$AO$2:$AO$212,RawTech!$AV$2:$AV$212)</f>
        <v>TemporalWreckageLoot</v>
      </c>
      <c r="S166" s="419" t="str">
        <f t="array" ref="S166">XLOOKUP(MasterTech!$AF$4:$AF$214,RawTech!$AO$2:$AO$212,RawTech!$AK$2:$AK$212)</f>
        <v>✅</v>
      </c>
      <c r="T166" s="422" t="str">
        <f t="array" ref="T166">XLOOKUP(MasterTech!$AF$4:$AF$214,RawTech!$AO$2:$AO$212,RawTech!$AM$2:$AM$212)</f>
        <v>➖</v>
      </c>
      <c r="U166" s="423" t="str">
        <f t="array" ref="U166">XLOOKUP(MasterTech!$AF$4:$AF$214,RawTech!$AO$2:$AO$212,RawTech!$D$2:$D$212)</f>
        <v>TemporalWreckageLoot</v>
      </c>
      <c r="V166" s="420" t="str">
        <f t="array" ref="V166">XLOOKUP(MasterTech!$AF$4:$AF$214,RawTech!$AO$2:$AO$212,RawTech!$I$2:$I$212)</f>
        <v/>
      </c>
      <c r="W166" s="443" t="str">
        <f t="array" ref="W166">XLOOKUP(MasterTech!$AF$4:$AF$214,RawTech!$AO$2:$AO$212,RawTech!$E$2:$E$212)</f>
        <v>TargetKrenimMTA</v>
      </c>
      <c r="X166" s="423" t="str">
        <f t="array" ref="X166">XLOOKUP(MasterTech!$AF$4:$AF$214,RawTech!$AO$2:$AO$212,RawTech!$F$2:$F$212)</f>
        <v>ShipLaunched</v>
      </c>
      <c r="Y166" s="423" t="str">
        <f t="array" ref="Y166">XLOOKUP(MasterTech!$AF$4:$AF$214,RawTech!$AO$2:$AO$212,RawTech!$G$2:$G$212)</f>
        <v>SelfShip</v>
      </c>
      <c r="Z166" s="423" t="str">
        <f t="array" ref="Z166">XLOOKUP(MasterTech!$AF$4:$AF$214,RawTech!$AO$2:$AO$212,RawTech!$H$2:$H$212)</f>
        <v>MultiplyAdd</v>
      </c>
      <c r="AA166" s="423" t="str">
        <f t="array" ref="AA166">XLOOKUP(MasterTech!$AF$4:$AF$214,RawTech!$AO$2:$AO$212,RawTech!$J$2:$J$212)</f>
        <v>Increases Krenim Temporal Wreckage gained from Krenim Formation Armadas with the U.S.S. Relativity by X.</v>
      </c>
      <c r="AB166" s="424"/>
      <c r="AC166" s="463"/>
      <c r="AD166" s="463"/>
      <c r="AE166" s="453">
        <f t="array" ref="AE166">XLOOKUP(MasterTech!$AF$4:$AF$214,RawTech!$AO$2:$AO$212,RawTech!$AR$2:$AR$212)</f>
        <v>49</v>
      </c>
      <c r="AF166" s="427">
        <v>4.018543622E9</v>
      </c>
      <c r="AG166" s="428"/>
      <c r="AH166" s="428"/>
      <c r="AI166" s="429"/>
      <c r="AJ166" s="430"/>
    </row>
    <row r="167" ht="37.5" customHeight="1">
      <c r="A167" s="415" t="str">
        <f t="array" ref="A167">LEFT(XLOOKUP(LCARS_Tech[BuffID],RawTech[BuffID],RawTech[TechRarity]), 1)</f>
        <v>R</v>
      </c>
      <c r="B167" s="416"/>
      <c r="C167" s="454" t="str">
        <f t="array" ref="C167">HYPERLINK("https://stfc.space/forbidden_and_chaos_tech/" &amp; XLOOKUP(MasterTech!$AF$4:$AF$214,RawTech!$AO$2:$AO$212,RawTech!$AQ$2:$AQ$212), XLOOKUP(MasterTech!$AF$4:$AF$214,RawTech!$AO$2:$AO$212,RawTech!$B$2:$B$212))</f>
        <v>Omega Molecule</v>
      </c>
      <c r="D167" s="432">
        <f t="array" ref="D167">XLOOKUP(LCARS_Tech[BuffID],RawTech[BuffID],RawTech[BuffOrder])</f>
        <v>2</v>
      </c>
      <c r="E167" s="433" t="str">
        <f t="array" ref="E167">XLOOKUP(LCARS_Tech[BuffID],RawTech[BuffID],RawTech[TechType])</f>
        <v>CT</v>
      </c>
      <c r="F167" s="433" t="str">
        <f t="array" ref="F167">XLOOKUP(LCARS_Tech[BuffID],RawTech[BuffID],RawTech[Tag_PvPinSpace])</f>
        <v>➖</v>
      </c>
      <c r="G167" s="433" t="str">
        <f t="array" ref="G167">XLOOKUP(LCARS_Tech[BuffID],RawTech[BuffID],RawTech[Tag_PvPStation])</f>
        <v>➖</v>
      </c>
      <c r="H167" s="433" t="str">
        <f t="array" ref="H167">XLOOKUP(LCARS_Tech[BuffID],RawTech[BuffID],RawTech[Tag_NonArmadaHostiles])</f>
        <v>➖</v>
      </c>
      <c r="I167" s="433" t="str">
        <f t="array" ref="I167">XLOOKUP(LCARS_Tech[BuffID],RawTech[BuffID],RawTech[Tag_WaveDefense])</f>
        <v>➖</v>
      </c>
      <c r="J167" s="433" t="str">
        <f t="array" ref="J167">XLOOKUP(LCARS_Tech[BuffID],RawTech[BuffID],RawTech[Tag_QTrial])</f>
        <v>➖</v>
      </c>
      <c r="K167" s="433" t="str">
        <f t="array" ref="K167">XLOOKUP(LCARS_Tech[BuffID],RawTech[BuffID],RawTech[Tag_MissionBosses])</f>
        <v>➖</v>
      </c>
      <c r="L167" s="433" t="str">
        <f t="array" ref="L167">XLOOKUP(LCARS_Tech[BuffID],RawTech[BuffID],RawTech[Tag_GroupArmadas])</f>
        <v>➖</v>
      </c>
      <c r="M167" s="433" t="str">
        <f t="array" ref="M167">XLOOKUP(LCARS_Tech[BuffID],RawTech[BuffID],RawTech[Tag_SoloArmadas])</f>
        <v>➖</v>
      </c>
      <c r="N167" s="433" t="str">
        <f t="array" ref="N167">XLOOKUP(LCARS_Tech[BuffID],RawTech[BuffID],RawTech[Tag_InvadingEntities])</f>
        <v>➖</v>
      </c>
      <c r="O167" s="433" t="str">
        <f t="array" ref="O167">XLOOKUP(LCARS_Tech[BuffID],RawTech[BuffID],RawTech[Tag_Assaults])</f>
        <v>➖</v>
      </c>
      <c r="P167" s="434" t="str">
        <f t="array" ref="P167">XLOOKUP(LCARS_Tech[BuffID],RawTech[BuffID],RawTech[Tag_OutpostArmadas])</f>
        <v>➖</v>
      </c>
      <c r="Q167" s="416" t="str">
        <f t="array" ref="Q167">XLOOKUP(LCARS_Tech[BuffID],RawTech[BuffID],RawTech[Tag_OutpostRetaliators])</f>
        <v>➖</v>
      </c>
      <c r="R167" s="416" t="str">
        <f t="array" ref="R167">XLOOKUP(MasterTech!$AF$4:$AF$214,RawTech!$AO$2:$AO$212,RawTech!$AV$2:$AV$212)</f>
        <v/>
      </c>
      <c r="S167" s="433" t="str">
        <f t="array" ref="S167">XLOOKUP(MasterTech!$AF$4:$AF$214,RawTech!$AO$2:$AO$212,RawTech!$AK$2:$AK$212)</f>
        <v>➖</v>
      </c>
      <c r="T167" s="435" t="str">
        <f t="array" ref="T167">XLOOKUP(MasterTech!$AF$4:$AF$214,RawTech!$AO$2:$AO$212,RawTech!$AM$2:$AM$212)</f>
        <v>➖</v>
      </c>
      <c r="U167" s="438" t="str">
        <f t="array" ref="U167">XLOOKUP(MasterTech!$AF$4:$AF$214,RawTech!$AO$2:$AO$212,RawTech!$D$2:$D$212)</f>
        <v>ApexBarrier</v>
      </c>
      <c r="V167" s="438" t="str">
        <f t="array" ref="V167">XLOOKUP(MasterTech!$AF$4:$AF$214,RawTech!$AO$2:$AO$212,RawTech!$I$2:$I$212)</f>
        <v>faction_id=3522167047</v>
      </c>
      <c r="W167" s="447" t="str">
        <f t="array" ref="W167">XLOOKUP(MasterTech!$AF$4:$AF$214,RawTech!$AO$2:$AO$212,RawTech!$E$2:$E$212)</f>
        <v>TargetIsInvadingEntity, TargetKrenimMTA, EnemyHullFaction, SelfOfficerTalNotOnBridge</v>
      </c>
      <c r="X167" s="438" t="str">
        <f t="array" ref="X167">XLOOKUP(MasterTech!$AF$4:$AF$214,RawTech!$AO$2:$AO$212,RawTech!$F$2:$F$212)</f>
        <v>CombatStart</v>
      </c>
      <c r="Y167" s="438" t="str">
        <f t="array" ref="Y167">XLOOKUP(MasterTech!$AF$4:$AF$214,RawTech!$AO$2:$AO$212,RawTech!$G$2:$G$212)</f>
        <v>SelfShip</v>
      </c>
      <c r="Z167" s="438" t="str">
        <f t="array" ref="Z167">XLOOKUP(MasterTech!$AF$4:$AF$214,RawTech!$AO$2:$AO$212,RawTech!$H$2:$H$212)</f>
        <v>Add</v>
      </c>
      <c r="AA167" s="438" t="str">
        <f t="array" ref="AA167">XLOOKUP(MasterTech!$AF$4:$AF$214,RawTech!$AO$2:$AO$212,RawTech!$J$2:$J$212)</f>
        <v>Increases base Apex Barrier when fighting Krenim Invading Entities with the U.S.S. Relativity by X.</v>
      </c>
      <c r="AB167" s="439"/>
      <c r="AC167" s="440"/>
      <c r="AD167" s="440"/>
      <c r="AE167" s="455">
        <f t="array" ref="AE167">XLOOKUP(MasterTech!$AF$4:$AF$214,RawTech!$AO$2:$AO$212,RawTech!$AR$2:$AR$212)</f>
        <v>49</v>
      </c>
      <c r="AF167" s="427">
        <v>2.340851068E9</v>
      </c>
      <c r="AG167" s="428"/>
      <c r="AH167" s="428"/>
      <c r="AI167" s="429"/>
      <c r="AJ167" s="430"/>
    </row>
    <row r="168" ht="37.5" customHeight="1">
      <c r="A168" s="415" t="str">
        <f t="array" ref="A168">LEFT(XLOOKUP(LCARS_Tech[BuffID],RawTech[BuffID],RawTech[TechRarity]), 1)</f>
        <v>R</v>
      </c>
      <c r="B168" s="420"/>
      <c r="C168" s="417" t="str">
        <f t="array" ref="C168">HYPERLINK("https://stfc.space/forbidden_and_chaos_tech/" &amp; XLOOKUP(LCARS_Tech[BuffID],RawTech[BuffID],RawTech[TechId]), XLOOKUP(LCARS_Tech[BuffID],RawTech[BuffID],RawTech[TechName]))</f>
        <v>Omega Molecule</v>
      </c>
      <c r="D168" s="418">
        <f t="array" ref="D168">XLOOKUP(LCARS_Tech[BuffID],RawTech[BuffID],RawTech[BuffOrder])</f>
        <v>3</v>
      </c>
      <c r="E168" s="419" t="str">
        <f t="array" ref="E168">XLOOKUP(LCARS_Tech[BuffID],RawTech[BuffID],RawTech[TechType])</f>
        <v>CT</v>
      </c>
      <c r="F168" s="419" t="str">
        <f t="array" ref="F168">XLOOKUP(LCARS_Tech[BuffID],RawTech[BuffID],RawTech[Tag_PvPinSpace])</f>
        <v>✅</v>
      </c>
      <c r="G168" s="419" t="str">
        <f t="array" ref="G168">XLOOKUP(LCARS_Tech[BuffID],RawTech[BuffID],RawTech[Tag_PvPStation])</f>
        <v>✅</v>
      </c>
      <c r="H168" s="419" t="str">
        <f t="array" ref="H168">XLOOKUP(LCARS_Tech[BuffID],RawTech[BuffID],RawTech[Tag_NonArmadaHostiles])</f>
        <v>✅</v>
      </c>
      <c r="I168" s="419" t="str">
        <f t="array" ref="I168">XLOOKUP(LCARS_Tech[BuffID],RawTech[BuffID],RawTech[Tag_WaveDefense])</f>
        <v>✅</v>
      </c>
      <c r="J168" s="419" t="str">
        <f t="array" ref="J168">XLOOKUP(LCARS_Tech[BuffID],RawTech[BuffID],RawTech[Tag_QTrial])</f>
        <v>✅</v>
      </c>
      <c r="K168" s="419" t="str">
        <f t="array" ref="K168">XLOOKUP(LCARS_Tech[BuffID],RawTech[BuffID],RawTech[Tag_MissionBosses])</f>
        <v>✅</v>
      </c>
      <c r="L168" s="419" t="str">
        <f t="array" ref="L168">XLOOKUP(LCARS_Tech[BuffID],RawTech[BuffID],RawTech[Tag_GroupArmadas])</f>
        <v>✅</v>
      </c>
      <c r="M168" s="419" t="str">
        <f t="array" ref="M168">XLOOKUP(LCARS_Tech[BuffID],RawTech[BuffID],RawTech[Tag_SoloArmadas])</f>
        <v>✅</v>
      </c>
      <c r="N168" s="419" t="str">
        <f t="array" ref="N168">XLOOKUP(LCARS_Tech[BuffID],RawTech[BuffID],RawTech[Tag_InvadingEntities])</f>
        <v>✅</v>
      </c>
      <c r="O168" s="419" t="str">
        <f t="array" ref="O168">XLOOKUP(LCARS_Tech[BuffID],RawTech[BuffID],RawTech[Tag_Assaults])</f>
        <v>✅</v>
      </c>
      <c r="P168" s="442" t="str">
        <f t="array" ref="P168">XLOOKUP(LCARS_Tech[BuffID],RawTech[BuffID],RawTech[Tag_OutpostArmadas])</f>
        <v>✅</v>
      </c>
      <c r="Q168" s="420" t="str">
        <f t="array" ref="Q168">XLOOKUP(LCARS_Tech[BuffID],RawTech[BuffID],RawTech[Tag_OutpostRetaliators])</f>
        <v>✅</v>
      </c>
      <c r="R168" s="420" t="str">
        <f t="array" ref="R168">XLOOKUP(MasterTech!$AF$4:$AF$214,RawTech!$AO$2:$AO$212,RawTech!$AV$2:$AV$212)</f>
        <v/>
      </c>
      <c r="S168" s="419" t="str">
        <f t="array" ref="S168">XLOOKUP(MasterTech!$AF$4:$AF$214,RawTech!$AO$2:$AO$212,RawTech!$AK$2:$AK$212)</f>
        <v>➖</v>
      </c>
      <c r="T168" s="422" t="str">
        <f t="array" ref="T168">XLOOKUP(MasterTech!$AF$4:$AF$214,RawTech!$AO$2:$AO$212,RawTech!$AM$2:$AM$212)</f>
        <v>➖</v>
      </c>
      <c r="U168" s="423" t="str">
        <f t="array" ref="U168">XLOOKUP(MasterTech!$AF$4:$AF$214,RawTech!$AO$2:$AO$212,RawTech!$D$2:$D$212)</f>
        <v>CritDamage</v>
      </c>
      <c r="V168" s="420" t="str">
        <f t="array" ref="V168">XLOOKUP(MasterTech!$AF$4:$AF$214,RawTech!$AO$2:$AO$212,RawTech!$I$2:$I$212)</f>
        <v/>
      </c>
      <c r="W168" s="421" t="str">
        <f t="array" ref="W168">XLOOKUP(MasterTech!$AF$4:$AF$214,RawTech!$AO$2:$AO$212,RawTech!$E$2:$E$212)</f>
        <v/>
      </c>
      <c r="X168" s="423" t="str">
        <f t="array" ref="X168">XLOOKUP(MasterTech!$AF$4:$AF$214,RawTech!$AO$2:$AO$212,RawTech!$F$2:$F$212)</f>
        <v>ShipLaunched</v>
      </c>
      <c r="Y168" s="423" t="str">
        <f t="array" ref="Y168">XLOOKUP(MasterTech!$AF$4:$AF$214,RawTech!$AO$2:$AO$212,RawTech!$G$2:$G$212)</f>
        <v>SelfShip</v>
      </c>
      <c r="Z168" s="423" t="str">
        <f t="array" ref="Z168">XLOOKUP(MasterTech!$AF$4:$AF$214,RawTech!$AO$2:$AO$212,RawTech!$H$2:$H$212)</f>
        <v>Add</v>
      </c>
      <c r="AA168" s="423" t="str">
        <f t="array" ref="AA168">XLOOKUP(MasterTech!$AF$4:$AF$214,RawTech!$AO$2:$AO$212,RawTech!$J$2:$J$212)</f>
        <v>Increases base Crit Damage for all ships by X.</v>
      </c>
      <c r="AB168" s="424"/>
      <c r="AC168" s="425"/>
      <c r="AD168" s="425"/>
      <c r="AE168" s="453">
        <f t="array" ref="AE168">XLOOKUP(MasterTech!$AF$4:$AF$214,RawTech!$AO$2:$AO$212,RawTech!$AR$2:$AR$212)</f>
        <v>49</v>
      </c>
      <c r="AF168" s="427">
        <v>1.780467108E9</v>
      </c>
      <c r="AG168" s="428"/>
      <c r="AH168" s="428"/>
      <c r="AI168" s="429"/>
      <c r="AJ168" s="430"/>
    </row>
    <row r="169" ht="37.5" customHeight="1">
      <c r="A169" s="415" t="str">
        <f t="array" ref="A169">LEFT(XLOOKUP(LCARS_Tech[BuffID],RawTech[BuffID],RawTech[TechRarity]), 1)</f>
        <v>U</v>
      </c>
      <c r="B169" s="416"/>
      <c r="C169" s="446" t="str">
        <f t="array" ref="C169">HYPERLINK("https://stfc.space/forbidden_and_chaos_tech/" &amp; XLOOKUP(MasterTech!$AF$4:$AF$214,RawTech!$AO$2:$AO$212,RawTech!$AQ$2:$AQ$212), XLOOKUP(MasterTech!$AF$4:$AF$214,RawTech!$AO$2:$AO$212,RawTech!$B$2:$B$212))</f>
        <v>Ceti Eel</v>
      </c>
      <c r="D169" s="432">
        <f t="array" ref="D169">XLOOKUP(LCARS_Tech[BuffID],RawTech[BuffID],RawTech[BuffOrder])</f>
        <v>1</v>
      </c>
      <c r="E169" s="433" t="str">
        <f t="array" ref="E169">XLOOKUP(LCARS_Tech[BuffID],RawTech[BuffID],RawTech[TechType])</f>
        <v>CT</v>
      </c>
      <c r="F169" s="433" t="str">
        <f t="array" ref="F169">XLOOKUP(LCARS_Tech[BuffID],RawTech[BuffID],RawTech[Tag_PvPinSpace])</f>
        <v>➖</v>
      </c>
      <c r="G169" s="433" t="str">
        <f t="array" ref="G169">XLOOKUP(LCARS_Tech[BuffID],RawTech[BuffID],RawTech[Tag_PvPStation])</f>
        <v>➖</v>
      </c>
      <c r="H169" s="433" t="str">
        <f t="array" ref="H169">XLOOKUP(LCARS_Tech[BuffID],RawTech[BuffID],RawTech[Tag_NonArmadaHostiles])</f>
        <v>➖</v>
      </c>
      <c r="I169" s="433" t="str">
        <f t="array" ref="I169">XLOOKUP(LCARS_Tech[BuffID],RawTech[BuffID],RawTech[Tag_WaveDefense])</f>
        <v>➖</v>
      </c>
      <c r="J169" s="433" t="str">
        <f t="array" ref="J169">XLOOKUP(LCARS_Tech[BuffID],RawTech[BuffID],RawTech[Tag_QTrial])</f>
        <v>➖</v>
      </c>
      <c r="K169" s="433" t="str">
        <f t="array" ref="K169">XLOOKUP(LCARS_Tech[BuffID],RawTech[BuffID],RawTech[Tag_MissionBosses])</f>
        <v>➖</v>
      </c>
      <c r="L169" s="433" t="str">
        <f t="array" ref="L169">XLOOKUP(LCARS_Tech[BuffID],RawTech[BuffID],RawTech[Tag_GroupArmadas])</f>
        <v>✅</v>
      </c>
      <c r="M169" s="433" t="str">
        <f t="array" ref="M169">XLOOKUP(LCARS_Tech[BuffID],RawTech[BuffID],RawTech[Tag_SoloArmadas])</f>
        <v>✅</v>
      </c>
      <c r="N169" s="433" t="str">
        <f t="array" ref="N169">XLOOKUP(LCARS_Tech[BuffID],RawTech[BuffID],RawTech[Tag_InvadingEntities])</f>
        <v>➖</v>
      </c>
      <c r="O169" s="433" t="str">
        <f t="array" ref="O169">XLOOKUP(LCARS_Tech[BuffID],RawTech[BuffID],RawTech[Tag_Assaults])</f>
        <v>➖</v>
      </c>
      <c r="P169" s="434" t="str">
        <f t="array" ref="P169">XLOOKUP(LCARS_Tech[BuffID],RawTech[BuffID],RawTech[Tag_OutpostArmadas])</f>
        <v>➖</v>
      </c>
      <c r="Q169" s="416" t="str">
        <f t="array" ref="Q169">XLOOKUP(LCARS_Tech[BuffID],RawTech[BuffID],RawTech[Tag_OutpostRetaliators])</f>
        <v>➖</v>
      </c>
      <c r="R169" s="416" t="str">
        <f t="array" ref="R169">XLOOKUP(MasterTech!$AF$4:$AF$214,RawTech!$AO$2:$AO$212,RawTech!$AV$2:$AV$212)</f>
        <v/>
      </c>
      <c r="S169" s="433" t="str">
        <f t="array" ref="S169">XLOOKUP(MasterTech!$AF$4:$AF$214,RawTech!$AO$2:$AO$212,RawTech!$AK$2:$AK$212)</f>
        <v>➖</v>
      </c>
      <c r="T169" s="435" t="str">
        <f t="array" ref="T169">XLOOKUP(MasterTech!$AF$4:$AF$214,RawTech!$AO$2:$AO$212,RawTech!$AM$2:$AM$212)</f>
        <v>➖</v>
      </c>
      <c r="U169" s="438" t="str">
        <f t="array" ref="U169">XLOOKUP(MasterTech!$AF$4:$AF$214,RawTech!$AO$2:$AO$212,RawTech!$D$2:$D$212)</f>
        <v>AllDamage</v>
      </c>
      <c r="V169" s="416" t="str">
        <f t="array" ref="V169">XLOOKUP(MasterTech!$AF$4:$AF$214,RawTech!$AO$2:$AO$212,RawTech!$I$2:$I$212)</f>
        <v/>
      </c>
      <c r="W169" s="447" t="str">
        <f t="array" ref="W169">XLOOKUP(MasterTech!$AF$4:$AF$214,RawTech!$AO$2:$AO$212,RawTech!$E$2:$E$212)</f>
        <v>TargetIsArmada</v>
      </c>
      <c r="X169" s="438" t="str">
        <f t="array" ref="X169">XLOOKUP(MasterTech!$AF$4:$AF$214,RawTech!$AO$2:$AO$212,RawTech!$F$2:$F$212)</f>
        <v>CombatStart</v>
      </c>
      <c r="Y169" s="438" t="str">
        <f t="array" ref="Y169">XLOOKUP(MasterTech!$AF$4:$AF$214,RawTech!$AO$2:$AO$212,RawTech!$G$2:$G$212)</f>
        <v>SelfShip</v>
      </c>
      <c r="Z169" s="438" t="str">
        <f t="array" ref="Z169">XLOOKUP(MasterTech!$AF$4:$AF$214,RawTech!$AO$2:$AO$212,RawTech!$H$2:$H$212)</f>
        <v>MultiplyAdd</v>
      </c>
      <c r="AA169" s="438" t="str">
        <f t="array" ref="AA169">XLOOKUP(MasterTech!$AF$4:$AF$214,RawTech!$AO$2:$AO$212,RawTech!$J$2:$J$212)</f>
        <v>Increases base Weapon Damage vs Group and Solo Armadas by X.</v>
      </c>
      <c r="AB169" s="439"/>
      <c r="AC169" s="440"/>
      <c r="AD169" s="440"/>
      <c r="AE169" s="448">
        <f t="array" ref="AE169">XLOOKUP(MasterTech!$AF$4:$AF$214,RawTech!$AO$2:$AO$212,RawTech!$AR$2:$AR$212)</f>
        <v>50</v>
      </c>
      <c r="AF169" s="427">
        <v>1.294477235E9</v>
      </c>
      <c r="AG169" s="428"/>
      <c r="AH169" s="428"/>
      <c r="AI169" s="429"/>
      <c r="AJ169" s="430"/>
    </row>
    <row r="170" ht="37.5" customHeight="1">
      <c r="A170" s="415" t="str">
        <f t="array" ref="A170">LEFT(XLOOKUP(LCARS_Tech[BuffID],RawTech[BuffID],RawTech[TechRarity]), 1)</f>
        <v>U</v>
      </c>
      <c r="B170" s="420"/>
      <c r="C170" s="444" t="str">
        <f t="array" ref="C170">HYPERLINK("https://stfc.space/forbidden_and_chaos_tech/" &amp; XLOOKUP(MasterTech!$AF$4:$AF$214,RawTech!$AO$2:$AO$212,RawTech!$AQ$2:$AQ$212), XLOOKUP(MasterTech!$AF$4:$AF$214,RawTech!$AO$2:$AO$212,RawTech!$B$2:$B$212))</f>
        <v>Ceti Eel</v>
      </c>
      <c r="D170" s="418">
        <f t="array" ref="D170">XLOOKUP(LCARS_Tech[BuffID],RawTech[BuffID],RawTech[BuffOrder])</f>
        <v>2</v>
      </c>
      <c r="E170" s="419" t="str">
        <f t="array" ref="E170">XLOOKUP(LCARS_Tech[BuffID],RawTech[BuffID],RawTech[TechType])</f>
        <v>CT</v>
      </c>
      <c r="F170" s="419" t="str">
        <f t="array" ref="F170">XLOOKUP(LCARS_Tech[BuffID],RawTech[BuffID],RawTech[Tag_PvPinSpace])</f>
        <v>➖</v>
      </c>
      <c r="G170" s="419" t="str">
        <f t="array" ref="G170">XLOOKUP(LCARS_Tech[BuffID],RawTech[BuffID],RawTech[Tag_PvPStation])</f>
        <v>➖</v>
      </c>
      <c r="H170" s="419" t="str">
        <f t="array" ref="H170">XLOOKUP(LCARS_Tech[BuffID],RawTech[BuffID],RawTech[Tag_NonArmadaHostiles])</f>
        <v>✅</v>
      </c>
      <c r="I170" s="419" t="str">
        <f t="array" ref="I170">XLOOKUP(LCARS_Tech[BuffID],RawTech[BuffID],RawTech[Tag_WaveDefense])</f>
        <v>✅</v>
      </c>
      <c r="J170" s="419" t="str">
        <f t="array" ref="J170">XLOOKUP(LCARS_Tech[BuffID],RawTech[BuffID],RawTech[Tag_QTrial])</f>
        <v>✅</v>
      </c>
      <c r="K170" s="419" t="str">
        <f t="array" ref="K170">XLOOKUP(LCARS_Tech[BuffID],RawTech[BuffID],RawTech[Tag_MissionBosses])</f>
        <v>➖</v>
      </c>
      <c r="L170" s="419" t="str">
        <f t="array" ref="L170">XLOOKUP(LCARS_Tech[BuffID],RawTech[BuffID],RawTech[Tag_GroupArmadas])</f>
        <v>✅</v>
      </c>
      <c r="M170" s="419" t="str">
        <f t="array" ref="M170">XLOOKUP(LCARS_Tech[BuffID],RawTech[BuffID],RawTech[Tag_SoloArmadas])</f>
        <v>✅</v>
      </c>
      <c r="N170" s="419" t="str">
        <f t="array" ref="N170">XLOOKUP(LCARS_Tech[BuffID],RawTech[BuffID],RawTech[Tag_InvadingEntities])</f>
        <v>✅</v>
      </c>
      <c r="O170" s="419" t="str">
        <f t="array" ref="O170">XLOOKUP(LCARS_Tech[BuffID],RawTech[BuffID],RawTech[Tag_Assaults])</f>
        <v>➖</v>
      </c>
      <c r="P170" s="442" t="str">
        <f t="array" ref="P170">XLOOKUP(LCARS_Tech[BuffID],RawTech[BuffID],RawTech[Tag_OutpostArmadas])</f>
        <v>➖</v>
      </c>
      <c r="Q170" s="420" t="str">
        <f t="array" ref="Q170">XLOOKUP(LCARS_Tech[BuffID],RawTech[BuffID],RawTech[Tag_OutpostRetaliators])</f>
        <v>➖</v>
      </c>
      <c r="R170" s="420" t="str">
        <f t="array" ref="R170">XLOOKUP(MasterTech!$AF$4:$AF$214,RawTech!$AO$2:$AO$212,RawTech!$AV$2:$AV$212)</f>
        <v/>
      </c>
      <c r="S170" s="419" t="str">
        <f t="array" ref="S170">XLOOKUP(MasterTech!$AF$4:$AF$214,RawTech!$AO$2:$AO$212,RawTech!$AK$2:$AK$212)</f>
        <v>➖</v>
      </c>
      <c r="T170" s="422" t="str">
        <f t="array" ref="T170">XLOOKUP(MasterTech!$AF$4:$AF$214,RawTech!$AO$2:$AO$212,RawTech!$AM$2:$AM$212)</f>
        <v>➖</v>
      </c>
      <c r="U170" s="423" t="str">
        <f t="array" ref="U170">XLOOKUP(MasterTech!$AF$4:$AF$214,RawTech!$AO$2:$AO$212,RawTech!$D$2:$D$212)</f>
        <v>AllDamage</v>
      </c>
      <c r="V170" s="420" t="str">
        <f t="array" ref="V170">XLOOKUP(MasterTech!$AF$4:$AF$214,RawTech!$AO$2:$AO$212,RawTech!$I$2:$I$212)</f>
        <v/>
      </c>
      <c r="W170" s="443" t="str">
        <f t="array" ref="W170">XLOOKUP(MasterTech!$AF$4:$AF$214,RawTech!$AO$2:$AO$212,RawTech!$E$2:$E$212)</f>
        <v>EnemyHostile</v>
      </c>
      <c r="X170" s="423" t="str">
        <f t="array" ref="X170">XLOOKUP(MasterTech!$AF$4:$AF$214,RawTech!$AO$2:$AO$212,RawTech!$F$2:$F$212)</f>
        <v>CombatStart</v>
      </c>
      <c r="Y170" s="423" t="str">
        <f t="array" ref="Y170">XLOOKUP(MasterTech!$AF$4:$AF$214,RawTech!$AO$2:$AO$212,RawTech!$G$2:$G$212)</f>
        <v>SelfShip</v>
      </c>
      <c r="Z170" s="423" t="str">
        <f t="array" ref="Z170">XLOOKUP(MasterTech!$AF$4:$AF$214,RawTech!$AO$2:$AO$212,RawTech!$H$2:$H$212)</f>
        <v>MultiplyAdd</v>
      </c>
      <c r="AA170" s="423" t="str">
        <f t="array" ref="AA170">XLOOKUP(MasterTech!$AF$4:$AF$214,RawTech!$AO$2:$AO$212,RawTech!$J$2:$J$212)</f>
        <v>Increases base Weapon Damage against Hostiles and Armadas by X.</v>
      </c>
      <c r="AB170" s="424"/>
      <c r="AC170" s="425"/>
      <c r="AD170" s="425"/>
      <c r="AE170" s="445">
        <f t="array" ref="AE170">XLOOKUP(MasterTech!$AF$4:$AF$214,RawTech!$AO$2:$AO$212,RawTech!$AR$2:$AR$212)</f>
        <v>50</v>
      </c>
      <c r="AF170" s="427">
        <v>2.811269766E9</v>
      </c>
      <c r="AG170" s="428"/>
      <c r="AH170" s="428"/>
      <c r="AI170" s="429"/>
      <c r="AJ170" s="430"/>
    </row>
    <row r="171" ht="37.5" customHeight="1">
      <c r="A171" s="415" t="str">
        <f t="array" ref="A171">LEFT(XLOOKUP(LCARS_Tech[BuffID],RawTech[BuffID],RawTech[TechRarity]), 1)</f>
        <v>E</v>
      </c>
      <c r="B171" s="416"/>
      <c r="C171" s="464" t="str">
        <f t="array" ref="C171">HYPERLINK("https://stfc.space/forbidden_and_chaos_tech/" &amp; XLOOKUP(MasterTech!$AF$4:$AF$214,RawTech!$AO$2:$AO$212,RawTech!$AQ$2:$AQ$212), XLOOKUP(MasterTech!$AF$4:$AF$214,RawTech!$AO$2:$AO$212,RawTech!$B$2:$B$212))</f>
        <v>[PRO] Romulan Mines</v>
      </c>
      <c r="D171" s="432">
        <f t="array" ref="D171">XLOOKUP(LCARS_Tech[BuffID],RawTech[BuffID],RawTech[BuffOrder])</f>
        <v>1</v>
      </c>
      <c r="E171" s="433" t="str">
        <f t="array" ref="E171">XLOOKUP(LCARS_Tech[BuffID],RawTech[BuffID],RawTech[TechType])</f>
        <v>FT</v>
      </c>
      <c r="F171" s="433" t="str">
        <f t="array" ref="F171">XLOOKUP(LCARS_Tech[BuffID],RawTech[BuffID],RawTech[Tag_PvPinSpace])</f>
        <v>✴️</v>
      </c>
      <c r="G171" s="433" t="str">
        <f t="array" ref="G171">XLOOKUP(LCARS_Tech[BuffID],RawTech[BuffID],RawTech[Tag_PvPStation])</f>
        <v>✴️</v>
      </c>
      <c r="H171" s="433" t="str">
        <f t="array" ref="H171">XLOOKUP(LCARS_Tech[BuffID],RawTech[BuffID],RawTech[Tag_NonArmadaHostiles])</f>
        <v>➖</v>
      </c>
      <c r="I171" s="433" t="str">
        <f t="array" ref="I171">XLOOKUP(LCARS_Tech[BuffID],RawTech[BuffID],RawTech[Tag_WaveDefense])</f>
        <v>➖</v>
      </c>
      <c r="J171" s="433" t="str">
        <f t="array" ref="J171">XLOOKUP(LCARS_Tech[BuffID],RawTech[BuffID],RawTech[Tag_QTrial])</f>
        <v>➖</v>
      </c>
      <c r="K171" s="433" t="str">
        <f t="array" ref="K171">XLOOKUP(LCARS_Tech[BuffID],RawTech[BuffID],RawTech[Tag_MissionBosses])</f>
        <v>➖</v>
      </c>
      <c r="L171" s="433" t="str">
        <f t="array" ref="L171">XLOOKUP(LCARS_Tech[BuffID],RawTech[BuffID],RawTech[Tag_GroupArmadas])</f>
        <v>➖</v>
      </c>
      <c r="M171" s="433" t="str">
        <f t="array" ref="M171">XLOOKUP(LCARS_Tech[BuffID],RawTech[BuffID],RawTech[Tag_SoloArmadas])</f>
        <v>➖</v>
      </c>
      <c r="N171" s="433" t="str">
        <f t="array" ref="N171">XLOOKUP(LCARS_Tech[BuffID],RawTech[BuffID],RawTech[Tag_InvadingEntities])</f>
        <v>➖</v>
      </c>
      <c r="O171" s="433" t="str">
        <f t="array" ref="O171">XLOOKUP(LCARS_Tech[BuffID],RawTech[BuffID],RawTech[Tag_Assaults])</f>
        <v>➖</v>
      </c>
      <c r="P171" s="434" t="str">
        <f t="array" ref="P171">XLOOKUP(LCARS_Tech[BuffID],RawTech[BuffID],RawTech[Tag_OutpostArmadas])</f>
        <v>➖</v>
      </c>
      <c r="Q171" s="451" t="str">
        <f t="array" ref="Q171">XLOOKUP(LCARS_Tech[BuffID],RawTech[BuffID],RawTech[Tag_OutpostRetaliators])</f>
        <v>➖</v>
      </c>
      <c r="R171" s="451" t="str">
        <f t="array" ref="R171">XLOOKUP(MasterTech!$AF$4:$AF$214,RawTech!$AO$2:$AO$212,RawTech!$AV$2:$AV$212)</f>
        <v>SelfInterceptor, SelfOfficerTalNotOnBridge</v>
      </c>
      <c r="S171" s="433" t="str">
        <f t="array" ref="S171">XLOOKUP(MasterTech!$AF$4:$AF$214,RawTech!$AO$2:$AO$212,RawTech!$AK$2:$AK$212)</f>
        <v>➖</v>
      </c>
      <c r="T171" s="435" t="str">
        <f t="array" ref="T171">XLOOKUP(MasterTech!$AF$4:$AF$214,RawTech!$AO$2:$AO$212,RawTech!$AM$2:$AM$212)</f>
        <v>➖</v>
      </c>
      <c r="U171" s="438" t="str">
        <f t="array" ref="U171">XLOOKUP(MasterTech!$AF$4:$AF$214,RawTech!$AO$2:$AO$212,RawTech!$D$2:$D$212)</f>
        <v>ApexBarrier</v>
      </c>
      <c r="V171" s="416" t="str">
        <f t="array" ref="V171">XLOOKUP(MasterTech!$AF$4:$AF$214,RawTech!$AO$2:$AO$212,RawTech!$I$2:$I$212)</f>
        <v/>
      </c>
      <c r="W171" s="447" t="str">
        <f t="array" ref="W171">XLOOKUP(MasterTech!$AF$4:$AF$214,RawTech!$AO$2:$AO$212,RawTech!$E$2:$E$212)</f>
        <v>SelfInterceptor, EnemyPlayer, SelfOfficerTalNotOnBridge</v>
      </c>
      <c r="X171" s="438" t="str">
        <f t="array" ref="X171">XLOOKUP(MasterTech!$AF$4:$AF$214,RawTech!$AO$2:$AO$212,RawTech!$F$2:$F$212)</f>
        <v>CombatStart</v>
      </c>
      <c r="Y171" s="438" t="str">
        <f t="array" ref="Y171">XLOOKUP(MasterTech!$AF$4:$AF$214,RawTech!$AO$2:$AO$212,RawTech!$G$2:$G$212)</f>
        <v>SelfShip</v>
      </c>
      <c r="Z171" s="438" t="str">
        <f t="array" ref="Z171">XLOOKUP(MasterTech!$AF$4:$AF$214,RawTech!$AO$2:$AO$212,RawTech!$H$2:$H$212)</f>
        <v>Add</v>
      </c>
      <c r="AA171" s="438" t="str">
        <f t="array" ref="AA171">XLOOKUP(MasterTech!$AF$4:$AF$214,RawTech!$AO$2:$AO$212,RawTech!$J$2:$J$212)</f>
        <v>Increases Interceptor Apex Barrier against players by X. Does not apply when Tal is assigned to the bridge.</v>
      </c>
      <c r="AB171" s="439"/>
      <c r="AC171" s="440"/>
      <c r="AD171" s="440"/>
      <c r="AE171" s="462">
        <f t="array" ref="AE171">XLOOKUP(MasterTech!$AF$4:$AF$214,RawTech!$AO$2:$AO$212,RawTech!$AR$2:$AR$212)</f>
        <v>53</v>
      </c>
      <c r="AF171" s="427">
        <v>1.556983347E9</v>
      </c>
      <c r="AG171" s="428"/>
      <c r="AH171" s="428"/>
      <c r="AI171" s="429"/>
      <c r="AJ171" s="430"/>
    </row>
    <row r="172" ht="37.5" customHeight="1">
      <c r="A172" s="415" t="str">
        <f t="array" ref="A172">LEFT(XLOOKUP(LCARS_Tech[BuffID],RawTech[BuffID],RawTech[TechRarity]), 1)</f>
        <v>E</v>
      </c>
      <c r="B172" s="420"/>
      <c r="C172" s="460" t="str">
        <f t="array" ref="C172">HYPERLINK("https://stfc.space/forbidden_and_chaos_tech/" &amp; XLOOKUP(MasterTech!$AF$4:$AF$214,RawTech!$AO$2:$AO$212,RawTech!$AQ$2:$AQ$212), XLOOKUP(MasterTech!$AF$4:$AF$214,RawTech!$AO$2:$AO$212,RawTech!$B$2:$B$212))</f>
        <v>[PRO] Romulan Mines</v>
      </c>
      <c r="D172" s="418">
        <f t="array" ref="D172">XLOOKUP(LCARS_Tech[BuffID],RawTech[BuffID],RawTech[BuffOrder])</f>
        <v>2</v>
      </c>
      <c r="E172" s="419" t="str">
        <f t="array" ref="E172">XLOOKUP(LCARS_Tech[BuffID],RawTech[BuffID],RawTech[TechType])</f>
        <v>FT</v>
      </c>
      <c r="F172" s="419" t="str">
        <f t="array" ref="F172">XLOOKUP(LCARS_Tech[BuffID],RawTech[BuffID],RawTech[Tag_PvPinSpace])</f>
        <v>✴️</v>
      </c>
      <c r="G172" s="419" t="str">
        <f t="array" ref="G172">XLOOKUP(LCARS_Tech[BuffID],RawTech[BuffID],RawTech[Tag_PvPStation])</f>
        <v>✴️</v>
      </c>
      <c r="H172" s="419" t="str">
        <f t="array" ref="H172">XLOOKUP(LCARS_Tech[BuffID],RawTech[BuffID],RawTech[Tag_NonArmadaHostiles])</f>
        <v>➖</v>
      </c>
      <c r="I172" s="419" t="str">
        <f t="array" ref="I172">XLOOKUP(LCARS_Tech[BuffID],RawTech[BuffID],RawTech[Tag_WaveDefense])</f>
        <v>➖</v>
      </c>
      <c r="J172" s="419" t="str">
        <f t="array" ref="J172">XLOOKUP(LCARS_Tech[BuffID],RawTech[BuffID],RawTech[Tag_QTrial])</f>
        <v>➖</v>
      </c>
      <c r="K172" s="419" t="str">
        <f t="array" ref="K172">XLOOKUP(LCARS_Tech[BuffID],RawTech[BuffID],RawTech[Tag_MissionBosses])</f>
        <v>➖</v>
      </c>
      <c r="L172" s="419" t="str">
        <f t="array" ref="L172">XLOOKUP(LCARS_Tech[BuffID],RawTech[BuffID],RawTech[Tag_GroupArmadas])</f>
        <v>➖</v>
      </c>
      <c r="M172" s="419" t="str">
        <f t="array" ref="M172">XLOOKUP(LCARS_Tech[BuffID],RawTech[BuffID],RawTech[Tag_SoloArmadas])</f>
        <v>➖</v>
      </c>
      <c r="N172" s="419" t="str">
        <f t="array" ref="N172">XLOOKUP(LCARS_Tech[BuffID],RawTech[BuffID],RawTech[Tag_InvadingEntities])</f>
        <v>➖</v>
      </c>
      <c r="O172" s="419" t="str">
        <f t="array" ref="O172">XLOOKUP(LCARS_Tech[BuffID],RawTech[BuffID],RawTech[Tag_Assaults])</f>
        <v>➖</v>
      </c>
      <c r="P172" s="442" t="str">
        <f t="array" ref="P172">XLOOKUP(LCARS_Tech[BuffID],RawTech[BuffID],RawTech[Tag_OutpostArmadas])</f>
        <v>➖</v>
      </c>
      <c r="Q172" s="450" t="str">
        <f t="array" ref="Q172">XLOOKUP(LCARS_Tech[BuffID],RawTech[BuffID],RawTech[Tag_OutpostRetaliators])</f>
        <v>➖</v>
      </c>
      <c r="R172" s="450" t="str">
        <f t="array" ref="R172">XLOOKUP(MasterTech!$AF$4:$AF$214,RawTech!$AO$2:$AO$212,RawTech!$AV$2:$AV$212)</f>
        <v>SelfInterceptor</v>
      </c>
      <c r="S172" s="419" t="str">
        <f t="array" ref="S172">XLOOKUP(MasterTech!$AF$4:$AF$214,RawTech!$AO$2:$AO$212,RawTech!$AK$2:$AK$212)</f>
        <v>➖</v>
      </c>
      <c r="T172" s="422" t="str">
        <f t="array" ref="T172">XLOOKUP(MasterTech!$AF$4:$AF$214,RawTech!$AO$2:$AO$212,RawTech!$AM$2:$AM$212)</f>
        <v>➖</v>
      </c>
      <c r="U172" s="423" t="str">
        <f t="array" ref="U172">XLOOKUP(MasterTech!$AF$4:$AF$214,RawTech!$AO$2:$AO$212,RawTech!$D$2:$D$212)</f>
        <v>ApexShred</v>
      </c>
      <c r="V172" s="420" t="str">
        <f t="array" ref="V172">XLOOKUP(MasterTech!$AF$4:$AF$214,RawTech!$AO$2:$AO$212,RawTech!$I$2:$I$212)</f>
        <v/>
      </c>
      <c r="W172" s="443" t="str">
        <f t="array" ref="W172">XLOOKUP(MasterTech!$AF$4:$AF$214,RawTech!$AO$2:$AO$212,RawTech!$E$2:$E$212)</f>
        <v>SelfInterceptor, EnemyPlayer</v>
      </c>
      <c r="X172" s="423" t="str">
        <f t="array" ref="X172">XLOOKUP(MasterTech!$AF$4:$AF$214,RawTech!$AO$2:$AO$212,RawTech!$F$2:$F$212)</f>
        <v>CombatStart</v>
      </c>
      <c r="Y172" s="423" t="str">
        <f t="array" ref="Y172">XLOOKUP(MasterTech!$AF$4:$AF$214,RawTech!$AO$2:$AO$212,RawTech!$G$2:$G$212)</f>
        <v>EnemyShip</v>
      </c>
      <c r="Z172" s="423" t="str">
        <f t="array" ref="Z172">XLOOKUP(MasterTech!$AF$4:$AF$214,RawTech!$AO$2:$AO$212,RawTech!$H$2:$H$212)</f>
        <v>Add</v>
      </c>
      <c r="AA172" s="423" t="str">
        <f t="array" ref="AA172">XLOOKUP(MasterTech!$AF$4:$AF$214,RawTech!$AO$2:$AO$212,RawTech!$J$2:$J$212)</f>
        <v>Increases Interceptor Apex Shred against players by X.</v>
      </c>
      <c r="AB172" s="424"/>
      <c r="AC172" s="425"/>
      <c r="AD172" s="425"/>
      <c r="AE172" s="461">
        <f t="array" ref="AE172">XLOOKUP(MasterTech!$AF$4:$AF$214,RawTech!$AO$2:$AO$212,RawTech!$AR$2:$AR$212)</f>
        <v>53</v>
      </c>
      <c r="AF172" s="427">
        <v>2.171823291E9</v>
      </c>
      <c r="AG172" s="428"/>
      <c r="AH172" s="428"/>
      <c r="AI172" s="429"/>
      <c r="AJ172" s="430"/>
    </row>
    <row r="173" ht="37.5" customHeight="1">
      <c r="A173" s="415" t="str">
        <f t="array" ref="A173">LEFT(XLOOKUP(LCARS_Tech[BuffID],RawTech[BuffID],RawTech[TechRarity]), 1)</f>
        <v>E</v>
      </c>
      <c r="B173" s="416"/>
      <c r="C173" s="464" t="str">
        <f t="array" ref="C173">HYPERLINK("https://stfc.space/forbidden_and_chaos_tech/" &amp; XLOOKUP(MasterTech!$AF$4:$AF$214,RawTech!$AO$2:$AO$212,RawTech!$AQ$2:$AQ$212), XLOOKUP(MasterTech!$AF$4:$AF$214,RawTech!$AO$2:$AO$212,RawTech!$B$2:$B$212))</f>
        <v>[PRO] Romulan Mines</v>
      </c>
      <c r="D173" s="432">
        <f t="array" ref="D173">XLOOKUP(LCARS_Tech[BuffID],RawTech[BuffID],RawTech[BuffOrder])</f>
        <v>3</v>
      </c>
      <c r="E173" s="433" t="str">
        <f t="array" ref="E173">XLOOKUP(LCARS_Tech[BuffID],RawTech[BuffID],RawTech[TechType])</f>
        <v>FT</v>
      </c>
      <c r="F173" s="433" t="str">
        <f t="array" ref="F173">XLOOKUP(LCARS_Tech[BuffID],RawTech[BuffID],RawTech[Tag_PvPinSpace])</f>
        <v>✴️</v>
      </c>
      <c r="G173" s="433" t="str">
        <f t="array" ref="G173">XLOOKUP(LCARS_Tech[BuffID],RawTech[BuffID],RawTech[Tag_PvPStation])</f>
        <v>➖</v>
      </c>
      <c r="H173" s="433" t="str">
        <f t="array" ref="H173">XLOOKUP(LCARS_Tech[BuffID],RawTech[BuffID],RawTech[Tag_NonArmadaHostiles])</f>
        <v>➖</v>
      </c>
      <c r="I173" s="433" t="str">
        <f t="array" ref="I173">XLOOKUP(LCARS_Tech[BuffID],RawTech[BuffID],RawTech[Tag_WaveDefense])</f>
        <v>➖</v>
      </c>
      <c r="J173" s="433" t="str">
        <f t="array" ref="J173">XLOOKUP(LCARS_Tech[BuffID],RawTech[BuffID],RawTech[Tag_QTrial])</f>
        <v>➖</v>
      </c>
      <c r="K173" s="433" t="str">
        <f t="array" ref="K173">XLOOKUP(LCARS_Tech[BuffID],RawTech[BuffID],RawTech[Tag_MissionBosses])</f>
        <v>➖</v>
      </c>
      <c r="L173" s="433" t="str">
        <f t="array" ref="L173">XLOOKUP(LCARS_Tech[BuffID],RawTech[BuffID],RawTech[Tag_GroupArmadas])</f>
        <v>➖</v>
      </c>
      <c r="M173" s="433" t="str">
        <f t="array" ref="M173">XLOOKUP(LCARS_Tech[BuffID],RawTech[BuffID],RawTech[Tag_SoloArmadas])</f>
        <v>➖</v>
      </c>
      <c r="N173" s="433" t="str">
        <f t="array" ref="N173">XLOOKUP(LCARS_Tech[BuffID],RawTech[BuffID],RawTech[Tag_InvadingEntities])</f>
        <v>➖</v>
      </c>
      <c r="O173" s="433" t="str">
        <f t="array" ref="O173">XLOOKUP(LCARS_Tech[BuffID],RawTech[BuffID],RawTech[Tag_Assaults])</f>
        <v>➖</v>
      </c>
      <c r="P173" s="434" t="str">
        <f t="array" ref="P173">XLOOKUP(LCARS_Tech[BuffID],RawTech[BuffID],RawTech[Tag_OutpostArmadas])</f>
        <v>➖</v>
      </c>
      <c r="Q173" s="451" t="str">
        <f t="array" ref="Q173">XLOOKUP(LCARS_Tech[BuffID],RawTech[BuffID],RawTech[Tag_OutpostRetaliators])</f>
        <v>➖</v>
      </c>
      <c r="R173" s="451" t="str">
        <f t="array" ref="R173">XLOOKUP(MasterTech!$AF$4:$AF$214,RawTech!$AO$2:$AO$212,RawTech!$AV$2:$AV$212)</f>
        <v>SelfInterceptor</v>
      </c>
      <c r="S173" s="433" t="str">
        <f t="array" ref="S173">XLOOKUP(MasterTech!$AF$4:$AF$214,RawTech!$AO$2:$AO$212,RawTech!$AK$2:$AK$212)</f>
        <v>➖</v>
      </c>
      <c r="T173" s="435" t="str">
        <f t="array" ref="T173">XLOOKUP(MasterTech!$AF$4:$AF$214,RawTech!$AO$2:$AO$212,RawTech!$AM$2:$AM$212)</f>
        <v>➖</v>
      </c>
      <c r="U173" s="438" t="str">
        <f t="array" ref="U173">XLOOKUP(MasterTech!$AF$4:$AF$214,RawTech!$AO$2:$AO$212,RawTech!$D$2:$D$212)</f>
        <v>ShieldMitigation</v>
      </c>
      <c r="V173" s="416" t="str">
        <f t="array" ref="V173">XLOOKUP(MasterTech!$AF$4:$AF$214,RawTech!$AO$2:$AO$212,RawTech!$I$2:$I$212)</f>
        <v/>
      </c>
      <c r="W173" s="447" t="str">
        <f t="array" ref="W173">XLOOKUP(MasterTech!$AF$4:$AF$214,RawTech!$AO$2:$AO$212,RawTech!$E$2:$E$212)</f>
        <v>SelfInterceptor, TargetNotPlayerStation, EnemyPlayer</v>
      </c>
      <c r="X173" s="438" t="str">
        <f t="array" ref="X173">XLOOKUP(MasterTech!$AF$4:$AF$214,RawTech!$AO$2:$AO$212,RawTech!$F$2:$F$212)</f>
        <v>RoundStart</v>
      </c>
      <c r="Y173" s="438" t="str">
        <f t="array" ref="Y173">XLOOKUP(MasterTech!$AF$4:$AF$214,RawTech!$AO$2:$AO$212,RawTech!$G$2:$G$212)</f>
        <v>EnemyShip</v>
      </c>
      <c r="Z173" s="438" t="str">
        <f t="array" ref="Z173">XLOOKUP(MasterTech!$AF$4:$AF$214,RawTech!$AO$2:$AO$212,RawTech!$H$2:$H$212)</f>
        <v>Sub</v>
      </c>
      <c r="AA173" s="438" t="str">
        <f t="array" ref="AA173">XLOOKUP(MasterTech!$AF$4:$AF$214,RawTech!$AO$2:$AO$212,RawTech!$J$2:$J$212)</f>
        <v>While on an Interceptor, decreases opponent player's Shield Mitigation every round by X  (Cumulative). Does not apply during station combat.</v>
      </c>
      <c r="AB173" s="439"/>
      <c r="AC173" s="440"/>
      <c r="AD173" s="440"/>
      <c r="AE173" s="462">
        <f t="array" ref="AE173">XLOOKUP(MasterTech!$AF$4:$AF$214,RawTech!$AO$2:$AO$212,RawTech!$AR$2:$AR$212)</f>
        <v>53</v>
      </c>
      <c r="AF173" s="427">
        <v>2.719966423E9</v>
      </c>
      <c r="AG173" s="428"/>
      <c r="AH173" s="428"/>
      <c r="AI173" s="429"/>
      <c r="AJ173" s="430"/>
    </row>
    <row r="174" ht="37.5" customHeight="1">
      <c r="A174" s="415" t="str">
        <f t="array" ref="A174">LEFT(XLOOKUP(LCARS_Tech[BuffID],RawTech[BuffID],RawTech[TechRarity]), 1)</f>
        <v>E</v>
      </c>
      <c r="B174" s="420"/>
      <c r="C174" s="460" t="str">
        <f t="array" ref="C174">HYPERLINK("https://stfc.space/forbidden_and_chaos_tech/" &amp; XLOOKUP(MasterTech!$AF$4:$AF$214,RawTech!$AO$2:$AO$212,RawTech!$AQ$2:$AQ$212), XLOOKUP(MasterTech!$AF$4:$AF$214,RawTech!$AO$2:$AO$212,RawTech!$B$2:$B$212))</f>
        <v>[PRO] Romulan Mines</v>
      </c>
      <c r="D174" s="418">
        <f t="array" ref="D174">XLOOKUP(LCARS_Tech[BuffID],RawTech[BuffID],RawTech[BuffOrder])</f>
        <v>4</v>
      </c>
      <c r="E174" s="419" t="str">
        <f t="array" ref="E174">XLOOKUP(LCARS_Tech[BuffID],RawTech[BuffID],RawTech[TechType])</f>
        <v>FT</v>
      </c>
      <c r="F174" s="419" t="str">
        <f t="array" ref="F174">XLOOKUP(LCARS_Tech[BuffID],RawTech[BuffID],RawTech[Tag_PvPinSpace])</f>
        <v>✴️</v>
      </c>
      <c r="G174" s="419" t="str">
        <f t="array" ref="G174">XLOOKUP(LCARS_Tech[BuffID],RawTech[BuffID],RawTech[Tag_PvPStation])</f>
        <v>✴️</v>
      </c>
      <c r="H174" s="419" t="str">
        <f t="array" ref="H174">XLOOKUP(LCARS_Tech[BuffID],RawTech[BuffID],RawTech[Tag_NonArmadaHostiles])</f>
        <v>➖</v>
      </c>
      <c r="I174" s="419" t="str">
        <f t="array" ref="I174">XLOOKUP(LCARS_Tech[BuffID],RawTech[BuffID],RawTech[Tag_WaveDefense])</f>
        <v>➖</v>
      </c>
      <c r="J174" s="419" t="str">
        <f t="array" ref="J174">XLOOKUP(LCARS_Tech[BuffID],RawTech[BuffID],RawTech[Tag_QTrial])</f>
        <v>➖</v>
      </c>
      <c r="K174" s="419" t="str">
        <f t="array" ref="K174">XLOOKUP(LCARS_Tech[BuffID],RawTech[BuffID],RawTech[Tag_MissionBosses])</f>
        <v>➖</v>
      </c>
      <c r="L174" s="419" t="str">
        <f t="array" ref="L174">XLOOKUP(LCARS_Tech[BuffID],RawTech[BuffID],RawTech[Tag_GroupArmadas])</f>
        <v>➖</v>
      </c>
      <c r="M174" s="419" t="str">
        <f t="array" ref="M174">XLOOKUP(LCARS_Tech[BuffID],RawTech[BuffID],RawTech[Tag_SoloArmadas])</f>
        <v>➖</v>
      </c>
      <c r="N174" s="419" t="str">
        <f t="array" ref="N174">XLOOKUP(LCARS_Tech[BuffID],RawTech[BuffID],RawTech[Tag_InvadingEntities])</f>
        <v>➖</v>
      </c>
      <c r="O174" s="419" t="str">
        <f t="array" ref="O174">XLOOKUP(LCARS_Tech[BuffID],RawTech[BuffID],RawTech[Tag_Assaults])</f>
        <v>➖</v>
      </c>
      <c r="P174" s="442" t="str">
        <f t="array" ref="P174">XLOOKUP(LCARS_Tech[BuffID],RawTech[BuffID],RawTech[Tag_OutpostArmadas])</f>
        <v>➖</v>
      </c>
      <c r="Q174" s="450" t="str">
        <f t="array" ref="Q174">XLOOKUP(LCARS_Tech[BuffID],RawTech[BuffID],RawTech[Tag_OutpostRetaliators])</f>
        <v>➖</v>
      </c>
      <c r="R174" s="450" t="str">
        <f t="array" ref="R174">XLOOKUP(MasterTech!$AF$4:$AF$214,RawTech!$AO$2:$AO$212,RawTech!$AV$2:$AV$212)</f>
        <v>SelfInterceptor</v>
      </c>
      <c r="S174" s="419" t="str">
        <f t="array" ref="S174">XLOOKUP(MasterTech!$AF$4:$AF$214,RawTech!$AO$2:$AO$212,RawTech!$AK$2:$AK$212)</f>
        <v>➖</v>
      </c>
      <c r="T174" s="422" t="str">
        <f t="array" ref="T174">XLOOKUP(MasterTech!$AF$4:$AF$214,RawTech!$AO$2:$AO$212,RawTech!$AM$2:$AM$212)</f>
        <v>➖</v>
      </c>
      <c r="U174" s="423" t="str">
        <f t="array" ref="U174">XLOOKUP(MasterTech!$AF$4:$AF$214,RawTech!$AO$2:$AO$212,RawTech!$D$2:$D$212)</f>
        <v>CritDamage</v>
      </c>
      <c r="V174" s="420" t="str">
        <f t="array" ref="V174">XLOOKUP(MasterTech!$AF$4:$AF$214,RawTech!$AO$2:$AO$212,RawTech!$I$2:$I$212)</f>
        <v/>
      </c>
      <c r="W174" s="443" t="str">
        <f t="array" ref="W174">XLOOKUP(MasterTech!$AF$4:$AF$214,RawTech!$AO$2:$AO$212,RawTech!$E$2:$E$212)</f>
        <v>SelfInterceptor, EnemyPlayer</v>
      </c>
      <c r="X174" s="423" t="str">
        <f t="array" ref="X174">XLOOKUP(MasterTech!$AF$4:$AF$214,RawTech!$AO$2:$AO$212,RawTech!$F$2:$F$212)</f>
        <v>CombatStart</v>
      </c>
      <c r="Y174" s="423" t="str">
        <f t="array" ref="Y174">XLOOKUP(MasterTech!$AF$4:$AF$214,RawTech!$AO$2:$AO$212,RawTech!$G$2:$G$212)</f>
        <v>SelfShip</v>
      </c>
      <c r="Z174" s="423" t="str">
        <f t="array" ref="Z174">XLOOKUP(MasterTech!$AF$4:$AF$214,RawTech!$AO$2:$AO$212,RawTech!$H$2:$H$212)</f>
        <v>Add</v>
      </c>
      <c r="AA174" s="423" t="str">
        <f t="array" ref="AA174">XLOOKUP(MasterTech!$AF$4:$AF$214,RawTech!$AO$2:$AO$212,RawTech!$J$2:$J$212)</f>
        <v>Increases Interceptor Critical Damage against players by X.</v>
      </c>
      <c r="AB174" s="424"/>
      <c r="AC174" s="425"/>
      <c r="AD174" s="425"/>
      <c r="AE174" s="461">
        <f t="array" ref="AE174">XLOOKUP(MasterTech!$AF$4:$AF$214,RawTech!$AO$2:$AO$212,RawTech!$AR$2:$AR$212)</f>
        <v>53</v>
      </c>
      <c r="AF174" s="427">
        <v>1.460121169E9</v>
      </c>
      <c r="AG174" s="428"/>
      <c r="AH174" s="428"/>
      <c r="AI174" s="429"/>
      <c r="AJ174" s="430"/>
    </row>
    <row r="175" ht="37.5" customHeight="1">
      <c r="A175" s="415" t="str">
        <f t="array" ref="A175">LEFT(XLOOKUP(LCARS_Tech[BuffID],RawTech[BuffID],RawTech[TechRarity]), 1)</f>
        <v>E</v>
      </c>
      <c r="B175" s="416"/>
      <c r="C175" s="464" t="str">
        <f t="array" ref="C175">HYPERLINK("https://stfc.space/forbidden_and_chaos_tech/" &amp; XLOOKUP(MasterTech!$AF$4:$AF$214,RawTech!$AO$2:$AO$212,RawTech!$AQ$2:$AQ$212), XLOOKUP(MasterTech!$AF$4:$AF$214,RawTech!$AO$2:$AO$212,RawTech!$B$2:$B$212))</f>
        <v>[PRO] Counterplay Device</v>
      </c>
      <c r="D175" s="432">
        <f t="array" ref="D175">XLOOKUP(LCARS_Tech[BuffID],RawTech[BuffID],RawTech[BuffOrder])</f>
        <v>1</v>
      </c>
      <c r="E175" s="433" t="str">
        <f t="array" ref="E175">XLOOKUP(LCARS_Tech[BuffID],RawTech[BuffID],RawTech[TechType])</f>
        <v>FT</v>
      </c>
      <c r="F175" s="433" t="str">
        <f t="array" ref="F175">XLOOKUP(LCARS_Tech[BuffID],RawTech[BuffID],RawTech[Tag_PvPinSpace])</f>
        <v>✴️</v>
      </c>
      <c r="G175" s="433" t="str">
        <f t="array" ref="G175">XLOOKUP(LCARS_Tech[BuffID],RawTech[BuffID],RawTech[Tag_PvPStation])</f>
        <v>✴️</v>
      </c>
      <c r="H175" s="433" t="str">
        <f t="array" ref="H175">XLOOKUP(LCARS_Tech[BuffID],RawTech[BuffID],RawTech[Tag_NonArmadaHostiles])</f>
        <v>➖</v>
      </c>
      <c r="I175" s="433" t="str">
        <f t="array" ref="I175">XLOOKUP(LCARS_Tech[BuffID],RawTech[BuffID],RawTech[Tag_WaveDefense])</f>
        <v>➖</v>
      </c>
      <c r="J175" s="433" t="str">
        <f t="array" ref="J175">XLOOKUP(LCARS_Tech[BuffID],RawTech[BuffID],RawTech[Tag_QTrial])</f>
        <v>➖</v>
      </c>
      <c r="K175" s="433" t="str">
        <f t="array" ref="K175">XLOOKUP(LCARS_Tech[BuffID],RawTech[BuffID],RawTech[Tag_MissionBosses])</f>
        <v>➖</v>
      </c>
      <c r="L175" s="433" t="str">
        <f t="array" ref="L175">XLOOKUP(LCARS_Tech[BuffID],RawTech[BuffID],RawTech[Tag_GroupArmadas])</f>
        <v>➖</v>
      </c>
      <c r="M175" s="433" t="str">
        <f t="array" ref="M175">XLOOKUP(LCARS_Tech[BuffID],RawTech[BuffID],RawTech[Tag_SoloArmadas])</f>
        <v>➖</v>
      </c>
      <c r="N175" s="433" t="str">
        <f t="array" ref="N175">XLOOKUP(LCARS_Tech[BuffID],RawTech[BuffID],RawTech[Tag_InvadingEntities])</f>
        <v>➖</v>
      </c>
      <c r="O175" s="433" t="str">
        <f t="array" ref="O175">XLOOKUP(LCARS_Tech[BuffID],RawTech[BuffID],RawTech[Tag_Assaults])</f>
        <v>➖</v>
      </c>
      <c r="P175" s="434" t="str">
        <f t="array" ref="P175">XLOOKUP(LCARS_Tech[BuffID],RawTech[BuffID],RawTech[Tag_OutpostArmadas])</f>
        <v>➖</v>
      </c>
      <c r="Q175" s="451" t="str">
        <f t="array" ref="Q175">XLOOKUP(LCARS_Tech[BuffID],RawTech[BuffID],RawTech[Tag_OutpostRetaliators])</f>
        <v>➖</v>
      </c>
      <c r="R175" s="451" t="str">
        <f t="array" ref="R175">XLOOKUP(MasterTech!$AF$4:$AF$214,RawTech!$AO$2:$AO$212,RawTech!$AV$2:$AV$212)</f>
        <v>SelfExplorer, SelfOfficerTalNotOnBridge</v>
      </c>
      <c r="S175" s="433" t="str">
        <f t="array" ref="S175">XLOOKUP(MasterTech!$AF$4:$AF$214,RawTech!$AO$2:$AO$212,RawTech!$AK$2:$AK$212)</f>
        <v>➖</v>
      </c>
      <c r="T175" s="435" t="str">
        <f t="array" ref="T175">XLOOKUP(MasterTech!$AF$4:$AF$214,RawTech!$AO$2:$AO$212,RawTech!$AM$2:$AM$212)</f>
        <v>➖</v>
      </c>
      <c r="U175" s="438" t="str">
        <f t="array" ref="U175">XLOOKUP(MasterTech!$AF$4:$AF$214,RawTech!$AO$2:$AO$212,RawTech!$D$2:$D$212)</f>
        <v>ApexBarrier</v>
      </c>
      <c r="V175" s="416" t="str">
        <f t="array" ref="V175">XLOOKUP(MasterTech!$AF$4:$AF$214,RawTech!$AO$2:$AO$212,RawTech!$I$2:$I$212)</f>
        <v/>
      </c>
      <c r="W175" s="447" t="str">
        <f t="array" ref="W175">XLOOKUP(MasterTech!$AF$4:$AF$214,RawTech!$AO$2:$AO$212,RawTech!$E$2:$E$212)</f>
        <v>SelfExplorer, EnemyPlayer, SelfOfficerTalNotOnBridge</v>
      </c>
      <c r="X175" s="438" t="str">
        <f t="array" ref="X175">XLOOKUP(MasterTech!$AF$4:$AF$214,RawTech!$AO$2:$AO$212,RawTech!$F$2:$F$212)</f>
        <v>CombatStart</v>
      </c>
      <c r="Y175" s="438" t="str">
        <f t="array" ref="Y175">XLOOKUP(MasterTech!$AF$4:$AF$214,RawTech!$AO$2:$AO$212,RawTech!$G$2:$G$212)</f>
        <v>SelfShip</v>
      </c>
      <c r="Z175" s="438" t="str">
        <f t="array" ref="Z175">XLOOKUP(MasterTech!$AF$4:$AF$214,RawTech!$AO$2:$AO$212,RawTech!$H$2:$H$212)</f>
        <v>Add</v>
      </c>
      <c r="AA175" s="438" t="str">
        <f t="array" ref="AA175">XLOOKUP(MasterTech!$AF$4:$AF$214,RawTech!$AO$2:$AO$212,RawTech!$J$2:$J$212)</f>
        <v>Increases Explorer Apex Barrier against players by X. Does not apply when Tal is assigned to the bridge.</v>
      </c>
      <c r="AB175" s="439"/>
      <c r="AC175" s="440"/>
      <c r="AD175" s="440"/>
      <c r="AE175" s="462">
        <f t="array" ref="AE175">XLOOKUP(MasterTech!$AF$4:$AF$214,RawTech!$AO$2:$AO$212,RawTech!$AR$2:$AR$212)</f>
        <v>55</v>
      </c>
      <c r="AF175" s="427">
        <v>4.13182823E8</v>
      </c>
      <c r="AG175" s="428"/>
      <c r="AH175" s="428"/>
      <c r="AI175" s="429"/>
      <c r="AJ175" s="430"/>
    </row>
    <row r="176" ht="37.5" customHeight="1">
      <c r="A176" s="415" t="str">
        <f t="array" ref="A176">LEFT(XLOOKUP(LCARS_Tech[BuffID],RawTech[BuffID],RawTech[TechRarity]), 1)</f>
        <v>E</v>
      </c>
      <c r="B176" s="420"/>
      <c r="C176" s="460" t="str">
        <f t="array" ref="C176">HYPERLINK("https://stfc.space/forbidden_and_chaos_tech/" &amp; XLOOKUP(MasterTech!$AF$4:$AF$214,RawTech!$AO$2:$AO$212,RawTech!$AQ$2:$AQ$212), XLOOKUP(MasterTech!$AF$4:$AF$214,RawTech!$AO$2:$AO$212,RawTech!$B$2:$B$212))</f>
        <v>[PRO] Counterplay Device</v>
      </c>
      <c r="D176" s="418">
        <f t="array" ref="D176">XLOOKUP(LCARS_Tech[BuffID],RawTech[BuffID],RawTech[BuffOrder])</f>
        <v>2</v>
      </c>
      <c r="E176" s="419" t="str">
        <f t="array" ref="E176">XLOOKUP(LCARS_Tech[BuffID],RawTech[BuffID],RawTech[TechType])</f>
        <v>FT</v>
      </c>
      <c r="F176" s="419" t="str">
        <f t="array" ref="F176">XLOOKUP(LCARS_Tech[BuffID],RawTech[BuffID],RawTech[Tag_PvPinSpace])</f>
        <v>✴️</v>
      </c>
      <c r="G176" s="419" t="str">
        <f t="array" ref="G176">XLOOKUP(LCARS_Tech[BuffID],RawTech[BuffID],RawTech[Tag_PvPStation])</f>
        <v>✴️</v>
      </c>
      <c r="H176" s="419" t="str">
        <f t="array" ref="H176">XLOOKUP(LCARS_Tech[BuffID],RawTech[BuffID],RawTech[Tag_NonArmadaHostiles])</f>
        <v>➖</v>
      </c>
      <c r="I176" s="419" t="str">
        <f t="array" ref="I176">XLOOKUP(LCARS_Tech[BuffID],RawTech[BuffID],RawTech[Tag_WaveDefense])</f>
        <v>➖</v>
      </c>
      <c r="J176" s="419" t="str">
        <f t="array" ref="J176">XLOOKUP(LCARS_Tech[BuffID],RawTech[BuffID],RawTech[Tag_QTrial])</f>
        <v>➖</v>
      </c>
      <c r="K176" s="419" t="str">
        <f t="array" ref="K176">XLOOKUP(LCARS_Tech[BuffID],RawTech[BuffID],RawTech[Tag_MissionBosses])</f>
        <v>➖</v>
      </c>
      <c r="L176" s="419" t="str">
        <f t="array" ref="L176">XLOOKUP(LCARS_Tech[BuffID],RawTech[BuffID],RawTech[Tag_GroupArmadas])</f>
        <v>➖</v>
      </c>
      <c r="M176" s="419" t="str">
        <f t="array" ref="M176">XLOOKUP(LCARS_Tech[BuffID],RawTech[BuffID],RawTech[Tag_SoloArmadas])</f>
        <v>➖</v>
      </c>
      <c r="N176" s="419" t="str">
        <f t="array" ref="N176">XLOOKUP(LCARS_Tech[BuffID],RawTech[BuffID],RawTech[Tag_InvadingEntities])</f>
        <v>➖</v>
      </c>
      <c r="O176" s="419" t="str">
        <f t="array" ref="O176">XLOOKUP(LCARS_Tech[BuffID],RawTech[BuffID],RawTech[Tag_Assaults])</f>
        <v>➖</v>
      </c>
      <c r="P176" s="442" t="str">
        <f t="array" ref="P176">XLOOKUP(LCARS_Tech[BuffID],RawTech[BuffID],RawTech[Tag_OutpostArmadas])</f>
        <v>➖</v>
      </c>
      <c r="Q176" s="450" t="str">
        <f t="array" ref="Q176">XLOOKUP(LCARS_Tech[BuffID],RawTech[BuffID],RawTech[Tag_OutpostRetaliators])</f>
        <v>➖</v>
      </c>
      <c r="R176" s="450" t="str">
        <f t="array" ref="R176">XLOOKUP(MasterTech!$AF$4:$AF$214,RawTech!$AO$2:$AO$212,RawTech!$AV$2:$AV$212)</f>
        <v>SelfExplorer</v>
      </c>
      <c r="S176" s="419" t="str">
        <f t="array" ref="S176">XLOOKUP(MasterTech!$AF$4:$AF$214,RawTech!$AO$2:$AO$212,RawTech!$AK$2:$AK$212)</f>
        <v>➖</v>
      </c>
      <c r="T176" s="422" t="str">
        <f t="array" ref="T176">XLOOKUP(MasterTech!$AF$4:$AF$214,RawTech!$AO$2:$AO$212,RawTech!$AM$2:$AM$212)</f>
        <v>➖</v>
      </c>
      <c r="U176" s="423" t="str">
        <f t="array" ref="U176">XLOOKUP(MasterTech!$AF$4:$AF$214,RawTech!$AO$2:$AO$212,RawTech!$D$2:$D$212)</f>
        <v>ApexShred</v>
      </c>
      <c r="V176" s="420" t="str">
        <f t="array" ref="V176">XLOOKUP(MasterTech!$AF$4:$AF$214,RawTech!$AO$2:$AO$212,RawTech!$I$2:$I$212)</f>
        <v/>
      </c>
      <c r="W176" s="443" t="str">
        <f t="array" ref="W176">XLOOKUP(MasterTech!$AF$4:$AF$214,RawTech!$AO$2:$AO$212,RawTech!$E$2:$E$212)</f>
        <v>SelfExplorer, EnemyPlayer</v>
      </c>
      <c r="X176" s="423" t="str">
        <f t="array" ref="X176">XLOOKUP(MasterTech!$AF$4:$AF$214,RawTech!$AO$2:$AO$212,RawTech!$F$2:$F$212)</f>
        <v>CombatStart</v>
      </c>
      <c r="Y176" s="423" t="str">
        <f t="array" ref="Y176">XLOOKUP(MasterTech!$AF$4:$AF$214,RawTech!$AO$2:$AO$212,RawTech!$G$2:$G$212)</f>
        <v>EnemyShip</v>
      </c>
      <c r="Z176" s="423" t="str">
        <f t="array" ref="Z176">XLOOKUP(MasterTech!$AF$4:$AF$214,RawTech!$AO$2:$AO$212,RawTech!$H$2:$H$212)</f>
        <v>Add</v>
      </c>
      <c r="AA176" s="423" t="str">
        <f t="array" ref="AA176">XLOOKUP(MasterTech!$AF$4:$AF$214,RawTech!$AO$2:$AO$212,RawTech!$J$2:$J$212)</f>
        <v>Increases Explorer Apex Shred against players by X.</v>
      </c>
      <c r="AB176" s="424"/>
      <c r="AC176" s="425"/>
      <c r="AD176" s="425"/>
      <c r="AE176" s="461">
        <f t="array" ref="AE176">XLOOKUP(MasterTech!$AF$4:$AF$214,RawTech!$AO$2:$AO$212,RawTech!$AR$2:$AR$212)</f>
        <v>55</v>
      </c>
      <c r="AF176" s="427">
        <v>2.776534533E9</v>
      </c>
      <c r="AG176" s="428"/>
      <c r="AH176" s="428"/>
      <c r="AI176" s="429"/>
      <c r="AJ176" s="430"/>
    </row>
    <row r="177" ht="37.5" customHeight="1">
      <c r="A177" s="415" t="str">
        <f t="array" ref="A177">LEFT(XLOOKUP(LCARS_Tech[BuffID],RawTech[BuffID],RawTech[TechRarity]), 1)</f>
        <v>E</v>
      </c>
      <c r="B177" s="416"/>
      <c r="C177" s="464" t="str">
        <f t="array" ref="C177">HYPERLINK("https://stfc.space/forbidden_and_chaos_tech/" &amp; XLOOKUP(MasterTech!$AF$4:$AF$214,RawTech!$AO$2:$AO$212,RawTech!$AQ$2:$AQ$212), XLOOKUP(MasterTech!$AF$4:$AF$214,RawTech!$AO$2:$AO$212,RawTech!$B$2:$B$212))</f>
        <v>[PRO] Counterplay Device</v>
      </c>
      <c r="D177" s="432">
        <f t="array" ref="D177">XLOOKUP(LCARS_Tech[BuffID],RawTech[BuffID],RawTech[BuffOrder])</f>
        <v>3</v>
      </c>
      <c r="E177" s="433" t="str">
        <f t="array" ref="E177">XLOOKUP(LCARS_Tech[BuffID],RawTech[BuffID],RawTech[TechType])</f>
        <v>FT</v>
      </c>
      <c r="F177" s="433" t="str">
        <f t="array" ref="F177">XLOOKUP(LCARS_Tech[BuffID],RawTech[BuffID],RawTech[Tag_PvPinSpace])</f>
        <v>✴️</v>
      </c>
      <c r="G177" s="433" t="str">
        <f t="array" ref="G177">XLOOKUP(LCARS_Tech[BuffID],RawTech[BuffID],RawTech[Tag_PvPStation])</f>
        <v>➖</v>
      </c>
      <c r="H177" s="433" t="str">
        <f t="array" ref="H177">XLOOKUP(LCARS_Tech[BuffID],RawTech[BuffID],RawTech[Tag_NonArmadaHostiles])</f>
        <v>➖</v>
      </c>
      <c r="I177" s="433" t="str">
        <f t="array" ref="I177">XLOOKUP(LCARS_Tech[BuffID],RawTech[BuffID],RawTech[Tag_WaveDefense])</f>
        <v>➖</v>
      </c>
      <c r="J177" s="433" t="str">
        <f t="array" ref="J177">XLOOKUP(LCARS_Tech[BuffID],RawTech[BuffID],RawTech[Tag_QTrial])</f>
        <v>➖</v>
      </c>
      <c r="K177" s="433" t="str">
        <f t="array" ref="K177">XLOOKUP(LCARS_Tech[BuffID],RawTech[BuffID],RawTech[Tag_MissionBosses])</f>
        <v>➖</v>
      </c>
      <c r="L177" s="433" t="str">
        <f t="array" ref="L177">XLOOKUP(LCARS_Tech[BuffID],RawTech[BuffID],RawTech[Tag_GroupArmadas])</f>
        <v>➖</v>
      </c>
      <c r="M177" s="433" t="str">
        <f t="array" ref="M177">XLOOKUP(LCARS_Tech[BuffID],RawTech[BuffID],RawTech[Tag_SoloArmadas])</f>
        <v>➖</v>
      </c>
      <c r="N177" s="433" t="str">
        <f t="array" ref="N177">XLOOKUP(LCARS_Tech[BuffID],RawTech[BuffID],RawTech[Tag_InvadingEntities])</f>
        <v>➖</v>
      </c>
      <c r="O177" s="433" t="str">
        <f t="array" ref="O177">XLOOKUP(LCARS_Tech[BuffID],RawTech[BuffID],RawTech[Tag_Assaults])</f>
        <v>➖</v>
      </c>
      <c r="P177" s="434" t="str">
        <f t="array" ref="P177">XLOOKUP(LCARS_Tech[BuffID],RawTech[BuffID],RawTech[Tag_OutpostArmadas])</f>
        <v>➖</v>
      </c>
      <c r="Q177" s="451" t="str">
        <f t="array" ref="Q177">XLOOKUP(LCARS_Tech[BuffID],RawTech[BuffID],RawTech[Tag_OutpostRetaliators])</f>
        <v>➖</v>
      </c>
      <c r="R177" s="451" t="str">
        <f t="array" ref="R177">XLOOKUP(MasterTech!$AF$4:$AF$214,RawTech!$AO$2:$AO$212,RawTech!$AV$2:$AV$212)</f>
        <v>SelfExplorer</v>
      </c>
      <c r="S177" s="433" t="str">
        <f t="array" ref="S177">XLOOKUP(MasterTech!$AF$4:$AF$214,RawTech!$AO$2:$AO$212,RawTech!$AK$2:$AK$212)</f>
        <v>➖</v>
      </c>
      <c r="T177" s="435" t="str">
        <f t="array" ref="T177">XLOOKUP(MasterTech!$AF$4:$AF$214,RawTech!$AO$2:$AO$212,RawTech!$AM$2:$AM$212)</f>
        <v>➖</v>
      </c>
      <c r="U177" s="438" t="str">
        <f t="array" ref="U177">XLOOKUP(MasterTech!$AF$4:$AF$214,RawTech!$AO$2:$AO$212,RawTech!$D$2:$D$212)</f>
        <v>ShieldMitigation</v>
      </c>
      <c r="V177" s="416" t="str">
        <f t="array" ref="V177">XLOOKUP(MasterTech!$AF$4:$AF$214,RawTech!$AO$2:$AO$212,RawTech!$I$2:$I$212)</f>
        <v/>
      </c>
      <c r="W177" s="447" t="str">
        <f t="array" ref="W177">XLOOKUP(MasterTech!$AF$4:$AF$214,RawTech!$AO$2:$AO$212,RawTech!$E$2:$E$212)</f>
        <v>SelfExplorer, TargetNotPlayerStation, EnemyPlayer</v>
      </c>
      <c r="X177" s="438" t="str">
        <f t="array" ref="X177">XLOOKUP(MasterTech!$AF$4:$AF$214,RawTech!$AO$2:$AO$212,RawTech!$F$2:$F$212)</f>
        <v>RoundStart</v>
      </c>
      <c r="Y177" s="438" t="str">
        <f t="array" ref="Y177">XLOOKUP(MasterTech!$AF$4:$AF$214,RawTech!$AO$2:$AO$212,RawTech!$G$2:$G$212)</f>
        <v>EnemyShip</v>
      </c>
      <c r="Z177" s="438" t="str">
        <f t="array" ref="Z177">XLOOKUP(MasterTech!$AF$4:$AF$214,RawTech!$AO$2:$AO$212,RawTech!$H$2:$H$212)</f>
        <v>Sub</v>
      </c>
      <c r="AA177" s="438" t="str">
        <f t="array" ref="AA177">XLOOKUP(MasterTech!$AF$4:$AF$214,RawTech!$AO$2:$AO$212,RawTech!$J$2:$J$212)</f>
        <v>While on an Explorer, decreases opponent player's Shield Mitigation every round by X  (Cumulative). Does not apply during station combat.</v>
      </c>
      <c r="AB177" s="439"/>
      <c r="AC177" s="440"/>
      <c r="AD177" s="440"/>
      <c r="AE177" s="462">
        <f t="array" ref="AE177">XLOOKUP(MasterTech!$AF$4:$AF$214,RawTech!$AO$2:$AO$212,RawTech!$AR$2:$AR$212)</f>
        <v>55</v>
      </c>
      <c r="AF177" s="427">
        <v>3.083783613E9</v>
      </c>
      <c r="AG177" s="428"/>
      <c r="AH177" s="428"/>
      <c r="AI177" s="429"/>
      <c r="AJ177" s="430"/>
    </row>
    <row r="178" ht="37.5" customHeight="1">
      <c r="A178" s="415" t="str">
        <f t="array" ref="A178">LEFT(XLOOKUP(LCARS_Tech[BuffID],RawTech[BuffID],RawTech[TechRarity]), 1)</f>
        <v>E</v>
      </c>
      <c r="B178" s="420"/>
      <c r="C178" s="460" t="str">
        <f t="array" ref="C178">HYPERLINK("https://stfc.space/forbidden_and_chaos_tech/" &amp; XLOOKUP(MasterTech!$AF$4:$AF$214,RawTech!$AO$2:$AO$212,RawTech!$AQ$2:$AQ$212), XLOOKUP(MasterTech!$AF$4:$AF$214,RawTech!$AO$2:$AO$212,RawTech!$B$2:$B$212))</f>
        <v>[PRO] Counterplay Device</v>
      </c>
      <c r="D178" s="418">
        <f t="array" ref="D178">XLOOKUP(LCARS_Tech[BuffID],RawTech[BuffID],RawTech[BuffOrder])</f>
        <v>4</v>
      </c>
      <c r="E178" s="419" t="str">
        <f t="array" ref="E178">XLOOKUP(LCARS_Tech[BuffID],RawTech[BuffID],RawTech[TechType])</f>
        <v>FT</v>
      </c>
      <c r="F178" s="419" t="str">
        <f t="array" ref="F178">XLOOKUP(LCARS_Tech[BuffID],RawTech[BuffID],RawTech[Tag_PvPinSpace])</f>
        <v>✴️</v>
      </c>
      <c r="G178" s="419" t="str">
        <f t="array" ref="G178">XLOOKUP(LCARS_Tech[BuffID],RawTech[BuffID],RawTech[Tag_PvPStation])</f>
        <v>✴️</v>
      </c>
      <c r="H178" s="419" t="str">
        <f t="array" ref="H178">XLOOKUP(LCARS_Tech[BuffID],RawTech[BuffID],RawTech[Tag_NonArmadaHostiles])</f>
        <v>➖</v>
      </c>
      <c r="I178" s="419" t="str">
        <f t="array" ref="I178">XLOOKUP(LCARS_Tech[BuffID],RawTech[BuffID],RawTech[Tag_WaveDefense])</f>
        <v>➖</v>
      </c>
      <c r="J178" s="419" t="str">
        <f t="array" ref="J178">XLOOKUP(LCARS_Tech[BuffID],RawTech[BuffID],RawTech[Tag_QTrial])</f>
        <v>➖</v>
      </c>
      <c r="K178" s="419" t="str">
        <f t="array" ref="K178">XLOOKUP(LCARS_Tech[BuffID],RawTech[BuffID],RawTech[Tag_MissionBosses])</f>
        <v>➖</v>
      </c>
      <c r="L178" s="419" t="str">
        <f t="array" ref="L178">XLOOKUP(LCARS_Tech[BuffID],RawTech[BuffID],RawTech[Tag_GroupArmadas])</f>
        <v>➖</v>
      </c>
      <c r="M178" s="419" t="str">
        <f t="array" ref="M178">XLOOKUP(LCARS_Tech[BuffID],RawTech[BuffID],RawTech[Tag_SoloArmadas])</f>
        <v>➖</v>
      </c>
      <c r="N178" s="419" t="str">
        <f t="array" ref="N178">XLOOKUP(LCARS_Tech[BuffID],RawTech[BuffID],RawTech[Tag_InvadingEntities])</f>
        <v>➖</v>
      </c>
      <c r="O178" s="419" t="str">
        <f t="array" ref="O178">XLOOKUP(LCARS_Tech[BuffID],RawTech[BuffID],RawTech[Tag_Assaults])</f>
        <v>➖</v>
      </c>
      <c r="P178" s="442" t="str">
        <f t="array" ref="P178">XLOOKUP(LCARS_Tech[BuffID],RawTech[BuffID],RawTech[Tag_OutpostArmadas])</f>
        <v>➖</v>
      </c>
      <c r="Q178" s="450" t="str">
        <f t="array" ref="Q178">XLOOKUP(LCARS_Tech[BuffID],RawTech[BuffID],RawTech[Tag_OutpostRetaliators])</f>
        <v>➖</v>
      </c>
      <c r="R178" s="450" t="str">
        <f t="array" ref="R178">XLOOKUP(MasterTech!$AF$4:$AF$214,RawTech!$AO$2:$AO$212,RawTech!$AV$2:$AV$212)</f>
        <v>SelfExplorer</v>
      </c>
      <c r="S178" s="419" t="str">
        <f t="array" ref="S178">XLOOKUP(MasterTech!$AF$4:$AF$214,RawTech!$AO$2:$AO$212,RawTech!$AK$2:$AK$212)</f>
        <v>➖</v>
      </c>
      <c r="T178" s="422" t="str">
        <f t="array" ref="T178">XLOOKUP(MasterTech!$AF$4:$AF$214,RawTech!$AO$2:$AO$212,RawTech!$AM$2:$AM$212)</f>
        <v>➖</v>
      </c>
      <c r="U178" s="423" t="str">
        <f t="array" ref="U178">XLOOKUP(MasterTech!$AF$4:$AF$214,RawTech!$AO$2:$AO$212,RawTech!$D$2:$D$212)</f>
        <v>IsolyticDefense</v>
      </c>
      <c r="V178" s="420" t="str">
        <f t="array" ref="V178">XLOOKUP(MasterTech!$AF$4:$AF$214,RawTech!$AO$2:$AO$212,RawTech!$I$2:$I$212)</f>
        <v/>
      </c>
      <c r="W178" s="443" t="str">
        <f t="array" ref="W178">XLOOKUP(MasterTech!$AF$4:$AF$214,RawTech!$AO$2:$AO$212,RawTech!$E$2:$E$212)</f>
        <v>SelfExplorer, EnemyPlayer</v>
      </c>
      <c r="X178" s="423" t="str">
        <f t="array" ref="X178">XLOOKUP(MasterTech!$AF$4:$AF$214,RawTech!$AO$2:$AO$212,RawTech!$F$2:$F$212)</f>
        <v>CombatStart</v>
      </c>
      <c r="Y178" s="423" t="str">
        <f t="array" ref="Y178">XLOOKUP(MasterTech!$AF$4:$AF$214,RawTech!$AO$2:$AO$212,RawTech!$G$2:$G$212)</f>
        <v>SelfShip</v>
      </c>
      <c r="Z178" s="423" t="str">
        <f t="array" ref="Z178">XLOOKUP(MasterTech!$AF$4:$AF$214,RawTech!$AO$2:$AO$212,RawTech!$H$2:$H$212)</f>
        <v>Add</v>
      </c>
      <c r="AA178" s="423" t="str">
        <f t="array" ref="AA178">XLOOKUP(MasterTech!$AF$4:$AF$214,RawTech!$AO$2:$AO$212,RawTech!$J$2:$J$212)</f>
        <v>Increases Explorer Isolytic Defense against players by X.</v>
      </c>
      <c r="AB178" s="424"/>
      <c r="AC178" s="463"/>
      <c r="AD178" s="463"/>
      <c r="AE178" s="461">
        <f t="array" ref="AE178">XLOOKUP(MasterTech!$AF$4:$AF$214,RawTech!$AO$2:$AO$212,RawTech!$AR$2:$AR$212)</f>
        <v>55</v>
      </c>
      <c r="AF178" s="427">
        <v>1.825967665E9</v>
      </c>
      <c r="AG178" s="428"/>
      <c r="AH178" s="428"/>
      <c r="AI178" s="429"/>
      <c r="AJ178" s="430"/>
    </row>
    <row r="179" ht="37.5" customHeight="1">
      <c r="A179" s="415" t="str">
        <f t="array" ref="A179">LEFT(XLOOKUP(LCARS_Tech[BuffID],RawTech[BuffID],RawTech[TechRarity]), 1)</f>
        <v>E</v>
      </c>
      <c r="B179" s="416"/>
      <c r="C179" s="464" t="str">
        <f t="array" ref="C179">HYPERLINK("https://stfc.space/forbidden_and_chaos_tech/" &amp; XLOOKUP(MasterTech!$AF$4:$AF$214,RawTech!$AO$2:$AO$212,RawTech!$AQ$2:$AQ$212), XLOOKUP(MasterTech!$AF$4:$AF$214,RawTech!$AO$2:$AO$212,RawTech!$B$2:$B$212))</f>
        <v>[PRO] Self-Replicating Mines</v>
      </c>
      <c r="D179" s="432">
        <f t="array" ref="D179">XLOOKUP(LCARS_Tech[BuffID],RawTech[BuffID],RawTech[BuffOrder])</f>
        <v>1</v>
      </c>
      <c r="E179" s="433" t="str">
        <f t="array" ref="E179">XLOOKUP(LCARS_Tech[BuffID],RawTech[BuffID],RawTech[TechType])</f>
        <v>FT</v>
      </c>
      <c r="F179" s="433" t="str">
        <f t="array" ref="F179">XLOOKUP(LCARS_Tech[BuffID],RawTech[BuffID],RawTech[Tag_PvPinSpace])</f>
        <v>✴️</v>
      </c>
      <c r="G179" s="433" t="str">
        <f t="array" ref="G179">XLOOKUP(LCARS_Tech[BuffID],RawTech[BuffID],RawTech[Tag_PvPStation])</f>
        <v>✴️</v>
      </c>
      <c r="H179" s="433" t="str">
        <f t="array" ref="H179">XLOOKUP(LCARS_Tech[BuffID],RawTech[BuffID],RawTech[Tag_NonArmadaHostiles])</f>
        <v>➖</v>
      </c>
      <c r="I179" s="433" t="str">
        <f t="array" ref="I179">XLOOKUP(LCARS_Tech[BuffID],RawTech[BuffID],RawTech[Tag_WaveDefense])</f>
        <v>➖</v>
      </c>
      <c r="J179" s="433" t="str">
        <f t="array" ref="J179">XLOOKUP(LCARS_Tech[BuffID],RawTech[BuffID],RawTech[Tag_QTrial])</f>
        <v>➖</v>
      </c>
      <c r="K179" s="433" t="str">
        <f t="array" ref="K179">XLOOKUP(LCARS_Tech[BuffID],RawTech[BuffID],RawTech[Tag_MissionBosses])</f>
        <v>➖</v>
      </c>
      <c r="L179" s="433" t="str">
        <f t="array" ref="L179">XLOOKUP(LCARS_Tech[BuffID],RawTech[BuffID],RawTech[Tag_GroupArmadas])</f>
        <v>➖</v>
      </c>
      <c r="M179" s="433" t="str">
        <f t="array" ref="M179">XLOOKUP(LCARS_Tech[BuffID],RawTech[BuffID],RawTech[Tag_SoloArmadas])</f>
        <v>➖</v>
      </c>
      <c r="N179" s="433" t="str">
        <f t="array" ref="N179">XLOOKUP(LCARS_Tech[BuffID],RawTech[BuffID],RawTech[Tag_InvadingEntities])</f>
        <v>➖</v>
      </c>
      <c r="O179" s="433" t="str">
        <f t="array" ref="O179">XLOOKUP(LCARS_Tech[BuffID],RawTech[BuffID],RawTech[Tag_Assaults])</f>
        <v>➖</v>
      </c>
      <c r="P179" s="434" t="str">
        <f t="array" ref="P179">XLOOKUP(LCARS_Tech[BuffID],RawTech[BuffID],RawTech[Tag_OutpostArmadas])</f>
        <v>➖</v>
      </c>
      <c r="Q179" s="451" t="str">
        <f t="array" ref="Q179">XLOOKUP(LCARS_Tech[BuffID],RawTech[BuffID],RawTech[Tag_OutpostRetaliators])</f>
        <v>➖</v>
      </c>
      <c r="R179" s="451" t="str">
        <f t="array" ref="R179">XLOOKUP(MasterTech!$AF$4:$AF$214,RawTech!$AO$2:$AO$212,RawTech!$AV$2:$AV$212)</f>
        <v>SelfBattleship, SelfOfficerTalNotOnBridge</v>
      </c>
      <c r="S179" s="433" t="str">
        <f t="array" ref="S179">XLOOKUP(MasterTech!$AF$4:$AF$214,RawTech!$AO$2:$AO$212,RawTech!$AK$2:$AK$212)</f>
        <v>➖</v>
      </c>
      <c r="T179" s="435" t="str">
        <f t="array" ref="T179">XLOOKUP(MasterTech!$AF$4:$AF$214,RawTech!$AO$2:$AO$212,RawTech!$AM$2:$AM$212)</f>
        <v>➖</v>
      </c>
      <c r="U179" s="438" t="str">
        <f t="array" ref="U179">XLOOKUP(MasterTech!$AF$4:$AF$214,RawTech!$AO$2:$AO$212,RawTech!$D$2:$D$212)</f>
        <v>ApexBarrier</v>
      </c>
      <c r="V179" s="416" t="str">
        <f t="array" ref="V179">XLOOKUP(MasterTech!$AF$4:$AF$214,RawTech!$AO$2:$AO$212,RawTech!$I$2:$I$212)</f>
        <v/>
      </c>
      <c r="W179" s="447" t="str">
        <f t="array" ref="W179">XLOOKUP(MasterTech!$AF$4:$AF$214,RawTech!$AO$2:$AO$212,RawTech!$E$2:$E$212)</f>
        <v>SelfBattleship, EnemyPlayer, SelfOfficerTalNotOnBridge</v>
      </c>
      <c r="X179" s="438" t="str">
        <f t="array" ref="X179">XLOOKUP(MasterTech!$AF$4:$AF$214,RawTech!$AO$2:$AO$212,RawTech!$F$2:$F$212)</f>
        <v>CombatStart</v>
      </c>
      <c r="Y179" s="438" t="str">
        <f t="array" ref="Y179">XLOOKUP(MasterTech!$AF$4:$AF$214,RawTech!$AO$2:$AO$212,RawTech!$G$2:$G$212)</f>
        <v>SelfShip</v>
      </c>
      <c r="Z179" s="438" t="str">
        <f t="array" ref="Z179">XLOOKUP(MasterTech!$AF$4:$AF$214,RawTech!$AO$2:$AO$212,RawTech!$H$2:$H$212)</f>
        <v>Add</v>
      </c>
      <c r="AA179" s="438" t="str">
        <f t="array" ref="AA179">XLOOKUP(MasterTech!$AF$4:$AF$214,RawTech!$AO$2:$AO$212,RawTech!$J$2:$J$212)</f>
        <v>Increases Battleship Apex Barrier against players by X. Does not apply when Tal is assigned to the bridge.</v>
      </c>
      <c r="AB179" s="439"/>
      <c r="AC179" s="440"/>
      <c r="AD179" s="440"/>
      <c r="AE179" s="462">
        <f t="array" ref="AE179">XLOOKUP(MasterTech!$AF$4:$AF$214,RawTech!$AO$2:$AO$212,RawTech!$AR$2:$AR$212)</f>
        <v>57</v>
      </c>
      <c r="AF179" s="427">
        <v>3.00175952E9</v>
      </c>
      <c r="AG179" s="428"/>
      <c r="AH179" s="428"/>
      <c r="AI179" s="429"/>
      <c r="AJ179" s="430"/>
    </row>
    <row r="180" ht="37.5" customHeight="1">
      <c r="A180" s="415" t="str">
        <f t="array" ref="A180">LEFT(XLOOKUP(LCARS_Tech[BuffID],RawTech[BuffID],RawTech[TechRarity]), 1)</f>
        <v>E</v>
      </c>
      <c r="B180" s="420"/>
      <c r="C180" s="460" t="str">
        <f t="array" ref="C180">HYPERLINK("https://stfc.space/forbidden_and_chaos_tech/" &amp; XLOOKUP(MasterTech!$AF$4:$AF$214,RawTech!$AO$2:$AO$212,RawTech!$AQ$2:$AQ$212), XLOOKUP(MasterTech!$AF$4:$AF$214,RawTech!$AO$2:$AO$212,RawTech!$B$2:$B$212))</f>
        <v>[PRO] Self-Replicating Mines</v>
      </c>
      <c r="D180" s="418">
        <f t="array" ref="D180">XLOOKUP(LCARS_Tech[BuffID],RawTech[BuffID],RawTech[BuffOrder])</f>
        <v>2</v>
      </c>
      <c r="E180" s="419" t="str">
        <f t="array" ref="E180">XLOOKUP(LCARS_Tech[BuffID],RawTech[BuffID],RawTech[TechType])</f>
        <v>FT</v>
      </c>
      <c r="F180" s="419" t="str">
        <f t="array" ref="F180">XLOOKUP(LCARS_Tech[BuffID],RawTech[BuffID],RawTech[Tag_PvPinSpace])</f>
        <v>✴️</v>
      </c>
      <c r="G180" s="419" t="str">
        <f t="array" ref="G180">XLOOKUP(LCARS_Tech[BuffID],RawTech[BuffID],RawTech[Tag_PvPStation])</f>
        <v>✴️</v>
      </c>
      <c r="H180" s="419" t="str">
        <f t="array" ref="H180">XLOOKUP(LCARS_Tech[BuffID],RawTech[BuffID],RawTech[Tag_NonArmadaHostiles])</f>
        <v>➖</v>
      </c>
      <c r="I180" s="419" t="str">
        <f t="array" ref="I180">XLOOKUP(LCARS_Tech[BuffID],RawTech[BuffID],RawTech[Tag_WaveDefense])</f>
        <v>➖</v>
      </c>
      <c r="J180" s="419" t="str">
        <f t="array" ref="J180">XLOOKUP(LCARS_Tech[BuffID],RawTech[BuffID],RawTech[Tag_QTrial])</f>
        <v>➖</v>
      </c>
      <c r="K180" s="419" t="str">
        <f t="array" ref="K180">XLOOKUP(LCARS_Tech[BuffID],RawTech[BuffID],RawTech[Tag_MissionBosses])</f>
        <v>➖</v>
      </c>
      <c r="L180" s="419" t="str">
        <f t="array" ref="L180">XLOOKUP(LCARS_Tech[BuffID],RawTech[BuffID],RawTech[Tag_GroupArmadas])</f>
        <v>➖</v>
      </c>
      <c r="M180" s="419" t="str">
        <f t="array" ref="M180">XLOOKUP(LCARS_Tech[BuffID],RawTech[BuffID],RawTech[Tag_SoloArmadas])</f>
        <v>➖</v>
      </c>
      <c r="N180" s="419" t="str">
        <f t="array" ref="N180">XLOOKUP(LCARS_Tech[BuffID],RawTech[BuffID],RawTech[Tag_InvadingEntities])</f>
        <v>➖</v>
      </c>
      <c r="O180" s="419" t="str">
        <f t="array" ref="O180">XLOOKUP(LCARS_Tech[BuffID],RawTech[BuffID],RawTech[Tag_Assaults])</f>
        <v>➖</v>
      </c>
      <c r="P180" s="442" t="str">
        <f t="array" ref="P180">XLOOKUP(LCARS_Tech[BuffID],RawTech[BuffID],RawTech[Tag_OutpostArmadas])</f>
        <v>➖</v>
      </c>
      <c r="Q180" s="450" t="str">
        <f t="array" ref="Q180">XLOOKUP(LCARS_Tech[BuffID],RawTech[BuffID],RawTech[Tag_OutpostRetaliators])</f>
        <v>➖</v>
      </c>
      <c r="R180" s="450" t="str">
        <f t="array" ref="R180">XLOOKUP(MasterTech!$AF$4:$AF$214,RawTech!$AO$2:$AO$212,RawTech!$AV$2:$AV$212)</f>
        <v>SelfBattleship</v>
      </c>
      <c r="S180" s="419" t="str">
        <f t="array" ref="S180">XLOOKUP(MasterTech!$AF$4:$AF$214,RawTech!$AO$2:$AO$212,RawTech!$AK$2:$AK$212)</f>
        <v>➖</v>
      </c>
      <c r="T180" s="422" t="str">
        <f t="array" ref="T180">XLOOKUP(MasterTech!$AF$4:$AF$214,RawTech!$AO$2:$AO$212,RawTech!$AM$2:$AM$212)</f>
        <v>➖</v>
      </c>
      <c r="U180" s="423" t="str">
        <f t="array" ref="U180">XLOOKUP(MasterTech!$AF$4:$AF$214,RawTech!$AO$2:$AO$212,RawTech!$D$2:$D$212)</f>
        <v>ApexShred</v>
      </c>
      <c r="V180" s="420" t="str">
        <f t="array" ref="V180">XLOOKUP(MasterTech!$AF$4:$AF$214,RawTech!$AO$2:$AO$212,RawTech!$I$2:$I$212)</f>
        <v/>
      </c>
      <c r="W180" s="443" t="str">
        <f t="array" ref="W180">XLOOKUP(MasterTech!$AF$4:$AF$214,RawTech!$AO$2:$AO$212,RawTech!$E$2:$E$212)</f>
        <v>SelfBattleship, EnemyPlayer</v>
      </c>
      <c r="X180" s="423" t="str">
        <f t="array" ref="X180">XLOOKUP(MasterTech!$AF$4:$AF$214,RawTech!$AO$2:$AO$212,RawTech!$F$2:$F$212)</f>
        <v>CombatStart</v>
      </c>
      <c r="Y180" s="423" t="str">
        <f t="array" ref="Y180">XLOOKUP(MasterTech!$AF$4:$AF$214,RawTech!$AO$2:$AO$212,RawTech!$G$2:$G$212)</f>
        <v>EnemyShip</v>
      </c>
      <c r="Z180" s="423" t="str">
        <f t="array" ref="Z180">XLOOKUP(MasterTech!$AF$4:$AF$214,RawTech!$AO$2:$AO$212,RawTech!$H$2:$H$212)</f>
        <v>Add</v>
      </c>
      <c r="AA180" s="423" t="str">
        <f t="array" ref="AA180">XLOOKUP(MasterTech!$AF$4:$AF$214,RawTech!$AO$2:$AO$212,RawTech!$J$2:$J$212)</f>
        <v>Increases Battleship Apex Shred against players by X.</v>
      </c>
      <c r="AB180" s="424"/>
      <c r="AC180" s="425"/>
      <c r="AD180" s="425"/>
      <c r="AE180" s="461">
        <f t="array" ref="AE180">XLOOKUP(MasterTech!$AF$4:$AF$214,RawTech!$AO$2:$AO$212,RawTech!$AR$2:$AR$212)</f>
        <v>57</v>
      </c>
      <c r="AF180" s="427">
        <v>2.735336397E9</v>
      </c>
      <c r="AG180" s="428"/>
      <c r="AH180" s="428"/>
      <c r="AI180" s="429"/>
      <c r="AJ180" s="430"/>
    </row>
    <row r="181" ht="37.5" customHeight="1">
      <c r="A181" s="415" t="str">
        <f t="array" ref="A181">LEFT(XLOOKUP(LCARS_Tech[BuffID],RawTech[BuffID],RawTech[TechRarity]), 1)</f>
        <v>E</v>
      </c>
      <c r="B181" s="416"/>
      <c r="C181" s="464" t="str">
        <f t="array" ref="C181">HYPERLINK("https://stfc.space/forbidden_and_chaos_tech/" &amp; XLOOKUP(MasterTech!$AF$4:$AF$214,RawTech!$AO$2:$AO$212,RawTech!$AQ$2:$AQ$212), XLOOKUP(MasterTech!$AF$4:$AF$214,RawTech!$AO$2:$AO$212,RawTech!$B$2:$B$212))</f>
        <v>[PRO] Self-Replicating Mines</v>
      </c>
      <c r="D181" s="432">
        <f t="array" ref="D181">XLOOKUP(LCARS_Tech[BuffID],RawTech[BuffID],RawTech[BuffOrder])</f>
        <v>3</v>
      </c>
      <c r="E181" s="433" t="str">
        <f t="array" ref="E181">XLOOKUP(LCARS_Tech[BuffID],RawTech[BuffID],RawTech[TechType])</f>
        <v>FT</v>
      </c>
      <c r="F181" s="433" t="str">
        <f t="array" ref="F181">XLOOKUP(LCARS_Tech[BuffID],RawTech[BuffID],RawTech[Tag_PvPinSpace])</f>
        <v>✴️</v>
      </c>
      <c r="G181" s="433" t="str">
        <f t="array" ref="G181">XLOOKUP(LCARS_Tech[BuffID],RawTech[BuffID],RawTech[Tag_PvPStation])</f>
        <v>➖</v>
      </c>
      <c r="H181" s="433" t="str">
        <f t="array" ref="H181">XLOOKUP(LCARS_Tech[BuffID],RawTech[BuffID],RawTech[Tag_NonArmadaHostiles])</f>
        <v>➖</v>
      </c>
      <c r="I181" s="433" t="str">
        <f t="array" ref="I181">XLOOKUP(LCARS_Tech[BuffID],RawTech[BuffID],RawTech[Tag_WaveDefense])</f>
        <v>➖</v>
      </c>
      <c r="J181" s="433" t="str">
        <f t="array" ref="J181">XLOOKUP(LCARS_Tech[BuffID],RawTech[BuffID],RawTech[Tag_QTrial])</f>
        <v>➖</v>
      </c>
      <c r="K181" s="433" t="str">
        <f t="array" ref="K181">XLOOKUP(LCARS_Tech[BuffID],RawTech[BuffID],RawTech[Tag_MissionBosses])</f>
        <v>➖</v>
      </c>
      <c r="L181" s="433" t="str">
        <f t="array" ref="L181">XLOOKUP(LCARS_Tech[BuffID],RawTech[BuffID],RawTech[Tag_GroupArmadas])</f>
        <v>➖</v>
      </c>
      <c r="M181" s="433" t="str">
        <f t="array" ref="M181">XLOOKUP(LCARS_Tech[BuffID],RawTech[BuffID],RawTech[Tag_SoloArmadas])</f>
        <v>➖</v>
      </c>
      <c r="N181" s="433" t="str">
        <f t="array" ref="N181">XLOOKUP(LCARS_Tech[BuffID],RawTech[BuffID],RawTech[Tag_InvadingEntities])</f>
        <v>➖</v>
      </c>
      <c r="O181" s="433" t="str">
        <f t="array" ref="O181">XLOOKUP(LCARS_Tech[BuffID],RawTech[BuffID],RawTech[Tag_Assaults])</f>
        <v>➖</v>
      </c>
      <c r="P181" s="434" t="str">
        <f t="array" ref="P181">XLOOKUP(LCARS_Tech[BuffID],RawTech[BuffID],RawTech[Tag_OutpostArmadas])</f>
        <v>➖</v>
      </c>
      <c r="Q181" s="451" t="str">
        <f t="array" ref="Q181">XLOOKUP(LCARS_Tech[BuffID],RawTech[BuffID],RawTech[Tag_OutpostRetaliators])</f>
        <v>➖</v>
      </c>
      <c r="R181" s="451" t="str">
        <f t="array" ref="R181">XLOOKUP(MasterTech!$AF$4:$AF$214,RawTech!$AO$2:$AO$212,RawTech!$AV$2:$AV$212)</f>
        <v>SelfBattleship</v>
      </c>
      <c r="S181" s="433" t="str">
        <f t="array" ref="S181">XLOOKUP(MasterTech!$AF$4:$AF$214,RawTech!$AO$2:$AO$212,RawTech!$AK$2:$AK$212)</f>
        <v>➖</v>
      </c>
      <c r="T181" s="435" t="str">
        <f t="array" ref="T181">XLOOKUP(MasterTech!$AF$4:$AF$214,RawTech!$AO$2:$AO$212,RawTech!$AM$2:$AM$212)</f>
        <v>➖</v>
      </c>
      <c r="U181" s="438" t="str">
        <f t="array" ref="U181">XLOOKUP(MasterTech!$AF$4:$AF$214,RawTech!$AO$2:$AO$212,RawTech!$D$2:$D$212)</f>
        <v>ShieldMitigation</v>
      </c>
      <c r="V181" s="416" t="str">
        <f t="array" ref="V181">XLOOKUP(MasterTech!$AF$4:$AF$214,RawTech!$AO$2:$AO$212,RawTech!$I$2:$I$212)</f>
        <v/>
      </c>
      <c r="W181" s="447" t="str">
        <f t="array" ref="W181">XLOOKUP(MasterTech!$AF$4:$AF$214,RawTech!$AO$2:$AO$212,RawTech!$E$2:$E$212)</f>
        <v>TargetNotPlayerStation, SelfBattleship, EnemyPlayer</v>
      </c>
      <c r="X181" s="438" t="str">
        <f t="array" ref="X181">XLOOKUP(MasterTech!$AF$4:$AF$214,RawTech!$AO$2:$AO$212,RawTech!$F$2:$F$212)</f>
        <v>RoundStart</v>
      </c>
      <c r="Y181" s="438" t="str">
        <f t="array" ref="Y181">XLOOKUP(MasterTech!$AF$4:$AF$214,RawTech!$AO$2:$AO$212,RawTech!$G$2:$G$212)</f>
        <v>EnemyShip</v>
      </c>
      <c r="Z181" s="438" t="str">
        <f t="array" ref="Z181">XLOOKUP(MasterTech!$AF$4:$AF$214,RawTech!$AO$2:$AO$212,RawTech!$H$2:$H$212)</f>
        <v>Sub</v>
      </c>
      <c r="AA181" s="438" t="str">
        <f t="array" ref="AA181">XLOOKUP(MasterTech!$AF$4:$AF$214,RawTech!$AO$2:$AO$212,RawTech!$J$2:$J$212)</f>
        <v>While on a Battleship, decreases the opponent player's Shield Mitigation every round by X  (Cumulative). Does not apply during station combat.</v>
      </c>
      <c r="AB181" s="439"/>
      <c r="AC181" s="440"/>
      <c r="AD181" s="440"/>
      <c r="AE181" s="462">
        <f t="array" ref="AE181">XLOOKUP(MasterTech!$AF$4:$AF$214,RawTech!$AO$2:$AO$212,RawTech!$AR$2:$AR$212)</f>
        <v>57</v>
      </c>
      <c r="AF181" s="427">
        <v>1.805390929E9</v>
      </c>
      <c r="AG181" s="428"/>
      <c r="AH181" s="428"/>
      <c r="AI181" s="429"/>
      <c r="AJ181" s="430"/>
    </row>
    <row r="182" ht="37.5" customHeight="1">
      <c r="A182" s="415" t="str">
        <f t="array" ref="A182">LEFT(XLOOKUP(LCARS_Tech[BuffID],RawTech[BuffID],RawTech[TechRarity]), 1)</f>
        <v>E</v>
      </c>
      <c r="B182" s="420"/>
      <c r="C182" s="460" t="str">
        <f t="array" ref="C182">HYPERLINK("https://stfc.space/forbidden_and_chaos_tech/" &amp; XLOOKUP(MasterTech!$AF$4:$AF$214,RawTech!$AO$2:$AO$212,RawTech!$AQ$2:$AQ$212), XLOOKUP(MasterTech!$AF$4:$AF$214,RawTech!$AO$2:$AO$212,RawTech!$B$2:$B$212))</f>
        <v>[PRO] Self-Replicating Mines</v>
      </c>
      <c r="D182" s="418">
        <f t="array" ref="D182">XLOOKUP(LCARS_Tech[BuffID],RawTech[BuffID],RawTech[BuffOrder])</f>
        <v>4</v>
      </c>
      <c r="E182" s="419" t="str">
        <f t="array" ref="E182">XLOOKUP(LCARS_Tech[BuffID],RawTech[BuffID],RawTech[TechType])</f>
        <v>FT</v>
      </c>
      <c r="F182" s="419" t="str">
        <f t="array" ref="F182">XLOOKUP(LCARS_Tech[BuffID],RawTech[BuffID],RawTech[Tag_PvPinSpace])</f>
        <v>✴️</v>
      </c>
      <c r="G182" s="419" t="str">
        <f t="array" ref="G182">XLOOKUP(LCARS_Tech[BuffID],RawTech[BuffID],RawTech[Tag_PvPStation])</f>
        <v>✴️</v>
      </c>
      <c r="H182" s="419" t="str">
        <f t="array" ref="H182">XLOOKUP(LCARS_Tech[BuffID],RawTech[BuffID],RawTech[Tag_NonArmadaHostiles])</f>
        <v>➖</v>
      </c>
      <c r="I182" s="419" t="str">
        <f t="array" ref="I182">XLOOKUP(LCARS_Tech[BuffID],RawTech[BuffID],RawTech[Tag_WaveDefense])</f>
        <v>➖</v>
      </c>
      <c r="J182" s="419" t="str">
        <f t="array" ref="J182">XLOOKUP(LCARS_Tech[BuffID],RawTech[BuffID],RawTech[Tag_QTrial])</f>
        <v>➖</v>
      </c>
      <c r="K182" s="419" t="str">
        <f t="array" ref="K182">XLOOKUP(LCARS_Tech[BuffID],RawTech[BuffID],RawTech[Tag_MissionBosses])</f>
        <v>➖</v>
      </c>
      <c r="L182" s="419" t="str">
        <f t="array" ref="L182">XLOOKUP(LCARS_Tech[BuffID],RawTech[BuffID],RawTech[Tag_GroupArmadas])</f>
        <v>➖</v>
      </c>
      <c r="M182" s="419" t="str">
        <f t="array" ref="M182">XLOOKUP(LCARS_Tech[BuffID],RawTech[BuffID],RawTech[Tag_SoloArmadas])</f>
        <v>➖</v>
      </c>
      <c r="N182" s="419" t="str">
        <f t="array" ref="N182">XLOOKUP(LCARS_Tech[BuffID],RawTech[BuffID],RawTech[Tag_InvadingEntities])</f>
        <v>➖</v>
      </c>
      <c r="O182" s="419" t="str">
        <f t="array" ref="O182">XLOOKUP(LCARS_Tech[BuffID],RawTech[BuffID],RawTech[Tag_Assaults])</f>
        <v>➖</v>
      </c>
      <c r="P182" s="442" t="str">
        <f t="array" ref="P182">XLOOKUP(LCARS_Tech[BuffID],RawTech[BuffID],RawTech[Tag_OutpostArmadas])</f>
        <v>➖</v>
      </c>
      <c r="Q182" s="450" t="str">
        <f t="array" ref="Q182">XLOOKUP(LCARS_Tech[BuffID],RawTech[BuffID],RawTech[Tag_OutpostRetaliators])</f>
        <v>➖</v>
      </c>
      <c r="R182" s="450" t="str">
        <f t="array" ref="R182">XLOOKUP(MasterTech!$AF$4:$AF$214,RawTech!$AO$2:$AO$212,RawTech!$AV$2:$AV$212)</f>
        <v>SelfBattleship</v>
      </c>
      <c r="S182" s="419" t="str">
        <f t="array" ref="S182">XLOOKUP(MasterTech!$AF$4:$AF$214,RawTech!$AO$2:$AO$212,RawTech!$AK$2:$AK$212)</f>
        <v>➖</v>
      </c>
      <c r="T182" s="422" t="str">
        <f t="array" ref="T182">XLOOKUP(MasterTech!$AF$4:$AF$214,RawTech!$AO$2:$AO$212,RawTech!$AM$2:$AM$212)</f>
        <v>➖</v>
      </c>
      <c r="U182" s="423" t="str">
        <f t="array" ref="U182">XLOOKUP(MasterTech!$AF$4:$AF$214,RawTech!$AO$2:$AO$212,RawTech!$D$2:$D$212)</f>
        <v>IsolyticDamage</v>
      </c>
      <c r="V182" s="420" t="str">
        <f t="array" ref="V182">XLOOKUP(MasterTech!$AF$4:$AF$214,RawTech!$AO$2:$AO$212,RawTech!$I$2:$I$212)</f>
        <v/>
      </c>
      <c r="W182" s="443" t="str">
        <f t="array" ref="W182">XLOOKUP(MasterTech!$AF$4:$AF$214,RawTech!$AO$2:$AO$212,RawTech!$E$2:$E$212)</f>
        <v>SelfBattleship, EnemyPlayer</v>
      </c>
      <c r="X182" s="423" t="str">
        <f t="array" ref="X182">XLOOKUP(MasterTech!$AF$4:$AF$214,RawTech!$AO$2:$AO$212,RawTech!$F$2:$F$212)</f>
        <v>CombatStart</v>
      </c>
      <c r="Y182" s="423" t="str">
        <f t="array" ref="Y182">XLOOKUP(MasterTech!$AF$4:$AF$214,RawTech!$AO$2:$AO$212,RawTech!$G$2:$G$212)</f>
        <v>SelfShip</v>
      </c>
      <c r="Z182" s="423" t="str">
        <f t="array" ref="Z182">XLOOKUP(MasterTech!$AF$4:$AF$214,RawTech!$AO$2:$AO$212,RawTech!$H$2:$H$212)</f>
        <v>Add</v>
      </c>
      <c r="AA182" s="423" t="str">
        <f t="array" ref="AA182">XLOOKUP(MasterTech!$AF$4:$AF$214,RawTech!$AO$2:$AO$212,RawTech!$J$2:$J$212)</f>
        <v>Increases Battleship Isolytic Damage against players by X.</v>
      </c>
      <c r="AB182" s="424"/>
      <c r="AC182" s="425"/>
      <c r="AD182" s="425"/>
      <c r="AE182" s="461">
        <f t="array" ref="AE182">XLOOKUP(MasterTech!$AF$4:$AF$214,RawTech!$AO$2:$AO$212,RawTech!$AR$2:$AR$212)</f>
        <v>57</v>
      </c>
      <c r="AF182" s="427">
        <v>3.383108265E9</v>
      </c>
      <c r="AG182" s="428"/>
      <c r="AH182" s="428"/>
      <c r="AI182" s="429"/>
      <c r="AJ182" s="430"/>
    </row>
    <row r="183" ht="37.5" customHeight="1">
      <c r="A183" s="415" t="str">
        <f t="array" ref="A183">LEFT(XLOOKUP(LCARS_Tech[BuffID],RawTech[BuffID],RawTech[TechRarity]), 1)</f>
        <v>E</v>
      </c>
      <c r="B183" s="416"/>
      <c r="C183" s="464" t="str">
        <f t="array" ref="C183">HYPERLINK("https://stfc.space/forbidden_and_chaos_tech/" &amp; XLOOKUP(MasterTech!$AF$4:$AF$214,RawTech!$AO$2:$AO$212,RawTech!$AQ$2:$AQ$212), XLOOKUP(MasterTech!$AF$4:$AF$214,RawTech!$AO$2:$AO$212,RawTech!$B$2:$B$212))</f>
        <v>[PRO] Harvester</v>
      </c>
      <c r="D183" s="432">
        <f t="array" ref="D183">XLOOKUP(LCARS_Tech[BuffID],RawTech[BuffID],RawTech[BuffOrder])</f>
        <v>1</v>
      </c>
      <c r="E183" s="433" t="str">
        <f t="array" ref="E183">XLOOKUP(LCARS_Tech[BuffID],RawTech[BuffID],RawTech[TechType])</f>
        <v>FT</v>
      </c>
      <c r="F183" s="433" t="str">
        <f t="array" ref="F183">XLOOKUP(LCARS_Tech[BuffID],RawTech[BuffID],RawTech[Tag_PvPinSpace])</f>
        <v>➖</v>
      </c>
      <c r="G183" s="433" t="str">
        <f t="array" ref="G183">XLOOKUP(LCARS_Tech[BuffID],RawTech[BuffID],RawTech[Tag_PvPStation])</f>
        <v>➖</v>
      </c>
      <c r="H183" s="433" t="str">
        <f t="array" ref="H183">XLOOKUP(LCARS_Tech[BuffID],RawTech[BuffID],RawTech[Tag_NonArmadaHostiles])</f>
        <v>➖</v>
      </c>
      <c r="I183" s="433" t="str">
        <f t="array" ref="I183">XLOOKUP(LCARS_Tech[BuffID],RawTech[BuffID],RawTech[Tag_WaveDefense])</f>
        <v>➖</v>
      </c>
      <c r="J183" s="433" t="str">
        <f t="array" ref="J183">XLOOKUP(LCARS_Tech[BuffID],RawTech[BuffID],RawTech[Tag_QTrial])</f>
        <v>➖</v>
      </c>
      <c r="K183" s="433" t="str">
        <f t="array" ref="K183">XLOOKUP(LCARS_Tech[BuffID],RawTech[BuffID],RawTech[Tag_MissionBosses])</f>
        <v>➖</v>
      </c>
      <c r="L183" s="433" t="str">
        <f t="array" ref="L183">XLOOKUP(LCARS_Tech[BuffID],RawTech[BuffID],RawTech[Tag_GroupArmadas])</f>
        <v>➖</v>
      </c>
      <c r="M183" s="433" t="str">
        <f t="array" ref="M183">XLOOKUP(LCARS_Tech[BuffID],RawTech[BuffID],RawTech[Tag_SoloArmadas])</f>
        <v>➖</v>
      </c>
      <c r="N183" s="433" t="str">
        <f t="array" ref="N183">XLOOKUP(LCARS_Tech[BuffID],RawTech[BuffID],RawTech[Tag_InvadingEntities])</f>
        <v>➖</v>
      </c>
      <c r="O183" s="433" t="str">
        <f t="array" ref="O183">XLOOKUP(LCARS_Tech[BuffID],RawTech[BuffID],RawTech[Tag_Assaults])</f>
        <v>➖</v>
      </c>
      <c r="P183" s="434" t="str">
        <f t="array" ref="P183">XLOOKUP(LCARS_Tech[BuffID],RawTech[BuffID],RawTech[Tag_OutpostArmadas])</f>
        <v>➖</v>
      </c>
      <c r="Q183" s="416" t="str">
        <f t="array" ref="Q183">XLOOKUP(LCARS_Tech[BuffID],RawTech[BuffID],RawTech[Tag_OutpostRetaliators])</f>
        <v>➖</v>
      </c>
      <c r="R183" s="416" t="str">
        <f t="array" ref="R183">XLOOKUP(MasterTech!$AF$4:$AF$214,RawTech!$AO$2:$AO$212,RawTech!$AV$2:$AV$212)</f>
        <v/>
      </c>
      <c r="S183" s="433" t="str">
        <f t="array" ref="S183">XLOOKUP(MasterTech!$AF$4:$AF$214,RawTech!$AO$2:$AO$212,RawTech!$AK$2:$AK$212)</f>
        <v>➖</v>
      </c>
      <c r="T183" s="435" t="str">
        <f t="array" ref="T183">XLOOKUP(MasterTech!$AF$4:$AF$214,RawTech!$AO$2:$AO$212,RawTech!$AM$2:$AM$212)</f>
        <v>✅</v>
      </c>
      <c r="U183" s="438" t="str">
        <f t="array" ref="U183">XLOOKUP(MasterTech!$AF$4:$AF$214,RawTech!$AO$2:$AO$212,RawTech!$D$2:$D$212)</f>
        <v>CargoCapacity</v>
      </c>
      <c r="V183" s="416" t="str">
        <f t="array" ref="V183">XLOOKUP(MasterTech!$AF$4:$AF$214,RawTech!$AO$2:$AO$212,RawTech!$I$2:$I$212)</f>
        <v/>
      </c>
      <c r="W183" s="447" t="str">
        <f t="array" ref="W183">XLOOKUP(MasterTech!$AF$4:$AF$214,RawTech!$AO$2:$AO$212,RawTech!$E$2:$E$212)</f>
        <v>SelfSurveyor</v>
      </c>
      <c r="X183" s="438" t="str">
        <f t="array" ref="X183">XLOOKUP(MasterTech!$AF$4:$AF$214,RawTech!$AO$2:$AO$212,RawTech!$F$2:$F$212)</f>
        <v>ShipLaunched</v>
      </c>
      <c r="Y183" s="438" t="str">
        <f t="array" ref="Y183">XLOOKUP(MasterTech!$AF$4:$AF$214,RawTech!$AO$2:$AO$212,RawTech!$G$2:$G$212)</f>
        <v>SelfShip</v>
      </c>
      <c r="Z183" s="438" t="str">
        <f t="array" ref="Z183">XLOOKUP(MasterTech!$AF$4:$AF$214,RawTech!$AO$2:$AO$212,RawTech!$H$2:$H$212)</f>
        <v>MultiplyAdd</v>
      </c>
      <c r="AA183" s="438" t="str">
        <f t="array" ref="AA183">XLOOKUP(MasterTech!$AF$4:$AF$214,RawTech!$AO$2:$AO$212,RawTech!$J$2:$J$212)</f>
        <v>Increases base Max Cargo for Surveys by X.</v>
      </c>
      <c r="AB183" s="439"/>
      <c r="AC183" s="440"/>
      <c r="AD183" s="440"/>
      <c r="AE183" s="462">
        <f t="array" ref="AE183">XLOOKUP(MasterTech!$AF$4:$AF$214,RawTech!$AO$2:$AO$212,RawTech!$AR$2:$AR$212)</f>
        <v>54</v>
      </c>
      <c r="AF183" s="427">
        <v>3.022170676E9</v>
      </c>
      <c r="AG183" s="428"/>
      <c r="AH183" s="428"/>
      <c r="AI183" s="429"/>
      <c r="AJ183" s="430"/>
    </row>
    <row r="184" ht="37.5" customHeight="1">
      <c r="A184" s="415" t="str">
        <f t="array" ref="A184">LEFT(XLOOKUP(LCARS_Tech[BuffID],RawTech[BuffID],RawTech[TechRarity]), 1)</f>
        <v>E</v>
      </c>
      <c r="B184" s="420"/>
      <c r="C184" s="460" t="str">
        <f t="array" ref="C184">HYPERLINK("https://stfc.space/forbidden_and_chaos_tech/" &amp; XLOOKUP(MasterTech!$AF$4:$AF$214,RawTech!$AO$2:$AO$212,RawTech!$AQ$2:$AQ$212), XLOOKUP(MasterTech!$AF$4:$AF$214,RawTech!$AO$2:$AO$212,RawTech!$B$2:$B$212))</f>
        <v>[PRO] Harvester</v>
      </c>
      <c r="D184" s="418">
        <f t="array" ref="D184">XLOOKUP(LCARS_Tech[BuffID],RawTech[BuffID],RawTech[BuffOrder])</f>
        <v>2</v>
      </c>
      <c r="E184" s="419" t="str">
        <f t="array" ref="E184">XLOOKUP(LCARS_Tech[BuffID],RawTech[BuffID],RawTech[TechType])</f>
        <v>FT</v>
      </c>
      <c r="F184" s="419" t="str">
        <f t="array" ref="F184">XLOOKUP(LCARS_Tech[BuffID],RawTech[BuffID],RawTech[Tag_PvPinSpace])</f>
        <v>➖</v>
      </c>
      <c r="G184" s="419" t="str">
        <f t="array" ref="G184">XLOOKUP(LCARS_Tech[BuffID],RawTech[BuffID],RawTech[Tag_PvPStation])</f>
        <v>➖</v>
      </c>
      <c r="H184" s="419" t="str">
        <f t="array" ref="H184">XLOOKUP(LCARS_Tech[BuffID],RawTech[BuffID],RawTech[Tag_NonArmadaHostiles])</f>
        <v>➖</v>
      </c>
      <c r="I184" s="419" t="str">
        <f t="array" ref="I184">XLOOKUP(LCARS_Tech[BuffID],RawTech[BuffID],RawTech[Tag_WaveDefense])</f>
        <v>➖</v>
      </c>
      <c r="J184" s="419" t="str">
        <f t="array" ref="J184">XLOOKUP(LCARS_Tech[BuffID],RawTech[BuffID],RawTech[Tag_QTrial])</f>
        <v>➖</v>
      </c>
      <c r="K184" s="419" t="str">
        <f t="array" ref="K184">XLOOKUP(LCARS_Tech[BuffID],RawTech[BuffID],RawTech[Tag_MissionBosses])</f>
        <v>➖</v>
      </c>
      <c r="L184" s="419" t="str">
        <f t="array" ref="L184">XLOOKUP(LCARS_Tech[BuffID],RawTech[BuffID],RawTech[Tag_GroupArmadas])</f>
        <v>➖</v>
      </c>
      <c r="M184" s="419" t="str">
        <f t="array" ref="M184">XLOOKUP(LCARS_Tech[BuffID],RawTech[BuffID],RawTech[Tag_SoloArmadas])</f>
        <v>➖</v>
      </c>
      <c r="N184" s="419" t="str">
        <f t="array" ref="N184">XLOOKUP(LCARS_Tech[BuffID],RawTech[BuffID],RawTech[Tag_InvadingEntities])</f>
        <v>➖</v>
      </c>
      <c r="O184" s="419" t="str">
        <f t="array" ref="O184">XLOOKUP(LCARS_Tech[BuffID],RawTech[BuffID],RawTech[Tag_Assaults])</f>
        <v>➖</v>
      </c>
      <c r="P184" s="442" t="str">
        <f t="array" ref="P184">XLOOKUP(LCARS_Tech[BuffID],RawTech[BuffID],RawTech[Tag_OutpostArmadas])</f>
        <v>➖</v>
      </c>
      <c r="Q184" s="442" t="str">
        <f t="array" ref="Q184">XLOOKUP(LCARS_Tech[BuffID],RawTech[BuffID],RawTech[Tag_OutpostRetaliators])</f>
        <v>➖</v>
      </c>
      <c r="R184" s="420" t="str">
        <f t="array" ref="R184">XLOOKUP(MasterTech!$AF$4:$AF$214,RawTech!$AO$2:$AO$212,RawTech!$AV$2:$AV$212)</f>
        <v/>
      </c>
      <c r="S184" s="419" t="str">
        <f t="array" ref="S184">XLOOKUP(MasterTech!$AF$4:$AF$214,RawTech!$AO$2:$AO$212,RawTech!$AK$2:$AK$212)</f>
        <v>➖</v>
      </c>
      <c r="T184" s="422" t="str">
        <f t="array" ref="T184">XLOOKUP(MasterTech!$AF$4:$AF$214,RawTech!$AO$2:$AO$212,RawTech!$AM$2:$AM$212)</f>
        <v>✅</v>
      </c>
      <c r="U184" s="423" t="str">
        <f t="array" ref="U184">XLOOKUP(MasterTech!$AF$4:$AF$214,RawTech!$AO$2:$AO$212,RawTech!$D$2:$D$212)</f>
        <v>CargoProtection</v>
      </c>
      <c r="V184" s="420" t="str">
        <f t="array" ref="V184">XLOOKUP(MasterTech!$AF$4:$AF$214,RawTech!$AO$2:$AO$212,RawTech!$I$2:$I$212)</f>
        <v/>
      </c>
      <c r="W184" s="443" t="str">
        <f t="array" ref="W184">XLOOKUP(MasterTech!$AF$4:$AF$214,RawTech!$AO$2:$AO$212,RawTech!$E$2:$E$212)</f>
        <v>SelfSurveyor</v>
      </c>
      <c r="X184" s="423" t="str">
        <f t="array" ref="X184">XLOOKUP(MasterTech!$AF$4:$AF$214,RawTech!$AO$2:$AO$212,RawTech!$F$2:$F$212)</f>
        <v>ShipLaunched</v>
      </c>
      <c r="Y184" s="423" t="str">
        <f t="array" ref="Y184">XLOOKUP(MasterTech!$AF$4:$AF$214,RawTech!$AO$2:$AO$212,RawTech!$G$2:$G$212)</f>
        <v>SelfShip</v>
      </c>
      <c r="Z184" s="423" t="str">
        <f t="array" ref="Z184">XLOOKUP(MasterTech!$AF$4:$AF$214,RawTech!$AO$2:$AO$212,RawTech!$H$2:$H$212)</f>
        <v>MultiplyAdd</v>
      </c>
      <c r="AA184" s="423" t="str">
        <f t="array" ref="AA184">XLOOKUP(MasterTech!$AF$4:$AF$214,RawTech!$AO$2:$AO$212,RawTech!$J$2:$J$212)</f>
        <v>Increases base Protected Cargo for Surveys by X.</v>
      </c>
      <c r="AB184" s="424"/>
      <c r="AC184" s="425"/>
      <c r="AD184" s="425"/>
      <c r="AE184" s="461">
        <f t="array" ref="AE184">XLOOKUP(MasterTech!$AF$4:$AF$214,RawTech!$AO$2:$AO$212,RawTech!$AR$2:$AR$212)</f>
        <v>54</v>
      </c>
      <c r="AF184" s="427">
        <v>2.99943069E9</v>
      </c>
      <c r="AG184" s="428"/>
      <c r="AH184" s="428"/>
      <c r="AI184" s="429"/>
      <c r="AJ184" s="430"/>
    </row>
    <row r="185" ht="37.5" customHeight="1">
      <c r="A185" s="415" t="str">
        <f t="array" ref="A185">LEFT(XLOOKUP(LCARS_Tech[BuffID],RawTech[BuffID],RawTech[TechRarity]), 1)</f>
        <v>E</v>
      </c>
      <c r="B185" s="416"/>
      <c r="C185" s="464" t="str">
        <f t="array" ref="C185">HYPERLINK("https://stfc.space/forbidden_and_chaos_tech/" &amp; XLOOKUP(MasterTech!$AF$4:$AF$214,RawTech!$AO$2:$AO$212,RawTech!$AQ$2:$AQ$212), XLOOKUP(MasterTech!$AF$4:$AF$214,RawTech!$AO$2:$AO$212,RawTech!$B$2:$B$212))</f>
        <v>[PRO] Harvester</v>
      </c>
      <c r="D185" s="432">
        <f t="array" ref="D185">XLOOKUP(LCARS_Tech[BuffID],RawTech[BuffID],RawTech[BuffOrder])</f>
        <v>3</v>
      </c>
      <c r="E185" s="433" t="str">
        <f t="array" ref="E185">XLOOKUP(LCARS_Tech[BuffID],RawTech[BuffID],RawTech[TechType])</f>
        <v>FT</v>
      </c>
      <c r="F185" s="433" t="str">
        <f t="array" ref="F185">XLOOKUP(LCARS_Tech[BuffID],RawTech[BuffID],RawTech[Tag_PvPinSpace])</f>
        <v>➖</v>
      </c>
      <c r="G185" s="433" t="str">
        <f t="array" ref="G185">XLOOKUP(LCARS_Tech[BuffID],RawTech[BuffID],RawTech[Tag_PvPStation])</f>
        <v>➖</v>
      </c>
      <c r="H185" s="433" t="str">
        <f t="array" ref="H185">XLOOKUP(LCARS_Tech[BuffID],RawTech[BuffID],RawTech[Tag_NonArmadaHostiles])</f>
        <v>➖</v>
      </c>
      <c r="I185" s="433" t="str">
        <f t="array" ref="I185">XLOOKUP(LCARS_Tech[BuffID],RawTech[BuffID],RawTech[Tag_WaveDefense])</f>
        <v>➖</v>
      </c>
      <c r="J185" s="433" t="str">
        <f t="array" ref="J185">XLOOKUP(LCARS_Tech[BuffID],RawTech[BuffID],RawTech[Tag_QTrial])</f>
        <v>➖</v>
      </c>
      <c r="K185" s="433" t="str">
        <f t="array" ref="K185">XLOOKUP(LCARS_Tech[BuffID],RawTech[BuffID],RawTech[Tag_MissionBosses])</f>
        <v>➖</v>
      </c>
      <c r="L185" s="433" t="str">
        <f t="array" ref="L185">XLOOKUP(LCARS_Tech[BuffID],RawTech[BuffID],RawTech[Tag_GroupArmadas])</f>
        <v>➖</v>
      </c>
      <c r="M185" s="433" t="str">
        <f t="array" ref="M185">XLOOKUP(LCARS_Tech[BuffID],RawTech[BuffID],RawTech[Tag_SoloArmadas])</f>
        <v>➖</v>
      </c>
      <c r="N185" s="433" t="str">
        <f t="array" ref="N185">XLOOKUP(LCARS_Tech[BuffID],RawTech[BuffID],RawTech[Tag_InvadingEntities])</f>
        <v>➖</v>
      </c>
      <c r="O185" s="433" t="str">
        <f t="array" ref="O185">XLOOKUP(LCARS_Tech[BuffID],RawTech[BuffID],RawTech[Tag_Assaults])</f>
        <v>➖</v>
      </c>
      <c r="P185" s="434" t="str">
        <f t="array" ref="P185">XLOOKUP(LCARS_Tech[BuffID],RawTech[BuffID],RawTech[Tag_OutpostArmadas])</f>
        <v>➖</v>
      </c>
      <c r="Q185" s="416" t="str">
        <f t="array" ref="Q185">XLOOKUP(LCARS_Tech[BuffID],RawTech[BuffID],RawTech[Tag_OutpostRetaliators])</f>
        <v>➖</v>
      </c>
      <c r="R185" s="416" t="str">
        <f t="array" ref="R185">XLOOKUP(MasterTech!$AF$4:$AF$214,RawTech!$AO$2:$AO$212,RawTech!$AV$2:$AV$212)</f>
        <v/>
      </c>
      <c r="S185" s="433" t="str">
        <f t="array" ref="S185">XLOOKUP(MasterTech!$AF$4:$AF$214,RawTech!$AO$2:$AO$212,RawTech!$AK$2:$AK$212)</f>
        <v>➖</v>
      </c>
      <c r="T185" s="435" t="str">
        <f t="array" ref="T185">XLOOKUP(MasterTech!$AF$4:$AF$214,RawTech!$AO$2:$AO$212,RawTech!$AM$2:$AM$212)</f>
        <v>✅</v>
      </c>
      <c r="U185" s="438" t="str">
        <f t="array" ref="U185">XLOOKUP(MasterTech!$AF$4:$AF$214,RawTech!$AO$2:$AO$212,RawTech!$D$2:$D$212)</f>
        <v>MiningRate</v>
      </c>
      <c r="V185" s="438" t="str">
        <f t="array" ref="V185">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v>
      </c>
      <c r="W185" s="447" t="str">
        <f t="array" ref="W185">XLOOKUP(MasterTech!$AF$4:$AF$214,RawTech!$AO$2:$AO$212,RawTech!$E$2:$E$212)</f>
        <v>SelfSurveyor</v>
      </c>
      <c r="X185" s="438" t="str">
        <f t="array" ref="X185">XLOOKUP(MasterTech!$AF$4:$AF$214,RawTech!$AO$2:$AO$212,RawTech!$F$2:$F$212)</f>
        <v>ShipLaunched</v>
      </c>
      <c r="Y185" s="438" t="str">
        <f t="array" ref="Y185">XLOOKUP(MasterTech!$AF$4:$AF$214,RawTech!$AO$2:$AO$212,RawTech!$G$2:$G$212)</f>
        <v>SelfShip</v>
      </c>
      <c r="Z185" s="438" t="str">
        <f t="array" ref="Z185">XLOOKUP(MasterTech!$AF$4:$AF$214,RawTech!$AO$2:$AO$212,RawTech!$H$2:$H$212)</f>
        <v>MultiplyAdd</v>
      </c>
      <c r="AA185" s="438" t="str">
        <f t="array" ref="AA185">XLOOKUP(MasterTech!$AF$4:$AF$214,RawTech!$AO$2:$AO$212,RawTech!$J$2:$J$212)</f>
        <v>Increases base Mining Speed for Surveys by X.</v>
      </c>
      <c r="AB185" s="439"/>
      <c r="AC185" s="440"/>
      <c r="AD185" s="440"/>
      <c r="AE185" s="462">
        <f t="array" ref="AE185">XLOOKUP(MasterTech!$AF$4:$AF$214,RawTech!$AO$2:$AO$212,RawTech!$AR$2:$AR$212)</f>
        <v>54</v>
      </c>
      <c r="AF185" s="427">
        <v>2.182047516E9</v>
      </c>
      <c r="AG185" s="428"/>
      <c r="AH185" s="428"/>
      <c r="AI185" s="429"/>
      <c r="AJ185" s="430"/>
    </row>
    <row r="186" ht="37.5" customHeight="1">
      <c r="A186" s="415" t="str">
        <f t="array" ref="A186">LEFT(XLOOKUP(LCARS_Tech[BuffID],RawTech[BuffID],RawTech[TechRarity]), 1)</f>
        <v>E</v>
      </c>
      <c r="B186" s="420"/>
      <c r="C186" s="460" t="str">
        <f t="array" ref="C186">HYPERLINK("https://stfc.space/forbidden_and_chaos_tech/" &amp; XLOOKUP(MasterTech!$AF$4:$AF$214,RawTech!$AO$2:$AO$212,RawTech!$AQ$2:$AQ$212), XLOOKUP(MasterTech!$AF$4:$AF$214,RawTech!$AO$2:$AO$212,RawTech!$B$2:$B$212))</f>
        <v>[PRO] Harvester</v>
      </c>
      <c r="D186" s="418">
        <f t="array" ref="D186">XLOOKUP(LCARS_Tech[BuffID],RawTech[BuffID],RawTech[BuffOrder])</f>
        <v>4</v>
      </c>
      <c r="E186" s="419" t="str">
        <f t="array" ref="E186">XLOOKUP(LCARS_Tech[BuffID],RawTech[BuffID],RawTech[TechType])</f>
        <v>FT</v>
      </c>
      <c r="F186" s="419" t="str">
        <f t="array" ref="F186">XLOOKUP(LCARS_Tech[BuffID],RawTech[BuffID],RawTech[Tag_PvPinSpace])</f>
        <v>➖</v>
      </c>
      <c r="G186" s="419" t="str">
        <f t="array" ref="G186">XLOOKUP(LCARS_Tech[BuffID],RawTech[BuffID],RawTech[Tag_PvPStation])</f>
        <v>➖</v>
      </c>
      <c r="H186" s="419" t="str">
        <f t="array" ref="H186">XLOOKUP(LCARS_Tech[BuffID],RawTech[BuffID],RawTech[Tag_NonArmadaHostiles])</f>
        <v>➖</v>
      </c>
      <c r="I186" s="419" t="str">
        <f t="array" ref="I186">XLOOKUP(LCARS_Tech[BuffID],RawTech[BuffID],RawTech[Tag_WaveDefense])</f>
        <v>➖</v>
      </c>
      <c r="J186" s="419" t="str">
        <f t="array" ref="J186">XLOOKUP(LCARS_Tech[BuffID],RawTech[BuffID],RawTech[Tag_QTrial])</f>
        <v>➖</v>
      </c>
      <c r="K186" s="419" t="str">
        <f t="array" ref="K186">XLOOKUP(LCARS_Tech[BuffID],RawTech[BuffID],RawTech[Tag_MissionBosses])</f>
        <v>➖</v>
      </c>
      <c r="L186" s="419" t="str">
        <f t="array" ref="L186">XLOOKUP(LCARS_Tech[BuffID],RawTech[BuffID],RawTech[Tag_GroupArmadas])</f>
        <v>➖</v>
      </c>
      <c r="M186" s="419" t="str">
        <f t="array" ref="M186">XLOOKUP(LCARS_Tech[BuffID],RawTech[BuffID],RawTech[Tag_SoloArmadas])</f>
        <v>➖</v>
      </c>
      <c r="N186" s="419" t="str">
        <f t="array" ref="N186">XLOOKUP(LCARS_Tech[BuffID],RawTech[BuffID],RawTech[Tag_InvadingEntities])</f>
        <v>➖</v>
      </c>
      <c r="O186" s="419" t="str">
        <f t="array" ref="O186">XLOOKUP(LCARS_Tech[BuffID],RawTech[BuffID],RawTech[Tag_Assaults])</f>
        <v>➖</v>
      </c>
      <c r="P186" s="442" t="str">
        <f t="array" ref="P186">XLOOKUP(LCARS_Tech[BuffID],RawTech[BuffID],RawTech[Tag_OutpostArmadas])</f>
        <v>➖</v>
      </c>
      <c r="Q186" s="420" t="str">
        <f t="array" ref="Q186">XLOOKUP(LCARS_Tech[BuffID],RawTech[BuffID],RawTech[Tag_OutpostRetaliators])</f>
        <v>➖</v>
      </c>
      <c r="R186" s="420" t="str">
        <f t="array" ref="R186">XLOOKUP(MasterTech!$AF$4:$AF$214,RawTech!$AO$2:$AO$212,RawTech!$AV$2:$AV$212)</f>
        <v/>
      </c>
      <c r="S186" s="419" t="str">
        <f t="array" ref="S186">XLOOKUP(MasterTech!$AF$4:$AF$214,RawTech!$AO$2:$AO$212,RawTech!$AK$2:$AK$212)</f>
        <v>➖</v>
      </c>
      <c r="T186" s="422" t="str">
        <f t="array" ref="T186">XLOOKUP(MasterTech!$AF$4:$AF$214,RawTech!$AO$2:$AO$212,RawTech!$AM$2:$AM$212)</f>
        <v>✅</v>
      </c>
      <c r="U186" s="423" t="str">
        <f t="array" ref="U186">XLOOKUP(MasterTech!$AF$4:$AF$214,RawTech!$AO$2:$AO$212,RawTech!$D$2:$D$212)</f>
        <v>MiningReward</v>
      </c>
      <c r="V186" s="423" t="str">
        <f t="array" ref="V186">XLOOKUP(MasterTech!$AF$4:$AF$214,RawTech!$AO$2:$AO$212,RawTech!$I$2:$I$212)</f>
        <v>resources=[96209859, 1779416627, 2964093937, 1349464922, 2002611017, 1371898528, 680796905, 3735331456, 3598797204, 3739531165, 1908242242, 84292608, 802509572, 2905009151, 3842158911]</v>
      </c>
      <c r="W186" s="443" t="str">
        <f t="array" ref="W186">XLOOKUP(MasterTech!$AF$4:$AF$214,RawTech!$AO$2:$AO$212,RawTech!$E$2:$E$212)</f>
        <v>SelfSurveyor</v>
      </c>
      <c r="X186" s="423" t="str">
        <f t="array" ref="X186">XLOOKUP(MasterTech!$AF$4:$AF$214,RawTech!$AO$2:$AO$212,RawTech!$F$2:$F$212)</f>
        <v>ShipLaunched</v>
      </c>
      <c r="Y186" s="423" t="str">
        <f t="array" ref="Y186">XLOOKUP(MasterTech!$AF$4:$AF$214,RawTech!$AO$2:$AO$212,RawTech!$G$2:$G$212)</f>
        <v>SelfShip</v>
      </c>
      <c r="Z186" s="423" t="str">
        <f t="array" ref="Z186">XLOOKUP(MasterTech!$AF$4:$AF$214,RawTech!$AO$2:$AO$212,RawTech!$H$2:$H$212)</f>
        <v>MultiplyAdd</v>
      </c>
      <c r="AA186" s="423" t="str">
        <f t="array" ref="AA186">XLOOKUP(MasterTech!$AF$4:$AF$214,RawTech!$AO$2:$AO$212,RawTech!$J$2:$J$212)</f>
        <v>Increases bonus Crystal, Gas, and Ore mined with a Survey by X.</v>
      </c>
      <c r="AB186" s="424"/>
      <c r="AC186" s="425"/>
      <c r="AD186" s="425"/>
      <c r="AE186" s="461">
        <f t="array" ref="AE186">XLOOKUP(MasterTech!$AF$4:$AF$214,RawTech!$AO$2:$AO$212,RawTech!$AR$2:$AR$212)</f>
        <v>54</v>
      </c>
      <c r="AF186" s="427">
        <v>2.908292505E9</v>
      </c>
      <c r="AG186" s="428"/>
      <c r="AH186" s="428"/>
      <c r="AI186" s="429"/>
      <c r="AJ186" s="430"/>
    </row>
    <row r="187" ht="37.5" customHeight="1">
      <c r="A187" s="415" t="str">
        <f t="array" ref="A187">LEFT(XLOOKUP(LCARS_Tech[BuffID],RawTech[BuffID],RawTech[TechRarity]), 1)</f>
        <v>R</v>
      </c>
      <c r="B187" s="416"/>
      <c r="C187" s="454" t="str">
        <f t="array" ref="C187">HYPERLINK("https://stfc.space/forbidden_and_chaos_tech/" &amp; XLOOKUP(MasterTech!$AF$4:$AF$214,RawTech!$AO$2:$AO$212,RawTech!$AQ$2:$AQ$212), XLOOKUP(MasterTech!$AF$4:$AF$214,RawTech!$AO$2:$AO$212,RawTech!$B$2:$B$212))</f>
        <v>[PRO] Orion Syndicate Bomb</v>
      </c>
      <c r="D187" s="432">
        <f t="array" ref="D187">XLOOKUP(LCARS_Tech[BuffID],RawTech[BuffID],RawTech[BuffOrder])</f>
        <v>1</v>
      </c>
      <c r="E187" s="433" t="str">
        <f t="array" ref="E187">XLOOKUP(LCARS_Tech[BuffID],RawTech[BuffID],RawTech[TechType])</f>
        <v>FT</v>
      </c>
      <c r="F187" s="433" t="str">
        <f t="array" ref="F187">XLOOKUP(LCARS_Tech[BuffID],RawTech[BuffID],RawTech[Tag_PvPinSpace])</f>
        <v>➖</v>
      </c>
      <c r="G187" s="433" t="str">
        <f t="array" ref="G187">XLOOKUP(LCARS_Tech[BuffID],RawTech[BuffID],RawTech[Tag_PvPStation])</f>
        <v>➖</v>
      </c>
      <c r="H187" s="433" t="str">
        <f t="array" ref="H187">XLOOKUP(LCARS_Tech[BuffID],RawTech[BuffID],RawTech[Tag_NonArmadaHostiles])</f>
        <v>➖</v>
      </c>
      <c r="I187" s="433" t="str">
        <f t="array" ref="I187">XLOOKUP(LCARS_Tech[BuffID],RawTech[BuffID],RawTech[Tag_WaveDefense])</f>
        <v>➖</v>
      </c>
      <c r="J187" s="433" t="str">
        <f t="array" ref="J187">XLOOKUP(LCARS_Tech[BuffID],RawTech[BuffID],RawTech[Tag_QTrial])</f>
        <v>➖</v>
      </c>
      <c r="K187" s="433" t="str">
        <f t="array" ref="K187">XLOOKUP(LCARS_Tech[BuffID],RawTech[BuffID],RawTech[Tag_MissionBosses])</f>
        <v>➖</v>
      </c>
      <c r="L187" s="433" t="str">
        <f t="array" ref="L187">XLOOKUP(LCARS_Tech[BuffID],RawTech[BuffID],RawTech[Tag_GroupArmadas])</f>
        <v>➖</v>
      </c>
      <c r="M187" s="433" t="str">
        <f t="array" ref="M187">XLOOKUP(LCARS_Tech[BuffID],RawTech[BuffID],RawTech[Tag_SoloArmadas])</f>
        <v>➖</v>
      </c>
      <c r="N187" s="433" t="str">
        <f t="array" ref="N187">XLOOKUP(LCARS_Tech[BuffID],RawTech[BuffID],RawTech[Tag_InvadingEntities])</f>
        <v>➖</v>
      </c>
      <c r="O187" s="433" t="str">
        <f t="array" ref="O187">XLOOKUP(LCARS_Tech[BuffID],RawTech[BuffID],RawTech[Tag_Assaults])</f>
        <v>➖</v>
      </c>
      <c r="P187" s="434" t="str">
        <f t="array" ref="P187">XLOOKUP(LCARS_Tech[BuffID],RawTech[BuffID],RawTech[Tag_OutpostArmadas])</f>
        <v>➖</v>
      </c>
      <c r="Q187" s="416" t="str">
        <f t="array" ref="Q187">XLOOKUP(LCARS_Tech[BuffID],RawTech[BuffID],RawTech[Tag_OutpostRetaliators])</f>
        <v>➖</v>
      </c>
      <c r="R187" s="416" t="str">
        <f t="array" ref="R187">XLOOKUP(MasterTech!$AF$4:$AF$214,RawTech!$AO$2:$AO$212,RawTech!$AV$2:$AV$212)</f>
        <v/>
      </c>
      <c r="S187" s="433" t="str">
        <f t="array" ref="S187">XLOOKUP(MasterTech!$AF$4:$AF$214,RawTech!$AO$2:$AO$212,RawTech!$AK$2:$AK$212)</f>
        <v>➖</v>
      </c>
      <c r="T187" s="435" t="str">
        <f t="array" ref="T187">XLOOKUP(MasterTech!$AF$4:$AF$214,RawTech!$AO$2:$AO$212,RawTech!$AM$2:$AM$212)</f>
        <v>✅</v>
      </c>
      <c r="U187" s="438" t="str">
        <f t="array" ref="U187">XLOOKUP(MasterTech!$AF$4:$AF$214,RawTech!$AO$2:$AO$212,RawTech!$D$2:$D$212)</f>
        <v>WarpDistance</v>
      </c>
      <c r="V187" s="416" t="str">
        <f t="array" ref="V187">XLOOKUP(MasterTech!$AF$4:$AF$214,RawTech!$AO$2:$AO$212,RawTech!$I$2:$I$212)</f>
        <v/>
      </c>
      <c r="W187" s="437" t="str">
        <f t="array" ref="W187">XLOOKUP(MasterTech!$AF$4:$AF$214,RawTech!$AO$2:$AO$212,RawTech!$E$2:$E$212)</f>
        <v/>
      </c>
      <c r="X187" s="438" t="str">
        <f t="array" ref="X187">XLOOKUP(MasterTech!$AF$4:$AF$214,RawTech!$AO$2:$AO$212,RawTech!$F$2:$F$212)</f>
        <v>ShipLaunched</v>
      </c>
      <c r="Y187" s="438" t="str">
        <f t="array" ref="Y187">XLOOKUP(MasterTech!$AF$4:$AF$214,RawTech!$AO$2:$AO$212,RawTech!$G$2:$G$212)</f>
        <v>SelfShip</v>
      </c>
      <c r="Z187" s="438" t="str">
        <f t="array" ref="Z187">XLOOKUP(MasterTech!$AF$4:$AF$214,RawTech!$AO$2:$AO$212,RawTech!$H$2:$H$212)</f>
        <v>Add</v>
      </c>
      <c r="AA187" s="438" t="str">
        <f t="array" ref="AA187">XLOOKUP(MasterTech!$AF$4:$AF$214,RawTech!$AO$2:$AO$212,RawTech!$J$2:$J$212)</f>
        <v>Increases base Warp Range by X.</v>
      </c>
      <c r="AB187" s="439"/>
      <c r="AC187" s="440"/>
      <c r="AD187" s="440"/>
      <c r="AE187" s="455">
        <f t="array" ref="AE187">XLOOKUP(MasterTech!$AF$4:$AF$214,RawTech!$AO$2:$AO$212,RawTech!$AR$2:$AR$212)</f>
        <v>56</v>
      </c>
      <c r="AF187" s="427">
        <v>3.664614143E9</v>
      </c>
      <c r="AG187" s="428"/>
      <c r="AH187" s="428"/>
      <c r="AI187" s="429"/>
      <c r="AJ187" s="430"/>
    </row>
    <row r="188" ht="37.5" customHeight="1">
      <c r="A188" s="415" t="str">
        <f t="array" ref="A188">LEFT(XLOOKUP(LCARS_Tech[BuffID],RawTech[BuffID],RawTech[TechRarity]), 1)</f>
        <v>R</v>
      </c>
      <c r="B188" s="420"/>
      <c r="C188" s="452" t="str">
        <f t="array" ref="C188">HYPERLINK("https://stfc.space/forbidden_and_chaos_tech/" &amp; XLOOKUP(MasterTech!$AF$4:$AF$214,RawTech!$AO$2:$AO$212,RawTech!$AQ$2:$AQ$212), XLOOKUP(MasterTech!$AF$4:$AF$214,RawTech!$AO$2:$AO$212,RawTech!$B$2:$B$212))</f>
        <v>[PRO] Orion Syndicate Bomb</v>
      </c>
      <c r="D188" s="418">
        <f t="array" ref="D188">XLOOKUP(LCARS_Tech[BuffID],RawTech[BuffID],RawTech[BuffOrder])</f>
        <v>2</v>
      </c>
      <c r="E188" s="419" t="str">
        <f t="array" ref="E188">XLOOKUP(LCARS_Tech[BuffID],RawTech[BuffID],RawTech[TechType])</f>
        <v>FT</v>
      </c>
      <c r="F188" s="419" t="str">
        <f t="array" ref="F188">XLOOKUP(LCARS_Tech[BuffID],RawTech[BuffID],RawTech[Tag_PvPinSpace])</f>
        <v>➖</v>
      </c>
      <c r="G188" s="419" t="str">
        <f t="array" ref="G188">XLOOKUP(LCARS_Tech[BuffID],RawTech[BuffID],RawTech[Tag_PvPStation])</f>
        <v>➖</v>
      </c>
      <c r="H188" s="419" t="str">
        <f t="array" ref="H188">XLOOKUP(LCARS_Tech[BuffID],RawTech[BuffID],RawTech[Tag_NonArmadaHostiles])</f>
        <v>➖</v>
      </c>
      <c r="I188" s="419" t="str">
        <f t="array" ref="I188">XLOOKUP(LCARS_Tech[BuffID],RawTech[BuffID],RawTech[Tag_WaveDefense])</f>
        <v>➖</v>
      </c>
      <c r="J188" s="419" t="str">
        <f t="array" ref="J188">XLOOKUP(LCARS_Tech[BuffID],RawTech[BuffID],RawTech[Tag_QTrial])</f>
        <v>➖</v>
      </c>
      <c r="K188" s="419" t="str">
        <f t="array" ref="K188">XLOOKUP(LCARS_Tech[BuffID],RawTech[BuffID],RawTech[Tag_MissionBosses])</f>
        <v>➖</v>
      </c>
      <c r="L188" s="419" t="str">
        <f t="array" ref="L188">XLOOKUP(LCARS_Tech[BuffID],RawTech[BuffID],RawTech[Tag_GroupArmadas])</f>
        <v>➖</v>
      </c>
      <c r="M188" s="419" t="str">
        <f t="array" ref="M188">XLOOKUP(LCARS_Tech[BuffID],RawTech[BuffID],RawTech[Tag_SoloArmadas])</f>
        <v>➖</v>
      </c>
      <c r="N188" s="419" t="str">
        <f t="array" ref="N188">XLOOKUP(LCARS_Tech[BuffID],RawTech[BuffID],RawTech[Tag_InvadingEntities])</f>
        <v>➖</v>
      </c>
      <c r="O188" s="419" t="str">
        <f t="array" ref="O188">XLOOKUP(LCARS_Tech[BuffID],RawTech[BuffID],RawTech[Tag_Assaults])</f>
        <v>➖</v>
      </c>
      <c r="P188" s="442" t="str">
        <f t="array" ref="P188">XLOOKUP(LCARS_Tech[BuffID],RawTech[BuffID],RawTech[Tag_OutpostArmadas])</f>
        <v>➖</v>
      </c>
      <c r="Q188" s="420" t="str">
        <f t="array" ref="Q188">XLOOKUP(LCARS_Tech[BuffID],RawTech[BuffID],RawTech[Tag_OutpostRetaliators])</f>
        <v>➖</v>
      </c>
      <c r="R188" s="420" t="str">
        <f t="array" ref="R188">XLOOKUP(MasterTech!$AF$4:$AF$214,RawTech!$AO$2:$AO$212,RawTech!$AV$2:$AV$212)</f>
        <v/>
      </c>
      <c r="S188" s="419" t="str">
        <f t="array" ref="S188">XLOOKUP(MasterTech!$AF$4:$AF$214,RawTech!$AO$2:$AO$212,RawTech!$AK$2:$AK$212)</f>
        <v>➖</v>
      </c>
      <c r="T188" s="422" t="str">
        <f t="array" ref="T188">XLOOKUP(MasterTech!$AF$4:$AF$214,RawTech!$AO$2:$AO$212,RawTech!$AM$2:$AM$212)</f>
        <v>✅</v>
      </c>
      <c r="U188" s="423" t="str">
        <f t="array" ref="U188">XLOOKUP(MasterTech!$AF$4:$AF$214,RawTech!$AO$2:$AO$212,RawTech!$D$2:$D$212)</f>
        <v>CombatXPReward</v>
      </c>
      <c r="V188" s="420" t="str">
        <f t="array" ref="V188">XLOOKUP(MasterTech!$AF$4:$AF$214,RawTech!$AO$2:$AO$212,RawTech!$I$2:$I$212)</f>
        <v/>
      </c>
      <c r="W188" s="421" t="str">
        <f t="array" ref="W188">XLOOKUP(MasterTech!$AF$4:$AF$214,RawTech!$AO$2:$AO$212,RawTech!$E$2:$E$212)</f>
        <v/>
      </c>
      <c r="X188" s="423" t="str">
        <f t="array" ref="X188">XLOOKUP(MasterTech!$AF$4:$AF$214,RawTech!$AO$2:$AO$212,RawTech!$F$2:$F$212)</f>
        <v>ShipLaunched</v>
      </c>
      <c r="Y188" s="423" t="str">
        <f t="array" ref="Y188">XLOOKUP(MasterTech!$AF$4:$AF$214,RawTech!$AO$2:$AO$212,RawTech!$G$2:$G$212)</f>
        <v>SelfShip</v>
      </c>
      <c r="Z188" s="423" t="str">
        <f t="array" ref="Z188">XLOOKUP(MasterTech!$AF$4:$AF$214,RawTech!$AO$2:$AO$212,RawTech!$H$2:$H$212)</f>
        <v>MultiplyAdd</v>
      </c>
      <c r="AA188" s="423" t="str">
        <f t="array" ref="AA188">XLOOKUP(MasterTech!$AF$4:$AF$214,RawTech!$AO$2:$AO$212,RawTech!$J$2:$J$212)</f>
        <v>Increases base Ship XP earned from combat by X.</v>
      </c>
      <c r="AB188" s="424"/>
      <c r="AC188" s="425"/>
      <c r="AD188" s="425"/>
      <c r="AE188" s="453">
        <f t="array" ref="AE188">XLOOKUP(MasterTech!$AF$4:$AF$214,RawTech!$AO$2:$AO$212,RawTech!$AR$2:$AR$212)</f>
        <v>56</v>
      </c>
      <c r="AF188" s="427">
        <v>2.180522501E9</v>
      </c>
      <c r="AG188" s="428"/>
      <c r="AH188" s="428"/>
      <c r="AI188" s="429"/>
      <c r="AJ188" s="430"/>
    </row>
    <row r="189" ht="37.5" customHeight="1">
      <c r="A189" s="415" t="str">
        <f t="array" ref="A189">LEFT(XLOOKUP(LCARS_Tech[BuffID],RawTech[BuffID],RawTech[TechRarity]), 1)</f>
        <v>R</v>
      </c>
      <c r="B189" s="416"/>
      <c r="C189" s="454" t="str">
        <f t="array" ref="C189">HYPERLINK("https://stfc.space/forbidden_and_chaos_tech/" &amp; XLOOKUP(MasterTech!$AF$4:$AF$214,RawTech!$AO$2:$AO$212,RawTech!$AQ$2:$AQ$212), XLOOKUP(MasterTech!$AF$4:$AF$214,RawTech!$AO$2:$AO$212,RawTech!$B$2:$B$212))</f>
        <v>[PRO] Orion Syndicate Bomb</v>
      </c>
      <c r="D189" s="432">
        <f t="array" ref="D189">XLOOKUP(LCARS_Tech[BuffID],RawTech[BuffID],RawTech[BuffOrder])</f>
        <v>3</v>
      </c>
      <c r="E189" s="433" t="str">
        <f t="array" ref="E189">XLOOKUP(LCARS_Tech[BuffID],RawTech[BuffID],RawTech[TechType])</f>
        <v>FT</v>
      </c>
      <c r="F189" s="433" t="str">
        <f t="array" ref="F189">XLOOKUP(LCARS_Tech[BuffID],RawTech[BuffID],RawTech[Tag_PvPinSpace])</f>
        <v>➖</v>
      </c>
      <c r="G189" s="433" t="str">
        <f t="array" ref="G189">XLOOKUP(LCARS_Tech[BuffID],RawTech[BuffID],RawTech[Tag_PvPStation])</f>
        <v>➖</v>
      </c>
      <c r="H189" s="433" t="str">
        <f t="array" ref="H189">XLOOKUP(LCARS_Tech[BuffID],RawTech[BuffID],RawTech[Tag_NonArmadaHostiles])</f>
        <v>✴️</v>
      </c>
      <c r="I189" s="433" t="str">
        <f t="array" ref="I189">XLOOKUP(LCARS_Tech[BuffID],RawTech[BuffID],RawTech[Tag_WaveDefense])</f>
        <v>➖</v>
      </c>
      <c r="J189" s="433" t="str">
        <f t="array" ref="J189">XLOOKUP(LCARS_Tech[BuffID],RawTech[BuffID],RawTech[Tag_QTrial])</f>
        <v>➖</v>
      </c>
      <c r="K189" s="433" t="str">
        <f t="array" ref="K189">XLOOKUP(LCARS_Tech[BuffID],RawTech[BuffID],RawTech[Tag_MissionBosses])</f>
        <v>➖</v>
      </c>
      <c r="L189" s="433" t="str">
        <f t="array" ref="L189">XLOOKUP(LCARS_Tech[BuffID],RawTech[BuffID],RawTech[Tag_GroupArmadas])</f>
        <v>✴️</v>
      </c>
      <c r="M189" s="433" t="str">
        <f t="array" ref="M189">XLOOKUP(LCARS_Tech[BuffID],RawTech[BuffID],RawTech[Tag_SoloArmadas])</f>
        <v>✴️</v>
      </c>
      <c r="N189" s="433" t="str">
        <f t="array" ref="N189">XLOOKUP(LCARS_Tech[BuffID],RawTech[BuffID],RawTech[Tag_InvadingEntities])</f>
        <v>➖</v>
      </c>
      <c r="O189" s="433" t="str">
        <f t="array" ref="O189">XLOOKUP(LCARS_Tech[BuffID],RawTech[BuffID],RawTech[Tag_Assaults])</f>
        <v>➖</v>
      </c>
      <c r="P189" s="434" t="str">
        <f t="array" ref="P189">XLOOKUP(LCARS_Tech[BuffID],RawTech[BuffID],RawTech[Tag_OutpostArmadas])</f>
        <v>➖</v>
      </c>
      <c r="Q189" s="451" t="str">
        <f t="array" ref="Q189">XLOOKUP(LCARS_Tech[BuffID],RawTech[BuffID],RawTech[Tag_OutpostRetaliators])</f>
        <v>➖</v>
      </c>
      <c r="R189" s="451" t="str">
        <f t="array" ref="R189">XLOOKUP(MasterTech!$AF$4:$AF$214,RawTech!$AO$2:$AO$212,RawTech!$AV$2:$AV$212)</f>
        <v>FactionPointsGain</v>
      </c>
      <c r="S189" s="433" t="str">
        <f t="array" ref="S189">XLOOKUP(MasterTech!$AF$4:$AF$214,RawTech!$AO$2:$AO$212,RawTech!$AK$2:$AK$212)</f>
        <v>✅</v>
      </c>
      <c r="T189" s="435" t="str">
        <f t="array" ref="T189">XLOOKUP(MasterTech!$AF$4:$AF$214,RawTech!$AO$2:$AO$212,RawTech!$AM$2:$AM$212)</f>
        <v>➖</v>
      </c>
      <c r="U189" s="438" t="str">
        <f t="array" ref="U189">XLOOKUP(MasterTech!$AF$4:$AF$214,RawTech!$AO$2:$AO$212,RawTech!$D$2:$D$212)</f>
        <v>FactionPointsGain</v>
      </c>
      <c r="V189" s="416" t="str">
        <f t="array" ref="V189">XLOOKUP(MasterTech!$AF$4:$AF$214,RawTech!$AO$2:$AO$212,RawTech!$I$2:$I$212)</f>
        <v/>
      </c>
      <c r="W189" s="437" t="str">
        <f t="array" ref="W189">XLOOKUP(MasterTech!$AF$4:$AF$214,RawTech!$AO$2:$AO$212,RawTech!$E$2:$E$212)</f>
        <v/>
      </c>
      <c r="X189" s="438" t="str">
        <f t="array" ref="X189">XLOOKUP(MasterTech!$AF$4:$AF$214,RawTech!$AO$2:$AO$212,RawTech!$F$2:$F$212)</f>
        <v>ShipLaunched</v>
      </c>
      <c r="Y189" s="438" t="str">
        <f t="array" ref="Y189">XLOOKUP(MasterTech!$AF$4:$AF$214,RawTech!$AO$2:$AO$212,RawTech!$G$2:$G$212)</f>
        <v>SelfShip</v>
      </c>
      <c r="Z189" s="438" t="str">
        <f t="array" ref="Z189">XLOOKUP(MasterTech!$AF$4:$AF$214,RawTech!$AO$2:$AO$212,RawTech!$H$2:$H$212)</f>
        <v>MultiplyAdd</v>
      </c>
      <c r="AA189" s="438" t="str">
        <f t="array" ref="AA189">XLOOKUP(MasterTech!$AF$4:$AF$214,RawTech!$AO$2:$AO$212,RawTech!$J$2:$J$212)</f>
        <v>Increases Positive Federation, Klingon, and Romulan Reputation earned when defeating hostiles by X.</v>
      </c>
      <c r="AB189" s="439"/>
      <c r="AC189" s="440"/>
      <c r="AD189" s="440"/>
      <c r="AE189" s="455">
        <f t="array" ref="AE189">XLOOKUP(MasterTech!$AF$4:$AF$214,RawTech!$AO$2:$AO$212,RawTech!$AR$2:$AR$212)</f>
        <v>56</v>
      </c>
      <c r="AF189" s="427">
        <v>3.338145101E9</v>
      </c>
      <c r="AG189" s="428"/>
      <c r="AH189" s="428"/>
      <c r="AI189" s="429"/>
      <c r="AJ189" s="430"/>
    </row>
    <row r="190" ht="37.5" customHeight="1">
      <c r="A190" s="415" t="str">
        <f t="array" ref="A190">LEFT(XLOOKUP(LCARS_Tech[BuffID],RawTech[BuffID],RawTech[TechRarity]), 1)</f>
        <v>R</v>
      </c>
      <c r="B190" s="420"/>
      <c r="C190" s="452" t="str">
        <f t="array" ref="C190">HYPERLINK("https://stfc.space/forbidden_and_chaos_tech/" &amp; XLOOKUP(MasterTech!$AF$4:$AF$214,RawTech!$AO$2:$AO$212,RawTech!$AQ$2:$AQ$212), XLOOKUP(MasterTech!$AF$4:$AF$214,RawTech!$AO$2:$AO$212,RawTech!$B$2:$B$212))</f>
        <v>[PRO] Orion Syndicate Bomb</v>
      </c>
      <c r="D190" s="418">
        <f t="array" ref="D190">XLOOKUP(LCARS_Tech[BuffID],RawTech[BuffID],RawTech[BuffOrder])</f>
        <v>4</v>
      </c>
      <c r="E190" s="419" t="str">
        <f t="array" ref="E190">XLOOKUP(LCARS_Tech[BuffID],RawTech[BuffID],RawTech[TechType])</f>
        <v>FT</v>
      </c>
      <c r="F190" s="419" t="str">
        <f t="array" ref="F190">XLOOKUP(LCARS_Tech[BuffID],RawTech[BuffID],RawTech[Tag_PvPinSpace])</f>
        <v>➖</v>
      </c>
      <c r="G190" s="419" t="str">
        <f t="array" ref="G190">XLOOKUP(LCARS_Tech[BuffID],RawTech[BuffID],RawTech[Tag_PvPStation])</f>
        <v>➖</v>
      </c>
      <c r="H190" s="419" t="str">
        <f t="array" ref="H190">XLOOKUP(LCARS_Tech[BuffID],RawTech[BuffID],RawTech[Tag_NonArmadaHostiles])</f>
        <v>✅</v>
      </c>
      <c r="I190" s="419" t="str">
        <f t="array" ref="I190">XLOOKUP(LCARS_Tech[BuffID],RawTech[BuffID],RawTech[Tag_WaveDefense])</f>
        <v>➖</v>
      </c>
      <c r="J190" s="419" t="str">
        <f t="array" ref="J190">XLOOKUP(LCARS_Tech[BuffID],RawTech[BuffID],RawTech[Tag_QTrial])</f>
        <v>➖</v>
      </c>
      <c r="K190" s="419" t="str">
        <f t="array" ref="K190">XLOOKUP(LCARS_Tech[BuffID],RawTech[BuffID],RawTech[Tag_MissionBosses])</f>
        <v>➖</v>
      </c>
      <c r="L190" s="419" t="str">
        <f t="array" ref="L190">XLOOKUP(LCARS_Tech[BuffID],RawTech[BuffID],RawTech[Tag_GroupArmadas])</f>
        <v>➖</v>
      </c>
      <c r="M190" s="419" t="str">
        <f t="array" ref="M190">XLOOKUP(LCARS_Tech[BuffID],RawTech[BuffID],RawTech[Tag_SoloArmadas])</f>
        <v>➖</v>
      </c>
      <c r="N190" s="419" t="str">
        <f t="array" ref="N190">XLOOKUP(LCARS_Tech[BuffID],RawTech[BuffID],RawTech[Tag_InvadingEntities])</f>
        <v>➖</v>
      </c>
      <c r="O190" s="419" t="str">
        <f t="array" ref="O190">XLOOKUP(LCARS_Tech[BuffID],RawTech[BuffID],RawTech[Tag_Assaults])</f>
        <v>➖</v>
      </c>
      <c r="P190" s="442" t="str">
        <f t="array" ref="P190">XLOOKUP(LCARS_Tech[BuffID],RawTech[BuffID],RawTech[Tag_OutpostArmadas])</f>
        <v>➖</v>
      </c>
      <c r="Q190" s="420" t="str">
        <f t="array" ref="Q190">XLOOKUP(LCARS_Tech[BuffID],RawTech[BuffID],RawTech[Tag_OutpostRetaliators])</f>
        <v>➖</v>
      </c>
      <c r="R190" s="420" t="str">
        <f t="array" ref="R190">XLOOKUP(MasterTech!$AF$4:$AF$214,RawTech!$AO$2:$AO$212,RawTech!$AV$2:$AV$212)</f>
        <v/>
      </c>
      <c r="S190" s="419" t="str">
        <f t="array" ref="S190">XLOOKUP(MasterTech!$AF$4:$AF$214,RawTech!$AO$2:$AO$212,RawTech!$AK$2:$AK$212)</f>
        <v>✅</v>
      </c>
      <c r="T190" s="422" t="str">
        <f t="array" ref="T190">XLOOKUP(MasterTech!$AF$4:$AF$214,RawTech!$AO$2:$AO$212,RawTech!$AM$2:$AM$212)</f>
        <v>➖</v>
      </c>
      <c r="U190" s="423" t="str">
        <f t="array" ref="U190">XLOOKUP(MasterTech!$AF$4:$AF$214,RawTech!$AO$2:$AO$212,RawTech!$D$2:$D$212)</f>
        <v>HostileLoot</v>
      </c>
      <c r="V190" s="420" t="str">
        <f t="array" ref="V190">XLOOKUP(MasterTech!$AF$4:$AF$214,RawTech!$AO$2:$AO$212,RawTech!$I$2:$I$212)</f>
        <v/>
      </c>
      <c r="W190" s="421" t="str">
        <f t="array" ref="W190">XLOOKUP(MasterTech!$AF$4:$AF$214,RawTech!$AO$2:$AO$212,RawTech!$E$2:$E$212)</f>
        <v/>
      </c>
      <c r="X190" s="423" t="str">
        <f t="array" ref="X190">XLOOKUP(MasterTech!$AF$4:$AF$214,RawTech!$AO$2:$AO$212,RawTech!$F$2:$F$212)</f>
        <v>ShipLaunched</v>
      </c>
      <c r="Y190" s="423" t="str">
        <f t="array" ref="Y190">XLOOKUP(MasterTech!$AF$4:$AF$214,RawTech!$AO$2:$AO$212,RawTech!$G$2:$G$212)</f>
        <v>SelfShip</v>
      </c>
      <c r="Z190" s="423" t="str">
        <f t="array" ref="Z190">XLOOKUP(MasterTech!$AF$4:$AF$214,RawTech!$AO$2:$AO$212,RawTech!$H$2:$H$212)</f>
        <v>MultiplyAdd</v>
      </c>
      <c r="AA190" s="423" t="str">
        <f t="array" ref="AA190">XLOOKUP(MasterTech!$AF$4:$AF$214,RawTech!$AO$2:$AO$212,RawTech!$J$2:$J$212)</f>
        <v>Increases base loot earned when defeating non-Armada hostiles by X.</v>
      </c>
      <c r="AB190" s="424"/>
      <c r="AC190" s="425"/>
      <c r="AD190" s="425"/>
      <c r="AE190" s="453">
        <f t="array" ref="AE190">XLOOKUP(MasterTech!$AF$4:$AF$214,RawTech!$AO$2:$AO$212,RawTech!$AR$2:$AR$212)</f>
        <v>56</v>
      </c>
      <c r="AF190" s="427">
        <v>4.027782273E9</v>
      </c>
      <c r="AG190" s="428"/>
      <c r="AH190" s="428"/>
      <c r="AI190" s="429"/>
      <c r="AJ190" s="430"/>
    </row>
    <row r="191" ht="37.5" customHeight="1">
      <c r="A191" s="415" t="str">
        <f t="array" ref="A191">LEFT(XLOOKUP(LCARS_Tech[BuffID],RawTech[BuffID],RawTech[TechRarity]), 1)</f>
        <v>E</v>
      </c>
      <c r="B191" s="416"/>
      <c r="C191" s="464" t="str">
        <f t="array" ref="C191">HYPERLINK("https://stfc.space/forbidden_and_chaos_tech/" &amp; XLOOKUP(MasterTech!$AF$4:$AF$214,RawTech!$AO$2:$AO$212,RawTech!$AQ$2:$AQ$212), XLOOKUP(MasterTech!$AF$4:$AF$214,RawTech!$AO$2:$AO$212,RawTech!$B$2:$B$212))</f>
        <v>Bio-mimetic Gel</v>
      </c>
      <c r="D191" s="432">
        <f t="array" ref="D191">XLOOKUP(LCARS_Tech[BuffID],RawTech[BuffID],RawTech[BuffOrder])</f>
        <v>1</v>
      </c>
      <c r="E191" s="433" t="str">
        <f t="array" ref="E191">XLOOKUP(LCARS_Tech[BuffID],RawTech[BuffID],RawTech[TechType])</f>
        <v>CT</v>
      </c>
      <c r="F191" s="433" t="str">
        <f t="array" ref="F191">XLOOKUP(LCARS_Tech[BuffID],RawTech[BuffID],RawTech[Tag_PvPinSpace])</f>
        <v>✅</v>
      </c>
      <c r="G191" s="433" t="str">
        <f t="array" ref="G191">XLOOKUP(LCARS_Tech[BuffID],RawTech[BuffID],RawTech[Tag_PvPStation])</f>
        <v>✅</v>
      </c>
      <c r="H191" s="433" t="str">
        <f t="array" ref="H191">XLOOKUP(LCARS_Tech[BuffID],RawTech[BuffID],RawTech[Tag_NonArmadaHostiles])</f>
        <v>➖</v>
      </c>
      <c r="I191" s="433" t="str">
        <f t="array" ref="I191">XLOOKUP(LCARS_Tech[BuffID],RawTech[BuffID],RawTech[Tag_WaveDefense])</f>
        <v>➖</v>
      </c>
      <c r="J191" s="433" t="str">
        <f t="array" ref="J191">XLOOKUP(LCARS_Tech[BuffID],RawTech[BuffID],RawTech[Tag_QTrial])</f>
        <v>➖</v>
      </c>
      <c r="K191" s="433" t="str">
        <f t="array" ref="K191">XLOOKUP(LCARS_Tech[BuffID],RawTech[BuffID],RawTech[Tag_MissionBosses])</f>
        <v>➖</v>
      </c>
      <c r="L191" s="433" t="str">
        <f t="array" ref="L191">XLOOKUP(LCARS_Tech[BuffID],RawTech[BuffID],RawTech[Tag_GroupArmadas])</f>
        <v>➖</v>
      </c>
      <c r="M191" s="433" t="str">
        <f t="array" ref="M191">XLOOKUP(LCARS_Tech[BuffID],RawTech[BuffID],RawTech[Tag_SoloArmadas])</f>
        <v>➖</v>
      </c>
      <c r="N191" s="433" t="str">
        <f t="array" ref="N191">XLOOKUP(LCARS_Tech[BuffID],RawTech[BuffID],RawTech[Tag_InvadingEntities])</f>
        <v>➖</v>
      </c>
      <c r="O191" s="433" t="str">
        <f t="array" ref="O191">XLOOKUP(LCARS_Tech[BuffID],RawTech[BuffID],RawTech[Tag_Assaults])</f>
        <v>➖</v>
      </c>
      <c r="P191" s="434" t="str">
        <f t="array" ref="P191">XLOOKUP(LCARS_Tech[BuffID],RawTech[BuffID],RawTech[Tag_OutpostArmadas])</f>
        <v>➖</v>
      </c>
      <c r="Q191" s="416" t="str">
        <f t="array" ref="Q191">XLOOKUP(LCARS_Tech[BuffID],RawTech[BuffID],RawTech[Tag_OutpostRetaliators])</f>
        <v>➖</v>
      </c>
      <c r="R191" s="416" t="str">
        <f t="array" ref="R191">XLOOKUP(MasterTech!$AF$4:$AF$214,RawTech!$AO$2:$AO$212,RawTech!$AV$2:$AV$212)</f>
        <v/>
      </c>
      <c r="S191" s="433" t="str">
        <f t="array" ref="S191">XLOOKUP(MasterTech!$AF$4:$AF$214,RawTech!$AO$2:$AO$212,RawTech!$AK$2:$AK$212)</f>
        <v>➖</v>
      </c>
      <c r="T191" s="435" t="str">
        <f t="array" ref="T191">XLOOKUP(MasterTech!$AF$4:$AF$214,RawTech!$AO$2:$AO$212,RawTech!$AM$2:$AM$212)</f>
        <v>➖</v>
      </c>
      <c r="U191" s="438" t="str">
        <f t="array" ref="U191">XLOOKUP(MasterTech!$AF$4:$AF$214,RawTech!$AO$2:$AO$212,RawTech!$D$2:$D$212)</f>
        <v>AllDamage</v>
      </c>
      <c r="V191" s="438" t="str">
        <f t="array" ref="V191">XLOOKUP(MasterTech!$AF$4:$AF$214,RawTech!$AO$2:$AO$212,RawTech!$I$2:$I$212)</f>
        <v>num_rounds=6</v>
      </c>
      <c r="W191" s="447" t="str">
        <f t="array" ref="W191">XLOOKUP(MasterTech!$AF$4:$AF$214,RawTech!$AO$2:$AO$212,RawTech!$E$2:$E$212)</f>
        <v>EnemyPlayer</v>
      </c>
      <c r="X191" s="438" t="str">
        <f t="array" ref="X191">XLOOKUP(MasterTech!$AF$4:$AF$214,RawTech!$AO$2:$AO$212,RawTech!$F$2:$F$212)</f>
        <v>CombatStart</v>
      </c>
      <c r="Y191" s="438" t="str">
        <f t="array" ref="Y191">XLOOKUP(MasterTech!$AF$4:$AF$214,RawTech!$AO$2:$AO$212,RawTech!$G$2:$G$212)</f>
        <v>EnemyShip</v>
      </c>
      <c r="Z191" s="438" t="str">
        <f t="array" ref="Z191">XLOOKUP(MasterTech!$AF$4:$AF$214,RawTech!$AO$2:$AO$212,RawTech!$H$2:$H$212)</f>
        <v>MultiplySub</v>
      </c>
      <c r="AA191" s="438" t="str">
        <f t="array" ref="AA191">XLOOKUP(MasterTech!$AF$4:$AF$214,RawTech!$AO$2:$AO$212,RawTech!$J$2:$J$212)</f>
        <v>Decreases Opponent's damage for 6 rounds in PvP by X.</v>
      </c>
      <c r="AB191" s="439"/>
      <c r="AC191" s="440"/>
      <c r="AD191" s="440"/>
      <c r="AE191" s="462">
        <f t="array" ref="AE191">XLOOKUP(MasterTech!$AF$4:$AF$214,RawTech!$AO$2:$AO$212,RawTech!$AR$2:$AR$212)</f>
        <v>59</v>
      </c>
      <c r="AF191" s="427">
        <v>9.3985231E8</v>
      </c>
      <c r="AG191" s="428"/>
      <c r="AH191" s="428"/>
      <c r="AI191" s="429"/>
      <c r="AJ191" s="430"/>
    </row>
    <row r="192" ht="37.5" customHeight="1">
      <c r="A192" s="415" t="str">
        <f t="array" ref="A192">LEFT(XLOOKUP(LCARS_Tech[BuffID],RawTech[BuffID],RawTech[TechRarity]), 1)</f>
        <v>E</v>
      </c>
      <c r="B192" s="420"/>
      <c r="C192" s="460" t="str">
        <f t="array" ref="C192">HYPERLINK("https://stfc.space/forbidden_and_chaos_tech/" &amp; XLOOKUP(MasterTech!$AF$4:$AF$214,RawTech!$AO$2:$AO$212,RawTech!$AQ$2:$AQ$212), XLOOKUP(MasterTech!$AF$4:$AF$214,RawTech!$AO$2:$AO$212,RawTech!$B$2:$B$212))</f>
        <v>Bio-mimetic Gel</v>
      </c>
      <c r="D192" s="418">
        <f t="array" ref="D192">XLOOKUP(LCARS_Tech[BuffID],RawTech[BuffID],RawTech[BuffOrder])</f>
        <v>2</v>
      </c>
      <c r="E192" s="419" t="str">
        <f t="array" ref="E192">XLOOKUP(LCARS_Tech[BuffID],RawTech[BuffID],RawTech[TechType])</f>
        <v>CT</v>
      </c>
      <c r="F192" s="419" t="str">
        <f t="array" ref="F192">XLOOKUP(LCARS_Tech[BuffID],RawTech[BuffID],RawTech[Tag_PvPinSpace])</f>
        <v>✅</v>
      </c>
      <c r="G192" s="419" t="str">
        <f t="array" ref="G192">XLOOKUP(LCARS_Tech[BuffID],RawTech[BuffID],RawTech[Tag_PvPStation])</f>
        <v>✅</v>
      </c>
      <c r="H192" s="419" t="str">
        <f t="array" ref="H192">XLOOKUP(LCARS_Tech[BuffID],RawTech[BuffID],RawTech[Tag_NonArmadaHostiles])</f>
        <v>➖</v>
      </c>
      <c r="I192" s="419" t="str">
        <f t="array" ref="I192">XLOOKUP(LCARS_Tech[BuffID],RawTech[BuffID],RawTech[Tag_WaveDefense])</f>
        <v>➖</v>
      </c>
      <c r="J192" s="419" t="str">
        <f t="array" ref="J192">XLOOKUP(LCARS_Tech[BuffID],RawTech[BuffID],RawTech[Tag_QTrial])</f>
        <v>➖</v>
      </c>
      <c r="K192" s="419" t="str">
        <f t="array" ref="K192">XLOOKUP(LCARS_Tech[BuffID],RawTech[BuffID],RawTech[Tag_MissionBosses])</f>
        <v>➖</v>
      </c>
      <c r="L192" s="419" t="str">
        <f t="array" ref="L192">XLOOKUP(LCARS_Tech[BuffID],RawTech[BuffID],RawTech[Tag_GroupArmadas])</f>
        <v>➖</v>
      </c>
      <c r="M192" s="419" t="str">
        <f t="array" ref="M192">XLOOKUP(LCARS_Tech[BuffID],RawTech[BuffID],RawTech[Tag_SoloArmadas])</f>
        <v>➖</v>
      </c>
      <c r="N192" s="419" t="str">
        <f t="array" ref="N192">XLOOKUP(LCARS_Tech[BuffID],RawTech[BuffID],RawTech[Tag_InvadingEntities])</f>
        <v>➖</v>
      </c>
      <c r="O192" s="419" t="str">
        <f t="array" ref="O192">XLOOKUP(LCARS_Tech[BuffID],RawTech[BuffID],RawTech[Tag_Assaults])</f>
        <v>➖</v>
      </c>
      <c r="P192" s="442" t="str">
        <f t="array" ref="P192">XLOOKUP(LCARS_Tech[BuffID],RawTech[BuffID],RawTech[Tag_OutpostArmadas])</f>
        <v>➖</v>
      </c>
      <c r="Q192" s="420" t="str">
        <f t="array" ref="Q192">XLOOKUP(LCARS_Tech[BuffID],RawTech[BuffID],RawTech[Tag_OutpostRetaliators])</f>
        <v>➖</v>
      </c>
      <c r="R192" s="420" t="str">
        <f t="array" ref="R192">XLOOKUP(MasterTech!$AF$4:$AF$214,RawTech!$AO$2:$AO$212,RawTech!$AV$2:$AV$212)</f>
        <v/>
      </c>
      <c r="S192" s="419" t="str">
        <f t="array" ref="S192">XLOOKUP(MasterTech!$AF$4:$AF$214,RawTech!$AO$2:$AO$212,RawTech!$AK$2:$AK$212)</f>
        <v>➖</v>
      </c>
      <c r="T192" s="422" t="str">
        <f t="array" ref="T192">XLOOKUP(MasterTech!$AF$4:$AF$214,RawTech!$AO$2:$AO$212,RawTech!$AM$2:$AM$212)</f>
        <v>➖</v>
      </c>
      <c r="U192" s="423" t="str">
        <f t="array" ref="U192">XLOOKUP(MasterTech!$AF$4:$AF$214,RawTech!$AO$2:$AO$212,RawTech!$D$2:$D$212)</f>
        <v>IsolyticDefense</v>
      </c>
      <c r="V192" s="420" t="str">
        <f t="array" ref="V192">XLOOKUP(MasterTech!$AF$4:$AF$214,RawTech!$AO$2:$AO$212,RawTech!$I$2:$I$212)</f>
        <v/>
      </c>
      <c r="W192" s="443" t="str">
        <f t="array" ref="W192">XLOOKUP(MasterTech!$AF$4:$AF$214,RawTech!$AO$2:$AO$212,RawTech!$E$2:$E$212)</f>
        <v>EnemyPlayer</v>
      </c>
      <c r="X192" s="423" t="str">
        <f t="array" ref="X192">XLOOKUP(MasterTech!$AF$4:$AF$214,RawTech!$AO$2:$AO$212,RawTech!$F$2:$F$212)</f>
        <v>CombatStart</v>
      </c>
      <c r="Y192" s="423" t="str">
        <f t="array" ref="Y192">XLOOKUP(MasterTech!$AF$4:$AF$214,RawTech!$AO$2:$AO$212,RawTech!$G$2:$G$212)</f>
        <v>SelfShip</v>
      </c>
      <c r="Z192" s="423" t="str">
        <f t="array" ref="Z192">XLOOKUP(MasterTech!$AF$4:$AF$214,RawTech!$AO$2:$AO$212,RawTech!$H$2:$H$212)</f>
        <v>Add</v>
      </c>
      <c r="AA192" s="423" t="str">
        <f t="array" ref="AA192">XLOOKUP(MasterTech!$AF$4:$AF$214,RawTech!$AO$2:$AO$212,RawTech!$J$2:$J$212)</f>
        <v>Increases Isolytic Defense in PvP by X.</v>
      </c>
      <c r="AB192" s="424"/>
      <c r="AC192" s="425"/>
      <c r="AD192" s="425"/>
      <c r="AE192" s="461">
        <f t="array" ref="AE192">XLOOKUP(MasterTech!$AF$4:$AF$214,RawTech!$AO$2:$AO$212,RawTech!$AR$2:$AR$212)</f>
        <v>59</v>
      </c>
      <c r="AF192" s="427">
        <v>2.137477216E9</v>
      </c>
      <c r="AG192" s="428"/>
      <c r="AH192" s="428"/>
      <c r="AI192" s="429"/>
      <c r="AJ192" s="430"/>
    </row>
    <row r="193" ht="37.5" customHeight="1">
      <c r="A193" s="415" t="str">
        <f t="array" ref="A193">LEFT(XLOOKUP(LCARS_Tech[BuffID],RawTech[BuffID],RawTech[TechRarity]), 1)</f>
        <v>E</v>
      </c>
      <c r="B193" s="416"/>
      <c r="C193" s="464" t="str">
        <f t="array" ref="C193">HYPERLINK("https://stfc.space/forbidden_and_chaos_tech/" &amp; XLOOKUP(MasterTech!$AF$4:$AF$214,RawTech!$AO$2:$AO$212,RawTech!$AQ$2:$AQ$212), XLOOKUP(MasterTech!$AF$4:$AF$214,RawTech!$AO$2:$AO$212,RawTech!$B$2:$B$212))</f>
        <v>Bio-mimetic Gel</v>
      </c>
      <c r="D193" s="432">
        <f t="array" ref="D193">XLOOKUP(LCARS_Tech[BuffID],RawTech[BuffID],RawTech[BuffOrder])</f>
        <v>3</v>
      </c>
      <c r="E193" s="433" t="str">
        <f t="array" ref="E193">XLOOKUP(LCARS_Tech[BuffID],RawTech[BuffID],RawTech[TechType])</f>
        <v>CT</v>
      </c>
      <c r="F193" s="433" t="str">
        <f t="array" ref="F193">XLOOKUP(LCARS_Tech[BuffID],RawTech[BuffID],RawTech[Tag_PvPinSpace])</f>
        <v>✴️</v>
      </c>
      <c r="G193" s="433" t="str">
        <f t="array" ref="G193">XLOOKUP(LCARS_Tech[BuffID],RawTech[BuffID],RawTech[Tag_PvPStation])</f>
        <v>✴️</v>
      </c>
      <c r="H193" s="433" t="str">
        <f t="array" ref="H193">XLOOKUP(LCARS_Tech[BuffID],RawTech[BuffID],RawTech[Tag_NonArmadaHostiles])</f>
        <v>➖</v>
      </c>
      <c r="I193" s="433" t="str">
        <f t="array" ref="I193">XLOOKUP(LCARS_Tech[BuffID],RawTech[BuffID],RawTech[Tag_WaveDefense])</f>
        <v>➖</v>
      </c>
      <c r="J193" s="433" t="str">
        <f t="array" ref="J193">XLOOKUP(LCARS_Tech[BuffID],RawTech[BuffID],RawTech[Tag_QTrial])</f>
        <v>➖</v>
      </c>
      <c r="K193" s="433" t="str">
        <f t="array" ref="K193">XLOOKUP(LCARS_Tech[BuffID],RawTech[BuffID],RawTech[Tag_MissionBosses])</f>
        <v>➖</v>
      </c>
      <c r="L193" s="433" t="str">
        <f t="array" ref="L193">XLOOKUP(LCARS_Tech[BuffID],RawTech[BuffID],RawTech[Tag_GroupArmadas])</f>
        <v>➖</v>
      </c>
      <c r="M193" s="433" t="str">
        <f t="array" ref="M193">XLOOKUP(LCARS_Tech[BuffID],RawTech[BuffID],RawTech[Tag_SoloArmadas])</f>
        <v>➖</v>
      </c>
      <c r="N193" s="433" t="str">
        <f t="array" ref="N193">XLOOKUP(LCARS_Tech[BuffID],RawTech[BuffID],RawTech[Tag_InvadingEntities])</f>
        <v>➖</v>
      </c>
      <c r="O193" s="433" t="str">
        <f t="array" ref="O193">XLOOKUP(LCARS_Tech[BuffID],RawTech[BuffID],RawTech[Tag_Assaults])</f>
        <v>➖</v>
      </c>
      <c r="P193" s="434" t="str">
        <f t="array" ref="P193">XLOOKUP(LCARS_Tech[BuffID],RawTech[BuffID],RawTech[Tag_OutpostArmadas])</f>
        <v>➖</v>
      </c>
      <c r="Q193" s="451" t="str">
        <f t="array" ref="Q193">XLOOKUP(LCARS_Tech[BuffID],RawTech[BuffID],RawTech[Tag_OutpostRetaliators])</f>
        <v>➖</v>
      </c>
      <c r="R193" s="451" t="str">
        <f t="array" ref="R193">XLOOKUP(MasterTech!$AF$4:$AF$214,RawTech!$AO$2:$AO$212,RawTech!$AV$2:$AV$212)</f>
        <v>SelfOfficerTalNotOnBridge</v>
      </c>
      <c r="S193" s="433" t="str">
        <f t="array" ref="S193">XLOOKUP(MasterTech!$AF$4:$AF$214,RawTech!$AO$2:$AO$212,RawTech!$AK$2:$AK$212)</f>
        <v>➖</v>
      </c>
      <c r="T193" s="435" t="str">
        <f t="array" ref="T193">XLOOKUP(MasterTech!$AF$4:$AF$214,RawTech!$AO$2:$AO$212,RawTech!$AM$2:$AM$212)</f>
        <v>➖</v>
      </c>
      <c r="U193" s="438" t="str">
        <f t="array" ref="U193">XLOOKUP(MasterTech!$AF$4:$AF$214,RawTech!$AO$2:$AO$212,RawTech!$D$2:$D$212)</f>
        <v>ApexBarrier</v>
      </c>
      <c r="V193" s="416" t="str">
        <f t="array" ref="V193">XLOOKUP(MasterTech!$AF$4:$AF$214,RawTech!$AO$2:$AO$212,RawTech!$I$2:$I$212)</f>
        <v/>
      </c>
      <c r="W193" s="447" t="str">
        <f t="array" ref="W193">XLOOKUP(MasterTech!$AF$4:$AF$214,RawTech!$AO$2:$AO$212,RawTech!$E$2:$E$212)</f>
        <v>EnemyPlayer, SelfOfficerTalNotOnBridge</v>
      </c>
      <c r="X193" s="438" t="str">
        <f t="array" ref="X193">XLOOKUP(MasterTech!$AF$4:$AF$214,RawTech!$AO$2:$AO$212,RawTech!$F$2:$F$212)</f>
        <v>CombatStart</v>
      </c>
      <c r="Y193" s="438" t="str">
        <f t="array" ref="Y193">XLOOKUP(MasterTech!$AF$4:$AF$214,RawTech!$AO$2:$AO$212,RawTech!$G$2:$G$212)</f>
        <v>SelfShip</v>
      </c>
      <c r="Z193" s="438" t="str">
        <f t="array" ref="Z193">XLOOKUP(MasterTech!$AF$4:$AF$214,RawTech!$AO$2:$AO$212,RawTech!$H$2:$H$212)</f>
        <v>Add</v>
      </c>
      <c r="AA193" s="438" t="str">
        <f t="array" ref="AA193">XLOOKUP(MasterTech!$AF$4:$AF$214,RawTech!$AO$2:$AO$212,RawTech!$J$2:$J$212)</f>
        <v>Increases Apex Barrier in PvP by X. Does not apply when Tal is assigned to the bridge.</v>
      </c>
      <c r="AB193" s="439"/>
      <c r="AC193" s="440"/>
      <c r="AD193" s="440"/>
      <c r="AE193" s="462">
        <f t="array" ref="AE193">XLOOKUP(MasterTech!$AF$4:$AF$214,RawTech!$AO$2:$AO$212,RawTech!$AR$2:$AR$212)</f>
        <v>59</v>
      </c>
      <c r="AF193" s="427">
        <v>5.47887891E8</v>
      </c>
      <c r="AG193" s="428"/>
      <c r="AH193" s="428"/>
      <c r="AI193" s="429"/>
      <c r="AJ193" s="430"/>
    </row>
    <row r="194" ht="37.5" customHeight="1">
      <c r="A194" s="415" t="str">
        <f t="array" ref="A194">LEFT(XLOOKUP(LCARS_Tech[BuffID],RawTech[BuffID],RawTech[TechRarity]), 1)</f>
        <v>R</v>
      </c>
      <c r="B194" s="420"/>
      <c r="C194" s="452" t="str">
        <f t="array" ref="C194">HYPERLINK("https://stfc.space/forbidden_and_chaos_tech/" &amp; XLOOKUP(MasterTech!$AF$4:$AF$214,RawTech!$AO$2:$AO$212,RawTech!$AQ$2:$AQ$212), XLOOKUP(MasterTech!$AF$4:$AF$214,RawTech!$AO$2:$AO$212,RawTech!$B$2:$B$212))</f>
        <v>Particle Synthesis</v>
      </c>
      <c r="D194" s="418">
        <f t="array" ref="D194">XLOOKUP(LCARS_Tech[BuffID],RawTech[BuffID],RawTech[BuffOrder])</f>
        <v>1</v>
      </c>
      <c r="E194" s="419" t="str">
        <f t="array" ref="E194">XLOOKUP(LCARS_Tech[BuffID],RawTech[BuffID],RawTech[TechType])</f>
        <v>CT</v>
      </c>
      <c r="F194" s="419" t="str">
        <f t="array" ref="F194">XLOOKUP(LCARS_Tech[BuffID],RawTech[BuffID],RawTech[Tag_PvPinSpace])</f>
        <v>➖</v>
      </c>
      <c r="G194" s="419" t="str">
        <f t="array" ref="G194">XLOOKUP(LCARS_Tech[BuffID],RawTech[BuffID],RawTech[Tag_PvPStation])</f>
        <v>➖</v>
      </c>
      <c r="H194" s="419" t="str">
        <f t="array" ref="H194">XLOOKUP(LCARS_Tech[BuffID],RawTech[BuffID],RawTech[Tag_NonArmadaHostiles])</f>
        <v>➖</v>
      </c>
      <c r="I194" s="419" t="str">
        <f t="array" ref="I194">XLOOKUP(LCARS_Tech[BuffID],RawTech[BuffID],RawTech[Tag_WaveDefense])</f>
        <v>➖</v>
      </c>
      <c r="J194" s="419" t="str">
        <f t="array" ref="J194">XLOOKUP(LCARS_Tech[BuffID],RawTech[BuffID],RawTech[Tag_QTrial])</f>
        <v>➖</v>
      </c>
      <c r="K194" s="419" t="str">
        <f t="array" ref="K194">XLOOKUP(LCARS_Tech[BuffID],RawTech[BuffID],RawTech[Tag_MissionBosses])</f>
        <v>➖</v>
      </c>
      <c r="L194" s="419" t="str">
        <f t="array" ref="L194">XLOOKUP(LCARS_Tech[BuffID],RawTech[BuffID],RawTech[Tag_GroupArmadas])</f>
        <v>➖</v>
      </c>
      <c r="M194" s="419" t="str">
        <f t="array" ref="M194">XLOOKUP(LCARS_Tech[BuffID],RawTech[BuffID],RawTech[Tag_SoloArmadas])</f>
        <v>➖</v>
      </c>
      <c r="N194" s="419" t="str">
        <f t="array" ref="N194">XLOOKUP(LCARS_Tech[BuffID],RawTech[BuffID],RawTech[Tag_InvadingEntities])</f>
        <v>➖</v>
      </c>
      <c r="O194" s="419" t="str">
        <f t="array" ref="O194">XLOOKUP(LCARS_Tech[BuffID],RawTech[BuffID],RawTech[Tag_Assaults])</f>
        <v>➖</v>
      </c>
      <c r="P194" s="442" t="str">
        <f t="array" ref="P194">XLOOKUP(LCARS_Tech[BuffID],RawTech[BuffID],RawTech[Tag_OutpostArmadas])</f>
        <v>➖</v>
      </c>
      <c r="Q194" s="420" t="str">
        <f t="array" ref="Q194">XLOOKUP(LCARS_Tech[BuffID],RawTech[BuffID],RawTech[Tag_OutpostRetaliators])</f>
        <v>➖</v>
      </c>
      <c r="R194" s="420" t="str">
        <f t="array" ref="R194">XLOOKUP(MasterTech!$AF$4:$AF$214,RawTech!$AO$2:$AO$212,RawTech!$AV$2:$AV$212)</f>
        <v/>
      </c>
      <c r="S194" s="419" t="str">
        <f t="array" ref="S194">XLOOKUP(MasterTech!$AF$4:$AF$214,RawTech!$AO$2:$AO$212,RawTech!$AK$2:$AK$212)</f>
        <v>➖</v>
      </c>
      <c r="T194" s="422" t="str">
        <f t="array" ref="T194">XLOOKUP(MasterTech!$AF$4:$AF$214,RawTech!$AO$2:$AO$212,RawTech!$AM$2:$AM$212)</f>
        <v>✅</v>
      </c>
      <c r="U194" s="423" t="str">
        <f t="array" ref="U194">XLOOKUP(MasterTech!$AF$4:$AF$214,RawTech!$AO$2:$AO$212,RawTech!$D$2:$D$212)</f>
        <v>MiningReward</v>
      </c>
      <c r="V194" s="423" t="str">
        <f t="array" ref="V194">XLOOKUP(MasterTech!$AF$4:$AF$214,RawTech!$AO$2:$AO$212,RawTech!$I$2:$I$212)</f>
        <v>resources=[1495067766, 2431214132, 3342042571, 819663825]</v>
      </c>
      <c r="W194" s="443" t="str">
        <f t="array" ref="W194">XLOOKUP(MasterTech!$AF$4:$AF$214,RawTech!$AO$2:$AO$212,RawTech!$E$2:$E$212)</f>
        <v>SelfHullSereneSquall</v>
      </c>
      <c r="X194" s="423" t="str">
        <f t="array" ref="X194">XLOOKUP(MasterTech!$AF$4:$AF$214,RawTech!$AO$2:$AO$212,RawTech!$F$2:$F$212)</f>
        <v>ShipLaunched</v>
      </c>
      <c r="Y194" s="423" t="str">
        <f t="array" ref="Y194">XLOOKUP(MasterTech!$AF$4:$AF$214,RawTech!$AO$2:$AO$212,RawTech!$G$2:$G$212)</f>
        <v>SelfShip</v>
      </c>
      <c r="Z194" s="423" t="str">
        <f t="array" ref="Z194">XLOOKUP(MasterTech!$AF$4:$AF$214,RawTech!$AO$2:$AO$212,RawTech!$H$2:$H$212)</f>
        <v>MultiplyAdd</v>
      </c>
      <c r="AA194" s="423" t="str">
        <f t="array" ref="AA194">XLOOKUP(MasterTech!$AF$4:$AF$214,RawTech!$AO$2:$AO$212,RawTech!$J$2:$J$212)</f>
        <v>Gives a bonus X of Transogen upon collection when using Serene Squall.</v>
      </c>
      <c r="AB194" s="424"/>
      <c r="AC194" s="425"/>
      <c r="AD194" s="425"/>
      <c r="AE194" s="453">
        <f t="array" ref="AE194">XLOOKUP(MasterTech!$AF$4:$AF$214,RawTech!$AO$2:$AO$212,RawTech!$AR$2:$AR$212)</f>
        <v>58</v>
      </c>
      <c r="AF194" s="427">
        <v>3.412987594E9</v>
      </c>
      <c r="AG194" s="428"/>
      <c r="AH194" s="428"/>
      <c r="AI194" s="429"/>
      <c r="AJ194" s="430"/>
    </row>
    <row r="195" ht="37.5" customHeight="1">
      <c r="A195" s="415" t="str">
        <f t="array" ref="A195">LEFT(XLOOKUP(LCARS_Tech[BuffID],RawTech[BuffID],RawTech[TechRarity]), 1)</f>
        <v>R</v>
      </c>
      <c r="B195" s="416"/>
      <c r="C195" s="454" t="str">
        <f t="array" ref="C195">HYPERLINK("https://stfc.space/forbidden_and_chaos_tech/" &amp; XLOOKUP(MasterTech!$AF$4:$AF$214,RawTech!$AO$2:$AO$212,RawTech!$AQ$2:$AQ$212), XLOOKUP(MasterTech!$AF$4:$AF$214,RawTech!$AO$2:$AO$212,RawTech!$B$2:$B$212))</f>
        <v>Particle Synthesis</v>
      </c>
      <c r="D195" s="432">
        <f t="array" ref="D195">XLOOKUP(LCARS_Tech[BuffID],RawTech[BuffID],RawTech[BuffOrder])</f>
        <v>2</v>
      </c>
      <c r="E195" s="433" t="str">
        <f t="array" ref="E195">XLOOKUP(LCARS_Tech[BuffID],RawTech[BuffID],RawTech[TechType])</f>
        <v>CT</v>
      </c>
      <c r="F195" s="433" t="str">
        <f t="array" ref="F195">XLOOKUP(LCARS_Tech[BuffID],RawTech[BuffID],RawTech[Tag_PvPinSpace])</f>
        <v>➖</v>
      </c>
      <c r="G195" s="433" t="str">
        <f t="array" ref="G195">XLOOKUP(LCARS_Tech[BuffID],RawTech[BuffID],RawTech[Tag_PvPStation])</f>
        <v>➖</v>
      </c>
      <c r="H195" s="433" t="str">
        <f t="array" ref="H195">XLOOKUP(LCARS_Tech[BuffID],RawTech[BuffID],RawTech[Tag_NonArmadaHostiles])</f>
        <v>✴️</v>
      </c>
      <c r="I195" s="433" t="str">
        <f t="array" ref="I195">XLOOKUP(LCARS_Tech[BuffID],RawTech[BuffID],RawTech[Tag_WaveDefense])</f>
        <v>➖</v>
      </c>
      <c r="J195" s="433" t="str">
        <f t="array" ref="J195">XLOOKUP(LCARS_Tech[BuffID],RawTech[BuffID],RawTech[Tag_QTrial])</f>
        <v>➖</v>
      </c>
      <c r="K195" s="433" t="str">
        <f t="array" ref="K195">XLOOKUP(LCARS_Tech[BuffID],RawTech[BuffID],RawTech[Tag_MissionBosses])</f>
        <v>➖</v>
      </c>
      <c r="L195" s="433" t="str">
        <f t="array" ref="L195">XLOOKUP(LCARS_Tech[BuffID],RawTech[BuffID],RawTech[Tag_GroupArmadas])</f>
        <v>✴️</v>
      </c>
      <c r="M195" s="433" t="str">
        <f t="array" ref="M195">XLOOKUP(LCARS_Tech[BuffID],RawTech[BuffID],RawTech[Tag_SoloArmadas])</f>
        <v>✴️</v>
      </c>
      <c r="N195" s="433" t="str">
        <f t="array" ref="N195">XLOOKUP(LCARS_Tech[BuffID],RawTech[BuffID],RawTech[Tag_InvadingEntities])</f>
        <v>✴️</v>
      </c>
      <c r="O195" s="433" t="str">
        <f t="array" ref="O195">XLOOKUP(LCARS_Tech[BuffID],RawTech[BuffID],RawTech[Tag_Assaults])</f>
        <v>➖</v>
      </c>
      <c r="P195" s="434" t="str">
        <f t="array" ref="P195">XLOOKUP(LCARS_Tech[BuffID],RawTech[BuffID],RawTech[Tag_OutpostArmadas])</f>
        <v>✴️</v>
      </c>
      <c r="Q195" s="451" t="str">
        <f t="array" ref="Q195">XLOOKUP(LCARS_Tech[BuffID],RawTech[BuffID],RawTech[Tag_OutpostRetaliators])</f>
        <v>✴️</v>
      </c>
      <c r="R195" s="451" t="str">
        <f t="array" ref="R195">XLOOKUP(MasterTech!$AF$4:$AF$214,RawTech!$AO$2:$AO$212,RawTech!$AV$2:$AV$212)</f>
        <v>CombatPveRewards (on Serene Squall)</v>
      </c>
      <c r="S195" s="433" t="str">
        <f t="array" ref="S195">XLOOKUP(MasterTech!$AF$4:$AF$214,RawTech!$AO$2:$AO$212,RawTech!$AK$2:$AK$212)</f>
        <v>✅</v>
      </c>
      <c r="T195" s="435" t="str">
        <f t="array" ref="T195">XLOOKUP(MasterTech!$AF$4:$AF$214,RawTech!$AO$2:$AO$212,RawTech!$AM$2:$AM$212)</f>
        <v>➖</v>
      </c>
      <c r="U195" s="438" t="str">
        <f t="array" ref="U195">XLOOKUP(MasterTech!$AF$4:$AF$214,RawTech!$AO$2:$AO$212,RawTech!$D$2:$D$212)</f>
        <v>CombatPveRewards</v>
      </c>
      <c r="V195" s="416" t="str">
        <f t="array" ref="V195">XLOOKUP(MasterTech!$AF$4:$AF$214,RawTech!$AO$2:$AO$212,RawTech!$I$2:$I$212)</f>
        <v/>
      </c>
      <c r="W195" s="447" t="str">
        <f t="array" ref="W195">XLOOKUP(MasterTech!$AF$4:$AF$214,RawTech!$AO$2:$AO$212,RawTech!$E$2:$E$212)</f>
        <v>SelfHullSereneSquall</v>
      </c>
      <c r="X195" s="438" t="str">
        <f t="array" ref="X195">XLOOKUP(MasterTech!$AF$4:$AF$214,RawTech!$AO$2:$AO$212,RawTech!$F$2:$F$212)</f>
        <v>ShipLaunched</v>
      </c>
      <c r="Y195" s="438" t="str">
        <f t="array" ref="Y195">XLOOKUP(MasterTech!$AF$4:$AF$214,RawTech!$AO$2:$AO$212,RawTech!$G$2:$G$212)</f>
        <v>SelfShip</v>
      </c>
      <c r="Z195" s="438" t="str">
        <f t="array" ref="Z195">XLOOKUP(MasterTech!$AF$4:$AF$214,RawTech!$AO$2:$AO$212,RawTech!$H$2:$H$212)</f>
        <v>MultiplyAdd</v>
      </c>
      <c r="AA195" s="456" t="str">
        <f t="array" ref="AA195">XLOOKUP(MasterTech!$AF$4:$AF$214,RawTech!$AO$2:$AO$212,RawTech!$J$2:$J$212)</f>
        <v>Increases loot from all Hostiles, Armadas or Outposts when using Serene Squall by X.</v>
      </c>
      <c r="AB195" s="459" t="b">
        <v>1</v>
      </c>
      <c r="AC195" s="438" t="s">
        <v>542</v>
      </c>
      <c r="AD195" s="438" t="s">
        <v>550</v>
      </c>
      <c r="AE195" s="455">
        <f t="array" ref="AE195">XLOOKUP(MasterTech!$AF$4:$AF$214,RawTech!$AO$2:$AO$212,RawTech!$AR$2:$AR$212)</f>
        <v>58</v>
      </c>
      <c r="AF195" s="427">
        <v>1.916570286E9</v>
      </c>
      <c r="AG195" s="428"/>
      <c r="AH195" s="428"/>
      <c r="AI195" s="429"/>
      <c r="AJ195" s="430"/>
    </row>
    <row r="196" ht="37.5" customHeight="1">
      <c r="A196" s="415" t="str">
        <f t="array" ref="A196">LEFT(XLOOKUP(LCARS_Tech[BuffID],RawTech[BuffID],RawTech[TechRarity]), 1)</f>
        <v>R</v>
      </c>
      <c r="B196" s="420"/>
      <c r="C196" s="452" t="str">
        <f t="array" ref="C196">HYPERLINK("https://stfc.space/forbidden_and_chaos_tech/" &amp; XLOOKUP(MasterTech!$AF$4:$AF$214,RawTech!$AO$2:$AO$212,RawTech!$AQ$2:$AQ$212), XLOOKUP(MasterTech!$AF$4:$AF$214,RawTech!$AO$2:$AO$212,RawTech!$B$2:$B$212))</f>
        <v>Particle Synthesis</v>
      </c>
      <c r="D196" s="418">
        <f t="array" ref="D196">XLOOKUP(LCARS_Tech[BuffID],RawTech[BuffID],RawTech[BuffOrder])</f>
        <v>3</v>
      </c>
      <c r="E196" s="419" t="str">
        <f t="array" ref="E196">XLOOKUP(LCARS_Tech[BuffID],RawTech[BuffID],RawTech[TechType])</f>
        <v>CT</v>
      </c>
      <c r="F196" s="419" t="str">
        <f t="array" ref="F196">XLOOKUP(LCARS_Tech[BuffID],RawTech[BuffID],RawTech[Tag_PvPinSpace])</f>
        <v>➖</v>
      </c>
      <c r="G196" s="419" t="str">
        <f t="array" ref="G196">XLOOKUP(LCARS_Tech[BuffID],RawTech[BuffID],RawTech[Tag_PvPStation])</f>
        <v>➖</v>
      </c>
      <c r="H196" s="419" t="str">
        <f t="array" ref="H196">XLOOKUP(LCARS_Tech[BuffID],RawTech[BuffID],RawTech[Tag_NonArmadaHostiles])</f>
        <v>➖</v>
      </c>
      <c r="I196" s="419" t="str">
        <f t="array" ref="I196">XLOOKUP(LCARS_Tech[BuffID],RawTech[BuffID],RawTech[Tag_WaveDefense])</f>
        <v>➖</v>
      </c>
      <c r="J196" s="419" t="str">
        <f t="array" ref="J196">XLOOKUP(LCARS_Tech[BuffID],RawTech[BuffID],RawTech[Tag_QTrial])</f>
        <v>➖</v>
      </c>
      <c r="K196" s="419" t="str">
        <f t="array" ref="K196">XLOOKUP(LCARS_Tech[BuffID],RawTech[BuffID],RawTech[Tag_MissionBosses])</f>
        <v>➖</v>
      </c>
      <c r="L196" s="419" t="str">
        <f t="array" ref="L196">XLOOKUP(LCARS_Tech[BuffID],RawTech[BuffID],RawTech[Tag_GroupArmadas])</f>
        <v>➖</v>
      </c>
      <c r="M196" s="419" t="str">
        <f t="array" ref="M196">XLOOKUP(LCARS_Tech[BuffID],RawTech[BuffID],RawTech[Tag_SoloArmadas])</f>
        <v>➖</v>
      </c>
      <c r="N196" s="419" t="str">
        <f t="array" ref="N196">XLOOKUP(LCARS_Tech[BuffID],RawTech[BuffID],RawTech[Tag_InvadingEntities])</f>
        <v>➖</v>
      </c>
      <c r="O196" s="419" t="str">
        <f t="array" ref="O196">XLOOKUP(LCARS_Tech[BuffID],RawTech[BuffID],RawTech[Tag_Assaults])</f>
        <v>➖</v>
      </c>
      <c r="P196" s="442" t="str">
        <f t="array" ref="P196">XLOOKUP(LCARS_Tech[BuffID],RawTech[BuffID],RawTech[Tag_OutpostArmadas])</f>
        <v>➖</v>
      </c>
      <c r="Q196" s="420" t="str">
        <f t="array" ref="Q196">XLOOKUP(LCARS_Tech[BuffID],RawTech[BuffID],RawTech[Tag_OutpostRetaliators])</f>
        <v>➖</v>
      </c>
      <c r="R196" s="420" t="str">
        <f t="array" ref="R196">XLOOKUP(MasterTech!$AF$4:$AF$214,RawTech!$AO$2:$AO$212,RawTech!$AV$2:$AV$212)</f>
        <v/>
      </c>
      <c r="S196" s="419" t="str">
        <f t="array" ref="S196">XLOOKUP(MasterTech!$AF$4:$AF$214,RawTech!$AO$2:$AO$212,RawTech!$AK$2:$AK$212)</f>
        <v>➖</v>
      </c>
      <c r="T196" s="422" t="str">
        <f t="array" ref="T196">XLOOKUP(MasterTech!$AF$4:$AF$214,RawTech!$AO$2:$AO$212,RawTech!$AM$2:$AM$212)</f>
        <v>✅</v>
      </c>
      <c r="U196" s="423" t="str">
        <f t="array" ref="U196">XLOOKUP(MasterTech!$AF$4:$AF$214,RawTech!$AO$2:$AO$212,RawTech!$D$2:$D$212)</f>
        <v>MiningRate</v>
      </c>
      <c r="V196" s="423" t="str">
        <f t="array" ref="V196">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196" s="443" t="str">
        <f t="array" ref="W196">XLOOKUP(MasterTech!$AF$4:$AF$214,RawTech!$AO$2:$AO$212,RawTech!$E$2:$E$212)</f>
        <v>SelfSurveyor</v>
      </c>
      <c r="X196" s="423" t="str">
        <f t="array" ref="X196">XLOOKUP(MasterTech!$AF$4:$AF$214,RawTech!$AO$2:$AO$212,RawTech!$F$2:$F$212)</f>
        <v>ShipLaunched</v>
      </c>
      <c r="Y196" s="423" t="str">
        <f t="array" ref="Y196">XLOOKUP(MasterTech!$AF$4:$AF$214,RawTech!$AO$2:$AO$212,RawTech!$G$2:$G$212)</f>
        <v>SelfShip</v>
      </c>
      <c r="Z196" s="423" t="str">
        <f t="array" ref="Z196">XLOOKUP(MasterTech!$AF$4:$AF$214,RawTech!$AO$2:$AO$212,RawTech!$H$2:$H$212)</f>
        <v>MultiplyAdd</v>
      </c>
      <c r="AA196" s="423" t="str">
        <f t="array" ref="AA196">XLOOKUP(MasterTech!$AF$4:$AF$214,RawTech!$AO$2:$AO$212,RawTech!$J$2:$J$212)</f>
        <v>Increases mining rate on Surveyors by X.</v>
      </c>
      <c r="AB196" s="424"/>
      <c r="AC196" s="425"/>
      <c r="AD196" s="425"/>
      <c r="AE196" s="453">
        <f t="array" ref="AE196">XLOOKUP(MasterTech!$AF$4:$AF$214,RawTech!$AO$2:$AO$212,RawTech!$AR$2:$AR$212)</f>
        <v>58</v>
      </c>
      <c r="AF196" s="427">
        <v>1.42519579E8</v>
      </c>
      <c r="AG196" s="428"/>
      <c r="AH196" s="428"/>
      <c r="AI196" s="429"/>
      <c r="AJ196" s="430"/>
    </row>
    <row r="197" ht="37.5" customHeight="1">
      <c r="A197" s="415" t="str">
        <f t="array" ref="A197">LEFT(XLOOKUP(LCARS_Tech[BuffID],RawTech[BuffID],RawTech[TechRarity]), 1)</f>
        <v>R</v>
      </c>
      <c r="B197" s="416"/>
      <c r="C197" s="454" t="str">
        <f t="array" ref="C197">HYPERLINK("https://stfc.space/forbidden_and_chaos_tech/" &amp; XLOOKUP(MasterTech!$AF$4:$AF$214,RawTech!$AO$2:$AO$212,RawTech!$AQ$2:$AQ$212), XLOOKUP(MasterTech!$AF$4:$AF$214,RawTech!$AO$2:$AO$212,RawTech!$B$2:$B$212))</f>
        <v>Mark VI Photon Torpedo</v>
      </c>
      <c r="D197" s="432">
        <f t="array" ref="D197">XLOOKUP(LCARS_Tech[BuffID],RawTech[BuffID],RawTech[BuffOrder])</f>
        <v>1</v>
      </c>
      <c r="E197" s="433" t="str">
        <f t="array" ref="E197">XLOOKUP(LCARS_Tech[BuffID],RawTech[BuffID],RawTech[TechType])</f>
        <v>CT</v>
      </c>
      <c r="F197" s="433" t="str">
        <f t="array" ref="F197">XLOOKUP(LCARS_Tech[BuffID],RawTech[BuffID],RawTech[Tag_PvPinSpace])</f>
        <v>➖</v>
      </c>
      <c r="G197" s="433" t="str">
        <f t="array" ref="G197">XLOOKUP(LCARS_Tech[BuffID],RawTech[BuffID],RawTech[Tag_PvPStation])</f>
        <v>➖</v>
      </c>
      <c r="H197" s="433" t="str">
        <f t="array" ref="H197">XLOOKUP(LCARS_Tech[BuffID],RawTech[BuffID],RawTech[Tag_NonArmadaHostiles])</f>
        <v>➖</v>
      </c>
      <c r="I197" s="433" t="str">
        <f t="array" ref="I197">XLOOKUP(LCARS_Tech[BuffID],RawTech[BuffID],RawTech[Tag_WaveDefense])</f>
        <v>➖</v>
      </c>
      <c r="J197" s="433" t="str">
        <f t="array" ref="J197">XLOOKUP(LCARS_Tech[BuffID],RawTech[BuffID],RawTech[Tag_QTrial])</f>
        <v>➖</v>
      </c>
      <c r="K197" s="433" t="str">
        <f t="array" ref="K197">XLOOKUP(LCARS_Tech[BuffID],RawTech[BuffID],RawTech[Tag_MissionBosses])</f>
        <v>➖</v>
      </c>
      <c r="L197" s="433" t="str">
        <f t="array" ref="L197">XLOOKUP(LCARS_Tech[BuffID],RawTech[BuffID],RawTech[Tag_GroupArmadas])</f>
        <v>➖</v>
      </c>
      <c r="M197" s="433" t="str">
        <f t="array" ref="M197">XLOOKUP(LCARS_Tech[BuffID],RawTech[BuffID],RawTech[Tag_SoloArmadas])</f>
        <v>➖</v>
      </c>
      <c r="N197" s="433" t="str">
        <f t="array" ref="N197">XLOOKUP(LCARS_Tech[BuffID],RawTech[BuffID],RawTech[Tag_InvadingEntities])</f>
        <v>➖</v>
      </c>
      <c r="O197" s="433" t="str">
        <f t="array" ref="O197">XLOOKUP(LCARS_Tech[BuffID],RawTech[BuffID],RawTech[Tag_Assaults])</f>
        <v>➖</v>
      </c>
      <c r="P197" s="434" t="str">
        <f t="array" ref="P197">XLOOKUP(LCARS_Tech[BuffID],RawTech[BuffID],RawTech[Tag_OutpostArmadas])</f>
        <v>➖</v>
      </c>
      <c r="Q197" s="416" t="str">
        <f t="array" ref="Q197">XLOOKUP(LCARS_Tech[BuffID],RawTech[BuffID],RawTech[Tag_OutpostRetaliators])</f>
        <v>➖</v>
      </c>
      <c r="R197" s="416" t="str">
        <f t="array" ref="R197">XLOOKUP(MasterTech!$AF$4:$AF$214,RawTech!$AO$2:$AO$212,RawTech!$AV$2:$AV$212)</f>
        <v/>
      </c>
      <c r="S197" s="433" t="str">
        <f t="array" ref="S197">XLOOKUP(MasterTech!$AF$4:$AF$214,RawTech!$AO$2:$AO$212,RawTech!$AK$2:$AK$212)</f>
        <v>➖</v>
      </c>
      <c r="T197" s="435" t="str">
        <f t="array" ref="T197">XLOOKUP(MasterTech!$AF$4:$AF$214,RawTech!$AO$2:$AO$212,RawTech!$AM$2:$AM$212)</f>
        <v>➖</v>
      </c>
      <c r="U197" s="438" t="str">
        <f t="array" ref="U197">XLOOKUP(MasterTech!$AF$4:$AF$214,RawTech!$AO$2:$AO$212,RawTech!$D$2:$D$212)</f>
        <v>AddState</v>
      </c>
      <c r="V197" s="438" t="str">
        <f t="array" ref="V197">XLOOKUP(MasterTech!$AF$4:$AF$214,RawTech!$AO$2:$AO$212,RawTech!$I$2:$I$212)</f>
        <v>faction_id=1306860549, num_rounds=3, state=4</v>
      </c>
      <c r="W197" s="447" t="str">
        <f t="array" ref="W197">XLOOKUP(MasterTech!$AF$4:$AF$214,RawTech!$AO$2:$AO$212,RawTech!$E$2:$E$212)</f>
        <v>SelfHullReliant, EnemyHullFaction</v>
      </c>
      <c r="X197" s="438" t="str">
        <f t="array" ref="X197">XLOOKUP(MasterTech!$AF$4:$AF$214,RawTech!$AO$2:$AO$212,RawTech!$F$2:$F$212)</f>
        <v>RoundStart</v>
      </c>
      <c r="Y197" s="438" t="str">
        <f t="array" ref="Y197">XLOOKUP(MasterTech!$AF$4:$AF$214,RawTech!$AO$2:$AO$212,RawTech!$G$2:$G$212)</f>
        <v>EnemyShip</v>
      </c>
      <c r="Z197" s="438" t="str">
        <f t="array" ref="Z197">XLOOKUP(MasterTech!$AF$4:$AF$214,RawTech!$AO$2:$AO$212,RawTech!$H$2:$H$212)</f>
        <v>Set</v>
      </c>
      <c r="AA197" s="438" t="str">
        <f t="array" ref="AA197">XLOOKUP(MasterTech!$AF$4:$AF$214,RawTech!$AO$2:$AO$212,RawTech!$J$2:$J$212)</f>
        <v>On round start, has a X chance to apply Hull Breach to [WOK] Hostiles for 3 rounds when commanding the U.S.S. Reliant.</v>
      </c>
      <c r="AB197" s="439"/>
      <c r="AC197" s="440"/>
      <c r="AD197" s="440"/>
      <c r="AE197" s="455">
        <f t="array" ref="AE197">XLOOKUP(MasterTech!$AF$4:$AF$214,RawTech!$AO$2:$AO$212,RawTech!$AR$2:$AR$212)</f>
        <v>60</v>
      </c>
      <c r="AF197" s="427">
        <v>3.080725161E9</v>
      </c>
      <c r="AG197" s="428"/>
      <c r="AH197" s="428"/>
      <c r="AI197" s="429"/>
      <c r="AJ197" s="430"/>
    </row>
    <row r="198" ht="37.5" customHeight="1">
      <c r="A198" s="415" t="str">
        <f t="array" ref="A198">LEFT(XLOOKUP(LCARS_Tech[BuffID],RawTech[BuffID],RawTech[TechRarity]), 1)</f>
        <v>R</v>
      </c>
      <c r="B198" s="420"/>
      <c r="C198" s="452" t="str">
        <f t="array" ref="C198">HYPERLINK("https://stfc.space/forbidden_and_chaos_tech/" &amp; XLOOKUP(MasterTech!$AF$4:$AF$214,RawTech!$AO$2:$AO$212,RawTech!$AQ$2:$AQ$212), XLOOKUP(MasterTech!$AF$4:$AF$214,RawTech!$AO$2:$AO$212,RawTech!$B$2:$B$212))</f>
        <v>Mark VI Photon Torpedo</v>
      </c>
      <c r="D198" s="418">
        <f t="array" ref="D198">XLOOKUP(LCARS_Tech[BuffID],RawTech[BuffID],RawTech[BuffOrder])</f>
        <v>2</v>
      </c>
      <c r="E198" s="419" t="str">
        <f t="array" ref="E198">XLOOKUP(LCARS_Tech[BuffID],RawTech[BuffID],RawTech[TechType])</f>
        <v>CT</v>
      </c>
      <c r="F198" s="419" t="str">
        <f t="array" ref="F198">XLOOKUP(LCARS_Tech[BuffID],RawTech[BuffID],RawTech[Tag_PvPinSpace])</f>
        <v>➖</v>
      </c>
      <c r="G198" s="419" t="str">
        <f t="array" ref="G198">XLOOKUP(LCARS_Tech[BuffID],RawTech[BuffID],RawTech[Tag_PvPStation])</f>
        <v>➖</v>
      </c>
      <c r="H198" s="419" t="str">
        <f t="array" ref="H198">XLOOKUP(LCARS_Tech[BuffID],RawTech[BuffID],RawTech[Tag_NonArmadaHostiles])</f>
        <v>➖</v>
      </c>
      <c r="I198" s="419" t="str">
        <f t="array" ref="I198">XLOOKUP(LCARS_Tech[BuffID],RawTech[BuffID],RawTech[Tag_WaveDefense])</f>
        <v>➖</v>
      </c>
      <c r="J198" s="419" t="str">
        <f t="array" ref="J198">XLOOKUP(LCARS_Tech[BuffID],RawTech[BuffID],RawTech[Tag_QTrial])</f>
        <v>➖</v>
      </c>
      <c r="K198" s="419" t="str">
        <f t="array" ref="K198">XLOOKUP(LCARS_Tech[BuffID],RawTech[BuffID],RawTech[Tag_MissionBosses])</f>
        <v>➖</v>
      </c>
      <c r="L198" s="419" t="str">
        <f t="array" ref="L198">XLOOKUP(LCARS_Tech[BuffID],RawTech[BuffID],RawTech[Tag_GroupArmadas])</f>
        <v>➖</v>
      </c>
      <c r="M198" s="419" t="str">
        <f t="array" ref="M198">XLOOKUP(LCARS_Tech[BuffID],RawTech[BuffID],RawTech[Tag_SoloArmadas])</f>
        <v>➖</v>
      </c>
      <c r="N198" s="419" t="str">
        <f t="array" ref="N198">XLOOKUP(LCARS_Tech[BuffID],RawTech[BuffID],RawTech[Tag_InvadingEntities])</f>
        <v>➖</v>
      </c>
      <c r="O198" s="419" t="str">
        <f t="array" ref="O198">XLOOKUP(LCARS_Tech[BuffID],RawTech[BuffID],RawTech[Tag_Assaults])</f>
        <v>➖</v>
      </c>
      <c r="P198" s="442" t="str">
        <f t="array" ref="P198">XLOOKUP(LCARS_Tech[BuffID],RawTech[BuffID],RawTech[Tag_OutpostArmadas])</f>
        <v>➖</v>
      </c>
      <c r="Q198" s="420" t="str">
        <f t="array" ref="Q198">XLOOKUP(LCARS_Tech[BuffID],RawTech[BuffID],RawTech[Tag_OutpostRetaliators])</f>
        <v>➖</v>
      </c>
      <c r="R198" s="420" t="str">
        <f t="array" ref="R198">XLOOKUP(MasterTech!$AF$4:$AF$214,RawTech!$AO$2:$AO$212,RawTech!$AV$2:$AV$212)</f>
        <v/>
      </c>
      <c r="S198" s="419" t="str">
        <f t="array" ref="S198">XLOOKUP(MasterTech!$AF$4:$AF$214,RawTech!$AO$2:$AO$212,RawTech!$AK$2:$AK$212)</f>
        <v>➖</v>
      </c>
      <c r="T198" s="422" t="str">
        <f t="array" ref="T198">XLOOKUP(MasterTech!$AF$4:$AF$214,RawTech!$AO$2:$AO$212,RawTech!$AM$2:$AM$212)</f>
        <v>➖</v>
      </c>
      <c r="U198" s="423" t="str">
        <f t="array" ref="U198">XLOOKUP(MasterTech!$AF$4:$AF$214,RawTech!$AO$2:$AO$212,RawTech!$D$2:$D$212)</f>
        <v>WokAugmentTrophyRewards</v>
      </c>
      <c r="V198" s="420" t="str">
        <f t="array" ref="V198">XLOOKUP(MasterTech!$AF$4:$AF$214,RawTech!$AO$2:$AO$212,RawTech!$I$2:$I$212)</f>
        <v/>
      </c>
      <c r="W198" s="443" t="str">
        <f t="array" ref="W198">XLOOKUP(MasterTech!$AF$4:$AF$214,RawTech!$AO$2:$AO$212,RawTech!$E$2:$E$212)</f>
        <v>SelfHullReliant</v>
      </c>
      <c r="X198" s="423" t="str">
        <f t="array" ref="X198">XLOOKUP(MasterTech!$AF$4:$AF$214,RawTech!$AO$2:$AO$212,RawTech!$F$2:$F$212)</f>
        <v>ShipLaunched</v>
      </c>
      <c r="Y198" s="423" t="str">
        <f t="array" ref="Y198">XLOOKUP(MasterTech!$AF$4:$AF$214,RawTech!$AO$2:$AO$212,RawTech!$G$2:$G$212)</f>
        <v>SelfShip</v>
      </c>
      <c r="Z198" s="423" t="str">
        <f t="array" ref="Z198">XLOOKUP(MasterTech!$AF$4:$AF$214,RawTech!$AO$2:$AO$212,RawTech!$H$2:$H$212)</f>
        <v>MultiplyAdd</v>
      </c>
      <c r="AA198" s="423" t="str">
        <f t="array" ref="AA198">XLOOKUP(MasterTech!$AF$4:$AF$214,RawTech!$AO$2:$AO$212,RawTech!$J$2:$J$212)</f>
        <v>Increases Champion Trophy rewards from hostile chests by X of base value when commanding the U.S.S. Reliant.</v>
      </c>
      <c r="AB198" s="424"/>
      <c r="AC198" s="425"/>
      <c r="AD198" s="425"/>
      <c r="AE198" s="453">
        <f t="array" ref="AE198">XLOOKUP(MasterTech!$AF$4:$AF$214,RawTech!$AO$2:$AO$212,RawTech!$AR$2:$AR$212)</f>
        <v>60</v>
      </c>
      <c r="AF198" s="427">
        <v>3.965236441E9</v>
      </c>
      <c r="AG198" s="428"/>
      <c r="AH198" s="428"/>
      <c r="AI198" s="429"/>
      <c r="AJ198" s="430"/>
    </row>
    <row r="199" ht="37.5" customHeight="1">
      <c r="A199" s="415" t="str">
        <f t="array" ref="A199">LEFT(XLOOKUP(LCARS_Tech[BuffID],RawTech[BuffID],RawTech[TechRarity]), 1)</f>
        <v>R</v>
      </c>
      <c r="B199" s="416"/>
      <c r="C199" s="417" t="str">
        <f t="array" ref="C199">HYPERLINK("https://stfc.space/forbidden_and_chaos_tech/" &amp; XLOOKUP(LCARS_Tech[BuffID],RawTech[BuffID],RawTech[TechId]), XLOOKUP(LCARS_Tech[BuffID],RawTech[BuffID],RawTech[TechName]))</f>
        <v>Mark VI Photon Torpedo</v>
      </c>
      <c r="D199" s="432">
        <f t="array" ref="D199">XLOOKUP(LCARS_Tech[BuffID],RawTech[BuffID],RawTech[BuffOrder])</f>
        <v>3</v>
      </c>
      <c r="E199" s="433" t="str">
        <f t="array" ref="E199">XLOOKUP(LCARS_Tech[BuffID],RawTech[BuffID],RawTech[TechType])</f>
        <v>CT</v>
      </c>
      <c r="F199" s="433" t="str">
        <f t="array" ref="F199">XLOOKUP(LCARS_Tech[BuffID],RawTech[BuffID],RawTech[Tag_PvPinSpace])</f>
        <v>✅</v>
      </c>
      <c r="G199" s="433" t="str">
        <f t="array" ref="G199">XLOOKUP(LCARS_Tech[BuffID],RawTech[BuffID],RawTech[Tag_PvPStation])</f>
        <v>✅</v>
      </c>
      <c r="H199" s="433" t="str">
        <f t="array" ref="H199">XLOOKUP(LCARS_Tech[BuffID],RawTech[BuffID],RawTech[Tag_NonArmadaHostiles])</f>
        <v>✅</v>
      </c>
      <c r="I199" s="433" t="str">
        <f t="array" ref="I199">XLOOKUP(LCARS_Tech[BuffID],RawTech[BuffID],RawTech[Tag_WaveDefense])</f>
        <v>✅</v>
      </c>
      <c r="J199" s="433" t="str">
        <f t="array" ref="J199">XLOOKUP(LCARS_Tech[BuffID],RawTech[BuffID],RawTech[Tag_QTrial])</f>
        <v>✅</v>
      </c>
      <c r="K199" s="433" t="str">
        <f t="array" ref="K199">XLOOKUP(LCARS_Tech[BuffID],RawTech[BuffID],RawTech[Tag_MissionBosses])</f>
        <v>✅</v>
      </c>
      <c r="L199" s="433" t="str">
        <f t="array" ref="L199">XLOOKUP(LCARS_Tech[BuffID],RawTech[BuffID],RawTech[Tag_GroupArmadas])</f>
        <v>✅</v>
      </c>
      <c r="M199" s="433" t="str">
        <f t="array" ref="M199">XLOOKUP(LCARS_Tech[BuffID],RawTech[BuffID],RawTech[Tag_SoloArmadas])</f>
        <v>✅</v>
      </c>
      <c r="N199" s="433" t="str">
        <f t="array" ref="N199">XLOOKUP(LCARS_Tech[BuffID],RawTech[BuffID],RawTech[Tag_InvadingEntities])</f>
        <v>✅</v>
      </c>
      <c r="O199" s="433" t="str">
        <f t="array" ref="O199">XLOOKUP(LCARS_Tech[BuffID],RawTech[BuffID],RawTech[Tag_Assaults])</f>
        <v>✅</v>
      </c>
      <c r="P199" s="434" t="str">
        <f t="array" ref="P199">XLOOKUP(LCARS_Tech[BuffID],RawTech[BuffID],RawTech[Tag_OutpostArmadas])</f>
        <v>✅</v>
      </c>
      <c r="Q199" s="416" t="str">
        <f t="array" ref="Q199">XLOOKUP(LCARS_Tech[BuffID],RawTech[BuffID],RawTech[Tag_OutpostRetaliators])</f>
        <v>✅</v>
      </c>
      <c r="R199" s="416" t="str">
        <f t="array" ref="R199">XLOOKUP(MasterTech!$AF$4:$AF$214,RawTech!$AO$2:$AO$212,RawTech!$AV$2:$AV$212)</f>
        <v/>
      </c>
      <c r="S199" s="433" t="str">
        <f t="array" ref="S199">XLOOKUP(MasterTech!$AF$4:$AF$214,RawTech!$AO$2:$AO$212,RawTech!$AK$2:$AK$212)</f>
        <v>➖</v>
      </c>
      <c r="T199" s="435" t="str">
        <f t="array" ref="T199">XLOOKUP(MasterTech!$AF$4:$AF$214,RawTech!$AO$2:$AO$212,RawTech!$AM$2:$AM$212)</f>
        <v>➖</v>
      </c>
      <c r="U199" s="438" t="str">
        <f t="array" ref="U199">XLOOKUP(MasterTech!$AF$4:$AF$214,RawTech!$AO$2:$AO$212,RawTech!$D$2:$D$212)</f>
        <v>HullHPMax</v>
      </c>
      <c r="V199" s="416" t="str">
        <f t="array" ref="V199">XLOOKUP(MasterTech!$AF$4:$AF$214,RawTech!$AO$2:$AO$212,RawTech!$I$2:$I$212)</f>
        <v/>
      </c>
      <c r="W199" s="437" t="str">
        <f t="array" ref="W199">XLOOKUP(MasterTech!$AF$4:$AF$214,RawTech!$AO$2:$AO$212,RawTech!$E$2:$E$212)</f>
        <v/>
      </c>
      <c r="X199" s="438" t="str">
        <f t="array" ref="X199">XLOOKUP(MasterTech!$AF$4:$AF$214,RawTech!$AO$2:$AO$212,RawTech!$F$2:$F$212)</f>
        <v>ShipLaunched</v>
      </c>
      <c r="Y199" s="438" t="str">
        <f t="array" ref="Y199">XLOOKUP(MasterTech!$AF$4:$AF$214,RawTech!$AO$2:$AO$212,RawTech!$G$2:$G$212)</f>
        <v>SelfShip</v>
      </c>
      <c r="Z199" s="438" t="str">
        <f t="array" ref="Z199">XLOOKUP(MasterTech!$AF$4:$AF$214,RawTech!$AO$2:$AO$212,RawTech!$H$2:$H$212)</f>
        <v>MultiplyAdd</v>
      </c>
      <c r="AA199" s="438" t="str">
        <f t="array" ref="AA199">XLOOKUP(MasterTech!$AF$4:$AF$214,RawTech!$AO$2:$AO$212,RawTech!$J$2:$J$212)</f>
        <v>Increases base Hull Health by X.</v>
      </c>
      <c r="AB199" s="439"/>
      <c r="AC199" s="440"/>
      <c r="AD199" s="440"/>
      <c r="AE199" s="455">
        <f t="array" ref="AE199">XLOOKUP(MasterTech!$AF$4:$AF$214,RawTech!$AO$2:$AO$212,RawTech!$AR$2:$AR$212)</f>
        <v>60</v>
      </c>
      <c r="AF199" s="427">
        <v>8.35348251E8</v>
      </c>
      <c r="AG199" s="428"/>
      <c r="AH199" s="428"/>
      <c r="AI199" s="429"/>
      <c r="AJ199" s="430"/>
    </row>
    <row r="200" ht="37.5" customHeight="1">
      <c r="A200" s="415" t="str">
        <f t="array" ref="A200">LEFT(XLOOKUP(LCARS_Tech[BuffID],RawTech[BuffID],RawTech[TechRarity]), 1)</f>
        <v>E</v>
      </c>
      <c r="B200" s="420"/>
      <c r="C200" s="460" t="str">
        <f t="array" ref="C200">HYPERLINK("https://stfc.space/forbidden_and_chaos_tech/" &amp; XLOOKUP(MasterTech!$AF$4:$AF$214,RawTech!$AO$2:$AO$212,RawTech!$AQ$2:$AQ$212), XLOOKUP(MasterTech!$AF$4:$AF$214,RawTech!$AO$2:$AO$212,RawTech!$B$2:$B$212))</f>
        <v>Portable Transwarp Beaming Device</v>
      </c>
      <c r="D200" s="418">
        <f t="array" ref="D200">XLOOKUP(LCARS_Tech[BuffID],RawTech[BuffID],RawTech[BuffOrder])</f>
        <v>1</v>
      </c>
      <c r="E200" s="419" t="str">
        <f t="array" ref="E200">XLOOKUP(LCARS_Tech[BuffID],RawTech[BuffID],RawTech[TechType])</f>
        <v>CT</v>
      </c>
      <c r="F200" s="419" t="str">
        <f t="array" ref="F200">XLOOKUP(LCARS_Tech[BuffID],RawTech[BuffID],RawTech[Tag_PvPinSpace])</f>
        <v>➖</v>
      </c>
      <c r="G200" s="419" t="str">
        <f t="array" ref="G200">XLOOKUP(LCARS_Tech[BuffID],RawTech[BuffID],RawTech[Tag_PvPStation])</f>
        <v>➖</v>
      </c>
      <c r="H200" s="419" t="str">
        <f t="array" ref="H200">XLOOKUP(LCARS_Tech[BuffID],RawTech[BuffID],RawTech[Tag_NonArmadaHostiles])</f>
        <v>➖</v>
      </c>
      <c r="I200" s="419" t="str">
        <f t="array" ref="I200">XLOOKUP(LCARS_Tech[BuffID],RawTech[BuffID],RawTech[Tag_WaveDefense])</f>
        <v>➖</v>
      </c>
      <c r="J200" s="419" t="str">
        <f t="array" ref="J200">XLOOKUP(LCARS_Tech[BuffID],RawTech[BuffID],RawTech[Tag_QTrial])</f>
        <v>➖</v>
      </c>
      <c r="K200" s="419" t="str">
        <f t="array" ref="K200">XLOOKUP(LCARS_Tech[BuffID],RawTech[BuffID],RawTech[Tag_MissionBosses])</f>
        <v>➖</v>
      </c>
      <c r="L200" s="419" t="str">
        <f t="array" ref="L200">XLOOKUP(LCARS_Tech[BuffID],RawTech[BuffID],RawTech[Tag_GroupArmadas])</f>
        <v>➖</v>
      </c>
      <c r="M200" s="419" t="str">
        <f t="array" ref="M200">XLOOKUP(LCARS_Tech[BuffID],RawTech[BuffID],RawTech[Tag_SoloArmadas])</f>
        <v>➖</v>
      </c>
      <c r="N200" s="419" t="str">
        <f t="array" ref="N200">XLOOKUP(LCARS_Tech[BuffID],RawTech[BuffID],RawTech[Tag_InvadingEntities])</f>
        <v>➖</v>
      </c>
      <c r="O200" s="419" t="str">
        <f t="array" ref="O200">XLOOKUP(LCARS_Tech[BuffID],RawTech[BuffID],RawTech[Tag_Assaults])</f>
        <v>➖</v>
      </c>
      <c r="P200" s="442" t="str">
        <f t="array" ref="P200">XLOOKUP(LCARS_Tech[BuffID],RawTech[BuffID],RawTech[Tag_OutpostArmadas])</f>
        <v>➖</v>
      </c>
      <c r="Q200" s="420" t="str">
        <f t="array" ref="Q200">XLOOKUP(LCARS_Tech[BuffID],RawTech[BuffID],RawTech[Tag_OutpostRetaliators])</f>
        <v>➖</v>
      </c>
      <c r="R200" s="420" t="str">
        <f t="array" ref="R200">XLOOKUP(MasterTech!$AF$4:$AF$214,RawTech!$AO$2:$AO$212,RawTech!$AV$2:$AV$212)</f>
        <v/>
      </c>
      <c r="S200" s="419" t="str">
        <f t="array" ref="S200">XLOOKUP(MasterTech!$AF$4:$AF$214,RawTech!$AO$2:$AO$212,RawTech!$AK$2:$AK$212)</f>
        <v>➖</v>
      </c>
      <c r="T200" s="422" t="str">
        <f t="array" ref="T200">XLOOKUP(MasterTech!$AF$4:$AF$214,RawTech!$AO$2:$AO$212,RawTech!$AM$2:$AM$212)</f>
        <v>➖</v>
      </c>
      <c r="U200" s="423" t="str">
        <f t="array" ref="U200">XLOOKUP(MasterTech!$AF$4:$AF$214,RawTech!$AO$2:$AO$212,RawTech!$D$2:$D$212)</f>
        <v>ApexShred</v>
      </c>
      <c r="V200" s="423" t="str">
        <f t="array" ref="V200">XLOOKUP(MasterTech!$AF$4:$AF$214,RawTech!$AO$2:$AO$212,RawTech!$I$2:$I$212)</f>
        <v>num_rounds=2</v>
      </c>
      <c r="W200" s="443" t="str">
        <f t="array" ref="W200">XLOOKUP(MasterTech!$AF$4:$AF$214,RawTech!$AO$2:$AO$212,RawTech!$E$2:$E$212)</f>
        <v>SelfHullVengeance, EnemyPlayer, TargetHasHullBreach</v>
      </c>
      <c r="X200" s="423" t="str">
        <f t="array" ref="X200">XLOOKUP(MasterTech!$AF$4:$AF$214,RawTech!$AO$2:$AO$212,RawTech!$F$2:$F$212)</f>
        <v>RoundStart</v>
      </c>
      <c r="Y200" s="423" t="str">
        <f t="array" ref="Y200">XLOOKUP(MasterTech!$AF$4:$AF$214,RawTech!$AO$2:$AO$212,RawTech!$G$2:$G$212)</f>
        <v>EnemyShip</v>
      </c>
      <c r="Z200" s="423" t="str">
        <f t="array" ref="Z200">XLOOKUP(MasterTech!$AF$4:$AF$214,RawTech!$AO$2:$AO$212,RawTech!$H$2:$H$212)</f>
        <v>Add</v>
      </c>
      <c r="AA200" s="423" t="str">
        <f t="array" ref="AA200">XLOOKUP(MasterTech!$AF$4:$AF$214,RawTech!$AO$2:$AO$212,RawTech!$J$2:$J$212)</f>
        <v>On round start, increases Apex Shred in PvP by X if opponent has Hull Breach when commanding the U.S.S. Vengeance.</v>
      </c>
      <c r="AB200" s="424"/>
      <c r="AC200" s="425"/>
      <c r="AD200" s="425"/>
      <c r="AE200" s="461">
        <f t="array" ref="AE200">XLOOKUP(MasterTech!$AF$4:$AF$214,RawTech!$AO$2:$AO$212,RawTech!$AR$2:$AR$212)</f>
        <v>61</v>
      </c>
      <c r="AF200" s="427">
        <v>3.929827E8</v>
      </c>
      <c r="AG200" s="428"/>
      <c r="AH200" s="428"/>
      <c r="AI200" s="429"/>
      <c r="AJ200" s="430"/>
    </row>
    <row r="201" ht="37.5" customHeight="1">
      <c r="A201" s="415" t="str">
        <f t="array" ref="A201">LEFT(XLOOKUP(LCARS_Tech[BuffID],RawTech[BuffID],RawTech[TechRarity]), 1)</f>
        <v>E</v>
      </c>
      <c r="B201" s="416"/>
      <c r="C201" s="464" t="str">
        <f t="array" ref="C201">HYPERLINK("https://stfc.space/forbidden_and_chaos_tech/" &amp; XLOOKUP(MasterTech!$AF$4:$AF$214,RawTech!$AO$2:$AO$212,RawTech!$AQ$2:$AQ$212), XLOOKUP(MasterTech!$AF$4:$AF$214,RawTech!$AO$2:$AO$212,RawTech!$B$2:$B$212))</f>
        <v>Portable Transwarp Beaming Device</v>
      </c>
      <c r="D201" s="432">
        <f t="array" ref="D201">XLOOKUP(LCARS_Tech[BuffID],RawTech[BuffID],RawTech[BuffOrder])</f>
        <v>2</v>
      </c>
      <c r="E201" s="433" t="str">
        <f t="array" ref="E201">XLOOKUP(LCARS_Tech[BuffID],RawTech[BuffID],RawTech[TechType])</f>
        <v>CT</v>
      </c>
      <c r="F201" s="433" t="str">
        <f t="array" ref="F201">XLOOKUP(LCARS_Tech[BuffID],RawTech[BuffID],RawTech[Tag_PvPinSpace])</f>
        <v>➖</v>
      </c>
      <c r="G201" s="433" t="str">
        <f t="array" ref="G201">XLOOKUP(LCARS_Tech[BuffID],RawTech[BuffID],RawTech[Tag_PvPStation])</f>
        <v>➖</v>
      </c>
      <c r="H201" s="433" t="str">
        <f t="array" ref="H201">XLOOKUP(LCARS_Tech[BuffID],RawTech[BuffID],RawTech[Tag_NonArmadaHostiles])</f>
        <v>➖</v>
      </c>
      <c r="I201" s="433" t="str">
        <f t="array" ref="I201">XLOOKUP(LCARS_Tech[BuffID],RawTech[BuffID],RawTech[Tag_WaveDefense])</f>
        <v>➖</v>
      </c>
      <c r="J201" s="433" t="str">
        <f t="array" ref="J201">XLOOKUP(LCARS_Tech[BuffID],RawTech[BuffID],RawTech[Tag_QTrial])</f>
        <v>➖</v>
      </c>
      <c r="K201" s="433" t="str">
        <f t="array" ref="K201">XLOOKUP(LCARS_Tech[BuffID],RawTech[BuffID],RawTech[Tag_MissionBosses])</f>
        <v>➖</v>
      </c>
      <c r="L201" s="433" t="str">
        <f t="array" ref="L201">XLOOKUP(LCARS_Tech[BuffID],RawTech[BuffID],RawTech[Tag_GroupArmadas])</f>
        <v>➖</v>
      </c>
      <c r="M201" s="433" t="str">
        <f t="array" ref="M201">XLOOKUP(LCARS_Tech[BuffID],RawTech[BuffID],RawTech[Tag_SoloArmadas])</f>
        <v>➖</v>
      </c>
      <c r="N201" s="433" t="str">
        <f t="array" ref="N201">XLOOKUP(LCARS_Tech[BuffID],RawTech[BuffID],RawTech[Tag_InvadingEntities])</f>
        <v>➖</v>
      </c>
      <c r="O201" s="433" t="str">
        <f t="array" ref="O201">XLOOKUP(LCARS_Tech[BuffID],RawTech[BuffID],RawTech[Tag_Assaults])</f>
        <v>➖</v>
      </c>
      <c r="P201" s="434" t="str">
        <f t="array" ref="P201">XLOOKUP(LCARS_Tech[BuffID],RawTech[BuffID],RawTech[Tag_OutpostArmadas])</f>
        <v>➖</v>
      </c>
      <c r="Q201" s="416" t="str">
        <f t="array" ref="Q201">XLOOKUP(LCARS_Tech[BuffID],RawTech[BuffID],RawTech[Tag_OutpostRetaliators])</f>
        <v>➖</v>
      </c>
      <c r="R201" s="416" t="str">
        <f t="array" ref="R201">XLOOKUP(MasterTech!$AF$4:$AF$214,RawTech!$AO$2:$AO$212,RawTech!$AV$2:$AV$212)</f>
        <v/>
      </c>
      <c r="S201" s="433" t="str">
        <f t="array" ref="S201">XLOOKUP(MasterTech!$AF$4:$AF$214,RawTech!$AO$2:$AO$212,RawTech!$AK$2:$AK$212)</f>
        <v>➖</v>
      </c>
      <c r="T201" s="435" t="str">
        <f t="array" ref="T201">XLOOKUP(MasterTech!$AF$4:$AF$214,RawTech!$AO$2:$AO$212,RawTech!$AM$2:$AM$212)</f>
        <v>➖</v>
      </c>
      <c r="U201" s="438" t="str">
        <f t="array" ref="U201">XLOOKUP(MasterTech!$AF$4:$AF$214,RawTech!$AO$2:$AO$212,RawTech!$D$2:$D$212)</f>
        <v>ApexBarrier</v>
      </c>
      <c r="V201" s="416" t="str">
        <f t="array" ref="V201">XLOOKUP(MasterTech!$AF$4:$AF$214,RawTech!$AO$2:$AO$212,RawTech!$I$2:$I$212)</f>
        <v/>
      </c>
      <c r="W201" s="447" t="str">
        <f t="array" ref="W201">XLOOKUP(MasterTech!$AF$4:$AF$214,RawTech!$AO$2:$AO$212,RawTech!$E$2:$E$212)</f>
        <v>SelfHullVengeance, EnemyPlayer, SelfOfficerTalNotOnBridge</v>
      </c>
      <c r="X201" s="438" t="str">
        <f t="array" ref="X201">XLOOKUP(MasterTech!$AF$4:$AF$214,RawTech!$AO$2:$AO$212,RawTech!$F$2:$F$212)</f>
        <v>CombatStart</v>
      </c>
      <c r="Y201" s="438" t="str">
        <f t="array" ref="Y201">XLOOKUP(MasterTech!$AF$4:$AF$214,RawTech!$AO$2:$AO$212,RawTech!$G$2:$G$212)</f>
        <v>SelfShip</v>
      </c>
      <c r="Z201" s="438" t="str">
        <f t="array" ref="Z201">XLOOKUP(MasterTech!$AF$4:$AF$214,RawTech!$AO$2:$AO$212,RawTech!$H$2:$H$212)</f>
        <v>Add</v>
      </c>
      <c r="AA201" s="438" t="str">
        <f t="array" ref="AA201">XLOOKUP(MasterTech!$AF$4:$AF$214,RawTech!$AO$2:$AO$212,RawTech!$J$2:$J$212)</f>
        <v>Increases Apex Barrier in PvP by X when commanding the U.S.S. Vengeance. Does not apply when Tal is assigned to the bridge.</v>
      </c>
      <c r="AB201" s="439"/>
      <c r="AC201" s="440"/>
      <c r="AD201" s="440"/>
      <c r="AE201" s="462">
        <f t="array" ref="AE201">XLOOKUP(MasterTech!$AF$4:$AF$214,RawTech!$AO$2:$AO$212,RawTech!$AR$2:$AR$212)</f>
        <v>61</v>
      </c>
      <c r="AF201" s="427">
        <v>1.843894986E9</v>
      </c>
      <c r="AG201" s="428"/>
      <c r="AH201" s="428"/>
      <c r="AI201" s="429"/>
      <c r="AJ201" s="430"/>
    </row>
    <row r="202" ht="37.5" customHeight="1">
      <c r="A202" s="415" t="str">
        <f t="array" ref="A202">LEFT(XLOOKUP(LCARS_Tech[BuffID],RawTech[BuffID],RawTech[TechRarity]), 1)</f>
        <v>E</v>
      </c>
      <c r="B202" s="470"/>
      <c r="C202" s="471" t="str">
        <f t="array" ref="C202">HYPERLINK("https://stfc.space/forbidden_and_chaos_tech/" &amp; XLOOKUP(MasterTech!$AF$4:$AF$214,RawTech!$AO$2:$AO$212,RawTech!$AQ$2:$AQ$212), XLOOKUP(MasterTech!$AF$4:$AF$214,RawTech!$AO$2:$AO$212,RawTech!$B$2:$B$212))</f>
        <v>Portable Transwarp Beaming Device</v>
      </c>
      <c r="D202" s="472">
        <f t="array" ref="D202">XLOOKUP(LCARS_Tech[BuffID],RawTech[BuffID],RawTech[BuffOrder])</f>
        <v>3</v>
      </c>
      <c r="E202" s="473" t="str">
        <f t="array" ref="E202">XLOOKUP(LCARS_Tech[BuffID],RawTech[BuffID],RawTech[TechType])</f>
        <v>CT</v>
      </c>
      <c r="F202" s="473" t="str">
        <f t="array" ref="F202">XLOOKUP(LCARS_Tech[BuffID],RawTech[BuffID],RawTech[Tag_PvPinSpace])</f>
        <v>➖</v>
      </c>
      <c r="G202" s="473" t="str">
        <f t="array" ref="G202">XLOOKUP(LCARS_Tech[BuffID],RawTech[BuffID],RawTech[Tag_PvPStation])</f>
        <v>➖</v>
      </c>
      <c r="H202" s="473" t="str">
        <f t="array" ref="H202">XLOOKUP(LCARS_Tech[BuffID],RawTech[BuffID],RawTech[Tag_NonArmadaHostiles])</f>
        <v>➖</v>
      </c>
      <c r="I202" s="473" t="str">
        <f t="array" ref="I202">XLOOKUP(LCARS_Tech[BuffID],RawTech[BuffID],RawTech[Tag_WaveDefense])</f>
        <v>➖</v>
      </c>
      <c r="J202" s="473" t="str">
        <f t="array" ref="J202">XLOOKUP(LCARS_Tech[BuffID],RawTech[BuffID],RawTech[Tag_QTrial])</f>
        <v>➖</v>
      </c>
      <c r="K202" s="473" t="str">
        <f t="array" ref="K202">XLOOKUP(LCARS_Tech[BuffID],RawTech[BuffID],RawTech[Tag_MissionBosses])</f>
        <v>➖</v>
      </c>
      <c r="L202" s="473" t="str">
        <f t="array" ref="L202">XLOOKUP(LCARS_Tech[BuffID],RawTech[BuffID],RawTech[Tag_GroupArmadas])</f>
        <v>➖</v>
      </c>
      <c r="M202" s="473" t="str">
        <f t="array" ref="M202">XLOOKUP(LCARS_Tech[BuffID],RawTech[BuffID],RawTech[Tag_SoloArmadas])</f>
        <v>➖</v>
      </c>
      <c r="N202" s="473" t="str">
        <f t="array" ref="N202">XLOOKUP(LCARS_Tech[BuffID],RawTech[BuffID],RawTech[Tag_InvadingEntities])</f>
        <v>➖</v>
      </c>
      <c r="O202" s="473" t="str">
        <f t="array" ref="O202">XLOOKUP(LCARS_Tech[BuffID],RawTech[BuffID],RawTech[Tag_Assaults])</f>
        <v>➖</v>
      </c>
      <c r="P202" s="474" t="str">
        <f t="array" ref="P202">XLOOKUP(LCARS_Tech[BuffID],RawTech[BuffID],RawTech[Tag_OutpostArmadas])</f>
        <v>➖</v>
      </c>
      <c r="Q202" s="470" t="str">
        <f t="array" ref="Q202">XLOOKUP(LCARS_Tech[BuffID],RawTech[BuffID],RawTech[Tag_OutpostRetaliators])</f>
        <v>➖</v>
      </c>
      <c r="R202" s="470" t="str">
        <f t="array" ref="R202">XLOOKUP(MasterTech!$AF$4:$AF$214,RawTech!$AO$2:$AO$212,RawTech!$AV$2:$AV$212)</f>
        <v/>
      </c>
      <c r="S202" s="473" t="str">
        <f t="array" ref="S202">XLOOKUP(MasterTech!$AF$4:$AF$214,RawTech!$AO$2:$AO$212,RawTech!$AK$2:$AK$212)</f>
        <v>➖</v>
      </c>
      <c r="T202" s="475" t="str">
        <f t="array" ref="T202">XLOOKUP(MasterTech!$AF$4:$AF$214,RawTech!$AO$2:$AO$212,RawTech!$AM$2:$AM$212)</f>
        <v>➖</v>
      </c>
      <c r="U202" s="476" t="str">
        <f t="array" ref="U202">XLOOKUP(MasterTech!$AF$4:$AF$214,RawTech!$AO$2:$AO$212,RawTech!$D$2:$D$212)</f>
        <v>CritChance</v>
      </c>
      <c r="V202" s="470" t="str">
        <f t="array" ref="V202">XLOOKUP(MasterTech!$AF$4:$AF$214,RawTech!$AO$2:$AO$212,RawTech!$I$2:$I$212)</f>
        <v/>
      </c>
      <c r="W202" s="477" t="str">
        <f t="array" ref="W202">XLOOKUP(MasterTech!$AF$4:$AF$214,RawTech!$AO$2:$AO$212,RawTech!$E$2:$E$212)</f>
        <v>SelfHullVengeance, EnemyPlayer</v>
      </c>
      <c r="X202" s="476" t="str">
        <f t="array" ref="X202">XLOOKUP(MasterTech!$AF$4:$AF$214,RawTech!$AO$2:$AO$212,RawTech!$F$2:$F$212)</f>
        <v>CombatStart</v>
      </c>
      <c r="Y202" s="476" t="str">
        <f t="array" ref="Y202">XLOOKUP(MasterTech!$AF$4:$AF$214,RawTech!$AO$2:$AO$212,RawTech!$G$2:$G$212)</f>
        <v>SelfShip</v>
      </c>
      <c r="Z202" s="476" t="str">
        <f t="array" ref="Z202">XLOOKUP(MasterTech!$AF$4:$AF$214,RawTech!$AO$2:$AO$212,RawTech!$H$2:$H$212)</f>
        <v>Add</v>
      </c>
      <c r="AA202" s="476" t="str">
        <f t="array" ref="AA202">XLOOKUP(MasterTech!$AF$4:$AF$214,RawTech!$AO$2:$AO$212,RawTech!$J$2:$J$212)</f>
        <v>Increases Crit Chance in PvP by X when commanding the U.S.S. Vengeance.</v>
      </c>
      <c r="AB202" s="478"/>
      <c r="AC202" s="479"/>
      <c r="AD202" s="479"/>
      <c r="AE202" s="480">
        <f t="array" ref="AE202">XLOOKUP(MasterTech!$AF$4:$AF$214,RawTech!$AO$2:$AO$212,RawTech!$AR$2:$AR$212)</f>
        <v>61</v>
      </c>
      <c r="AF202" s="427">
        <v>4.283993844E9</v>
      </c>
      <c r="AG202" s="428"/>
      <c r="AH202" s="428"/>
      <c r="AI202" s="429"/>
      <c r="AJ202" s="430"/>
    </row>
    <row r="203" ht="37.5" customHeight="1">
      <c r="A203" s="415" t="str">
        <f t="array" ref="A203">LEFT(XLOOKUP(LCARS_Tech[BuffID],RawTech[BuffID],RawTech[TechRarity]), 1)</f>
        <v>E</v>
      </c>
      <c r="B203" s="481"/>
      <c r="C203" s="417" t="str">
        <f t="array" ref="C203">HYPERLINK("https://stfc.space/forbidden_and_chaos_tech/" &amp; XLOOKUP(LCARS_Tech[BuffID],RawTech[BuffID],RawTech[TechId]), XLOOKUP(LCARS_Tech[BuffID],RawTech[BuffID],RawTech[TechName]))</f>
        <v>[PRO] M-5 Multitronic Unit</v>
      </c>
      <c r="D203" s="482">
        <f t="array" ref="D203">XLOOKUP(LCARS_Tech[BuffID],RawTech[BuffID],RawTech[BuffOrder])</f>
        <v>1</v>
      </c>
      <c r="E203" s="483" t="str">
        <f t="array" ref="E203">XLOOKUP(LCARS_Tech[BuffID],RawTech[BuffID],RawTech[TechType])</f>
        <v>FT</v>
      </c>
      <c r="F203" s="483" t="str">
        <f t="array" ref="F203">XLOOKUP(LCARS_Tech[BuffID],RawTech[BuffID],RawTech[Tag_PvPinSpace])</f>
        <v>➖</v>
      </c>
      <c r="G203" s="483" t="str">
        <f t="array" ref="G203">XLOOKUP(LCARS_Tech[BuffID],RawTech[BuffID],RawTech[Tag_PvPStation])</f>
        <v>➖</v>
      </c>
      <c r="H203" s="483" t="str">
        <f t="array" ref="H203">XLOOKUP(LCARS_Tech[BuffID],RawTech[BuffID],RawTech[Tag_NonArmadaHostiles])</f>
        <v>➖</v>
      </c>
      <c r="I203" s="483" t="str">
        <f t="array" ref="I203">XLOOKUP(LCARS_Tech[BuffID],RawTech[BuffID],RawTech[Tag_WaveDefense])</f>
        <v>➖</v>
      </c>
      <c r="J203" s="483" t="str">
        <f t="array" ref="J203">XLOOKUP(LCARS_Tech[BuffID],RawTech[BuffID],RawTech[Tag_QTrial])</f>
        <v>➖</v>
      </c>
      <c r="K203" s="483" t="str">
        <f t="array" ref="K203">XLOOKUP(LCARS_Tech[BuffID],RawTech[BuffID],RawTech[Tag_MissionBosses])</f>
        <v>➖</v>
      </c>
      <c r="L203" s="483" t="str">
        <f t="array" ref="L203">XLOOKUP(LCARS_Tech[BuffID],RawTech[BuffID],RawTech[Tag_GroupArmadas])</f>
        <v>➖</v>
      </c>
      <c r="M203" s="483" t="str">
        <f t="array" ref="M203">XLOOKUP(LCARS_Tech[BuffID],RawTech[BuffID],RawTech[Tag_SoloArmadas])</f>
        <v>➖</v>
      </c>
      <c r="N203" s="483" t="str">
        <f t="array" ref="N203">XLOOKUP(LCARS_Tech[BuffID],RawTech[BuffID],RawTech[Tag_InvadingEntities])</f>
        <v>➖</v>
      </c>
      <c r="O203" s="483" t="str">
        <f t="array" ref="O203">XLOOKUP(LCARS_Tech[BuffID],RawTech[BuffID],RawTech[Tag_Assaults])</f>
        <v>➖</v>
      </c>
      <c r="P203" s="484" t="str">
        <f t="array" ref="P203">XLOOKUP(LCARS_Tech[BuffID],RawTech[BuffID],RawTech[Tag_OutpostArmadas])</f>
        <v>✅</v>
      </c>
      <c r="Q203" s="485" t="str">
        <f t="array" ref="Q203">XLOOKUP(LCARS_Tech[BuffID],RawTech[BuffID],RawTech[Tag_OutpostRetaliators])</f>
        <v>➖</v>
      </c>
      <c r="R203" s="485" t="str">
        <f t="array" ref="R203">XLOOKUP(MasterTech!$AF$4:$AF$214,RawTech!$AO$2:$AO$212,RawTech!$AV$2:$AV$212)</f>
        <v/>
      </c>
      <c r="S203" s="483" t="str">
        <f t="array" ref="S203">XLOOKUP(MasterTech!$AF$4:$AF$214,RawTech!$AO$2:$AO$212,RawTech!$AK$2:$AK$212)</f>
        <v>➖</v>
      </c>
      <c r="T203" s="486" t="str">
        <f t="array" ref="T203">XLOOKUP(MasterTech!$AF$4:$AF$214,RawTech!$AO$2:$AO$212,RawTech!$AM$2:$AM$212)</f>
        <v>➖</v>
      </c>
      <c r="U203" s="487" t="str">
        <f t="array" ref="U203">XLOOKUP(MasterTech!$AF$4:$AF$214,RawTech!$AO$2:$AO$212,RawTech!$D$2:$D$212)</f>
        <v>CritChance</v>
      </c>
      <c r="V203" s="485" t="str">
        <f t="array" ref="V203">XLOOKUP(MasterTech!$AF$4:$AF$214,RawTech!$AO$2:$AO$212,RawTech!$I$2:$I$212)</f>
        <v>battle_types=[17]</v>
      </c>
      <c r="W203" s="488" t="str">
        <f t="array" ref="W203">XLOOKUP(MasterTech!$AF$4:$AF$214,RawTech!$AO$2:$AO$212,RawTech!$E$2:$E$212)</f>
        <v>CombatBattleType</v>
      </c>
      <c r="X203" s="487" t="str">
        <f t="array" ref="X203">XLOOKUP(MasterTech!$AF$4:$AF$214,RawTech!$AO$2:$AO$212,RawTech!$F$2:$F$212)</f>
        <v>CombatStart</v>
      </c>
      <c r="Y203" s="487" t="str">
        <f t="array" ref="Y203">XLOOKUP(MasterTech!$AF$4:$AF$214,RawTech!$AO$2:$AO$212,RawTech!$G$2:$G$212)</f>
        <v>SelfShip</v>
      </c>
      <c r="Z203" s="487" t="str">
        <f t="array" ref="Z203">XLOOKUP(MasterTech!$AF$4:$AF$214,RawTech!$AO$2:$AO$212,RawTech!$H$2:$H$212)</f>
        <v>Add</v>
      </c>
      <c r="AA203" s="487" t="str">
        <f t="array" ref="AA203">XLOOKUP(MasterTech!$AF$4:$AF$214,RawTech!$AO$2:$AO$212,RawTech!$J$2:$J$212)</f>
        <v>Increases Critical Hit Chance against Outposts by X.</v>
      </c>
      <c r="AB203" s="489" t="b">
        <v>0</v>
      </c>
      <c r="AC203" s="490"/>
      <c r="AD203" s="490"/>
      <c r="AE203" s="491">
        <f t="array" ref="AE203">XLOOKUP(MasterTech!$AF$4:$AF$214,RawTech!$AO$2:$AO$212,RawTech!$AR$2:$AR$212)</f>
        <v>62</v>
      </c>
      <c r="AF203" s="427">
        <v>1.096549617E9</v>
      </c>
      <c r="AG203" s="428" t="b">
        <v>0</v>
      </c>
      <c r="AH203" s="428" t="b">
        <v>0</v>
      </c>
      <c r="AI203" s="429"/>
      <c r="AJ203" s="430"/>
    </row>
    <row r="204" ht="37.5" customHeight="1">
      <c r="A204" s="492" t="str">
        <f t="array" ref="A204">LEFT(XLOOKUP(LCARS_Tech[BuffID],RawTech[BuffID],RawTech[TechRarity]), 1)</f>
        <v>E</v>
      </c>
      <c r="B204" s="481"/>
      <c r="C204" s="493" t="str">
        <f t="array" ref="C204">HYPERLINK("https://stfc.space/forbidden_and_chaos_tech/" &amp; XLOOKUP(LCARS_Tech[BuffID],RawTech[BuffID],RawTech[TechId]), XLOOKUP(LCARS_Tech[BuffID],RawTech[BuffID],RawTech[TechName]))</f>
        <v>[PRO] M-5 Multitronic Unit</v>
      </c>
      <c r="D204" s="482">
        <f t="array" ref="D204">XLOOKUP(LCARS_Tech[BuffID],RawTech[BuffID],RawTech[BuffOrder])</f>
        <v>2</v>
      </c>
      <c r="E204" s="483" t="str">
        <f t="array" ref="E204">XLOOKUP(LCARS_Tech[BuffID],RawTech[BuffID],RawTech[TechType])</f>
        <v>FT</v>
      </c>
      <c r="F204" s="483" t="str">
        <f t="array" ref="F204">XLOOKUP(LCARS_Tech[BuffID],RawTech[BuffID],RawTech[Tag_PvPinSpace])</f>
        <v>➖</v>
      </c>
      <c r="G204" s="483" t="str">
        <f t="array" ref="G204">XLOOKUP(LCARS_Tech[BuffID],RawTech[BuffID],RawTech[Tag_PvPStation])</f>
        <v>➖</v>
      </c>
      <c r="H204" s="483" t="str">
        <f t="array" ref="H204">XLOOKUP(LCARS_Tech[BuffID],RawTech[BuffID],RawTech[Tag_NonArmadaHostiles])</f>
        <v>➖</v>
      </c>
      <c r="I204" s="483" t="str">
        <f t="array" ref="I204">XLOOKUP(LCARS_Tech[BuffID],RawTech[BuffID],RawTech[Tag_WaveDefense])</f>
        <v>➖</v>
      </c>
      <c r="J204" s="483" t="str">
        <f t="array" ref="J204">XLOOKUP(LCARS_Tech[BuffID],RawTech[BuffID],RawTech[Tag_QTrial])</f>
        <v>➖</v>
      </c>
      <c r="K204" s="483" t="str">
        <f t="array" ref="K204">XLOOKUP(LCARS_Tech[BuffID],RawTech[BuffID],RawTech[Tag_MissionBosses])</f>
        <v>➖</v>
      </c>
      <c r="L204" s="483" t="str">
        <f t="array" ref="L204">XLOOKUP(LCARS_Tech[BuffID],RawTech[BuffID],RawTech[Tag_GroupArmadas])</f>
        <v>➖</v>
      </c>
      <c r="M204" s="483" t="str">
        <f t="array" ref="M204">XLOOKUP(LCARS_Tech[BuffID],RawTech[BuffID],RawTech[Tag_SoloArmadas])</f>
        <v>➖</v>
      </c>
      <c r="N204" s="483" t="str">
        <f t="array" ref="N204">XLOOKUP(LCARS_Tech[BuffID],RawTech[BuffID],RawTech[Tag_InvadingEntities])</f>
        <v>➖</v>
      </c>
      <c r="O204" s="483" t="str">
        <f t="array" ref="O204">XLOOKUP(LCARS_Tech[BuffID],RawTech[BuffID],RawTech[Tag_Assaults])</f>
        <v>➖</v>
      </c>
      <c r="P204" s="484" t="str">
        <f t="array" ref="P204">XLOOKUP(LCARS_Tech[BuffID],RawTech[BuffID],RawTech[Tag_OutpostArmadas])</f>
        <v>✅</v>
      </c>
      <c r="Q204" s="485" t="str">
        <f t="array" ref="Q204">XLOOKUP(LCARS_Tech[BuffID],RawTech[BuffID],RawTech[Tag_OutpostRetaliators])</f>
        <v>✅</v>
      </c>
      <c r="R204" s="485" t="str">
        <f t="array" ref="R204">XLOOKUP(MasterTech!$AF$4:$AF$214,RawTech!$AO$2:$AO$212,RawTech!$AV$2:$AV$212)</f>
        <v/>
      </c>
      <c r="S204" s="483" t="str">
        <f t="array" ref="S204">XLOOKUP(MasterTech!$AF$4:$AF$214,RawTech!$AO$2:$AO$212,RawTech!$AK$2:$AK$212)</f>
        <v>➖</v>
      </c>
      <c r="T204" s="486" t="str">
        <f t="array" ref="T204">XLOOKUP(MasterTech!$AF$4:$AF$214,RawTech!$AO$2:$AO$212,RawTech!$AM$2:$AM$212)</f>
        <v>➖</v>
      </c>
      <c r="U204" s="487" t="str">
        <f t="array" ref="U204">XLOOKUP(MasterTech!$AF$4:$AF$214,RawTech!$AO$2:$AO$212,RawTech!$D$2:$D$212)</f>
        <v>AllDefenses</v>
      </c>
      <c r="V204" s="485" t="str">
        <f t="array" ref="V204">XLOOKUP(MasterTech!$AF$4:$AF$214,RawTech!$AO$2:$AO$212,RawTech!$I$2:$I$212)</f>
        <v>battle_types=[17, 18]</v>
      </c>
      <c r="W204" s="488" t="str">
        <f t="array" ref="W204">XLOOKUP(MasterTech!$AF$4:$AF$214,RawTech!$AO$2:$AO$212,RawTech!$E$2:$E$212)</f>
        <v>CombatBattleType</v>
      </c>
      <c r="X204" s="487" t="str">
        <f t="array" ref="X204">XLOOKUP(MasterTech!$AF$4:$AF$214,RawTech!$AO$2:$AO$212,RawTech!$F$2:$F$212)</f>
        <v>CombatStart</v>
      </c>
      <c r="Y204" s="487" t="str">
        <f t="array" ref="Y204">XLOOKUP(MasterTech!$AF$4:$AF$214,RawTech!$AO$2:$AO$212,RawTech!$G$2:$G$212)</f>
        <v>SelfShip</v>
      </c>
      <c r="Z204" s="487" t="str">
        <f t="array" ref="Z204">XLOOKUP(MasterTech!$AF$4:$AF$214,RawTech!$AO$2:$AO$212,RawTech!$H$2:$H$212)</f>
        <v>MultiplyAdd</v>
      </c>
      <c r="AA204" s="487" t="str">
        <f t="array" ref="AA204">XLOOKUP(MasterTech!$AF$4:$AF$214,RawTech!$AO$2:$AO$212,RawTech!$J$2:$J$212)</f>
        <v>Increase all Mitigation stats against Outposts and Outpost Retaliation Hostiles by X.</v>
      </c>
      <c r="AB204" s="489" t="b">
        <v>0</v>
      </c>
      <c r="AC204" s="490"/>
      <c r="AD204" s="490"/>
      <c r="AE204" s="491">
        <f t="array" ref="AE204">XLOOKUP(MasterTech!$AF$4:$AF$214,RawTech!$AO$2:$AO$212,RawTech!$AR$2:$AR$212)</f>
        <v>62</v>
      </c>
      <c r="AF204" s="427">
        <v>3.413123086E9</v>
      </c>
      <c r="AG204" s="428" t="b">
        <v>0</v>
      </c>
      <c r="AH204" s="428" t="b">
        <v>0</v>
      </c>
      <c r="AI204" s="429"/>
      <c r="AJ204" s="430"/>
    </row>
    <row r="205" ht="37.5" customHeight="1">
      <c r="A205" s="492" t="str">
        <f t="array" ref="A205">LEFT(XLOOKUP(LCARS_Tech[BuffID],RawTech[BuffID],RawTech[TechRarity]), 1)</f>
        <v>E</v>
      </c>
      <c r="B205" s="481"/>
      <c r="C205" s="493" t="str">
        <f t="array" ref="C205">HYPERLINK("https://stfc.space/forbidden_and_chaos_tech/" &amp; XLOOKUP(LCARS_Tech[BuffID],RawTech[BuffID],RawTech[TechId]), XLOOKUP(LCARS_Tech[BuffID],RawTech[BuffID],RawTech[TechName]))</f>
        <v>[PRO] M-5 Multitronic Unit</v>
      </c>
      <c r="D205" s="482">
        <f t="array" ref="D205">XLOOKUP(LCARS_Tech[BuffID],RawTech[BuffID],RawTech[BuffOrder])</f>
        <v>3</v>
      </c>
      <c r="E205" s="483" t="str">
        <f t="array" ref="E205">XLOOKUP(LCARS_Tech[BuffID],RawTech[BuffID],RawTech[TechType])</f>
        <v>FT</v>
      </c>
      <c r="F205" s="483" t="str">
        <f t="array" ref="F205">XLOOKUP(LCARS_Tech[BuffID],RawTech[BuffID],RawTech[Tag_PvPinSpace])</f>
        <v>➖</v>
      </c>
      <c r="G205" s="483" t="str">
        <f t="array" ref="G205">XLOOKUP(LCARS_Tech[BuffID],RawTech[BuffID],RawTech[Tag_PvPStation])</f>
        <v>➖</v>
      </c>
      <c r="H205" s="483" t="str">
        <f t="array" ref="H205">XLOOKUP(LCARS_Tech[BuffID],RawTech[BuffID],RawTech[Tag_NonArmadaHostiles])</f>
        <v>➖</v>
      </c>
      <c r="I205" s="483" t="str">
        <f t="array" ref="I205">XLOOKUP(LCARS_Tech[BuffID],RawTech[BuffID],RawTech[Tag_WaveDefense])</f>
        <v>➖</v>
      </c>
      <c r="J205" s="483" t="str">
        <f t="array" ref="J205">XLOOKUP(LCARS_Tech[BuffID],RawTech[BuffID],RawTech[Tag_QTrial])</f>
        <v>➖</v>
      </c>
      <c r="K205" s="483" t="str">
        <f t="array" ref="K205">XLOOKUP(LCARS_Tech[BuffID],RawTech[BuffID],RawTech[Tag_MissionBosses])</f>
        <v>➖</v>
      </c>
      <c r="L205" s="483" t="str">
        <f t="array" ref="L205">XLOOKUP(LCARS_Tech[BuffID],RawTech[BuffID],RawTech[Tag_GroupArmadas])</f>
        <v>➖</v>
      </c>
      <c r="M205" s="483" t="str">
        <f t="array" ref="M205">XLOOKUP(LCARS_Tech[BuffID],RawTech[BuffID],RawTech[Tag_SoloArmadas])</f>
        <v>➖</v>
      </c>
      <c r="N205" s="483" t="str">
        <f t="array" ref="N205">XLOOKUP(LCARS_Tech[BuffID],RawTech[BuffID],RawTech[Tag_InvadingEntities])</f>
        <v>➖</v>
      </c>
      <c r="O205" s="483" t="str">
        <f t="array" ref="O205">XLOOKUP(LCARS_Tech[BuffID],RawTech[BuffID],RawTech[Tag_Assaults])</f>
        <v>➖</v>
      </c>
      <c r="P205" s="484" t="str">
        <f t="array" ref="P205">XLOOKUP(LCARS_Tech[BuffID],RawTech[BuffID],RawTech[Tag_OutpostArmadas])</f>
        <v>➖</v>
      </c>
      <c r="Q205" s="485" t="str">
        <f t="array" ref="Q205">XLOOKUP(LCARS_Tech[BuffID],RawTech[BuffID],RawTech[Tag_OutpostRetaliators])</f>
        <v>✴️</v>
      </c>
      <c r="R205" s="485" t="str">
        <f t="array" ref="R205">XLOOKUP(MasterTech!$AF$4:$AF$214,RawTech!$AO$2:$AO$212,RawTech!$AV$2:$AV$212)</f>
        <v>TheBorgOutpost</v>
      </c>
      <c r="S205" s="483" t="str">
        <f t="array" ref="S205">XLOOKUP(MasterTech!$AF$4:$AF$214,RawTech!$AO$2:$AO$212,RawTech!$AK$2:$AK$212)</f>
        <v>➖</v>
      </c>
      <c r="T205" s="486" t="str">
        <f t="array" ref="T205">XLOOKUP(MasterTech!$AF$4:$AF$214,RawTech!$AO$2:$AO$212,RawTech!$AM$2:$AM$212)</f>
        <v>➖</v>
      </c>
      <c r="U205" s="487" t="str">
        <f t="array" ref="U205">XLOOKUP(MasterTech!$AF$4:$AF$214,RawTech!$AO$2:$AO$212,RawTech!$D$2:$D$212)</f>
        <v>AllDamage</v>
      </c>
      <c r="V205" s="485" t="str">
        <f t="array" ref="V205">XLOOKUP(MasterTech!$AF$4:$AF$214,RawTech!$AO$2:$AO$212,RawTech!$I$2:$I$212)</f>
        <v>battle_types=[18], faction_id=2706737293</v>
      </c>
      <c r="W205" s="488" t="str">
        <f t="array" ref="W205">XLOOKUP(MasterTech!$AF$4:$AF$214,RawTech!$AO$2:$AO$212,RawTech!$E$2:$E$212)</f>
        <v>EnemyHullFaction, CombatBattleType</v>
      </c>
      <c r="X205" s="487" t="str">
        <f t="array" ref="X205">XLOOKUP(MasterTech!$AF$4:$AF$214,RawTech!$AO$2:$AO$212,RawTech!$F$2:$F$212)</f>
        <v>CombatStart</v>
      </c>
      <c r="Y205" s="487" t="str">
        <f t="array" ref="Y205">XLOOKUP(MasterTech!$AF$4:$AF$214,RawTech!$AO$2:$AO$212,RawTech!$G$2:$G$212)</f>
        <v>SelfShip</v>
      </c>
      <c r="Z205" s="487" t="str">
        <f t="array" ref="Z205">XLOOKUP(MasterTech!$AF$4:$AF$214,RawTech!$AO$2:$AO$212,RawTech!$H$2:$H$212)</f>
        <v>MultiplyAdd</v>
      </c>
      <c r="AA205" s="487" t="str">
        <f t="array" ref="AA205">XLOOKUP(MasterTech!$AF$4:$AF$214,RawTech!$AO$2:$AO$212,RawTech!$J$2:$J$212)</f>
        <v>Increases Base Damage against Borg Outpost Retaliation Hostiles by X.</v>
      </c>
      <c r="AB205" s="489" t="b">
        <v>0</v>
      </c>
      <c r="AC205" s="490"/>
      <c r="AD205" s="490"/>
      <c r="AE205" s="491">
        <f t="array" ref="AE205">XLOOKUP(MasterTech!$AF$4:$AF$214,RawTech!$AO$2:$AO$212,RawTech!$AR$2:$AR$212)</f>
        <v>62</v>
      </c>
      <c r="AF205" s="427">
        <v>2.363946336E9</v>
      </c>
      <c r="AG205" s="428" t="b">
        <v>0</v>
      </c>
      <c r="AH205" s="428" t="b">
        <v>0</v>
      </c>
      <c r="AI205" s="429"/>
      <c r="AJ205" s="430"/>
    </row>
    <row r="206" ht="37.5" customHeight="1">
      <c r="A206" s="492" t="str">
        <f t="array" ref="A206">LEFT(XLOOKUP(LCARS_Tech[BuffID],RawTech[BuffID],RawTech[TechRarity]), 1)</f>
        <v>E</v>
      </c>
      <c r="B206" s="481"/>
      <c r="C206" s="493" t="str">
        <f t="array" ref="C206">HYPERLINK("https://stfc.space/forbidden_and_chaos_tech/" &amp; XLOOKUP(LCARS_Tech[BuffID],RawTech[BuffID],RawTech[TechId]), XLOOKUP(LCARS_Tech[BuffID],RawTech[BuffID],RawTech[TechName]))</f>
        <v>[PRO] M-5 Multitronic Unit</v>
      </c>
      <c r="D206" s="482">
        <f t="array" ref="D206">XLOOKUP(LCARS_Tech[BuffID],RawTech[BuffID],RawTech[BuffOrder])</f>
        <v>4</v>
      </c>
      <c r="E206" s="483" t="str">
        <f t="array" ref="E206">XLOOKUP(LCARS_Tech[BuffID],RawTech[BuffID],RawTech[TechType])</f>
        <v>FT</v>
      </c>
      <c r="F206" s="483" t="str">
        <f t="array" ref="F206">XLOOKUP(LCARS_Tech[BuffID],RawTech[BuffID],RawTech[Tag_PvPinSpace])</f>
        <v>➖</v>
      </c>
      <c r="G206" s="483" t="str">
        <f t="array" ref="G206">XLOOKUP(LCARS_Tech[BuffID],RawTech[BuffID],RawTech[Tag_PvPStation])</f>
        <v>➖</v>
      </c>
      <c r="H206" s="483" t="str">
        <f t="array" ref="H206">XLOOKUP(LCARS_Tech[BuffID],RawTech[BuffID],RawTech[Tag_NonArmadaHostiles])</f>
        <v>➖</v>
      </c>
      <c r="I206" s="483" t="str">
        <f t="array" ref="I206">XLOOKUP(LCARS_Tech[BuffID],RawTech[BuffID],RawTech[Tag_WaveDefense])</f>
        <v>➖</v>
      </c>
      <c r="J206" s="483" t="str">
        <f t="array" ref="J206">XLOOKUP(LCARS_Tech[BuffID],RawTech[BuffID],RawTech[Tag_QTrial])</f>
        <v>➖</v>
      </c>
      <c r="K206" s="483" t="str">
        <f t="array" ref="K206">XLOOKUP(LCARS_Tech[BuffID],RawTech[BuffID],RawTech[Tag_MissionBosses])</f>
        <v>➖</v>
      </c>
      <c r="L206" s="483" t="str">
        <f t="array" ref="L206">XLOOKUP(LCARS_Tech[BuffID],RawTech[BuffID],RawTech[Tag_GroupArmadas])</f>
        <v>➖</v>
      </c>
      <c r="M206" s="483" t="str">
        <f t="array" ref="M206">XLOOKUP(LCARS_Tech[BuffID],RawTech[BuffID],RawTech[Tag_SoloArmadas])</f>
        <v>➖</v>
      </c>
      <c r="N206" s="483" t="str">
        <f t="array" ref="N206">XLOOKUP(LCARS_Tech[BuffID],RawTech[BuffID],RawTech[Tag_InvadingEntities])</f>
        <v>➖</v>
      </c>
      <c r="O206" s="483" t="str">
        <f t="array" ref="O206">XLOOKUP(LCARS_Tech[BuffID],RawTech[BuffID],RawTech[Tag_Assaults])</f>
        <v>➖</v>
      </c>
      <c r="P206" s="484" t="str">
        <f t="array" ref="P206">XLOOKUP(LCARS_Tech[BuffID],RawTech[BuffID],RawTech[Tag_OutpostArmadas])</f>
        <v>✴️</v>
      </c>
      <c r="Q206" s="485" t="str">
        <f t="array" ref="Q206">XLOOKUP(LCARS_Tech[BuffID],RawTech[BuffID],RawTech[Tag_OutpostRetaliators])</f>
        <v>✴️</v>
      </c>
      <c r="R206" s="485" t="str">
        <f t="array" ref="R206">XLOOKUP(MasterTech!$AF$4:$AF$214,RawTech!$AO$2:$AO$212,RawTech!$AV$2:$AV$212)</f>
        <v>EnemyHullFaction, SelfOfficerTalNotOnBridge</v>
      </c>
      <c r="S206" s="483" t="str">
        <f t="array" ref="S206">XLOOKUP(MasterTech!$AF$4:$AF$214,RawTech!$AO$2:$AO$212,RawTech!$AK$2:$AK$212)</f>
        <v>➖</v>
      </c>
      <c r="T206" s="486" t="str">
        <f t="array" ref="T206">XLOOKUP(MasterTech!$AF$4:$AF$214,RawTech!$AO$2:$AO$212,RawTech!$AM$2:$AM$212)</f>
        <v>➖</v>
      </c>
      <c r="U206" s="487" t="str">
        <f t="array" ref="U206">XLOOKUP(MasterTech!$AF$4:$AF$214,RawTech!$AO$2:$AO$212,RawTech!$D$2:$D$212)</f>
        <v>ApexBarrier</v>
      </c>
      <c r="V206" s="485" t="str">
        <f t="array" ref="V206">XLOOKUP(MasterTech!$AF$4:$AF$214,RawTech!$AO$2:$AO$212,RawTech!$I$2:$I$212)</f>
        <v>battle_types=[17, 18], faction_id=2706737293</v>
      </c>
      <c r="W206" s="488" t="str">
        <f t="array" ref="W206">XLOOKUP(MasterTech!$AF$4:$AF$214,RawTech!$AO$2:$AO$212,RawTech!$E$2:$E$212)</f>
        <v>EnemyHullFaction, CombatBattleType, SelfOfficerTalNotOnBridge</v>
      </c>
      <c r="X206" s="487" t="str">
        <f t="array" ref="X206">XLOOKUP(MasterTech!$AF$4:$AF$214,RawTech!$AO$2:$AO$212,RawTech!$F$2:$F$212)</f>
        <v>CombatStart</v>
      </c>
      <c r="Y206" s="487" t="str">
        <f t="array" ref="Y206">XLOOKUP(MasterTech!$AF$4:$AF$214,RawTech!$AO$2:$AO$212,RawTech!$G$2:$G$212)</f>
        <v>SelfShip</v>
      </c>
      <c r="Z206" s="487" t="str">
        <f t="array" ref="Z206">XLOOKUP(MasterTech!$AF$4:$AF$214,RawTech!$AO$2:$AO$212,RawTech!$H$2:$H$212)</f>
        <v>Add</v>
      </c>
      <c r="AA206" s="487" t="str">
        <f t="array" ref="AA206">XLOOKUP(MasterTech!$AF$4:$AF$214,RawTech!$AO$2:$AO$212,RawTech!$J$2:$J$212)</f>
        <v>Increases Apex Barrier against Borg Outposts and Borg Outpost Retaliation Hostiles by X. Does not apply when Tal is assigned to the bridge.</v>
      </c>
      <c r="AB206" s="489" t="b">
        <v>0</v>
      </c>
      <c r="AC206" s="490"/>
      <c r="AD206" s="490"/>
      <c r="AE206" s="491">
        <f t="array" ref="AE206">XLOOKUP(MasterTech!$AF$4:$AF$214,RawTech!$AO$2:$AO$212,RawTech!$AR$2:$AR$212)</f>
        <v>62</v>
      </c>
      <c r="AF206" s="427">
        <v>1.920482465E9</v>
      </c>
      <c r="AG206" s="428" t="b">
        <v>0</v>
      </c>
      <c r="AH206" s="428" t="b">
        <v>0</v>
      </c>
      <c r="AI206" s="429"/>
      <c r="AJ206" s="430"/>
    </row>
    <row r="207" ht="37.5" customHeight="1">
      <c r="A207" s="492" t="str">
        <f t="array" ref="A207">LEFT(XLOOKUP(LCARS_Tech[BuffID],RawTech[BuffID],RawTech[TechRarity]), 1)</f>
        <v>E</v>
      </c>
      <c r="B207" s="481"/>
      <c r="C207" s="493" t="str">
        <f t="array" ref="C207">HYPERLINK("https://stfc.space/forbidden_and_chaos_tech/" &amp; XLOOKUP(LCARS_Tech[BuffID],RawTech[BuffID],RawTech[TechId]), XLOOKUP(LCARS_Tech[BuffID],RawTech[BuffID],RawTech[TechName]))</f>
        <v>[PRO] Stasis Field Generator</v>
      </c>
      <c r="D207" s="482">
        <f t="array" ref="D207">XLOOKUP(LCARS_Tech[BuffID],RawTech[BuffID],RawTech[BuffOrder])</f>
        <v>1</v>
      </c>
      <c r="E207" s="483" t="str">
        <f t="array" ref="E207">XLOOKUP(LCARS_Tech[BuffID],RawTech[BuffID],RawTech[TechType])</f>
        <v>FT</v>
      </c>
      <c r="F207" s="483" t="str">
        <f t="array" ref="F207">XLOOKUP(LCARS_Tech[BuffID],RawTech[BuffID],RawTech[Tag_PvPinSpace])</f>
        <v>➖</v>
      </c>
      <c r="G207" s="483" t="str">
        <f t="array" ref="G207">XLOOKUP(LCARS_Tech[BuffID],RawTech[BuffID],RawTech[Tag_PvPStation])</f>
        <v>➖</v>
      </c>
      <c r="H207" s="483" t="str">
        <f t="array" ref="H207">XLOOKUP(LCARS_Tech[BuffID],RawTech[BuffID],RawTech[Tag_NonArmadaHostiles])</f>
        <v>➖</v>
      </c>
      <c r="I207" s="483" t="str">
        <f t="array" ref="I207">XLOOKUP(LCARS_Tech[BuffID],RawTech[BuffID],RawTech[Tag_WaveDefense])</f>
        <v>➖</v>
      </c>
      <c r="J207" s="483" t="str">
        <f t="array" ref="J207">XLOOKUP(LCARS_Tech[BuffID],RawTech[BuffID],RawTech[Tag_QTrial])</f>
        <v>➖</v>
      </c>
      <c r="K207" s="483" t="str">
        <f t="array" ref="K207">XLOOKUP(LCARS_Tech[BuffID],RawTech[BuffID],RawTech[Tag_MissionBosses])</f>
        <v>➖</v>
      </c>
      <c r="L207" s="483" t="str">
        <f t="array" ref="L207">XLOOKUP(LCARS_Tech[BuffID],RawTech[BuffID],RawTech[Tag_GroupArmadas])</f>
        <v>➖</v>
      </c>
      <c r="M207" s="483" t="str">
        <f t="array" ref="M207">XLOOKUP(LCARS_Tech[BuffID],RawTech[BuffID],RawTech[Tag_SoloArmadas])</f>
        <v>➖</v>
      </c>
      <c r="N207" s="483" t="str">
        <f t="array" ref="N207">XLOOKUP(LCARS_Tech[BuffID],RawTech[BuffID],RawTech[Tag_InvadingEntities])</f>
        <v>➖</v>
      </c>
      <c r="O207" s="483" t="str">
        <f t="array" ref="O207">XLOOKUP(LCARS_Tech[BuffID],RawTech[BuffID],RawTech[Tag_Assaults])</f>
        <v>➖</v>
      </c>
      <c r="P207" s="484" t="str">
        <f t="array" ref="P207">XLOOKUP(LCARS_Tech[BuffID],RawTech[BuffID],RawTech[Tag_OutpostArmadas])</f>
        <v>✅</v>
      </c>
      <c r="Q207" s="485" t="str">
        <f t="array" ref="Q207">XLOOKUP(LCARS_Tech[BuffID],RawTech[BuffID],RawTech[Tag_OutpostRetaliators])</f>
        <v>➖</v>
      </c>
      <c r="R207" s="485" t="str">
        <f t="array" ref="R207">XLOOKUP(MasterTech!$AF$4:$AF$214,RawTech!$AO$2:$AO$212,RawTech!$AV$2:$AV$212)</f>
        <v/>
      </c>
      <c r="S207" s="483" t="str">
        <f t="array" ref="S207">XLOOKUP(MasterTech!$AF$4:$AF$214,RawTech!$AO$2:$AO$212,RawTech!$AK$2:$AK$212)</f>
        <v>➖</v>
      </c>
      <c r="T207" s="486" t="str">
        <f t="array" ref="T207">XLOOKUP(MasterTech!$AF$4:$AF$214,RawTech!$AO$2:$AO$212,RawTech!$AM$2:$AM$212)</f>
        <v>➖</v>
      </c>
      <c r="U207" s="487" t="str">
        <f t="array" ref="U207">XLOOKUP(MasterTech!$AF$4:$AF$214,RawTech!$AO$2:$AO$212,RawTech!$D$2:$D$212)</f>
        <v>CritChance</v>
      </c>
      <c r="V207" s="485" t="str">
        <f t="array" ref="V207">XLOOKUP(MasterTech!$AF$4:$AF$214,RawTech!$AO$2:$AO$212,RawTech!$I$2:$I$212)</f>
        <v>battle_types=[17]</v>
      </c>
      <c r="W207" s="488" t="str">
        <f t="array" ref="W207">XLOOKUP(MasterTech!$AF$4:$AF$214,RawTech!$AO$2:$AO$212,RawTech!$E$2:$E$212)</f>
        <v>CombatBattleType</v>
      </c>
      <c r="X207" s="487" t="str">
        <f t="array" ref="X207">XLOOKUP(MasterTech!$AF$4:$AF$214,RawTech!$AO$2:$AO$212,RawTech!$F$2:$F$212)</f>
        <v>CombatStart</v>
      </c>
      <c r="Y207" s="487" t="str">
        <f t="array" ref="Y207">XLOOKUP(MasterTech!$AF$4:$AF$214,RawTech!$AO$2:$AO$212,RawTech!$G$2:$G$212)</f>
        <v>SelfShip</v>
      </c>
      <c r="Z207" s="487" t="str">
        <f t="array" ref="Z207">XLOOKUP(MasterTech!$AF$4:$AF$214,RawTech!$AO$2:$AO$212,RawTech!$H$2:$H$212)</f>
        <v>Add</v>
      </c>
      <c r="AA207" s="487" t="str">
        <f t="array" ref="AA207">XLOOKUP(MasterTech!$AF$4:$AF$214,RawTech!$AO$2:$AO$212,RawTech!$J$2:$J$212)</f>
        <v>Increases Critical Hit Chance against Outposts by X.</v>
      </c>
      <c r="AB207" s="489" t="b">
        <v>0</v>
      </c>
      <c r="AC207" s="490"/>
      <c r="AD207" s="490"/>
      <c r="AE207" s="491">
        <f t="array" ref="AE207">XLOOKUP(MasterTech!$AF$4:$AF$214,RawTech!$AO$2:$AO$212,RawTech!$AR$2:$AR$212)</f>
        <v>63</v>
      </c>
      <c r="AF207" s="427">
        <v>1.834391826E9</v>
      </c>
      <c r="AG207" s="428" t="b">
        <v>0</v>
      </c>
      <c r="AH207" s="428" t="b">
        <v>0</v>
      </c>
      <c r="AI207" s="429"/>
      <c r="AJ207" s="430"/>
    </row>
    <row r="208" ht="37.5" customHeight="1">
      <c r="A208" s="492" t="str">
        <f t="array" ref="A208">LEFT(XLOOKUP(LCARS_Tech[BuffID],RawTech[BuffID],RawTech[TechRarity]), 1)</f>
        <v>E</v>
      </c>
      <c r="B208" s="481"/>
      <c r="C208" s="493" t="str">
        <f t="array" ref="C208">HYPERLINK("https://stfc.space/forbidden_and_chaos_tech/" &amp; XLOOKUP(LCARS_Tech[BuffID],RawTech[BuffID],RawTech[TechId]), XLOOKUP(LCARS_Tech[BuffID],RawTech[BuffID],RawTech[TechName]))</f>
        <v>[PRO] Stasis Field Generator</v>
      </c>
      <c r="D208" s="482">
        <f t="array" ref="D208">XLOOKUP(LCARS_Tech[BuffID],RawTech[BuffID],RawTech[BuffOrder])</f>
        <v>2</v>
      </c>
      <c r="E208" s="483" t="str">
        <f t="array" ref="E208">XLOOKUP(LCARS_Tech[BuffID],RawTech[BuffID],RawTech[TechType])</f>
        <v>FT</v>
      </c>
      <c r="F208" s="483" t="str">
        <f t="array" ref="F208">XLOOKUP(LCARS_Tech[BuffID],RawTech[BuffID],RawTech[Tag_PvPinSpace])</f>
        <v>➖</v>
      </c>
      <c r="G208" s="483" t="str">
        <f t="array" ref="G208">XLOOKUP(LCARS_Tech[BuffID],RawTech[BuffID],RawTech[Tag_PvPStation])</f>
        <v>➖</v>
      </c>
      <c r="H208" s="483" t="str">
        <f t="array" ref="H208">XLOOKUP(LCARS_Tech[BuffID],RawTech[BuffID],RawTech[Tag_NonArmadaHostiles])</f>
        <v>➖</v>
      </c>
      <c r="I208" s="483" t="str">
        <f t="array" ref="I208">XLOOKUP(LCARS_Tech[BuffID],RawTech[BuffID],RawTech[Tag_WaveDefense])</f>
        <v>➖</v>
      </c>
      <c r="J208" s="483" t="str">
        <f t="array" ref="J208">XLOOKUP(LCARS_Tech[BuffID],RawTech[BuffID],RawTech[Tag_QTrial])</f>
        <v>➖</v>
      </c>
      <c r="K208" s="483" t="str">
        <f t="array" ref="K208">XLOOKUP(LCARS_Tech[BuffID],RawTech[BuffID],RawTech[Tag_MissionBosses])</f>
        <v>➖</v>
      </c>
      <c r="L208" s="483" t="str">
        <f t="array" ref="L208">XLOOKUP(LCARS_Tech[BuffID],RawTech[BuffID],RawTech[Tag_GroupArmadas])</f>
        <v>➖</v>
      </c>
      <c r="M208" s="483" t="str">
        <f t="array" ref="M208">XLOOKUP(LCARS_Tech[BuffID],RawTech[BuffID],RawTech[Tag_SoloArmadas])</f>
        <v>➖</v>
      </c>
      <c r="N208" s="483" t="str">
        <f t="array" ref="N208">XLOOKUP(LCARS_Tech[BuffID],RawTech[BuffID],RawTech[Tag_InvadingEntities])</f>
        <v>➖</v>
      </c>
      <c r="O208" s="483" t="str">
        <f t="array" ref="O208">XLOOKUP(LCARS_Tech[BuffID],RawTech[BuffID],RawTech[Tag_Assaults])</f>
        <v>➖</v>
      </c>
      <c r="P208" s="484" t="str">
        <f t="array" ref="P208">XLOOKUP(LCARS_Tech[BuffID],RawTech[BuffID],RawTech[Tag_OutpostArmadas])</f>
        <v>✅</v>
      </c>
      <c r="Q208" s="485" t="str">
        <f t="array" ref="Q208">XLOOKUP(LCARS_Tech[BuffID],RawTech[BuffID],RawTech[Tag_OutpostRetaliators])</f>
        <v>✅</v>
      </c>
      <c r="R208" s="485" t="str">
        <f t="array" ref="R208">XLOOKUP(MasterTech!$AF$4:$AF$214,RawTech!$AO$2:$AO$212,RawTech!$AV$2:$AV$212)</f>
        <v/>
      </c>
      <c r="S208" s="483" t="str">
        <f t="array" ref="S208">XLOOKUP(MasterTech!$AF$4:$AF$214,RawTech!$AO$2:$AO$212,RawTech!$AK$2:$AK$212)</f>
        <v>➖</v>
      </c>
      <c r="T208" s="486" t="str">
        <f t="array" ref="T208">XLOOKUP(MasterTech!$AF$4:$AF$214,RawTech!$AO$2:$AO$212,RawTech!$AM$2:$AM$212)</f>
        <v>➖</v>
      </c>
      <c r="U208" s="487" t="str">
        <f t="array" ref="U208">XLOOKUP(MasterTech!$AF$4:$AF$214,RawTech!$AO$2:$AO$212,RawTech!$D$2:$D$212)</f>
        <v>AllDefenses</v>
      </c>
      <c r="V208" s="485" t="str">
        <f t="array" ref="V208">XLOOKUP(MasterTech!$AF$4:$AF$214,RawTech!$AO$2:$AO$212,RawTech!$I$2:$I$212)</f>
        <v>battle_types=[17, 18]</v>
      </c>
      <c r="W208" s="488" t="str">
        <f t="array" ref="W208">XLOOKUP(MasterTech!$AF$4:$AF$214,RawTech!$AO$2:$AO$212,RawTech!$E$2:$E$212)</f>
        <v>CombatBattleType</v>
      </c>
      <c r="X208" s="487" t="str">
        <f t="array" ref="X208">XLOOKUP(MasterTech!$AF$4:$AF$214,RawTech!$AO$2:$AO$212,RawTech!$F$2:$F$212)</f>
        <v>CombatStart</v>
      </c>
      <c r="Y208" s="487" t="str">
        <f t="array" ref="Y208">XLOOKUP(MasterTech!$AF$4:$AF$214,RawTech!$AO$2:$AO$212,RawTech!$G$2:$G$212)</f>
        <v>SelfShip</v>
      </c>
      <c r="Z208" s="487" t="str">
        <f t="array" ref="Z208">XLOOKUP(MasterTech!$AF$4:$AF$214,RawTech!$AO$2:$AO$212,RawTech!$H$2:$H$212)</f>
        <v>MultiplyAdd</v>
      </c>
      <c r="AA208" s="487" t="str">
        <f t="array" ref="AA208">XLOOKUP(MasterTech!$AF$4:$AF$214,RawTech!$AO$2:$AO$212,RawTech!$J$2:$J$212)</f>
        <v>Increases all Mitigation stats against Outposts and Outpost Retaliation Hostiles by X.</v>
      </c>
      <c r="AB208" s="489" t="b">
        <v>0</v>
      </c>
      <c r="AC208" s="490"/>
      <c r="AD208" s="490"/>
      <c r="AE208" s="491">
        <f t="array" ref="AE208">XLOOKUP(MasterTech!$AF$4:$AF$214,RawTech!$AO$2:$AO$212,RawTech!$AR$2:$AR$212)</f>
        <v>63</v>
      </c>
      <c r="AF208" s="427">
        <v>1.822239498E9</v>
      </c>
      <c r="AG208" s="428" t="b">
        <v>0</v>
      </c>
      <c r="AH208" s="428" t="b">
        <v>0</v>
      </c>
      <c r="AI208" s="429"/>
      <c r="AJ208" s="430"/>
    </row>
    <row r="209" ht="37.5" customHeight="1">
      <c r="A209" s="492" t="str">
        <f t="array" ref="A209">LEFT(XLOOKUP(LCARS_Tech[BuffID],RawTech[BuffID],RawTech[TechRarity]), 1)</f>
        <v>E</v>
      </c>
      <c r="B209" s="481"/>
      <c r="C209" s="493" t="str">
        <f t="array" ref="C209">HYPERLINK("https://stfc.space/forbidden_and_chaos_tech/" &amp; XLOOKUP(LCARS_Tech[BuffID],RawTech[BuffID],RawTech[TechId]), XLOOKUP(LCARS_Tech[BuffID],RawTech[BuffID],RawTech[TechName]))</f>
        <v>[PRO] Stasis Field Generator</v>
      </c>
      <c r="D209" s="482">
        <f t="array" ref="D209">XLOOKUP(LCARS_Tech[BuffID],RawTech[BuffID],RawTech[BuffOrder])</f>
        <v>3</v>
      </c>
      <c r="E209" s="483" t="str">
        <f t="array" ref="E209">XLOOKUP(LCARS_Tech[BuffID],RawTech[BuffID],RawTech[TechType])</f>
        <v>FT</v>
      </c>
      <c r="F209" s="483" t="str">
        <f t="array" ref="F209">XLOOKUP(LCARS_Tech[BuffID],RawTech[BuffID],RawTech[Tag_PvPinSpace])</f>
        <v>➖</v>
      </c>
      <c r="G209" s="483" t="str">
        <f t="array" ref="G209">XLOOKUP(LCARS_Tech[BuffID],RawTech[BuffID],RawTech[Tag_PvPStation])</f>
        <v>➖</v>
      </c>
      <c r="H209" s="483" t="str">
        <f t="array" ref="H209">XLOOKUP(LCARS_Tech[BuffID],RawTech[BuffID],RawTech[Tag_NonArmadaHostiles])</f>
        <v>➖</v>
      </c>
      <c r="I209" s="483" t="str">
        <f t="array" ref="I209">XLOOKUP(LCARS_Tech[BuffID],RawTech[BuffID],RawTech[Tag_WaveDefense])</f>
        <v>➖</v>
      </c>
      <c r="J209" s="483" t="str">
        <f t="array" ref="J209">XLOOKUP(LCARS_Tech[BuffID],RawTech[BuffID],RawTech[Tag_QTrial])</f>
        <v>➖</v>
      </c>
      <c r="K209" s="483" t="str">
        <f t="array" ref="K209">XLOOKUP(LCARS_Tech[BuffID],RawTech[BuffID],RawTech[Tag_MissionBosses])</f>
        <v>➖</v>
      </c>
      <c r="L209" s="483" t="str">
        <f t="array" ref="L209">XLOOKUP(LCARS_Tech[BuffID],RawTech[BuffID],RawTech[Tag_GroupArmadas])</f>
        <v>➖</v>
      </c>
      <c r="M209" s="483" t="str">
        <f t="array" ref="M209">XLOOKUP(LCARS_Tech[BuffID],RawTech[BuffID],RawTech[Tag_SoloArmadas])</f>
        <v>➖</v>
      </c>
      <c r="N209" s="483" t="str">
        <f t="array" ref="N209">XLOOKUP(LCARS_Tech[BuffID],RawTech[BuffID],RawTech[Tag_InvadingEntities])</f>
        <v>➖</v>
      </c>
      <c r="O209" s="483" t="str">
        <f t="array" ref="O209">XLOOKUP(LCARS_Tech[BuffID],RawTech[BuffID],RawTech[Tag_Assaults])</f>
        <v>➖</v>
      </c>
      <c r="P209" s="484" t="str">
        <f t="array" ref="P209">XLOOKUP(LCARS_Tech[BuffID],RawTech[BuffID],RawTech[Tag_OutpostArmadas])</f>
        <v>➖</v>
      </c>
      <c r="Q209" s="485" t="str">
        <f t="array" ref="Q209">XLOOKUP(LCARS_Tech[BuffID],RawTech[BuffID],RawTech[Tag_OutpostRetaliators])</f>
        <v>✴️</v>
      </c>
      <c r="R209" s="485" t="str">
        <f t="array" ref="R209">XLOOKUP(MasterTech!$AF$4:$AF$214,RawTech!$AO$2:$AO$212,RawTech!$AV$2:$AV$212)</f>
        <v>CardassianOutpost</v>
      </c>
      <c r="S209" s="483" t="str">
        <f t="array" ref="S209">XLOOKUP(MasterTech!$AF$4:$AF$214,RawTech!$AO$2:$AO$212,RawTech!$AK$2:$AK$212)</f>
        <v>➖</v>
      </c>
      <c r="T209" s="486" t="str">
        <f t="array" ref="T209">XLOOKUP(MasterTech!$AF$4:$AF$214,RawTech!$AO$2:$AO$212,RawTech!$AM$2:$AM$212)</f>
        <v>➖</v>
      </c>
      <c r="U209" s="487" t="str">
        <f t="array" ref="U209">XLOOKUP(MasterTech!$AF$4:$AF$214,RawTech!$AO$2:$AO$212,RawTech!$D$2:$D$212)</f>
        <v>AllDamage</v>
      </c>
      <c r="V209" s="485" t="str">
        <f t="array" ref="V209">XLOOKUP(MasterTech!$AF$4:$AF$214,RawTech!$AO$2:$AO$212,RawTech!$I$2:$I$212)</f>
        <v>battle_types=[18], faction_id=880952928</v>
      </c>
      <c r="W209" s="488" t="str">
        <f t="array" ref="W209">XLOOKUP(MasterTech!$AF$4:$AF$214,RawTech!$AO$2:$AO$212,RawTech!$E$2:$E$212)</f>
        <v>EnemyHullFaction, CombatBattleType</v>
      </c>
      <c r="X209" s="487" t="str">
        <f t="array" ref="X209">XLOOKUP(MasterTech!$AF$4:$AF$214,RawTech!$AO$2:$AO$212,RawTech!$F$2:$F$212)</f>
        <v>CombatStart</v>
      </c>
      <c r="Y209" s="487" t="str">
        <f t="array" ref="Y209">XLOOKUP(MasterTech!$AF$4:$AF$214,RawTech!$AO$2:$AO$212,RawTech!$G$2:$G$212)</f>
        <v>SelfShip</v>
      </c>
      <c r="Z209" s="487" t="str">
        <f t="array" ref="Z209">XLOOKUP(MasterTech!$AF$4:$AF$214,RawTech!$AO$2:$AO$212,RawTech!$H$2:$H$212)</f>
        <v>MultiplyAdd</v>
      </c>
      <c r="AA209" s="487" t="str">
        <f t="array" ref="AA209">XLOOKUP(MasterTech!$AF$4:$AF$214,RawTech!$AO$2:$AO$212,RawTech!$J$2:$J$212)</f>
        <v>Increases Base Damage against Cardassian Outpost Retaliation Hostiles by X.</v>
      </c>
      <c r="AB209" s="489" t="b">
        <v>0</v>
      </c>
      <c r="AC209" s="490"/>
      <c r="AD209" s="490"/>
      <c r="AE209" s="491">
        <f t="array" ref="AE209">XLOOKUP(MasterTech!$AF$4:$AF$214,RawTech!$AO$2:$AO$212,RawTech!$AR$2:$AR$212)</f>
        <v>63</v>
      </c>
      <c r="AF209" s="427">
        <v>2.95946414E8</v>
      </c>
      <c r="AG209" s="428" t="b">
        <v>0</v>
      </c>
      <c r="AH209" s="428" t="b">
        <v>0</v>
      </c>
      <c r="AI209" s="429"/>
      <c r="AJ209" s="430"/>
    </row>
    <row r="210" ht="37.5" customHeight="1">
      <c r="A210" s="492" t="str">
        <f t="array" ref="A210">LEFT(XLOOKUP(LCARS_Tech[BuffID],RawTech[BuffID],RawTech[TechRarity]), 1)</f>
        <v>E</v>
      </c>
      <c r="B210" s="481"/>
      <c r="C210" s="493" t="str">
        <f t="array" ref="C210">HYPERLINK("https://stfc.space/forbidden_and_chaos_tech/" &amp; XLOOKUP(LCARS_Tech[BuffID],RawTech[BuffID],RawTech[TechId]), XLOOKUP(LCARS_Tech[BuffID],RawTech[BuffID],RawTech[TechName]))</f>
        <v>[PRO] Stasis Field Generator</v>
      </c>
      <c r="D210" s="482">
        <f t="array" ref="D210">XLOOKUP(LCARS_Tech[BuffID],RawTech[BuffID],RawTech[BuffOrder])</f>
        <v>4</v>
      </c>
      <c r="E210" s="483" t="str">
        <f t="array" ref="E210">XLOOKUP(LCARS_Tech[BuffID],RawTech[BuffID],RawTech[TechType])</f>
        <v>FT</v>
      </c>
      <c r="F210" s="483" t="str">
        <f t="array" ref="F210">XLOOKUP(LCARS_Tech[BuffID],RawTech[BuffID],RawTech[Tag_PvPinSpace])</f>
        <v>➖</v>
      </c>
      <c r="G210" s="483" t="str">
        <f t="array" ref="G210">XLOOKUP(LCARS_Tech[BuffID],RawTech[BuffID],RawTech[Tag_PvPStation])</f>
        <v>➖</v>
      </c>
      <c r="H210" s="483" t="str">
        <f t="array" ref="H210">XLOOKUP(LCARS_Tech[BuffID],RawTech[BuffID],RawTech[Tag_NonArmadaHostiles])</f>
        <v>➖</v>
      </c>
      <c r="I210" s="483" t="str">
        <f t="array" ref="I210">XLOOKUP(LCARS_Tech[BuffID],RawTech[BuffID],RawTech[Tag_WaveDefense])</f>
        <v>➖</v>
      </c>
      <c r="J210" s="483" t="str">
        <f t="array" ref="J210">XLOOKUP(LCARS_Tech[BuffID],RawTech[BuffID],RawTech[Tag_QTrial])</f>
        <v>➖</v>
      </c>
      <c r="K210" s="483" t="str">
        <f t="array" ref="K210">XLOOKUP(LCARS_Tech[BuffID],RawTech[BuffID],RawTech[Tag_MissionBosses])</f>
        <v>➖</v>
      </c>
      <c r="L210" s="483" t="str">
        <f t="array" ref="L210">XLOOKUP(LCARS_Tech[BuffID],RawTech[BuffID],RawTech[Tag_GroupArmadas])</f>
        <v>➖</v>
      </c>
      <c r="M210" s="483" t="str">
        <f t="array" ref="M210">XLOOKUP(LCARS_Tech[BuffID],RawTech[BuffID],RawTech[Tag_SoloArmadas])</f>
        <v>➖</v>
      </c>
      <c r="N210" s="483" t="str">
        <f t="array" ref="N210">XLOOKUP(LCARS_Tech[BuffID],RawTech[BuffID],RawTech[Tag_InvadingEntities])</f>
        <v>➖</v>
      </c>
      <c r="O210" s="483" t="str">
        <f t="array" ref="O210">XLOOKUP(LCARS_Tech[BuffID],RawTech[BuffID],RawTech[Tag_Assaults])</f>
        <v>➖</v>
      </c>
      <c r="P210" s="484" t="str">
        <f t="array" ref="P210">XLOOKUP(LCARS_Tech[BuffID],RawTech[BuffID],RawTech[Tag_OutpostArmadas])</f>
        <v>✴️</v>
      </c>
      <c r="Q210" s="485" t="str">
        <f t="array" ref="Q210">XLOOKUP(LCARS_Tech[BuffID],RawTech[BuffID],RawTech[Tag_OutpostRetaliators])</f>
        <v>✴️</v>
      </c>
      <c r="R210" s="485" t="str">
        <f t="array" ref="R210">XLOOKUP(MasterTech!$AF$4:$AF$214,RawTech!$AO$2:$AO$212,RawTech!$AV$2:$AV$212)</f>
        <v>EnemyHullFaction, SelfOfficerTalNotOnBridge</v>
      </c>
      <c r="S210" s="483" t="str">
        <f t="array" ref="S210">XLOOKUP(MasterTech!$AF$4:$AF$214,RawTech!$AO$2:$AO$212,RawTech!$AK$2:$AK$212)</f>
        <v>➖</v>
      </c>
      <c r="T210" s="486" t="str">
        <f t="array" ref="T210">XLOOKUP(MasterTech!$AF$4:$AF$214,RawTech!$AO$2:$AO$212,RawTech!$AM$2:$AM$212)</f>
        <v>➖</v>
      </c>
      <c r="U210" s="487" t="str">
        <f t="array" ref="U210">XLOOKUP(MasterTech!$AF$4:$AF$214,RawTech!$AO$2:$AO$212,RawTech!$D$2:$D$212)</f>
        <v>ApexBarrier</v>
      </c>
      <c r="V210" s="485" t="str">
        <f t="array" ref="V210">XLOOKUP(MasterTech!$AF$4:$AF$214,RawTech!$AO$2:$AO$212,RawTech!$I$2:$I$212)</f>
        <v>battle_types=[17, 18], faction_id=880952928</v>
      </c>
      <c r="W210" s="488" t="str">
        <f t="array" ref="W210">XLOOKUP(MasterTech!$AF$4:$AF$214,RawTech!$AO$2:$AO$212,RawTech!$E$2:$E$212)</f>
        <v>EnemyHullFaction, CombatBattleType, SelfOfficerTalNotOnBridge</v>
      </c>
      <c r="X210" s="487" t="str">
        <f t="array" ref="X210">XLOOKUP(MasterTech!$AF$4:$AF$214,RawTech!$AO$2:$AO$212,RawTech!$F$2:$F$212)</f>
        <v>CombatStart</v>
      </c>
      <c r="Y210" s="487" t="str">
        <f t="array" ref="Y210">XLOOKUP(MasterTech!$AF$4:$AF$214,RawTech!$AO$2:$AO$212,RawTech!$G$2:$G$212)</f>
        <v>SelfShip</v>
      </c>
      <c r="Z210" s="487" t="str">
        <f t="array" ref="Z210">XLOOKUP(MasterTech!$AF$4:$AF$214,RawTech!$AO$2:$AO$212,RawTech!$H$2:$H$212)</f>
        <v>Add</v>
      </c>
      <c r="AA210" s="487" t="str">
        <f t="array" ref="AA210">XLOOKUP(MasterTech!$AF$4:$AF$214,RawTech!$AO$2:$AO$212,RawTech!$J$2:$J$212)</f>
        <v>Increases Apex Barrier against Cardassian Outposts and Cardassian Outpost Retaliation Hostiles by X. Does not apply when Tal is assigned to the bridge.</v>
      </c>
      <c r="AB210" s="489" t="b">
        <v>0</v>
      </c>
      <c r="AC210" s="490"/>
      <c r="AD210" s="490"/>
      <c r="AE210" s="491">
        <f t="array" ref="AE210">XLOOKUP(MasterTech!$AF$4:$AF$214,RawTech!$AO$2:$AO$212,RawTech!$AR$2:$AR$212)</f>
        <v>63</v>
      </c>
      <c r="AF210" s="427">
        <v>1.092310629E9</v>
      </c>
      <c r="AG210" s="428" t="b">
        <v>0</v>
      </c>
      <c r="AH210" s="428" t="b">
        <v>0</v>
      </c>
      <c r="AI210" s="429"/>
      <c r="AJ210" s="430"/>
    </row>
    <row r="211" ht="37.5" customHeight="1">
      <c r="A211" s="492" t="str">
        <f t="array" ref="A211">LEFT(XLOOKUP(LCARS_Tech[BuffID],RawTech[BuffID],RawTech[TechRarity]), 1)</f>
        <v>E</v>
      </c>
      <c r="B211" s="481"/>
      <c r="C211" s="493" t="str">
        <f t="array" ref="C211">HYPERLINK("https://stfc.space/forbidden_and_chaos_tech/" &amp; XLOOKUP(LCARS_Tech[BuffID],RawTech[BuffID],RawTech[TechId]), XLOOKUP(LCARS_Tech[BuffID],RawTech[BuffID],RawTech[TechName]))</f>
        <v>[PRO] Transwarp Computer</v>
      </c>
      <c r="D211" s="482">
        <f t="array" ref="D211">XLOOKUP(LCARS_Tech[BuffID],RawTech[BuffID],RawTech[BuffOrder])</f>
        <v>1</v>
      </c>
      <c r="E211" s="483" t="str">
        <f t="array" ref="E211">XLOOKUP(LCARS_Tech[BuffID],RawTech[BuffID],RawTech[TechType])</f>
        <v>FT</v>
      </c>
      <c r="F211" s="483" t="str">
        <f t="array" ref="F211">XLOOKUP(LCARS_Tech[BuffID],RawTech[BuffID],RawTech[Tag_PvPinSpace])</f>
        <v>➖</v>
      </c>
      <c r="G211" s="483" t="str">
        <f t="array" ref="G211">XLOOKUP(LCARS_Tech[BuffID],RawTech[BuffID],RawTech[Tag_PvPStation])</f>
        <v>➖</v>
      </c>
      <c r="H211" s="483" t="str">
        <f t="array" ref="H211">XLOOKUP(LCARS_Tech[BuffID],RawTech[BuffID],RawTech[Tag_NonArmadaHostiles])</f>
        <v>✴️</v>
      </c>
      <c r="I211" s="483" t="str">
        <f t="array" ref="I211">XLOOKUP(LCARS_Tech[BuffID],RawTech[BuffID],RawTech[Tag_WaveDefense])</f>
        <v>✴️</v>
      </c>
      <c r="J211" s="483" t="str">
        <f t="array" ref="J211">XLOOKUP(LCARS_Tech[BuffID],RawTech[BuffID],RawTech[Tag_QTrial])</f>
        <v>✴️</v>
      </c>
      <c r="K211" s="483" t="str">
        <f t="array" ref="K211">XLOOKUP(LCARS_Tech[BuffID],RawTech[BuffID],RawTech[Tag_MissionBosses])</f>
        <v>➖</v>
      </c>
      <c r="L211" s="483" t="str">
        <f t="array" ref="L211">XLOOKUP(LCARS_Tech[BuffID],RawTech[BuffID],RawTech[Tag_GroupArmadas])</f>
        <v>✴️</v>
      </c>
      <c r="M211" s="483" t="str">
        <f t="array" ref="M211">XLOOKUP(LCARS_Tech[BuffID],RawTech[BuffID],RawTech[Tag_SoloArmadas])</f>
        <v>✴️</v>
      </c>
      <c r="N211" s="483" t="str">
        <f t="array" ref="N211">XLOOKUP(LCARS_Tech[BuffID],RawTech[BuffID],RawTech[Tag_InvadingEntities])</f>
        <v>✴️</v>
      </c>
      <c r="O211" s="483" t="str">
        <f t="array" ref="O211">XLOOKUP(LCARS_Tech[BuffID],RawTech[BuffID],RawTech[Tag_Assaults])</f>
        <v>➖</v>
      </c>
      <c r="P211" s="484" t="str">
        <f t="array" ref="P211">XLOOKUP(LCARS_Tech[BuffID],RawTech[BuffID],RawTech[Tag_OutpostArmadas])</f>
        <v>➖</v>
      </c>
      <c r="Q211" s="485" t="str">
        <f t="array" ref="Q211">XLOOKUP(LCARS_Tech[BuffID],RawTech[BuffID],RawTech[Tag_OutpostRetaliators])</f>
        <v>➖</v>
      </c>
      <c r="R211" s="485" t="str">
        <f t="array" ref="R211">XLOOKUP(MasterTech!$AF$4:$AF$214,RawTech!$AO$2:$AO$212,RawTech!$AV$2:$AV$212)</f>
        <v>SelfIsFedKlingRom, SelfShipGrade5</v>
      </c>
      <c r="S211" s="483" t="str">
        <f t="array" ref="S211">XLOOKUP(MasterTech!$AF$4:$AF$214,RawTech!$AO$2:$AO$212,RawTech!$AK$2:$AK$212)</f>
        <v>➖</v>
      </c>
      <c r="T211" s="486" t="str">
        <f t="array" ref="T211">XLOOKUP(MasterTech!$AF$4:$AF$214,RawTech!$AO$2:$AO$212,RawTech!$AM$2:$AM$212)</f>
        <v>➖</v>
      </c>
      <c r="U211" s="487" t="str">
        <f t="array" ref="U211">XLOOKUP(MasterTech!$AF$4:$AF$214,RawTech!$AO$2:$AO$212,RawTech!$D$2:$D$212)</f>
        <v>AllDamage</v>
      </c>
      <c r="V211" s="485" t="str">
        <f t="array" ref="V211">XLOOKUP(MasterTech!$AF$4:$AF$214,RawTech!$AO$2:$AO$212,RawTech!$I$2:$I$212)</f>
        <v/>
      </c>
      <c r="W211" s="488" t="str">
        <f t="array" ref="W211">XLOOKUP(MasterTech!$AF$4:$AF$214,RawTech!$AO$2:$AO$212,RawTech!$E$2:$E$212)</f>
        <v>SelfIsFedKlingRom, EnemyHostile, SelfShipGrade5</v>
      </c>
      <c r="X211" s="487" t="str">
        <f t="array" ref="X211">XLOOKUP(MasterTech!$AF$4:$AF$214,RawTech!$AO$2:$AO$212,RawTech!$F$2:$F$212)</f>
        <v>CombatStart</v>
      </c>
      <c r="Y211" s="487" t="str">
        <f t="array" ref="Y211">XLOOKUP(MasterTech!$AF$4:$AF$214,RawTech!$AO$2:$AO$212,RawTech!$G$2:$G$212)</f>
        <v>SelfShip</v>
      </c>
      <c r="Z211" s="487" t="str">
        <f t="array" ref="Z211">XLOOKUP(MasterTech!$AF$4:$AF$214,RawTech!$AO$2:$AO$212,RawTech!$H$2:$H$212)</f>
        <v>MultiplyAdd</v>
      </c>
      <c r="AA211" s="487" t="str">
        <f t="array" ref="AA211">XLOOKUP(MasterTech!$AF$4:$AF$214,RawTech!$AO$2:$AO$212,RawTech!$J$2:$J$212)</f>
        <v>Increases base Damage in PvE while installed on a G5+ FKR ship by X.</v>
      </c>
      <c r="AB211" s="489" t="b">
        <v>0</v>
      </c>
      <c r="AC211" s="490"/>
      <c r="AD211" s="490"/>
      <c r="AE211" s="491">
        <f t="array" ref="AE211">XLOOKUP(MasterTech!$AF$4:$AF$214,RawTech!$AO$2:$AO$212,RawTech!$AR$2:$AR$212)</f>
        <v>64</v>
      </c>
      <c r="AF211" s="427">
        <v>1.739854698E9</v>
      </c>
      <c r="AG211" s="428" t="b">
        <v>0</v>
      </c>
      <c r="AH211" s="428" t="b">
        <v>0</v>
      </c>
      <c r="AI211" s="429"/>
      <c r="AJ211" s="430"/>
    </row>
    <row r="212" ht="37.5" customHeight="1">
      <c r="A212" s="492" t="str">
        <f t="array" ref="A212">LEFT(XLOOKUP(LCARS_Tech[BuffID],RawTech[BuffID],RawTech[TechRarity]), 1)</f>
        <v>E</v>
      </c>
      <c r="B212" s="481"/>
      <c r="C212" s="493" t="str">
        <f t="array" ref="C212">HYPERLINK("https://stfc.space/forbidden_and_chaos_tech/" &amp; XLOOKUP(LCARS_Tech[BuffID],RawTech[BuffID],RawTech[TechId]), XLOOKUP(LCARS_Tech[BuffID],RawTech[BuffID],RawTech[TechName]))</f>
        <v>[PRO] Transwarp Computer</v>
      </c>
      <c r="D212" s="482">
        <f t="array" ref="D212">XLOOKUP(LCARS_Tech[BuffID],RawTech[BuffID],RawTech[BuffOrder])</f>
        <v>2</v>
      </c>
      <c r="E212" s="483" t="str">
        <f t="array" ref="E212">XLOOKUP(LCARS_Tech[BuffID],RawTech[BuffID],RawTech[TechType])</f>
        <v>FT</v>
      </c>
      <c r="F212" s="483" t="str">
        <f t="array" ref="F212">XLOOKUP(LCARS_Tech[BuffID],RawTech[BuffID],RawTech[Tag_PvPinSpace])</f>
        <v>✴️</v>
      </c>
      <c r="G212" s="483" t="str">
        <f t="array" ref="G212">XLOOKUP(LCARS_Tech[BuffID],RawTech[BuffID],RawTech[Tag_PvPStation])</f>
        <v>✴️</v>
      </c>
      <c r="H212" s="483" t="str">
        <f t="array" ref="H212">XLOOKUP(LCARS_Tech[BuffID],RawTech[BuffID],RawTech[Tag_NonArmadaHostiles])</f>
        <v>✴️</v>
      </c>
      <c r="I212" s="483" t="str">
        <f t="array" ref="I212">XLOOKUP(LCARS_Tech[BuffID],RawTech[BuffID],RawTech[Tag_WaveDefense])</f>
        <v>✴️</v>
      </c>
      <c r="J212" s="483" t="str">
        <f t="array" ref="J212">XLOOKUP(LCARS_Tech[BuffID],RawTech[BuffID],RawTech[Tag_QTrial])</f>
        <v>✴️</v>
      </c>
      <c r="K212" s="483" t="str">
        <f t="array" ref="K212">XLOOKUP(LCARS_Tech[BuffID],RawTech[BuffID],RawTech[Tag_MissionBosses])</f>
        <v>✴️</v>
      </c>
      <c r="L212" s="483" t="str">
        <f t="array" ref="L212">XLOOKUP(LCARS_Tech[BuffID],RawTech[BuffID],RawTech[Tag_GroupArmadas])</f>
        <v>✴️</v>
      </c>
      <c r="M212" s="483" t="str">
        <f t="array" ref="M212">XLOOKUP(LCARS_Tech[BuffID],RawTech[BuffID],RawTech[Tag_SoloArmadas])</f>
        <v>✴️</v>
      </c>
      <c r="N212" s="483" t="str">
        <f t="array" ref="N212">XLOOKUP(LCARS_Tech[BuffID],RawTech[BuffID],RawTech[Tag_InvadingEntities])</f>
        <v>✴️</v>
      </c>
      <c r="O212" s="483" t="str">
        <f t="array" ref="O212">XLOOKUP(LCARS_Tech[BuffID],RawTech[BuffID],RawTech[Tag_Assaults])</f>
        <v>✴️</v>
      </c>
      <c r="P212" s="484" t="str">
        <f t="array" ref="P212">XLOOKUP(LCARS_Tech[BuffID],RawTech[BuffID],RawTech[Tag_OutpostArmadas])</f>
        <v>✴️</v>
      </c>
      <c r="Q212" s="485" t="str">
        <f t="array" ref="Q212">XLOOKUP(LCARS_Tech[BuffID],RawTech[BuffID],RawTech[Tag_OutpostRetaliators])</f>
        <v>✴️</v>
      </c>
      <c r="R212" s="485" t="str">
        <f t="array" ref="R212">XLOOKUP(MasterTech!$AF$4:$AF$214,RawTech!$AO$2:$AO$212,RawTech!$AV$2:$AV$212)</f>
        <v>SelfIsFedKlingRom, SelfShipGrade5</v>
      </c>
      <c r="S212" s="483" t="str">
        <f t="array" ref="S212">XLOOKUP(MasterTech!$AF$4:$AF$214,RawTech!$AO$2:$AO$212,RawTech!$AK$2:$AK$212)</f>
        <v>➖</v>
      </c>
      <c r="T212" s="486" t="str">
        <f t="array" ref="T212">XLOOKUP(MasterTech!$AF$4:$AF$214,RawTech!$AO$2:$AO$212,RawTech!$AM$2:$AM$212)</f>
        <v>➖</v>
      </c>
      <c r="U212" s="487" t="str">
        <f t="array" ref="U212">XLOOKUP(MasterTech!$AF$4:$AF$214,RawTech!$AO$2:$AO$212,RawTech!$D$2:$D$212)</f>
        <v>ShieldHPMax</v>
      </c>
      <c r="V212" s="485" t="str">
        <f t="array" ref="V212">XLOOKUP(MasterTech!$AF$4:$AF$214,RawTech!$AO$2:$AO$212,RawTech!$I$2:$I$212)</f>
        <v/>
      </c>
      <c r="W212" s="488" t="str">
        <f t="array" ref="W212">XLOOKUP(MasterTech!$AF$4:$AF$214,RawTech!$AO$2:$AO$212,RawTech!$E$2:$E$212)</f>
        <v>SelfIsFedKlingRom, SelfShipGrade5</v>
      </c>
      <c r="X212" s="487" t="str">
        <f t="array" ref="X212">XLOOKUP(MasterTech!$AF$4:$AF$214,RawTech!$AO$2:$AO$212,RawTech!$F$2:$F$212)</f>
        <v>ShipLaunched</v>
      </c>
      <c r="Y212" s="487" t="str">
        <f t="array" ref="Y212">XLOOKUP(MasterTech!$AF$4:$AF$214,RawTech!$AO$2:$AO$212,RawTech!$G$2:$G$212)</f>
        <v>SelfShip</v>
      </c>
      <c r="Z212" s="487" t="str">
        <f t="array" ref="Z212">XLOOKUP(MasterTech!$AF$4:$AF$214,RawTech!$AO$2:$AO$212,RawTech!$H$2:$H$212)</f>
        <v>MultiplyAdd</v>
      </c>
      <c r="AA212" s="487" t="str">
        <f t="array" ref="AA212">XLOOKUP(MasterTech!$AF$4:$AF$214,RawTech!$AO$2:$AO$212,RawTech!$J$2:$J$212)</f>
        <v>Increases SHP while installed on a G5+ FKR ship by X.</v>
      </c>
      <c r="AB212" s="489" t="b">
        <v>0</v>
      </c>
      <c r="AC212" s="490"/>
      <c r="AD212" s="490"/>
      <c r="AE212" s="491">
        <f t="array" ref="AE212">XLOOKUP(MasterTech!$AF$4:$AF$214,RawTech!$AO$2:$AO$212,RawTech!$AR$2:$AR$212)</f>
        <v>64</v>
      </c>
      <c r="AF212" s="427">
        <v>1.690288489E9</v>
      </c>
      <c r="AG212" s="428" t="b">
        <v>0</v>
      </c>
      <c r="AH212" s="428" t="b">
        <v>0</v>
      </c>
      <c r="AI212" s="429"/>
      <c r="AJ212" s="430"/>
    </row>
    <row r="213" ht="37.5" customHeight="1">
      <c r="A213" s="492" t="str">
        <f t="array" ref="A213">LEFT(XLOOKUP(LCARS_Tech[BuffID],RawTech[BuffID],RawTech[TechRarity]), 1)</f>
        <v>E</v>
      </c>
      <c r="B213" s="481"/>
      <c r="C213" s="493" t="str">
        <f t="array" ref="C213">HYPERLINK("https://stfc.space/forbidden_and_chaos_tech/" &amp; XLOOKUP(LCARS_Tech[BuffID],RawTech[BuffID],RawTech[TechId]), XLOOKUP(LCARS_Tech[BuffID],RawTech[BuffID],RawTech[TechName]))</f>
        <v>[PRO] Transwarp Computer</v>
      </c>
      <c r="D213" s="482">
        <f t="array" ref="D213">XLOOKUP(LCARS_Tech[BuffID],RawTech[BuffID],RawTech[BuffOrder])</f>
        <v>3</v>
      </c>
      <c r="E213" s="483" t="str">
        <f t="array" ref="E213">XLOOKUP(LCARS_Tech[BuffID],RawTech[BuffID],RawTech[TechType])</f>
        <v>FT</v>
      </c>
      <c r="F213" s="483" t="str">
        <f t="array" ref="F213">XLOOKUP(LCARS_Tech[BuffID],RawTech[BuffID],RawTech[Tag_PvPinSpace])</f>
        <v>➖</v>
      </c>
      <c r="G213" s="483" t="str">
        <f t="array" ref="G213">XLOOKUP(LCARS_Tech[BuffID],RawTech[BuffID],RawTech[Tag_PvPStation])</f>
        <v>➖</v>
      </c>
      <c r="H213" s="483" t="str">
        <f t="array" ref="H213">XLOOKUP(LCARS_Tech[BuffID],RawTech[BuffID],RawTech[Tag_NonArmadaHostiles])</f>
        <v>✴️</v>
      </c>
      <c r="I213" s="483" t="str">
        <f t="array" ref="I213">XLOOKUP(LCARS_Tech[BuffID],RawTech[BuffID],RawTech[Tag_WaveDefense])</f>
        <v>✴️</v>
      </c>
      <c r="J213" s="483" t="str">
        <f t="array" ref="J213">XLOOKUP(LCARS_Tech[BuffID],RawTech[BuffID],RawTech[Tag_QTrial])</f>
        <v>✴️</v>
      </c>
      <c r="K213" s="483" t="str">
        <f t="array" ref="K213">XLOOKUP(LCARS_Tech[BuffID],RawTech[BuffID],RawTech[Tag_MissionBosses])</f>
        <v>➖</v>
      </c>
      <c r="L213" s="483" t="str">
        <f t="array" ref="L213">XLOOKUP(LCARS_Tech[BuffID],RawTech[BuffID],RawTech[Tag_GroupArmadas])</f>
        <v>➖</v>
      </c>
      <c r="M213" s="483" t="str">
        <f t="array" ref="M213">XLOOKUP(LCARS_Tech[BuffID],RawTech[BuffID],RawTech[Tag_SoloArmadas])</f>
        <v>➖</v>
      </c>
      <c r="N213" s="483" t="str">
        <f t="array" ref="N213">XLOOKUP(LCARS_Tech[BuffID],RawTech[BuffID],RawTech[Tag_InvadingEntities])</f>
        <v>➖</v>
      </c>
      <c r="O213" s="483" t="str">
        <f t="array" ref="O213">XLOOKUP(LCARS_Tech[BuffID],RawTech[BuffID],RawTech[Tag_Assaults])</f>
        <v>➖</v>
      </c>
      <c r="P213" s="484" t="str">
        <f t="array" ref="P213">XLOOKUP(LCARS_Tech[BuffID],RawTech[BuffID],RawTech[Tag_OutpostArmadas])</f>
        <v>➖</v>
      </c>
      <c r="Q213" s="485" t="str">
        <f t="array" ref="Q213">XLOOKUP(LCARS_Tech[BuffID],RawTech[BuffID],RawTech[Tag_OutpostRetaliators])</f>
        <v>➖</v>
      </c>
      <c r="R213" s="485" t="str">
        <f t="array" ref="R213">XLOOKUP(MasterTech!$AF$4:$AF$214,RawTech!$AO$2:$AO$212,RawTech!$AV$2:$AV$212)</f>
        <v>SelfIsFedKlingRom, SelfShipGrade5, SelfOfficerTalNotOnBridge</v>
      </c>
      <c r="S213" s="483" t="str">
        <f t="array" ref="S213">XLOOKUP(MasterTech!$AF$4:$AF$214,RawTech!$AO$2:$AO$212,RawTech!$AK$2:$AK$212)</f>
        <v>➖</v>
      </c>
      <c r="T213" s="486" t="str">
        <f t="array" ref="T213">XLOOKUP(MasterTech!$AF$4:$AF$214,RawTech!$AO$2:$AO$212,RawTech!$AM$2:$AM$212)</f>
        <v>➖</v>
      </c>
      <c r="U213" s="487" t="str">
        <f t="array" ref="U213">XLOOKUP(MasterTech!$AF$4:$AF$214,RawTech!$AO$2:$AO$212,RawTech!$D$2:$D$212)</f>
        <v>ApexBarrier</v>
      </c>
      <c r="V213" s="485" t="str">
        <f t="array" ref="V213">XLOOKUP(MasterTech!$AF$4:$AF$214,RawTech!$AO$2:$AO$212,RawTech!$I$2:$I$212)</f>
        <v/>
      </c>
      <c r="W213" s="488" t="str">
        <f t="array" ref="W213">XLOOKUP(MasterTech!$AF$4:$AF$214,RawTech!$AO$2:$AO$212,RawTech!$E$2:$E$212)</f>
        <v>TargetNotArmada, SelfIsFedKlingRom, SelfShipGrade5, SelfOfficerTalNotOnBridge, EnemyHostile</v>
      </c>
      <c r="X213" s="487" t="str">
        <f t="array" ref="X213">XLOOKUP(MasterTech!$AF$4:$AF$214,RawTech!$AO$2:$AO$212,RawTech!$F$2:$F$212)</f>
        <v>CombatStart</v>
      </c>
      <c r="Y213" s="487" t="str">
        <f t="array" ref="Y213">XLOOKUP(MasterTech!$AF$4:$AF$214,RawTech!$AO$2:$AO$212,RawTech!$G$2:$G$212)</f>
        <v>SelfShip</v>
      </c>
      <c r="Z213" s="487" t="str">
        <f t="array" ref="Z213">XLOOKUP(MasterTech!$AF$4:$AF$214,RawTech!$AO$2:$AO$212,RawTech!$H$2:$H$212)</f>
        <v>Add</v>
      </c>
      <c r="AA213" s="487" t="str">
        <f t="array" ref="AA213">XLOOKUP(MasterTech!$AF$4:$AF$214,RawTech!$AO$2:$AO$212,RawTech!$J$2:$J$212)</f>
        <v>Increases Apex Barrier against non-Armada PvE hostiles while installed on a G5+ FKR ship by X. Does not apply when Tal is assigned to the bridge.</v>
      </c>
      <c r="AB213" s="489" t="b">
        <v>0</v>
      </c>
      <c r="AC213" s="490"/>
      <c r="AD213" s="490"/>
      <c r="AE213" s="491">
        <f t="array" ref="AE213">XLOOKUP(MasterTech!$AF$4:$AF$214,RawTech!$AO$2:$AO$212,RawTech!$AR$2:$AR$212)</f>
        <v>64</v>
      </c>
      <c r="AF213" s="427">
        <v>4.248148778E9</v>
      </c>
      <c r="AG213" s="428" t="b">
        <v>0</v>
      </c>
      <c r="AH213" s="428" t="b">
        <v>0</v>
      </c>
      <c r="AI213" s="429"/>
      <c r="AJ213" s="430"/>
    </row>
    <row r="214" ht="37.5" customHeight="1">
      <c r="A214" s="492" t="str">
        <f t="array" ref="A214">LEFT(XLOOKUP(LCARS_Tech[BuffID],RawTech[BuffID],RawTech[TechRarity]), 1)</f>
        <v>E</v>
      </c>
      <c r="B214" s="481"/>
      <c r="C214" s="493" t="str">
        <f t="array" ref="C214">HYPERLINK("https://stfc.space/forbidden_and_chaos_tech/" &amp; XLOOKUP(LCARS_Tech[BuffID],RawTech[BuffID],RawTech[TechId]), XLOOKUP(LCARS_Tech[BuffID],RawTech[BuffID],RawTech[TechName]))</f>
        <v>[PRO] Transwarp Computer</v>
      </c>
      <c r="D214" s="482">
        <f t="array" ref="D214">XLOOKUP(LCARS_Tech[BuffID],RawTech[BuffID],RawTech[BuffOrder])</f>
        <v>4</v>
      </c>
      <c r="E214" s="483" t="str">
        <f t="array" ref="E214">XLOOKUP(LCARS_Tech[BuffID],RawTech[BuffID],RawTech[TechType])</f>
        <v>FT</v>
      </c>
      <c r="F214" s="483" t="str">
        <f t="array" ref="F214">XLOOKUP(LCARS_Tech[BuffID],RawTech[BuffID],RawTech[Tag_PvPinSpace])</f>
        <v>➖</v>
      </c>
      <c r="G214" s="483" t="str">
        <f t="array" ref="G214">XLOOKUP(LCARS_Tech[BuffID],RawTech[BuffID],RawTech[Tag_PvPStation])</f>
        <v>➖</v>
      </c>
      <c r="H214" s="483" t="str">
        <f t="array" ref="H214">XLOOKUP(LCARS_Tech[BuffID],RawTech[BuffID],RawTech[Tag_NonArmadaHostiles])</f>
        <v>✴️</v>
      </c>
      <c r="I214" s="483" t="str">
        <f t="array" ref="I214">XLOOKUP(LCARS_Tech[BuffID],RawTech[BuffID],RawTech[Tag_WaveDefense])</f>
        <v>✴️</v>
      </c>
      <c r="J214" s="483" t="str">
        <f t="array" ref="J214">XLOOKUP(LCARS_Tech[BuffID],RawTech[BuffID],RawTech[Tag_QTrial])</f>
        <v>✴️</v>
      </c>
      <c r="K214" s="483" t="str">
        <f t="array" ref="K214">XLOOKUP(LCARS_Tech[BuffID],RawTech[BuffID],RawTech[Tag_MissionBosses])</f>
        <v>➖</v>
      </c>
      <c r="L214" s="483" t="str">
        <f t="array" ref="L214">XLOOKUP(LCARS_Tech[BuffID],RawTech[BuffID],RawTech[Tag_GroupArmadas])</f>
        <v>✴️</v>
      </c>
      <c r="M214" s="483" t="str">
        <f t="array" ref="M214">XLOOKUP(LCARS_Tech[BuffID],RawTech[BuffID],RawTech[Tag_SoloArmadas])</f>
        <v>✴️</v>
      </c>
      <c r="N214" s="483" t="str">
        <f t="array" ref="N214">XLOOKUP(LCARS_Tech[BuffID],RawTech[BuffID],RawTech[Tag_InvadingEntities])</f>
        <v>✴️</v>
      </c>
      <c r="O214" s="483" t="str">
        <f t="array" ref="O214">XLOOKUP(LCARS_Tech[BuffID],RawTech[BuffID],RawTech[Tag_Assaults])</f>
        <v>➖</v>
      </c>
      <c r="P214" s="484" t="str">
        <f t="array" ref="P214">XLOOKUP(LCARS_Tech[BuffID],RawTech[BuffID],RawTech[Tag_OutpostArmadas])</f>
        <v>➖</v>
      </c>
      <c r="Q214" s="485" t="str">
        <f t="array" ref="Q214">XLOOKUP(LCARS_Tech[BuffID],RawTech[BuffID],RawTech[Tag_OutpostRetaliators])</f>
        <v>➖</v>
      </c>
      <c r="R214" s="485" t="str">
        <f t="array" ref="R214">XLOOKUP(MasterTech!$AF$4:$AF$214,RawTech!$AO$2:$AO$212,RawTech!$AV$2:$AV$212)</f>
        <v>SelfIsFedKlingRom, SelfShipGrade5</v>
      </c>
      <c r="S214" s="483" t="str">
        <f t="array" ref="S214">XLOOKUP(MasterTech!$AF$4:$AF$214,RawTech!$AO$2:$AO$212,RawTech!$AK$2:$AK$212)</f>
        <v>➖</v>
      </c>
      <c r="T214" s="486" t="str">
        <f t="array" ref="T214">XLOOKUP(MasterTech!$AF$4:$AF$214,RawTech!$AO$2:$AO$212,RawTech!$AM$2:$AM$212)</f>
        <v>➖</v>
      </c>
      <c r="U214" s="487" t="str">
        <f t="array" ref="U214">XLOOKUP(MasterTech!$AF$4:$AF$214,RawTech!$AO$2:$AO$212,RawTech!$D$2:$D$212)</f>
        <v>IsolyticDamage</v>
      </c>
      <c r="V214" s="485" t="str">
        <f t="array" ref="V214">XLOOKUP(MasterTech!$AF$4:$AF$214,RawTech!$AO$2:$AO$212,RawTech!$I$2:$I$212)</f>
        <v/>
      </c>
      <c r="W214" s="488" t="str">
        <f t="array" ref="W214">XLOOKUP(MasterTech!$AF$4:$AF$214,RawTech!$AO$2:$AO$212,RawTech!$E$2:$E$212)</f>
        <v>SelfIsFedKlingRom, EnemyHostile, SelfShipGrade5</v>
      </c>
      <c r="X214" s="487" t="str">
        <f t="array" ref="X214">XLOOKUP(MasterTech!$AF$4:$AF$214,RawTech!$AO$2:$AO$212,RawTech!$F$2:$F$212)</f>
        <v>CombatStart</v>
      </c>
      <c r="Y214" s="487" t="str">
        <f t="array" ref="Y214">XLOOKUP(MasterTech!$AF$4:$AF$214,RawTech!$AO$2:$AO$212,RawTech!$G$2:$G$212)</f>
        <v>SelfShip</v>
      </c>
      <c r="Z214" s="487" t="str">
        <f t="array" ref="Z214">XLOOKUP(MasterTech!$AF$4:$AF$214,RawTech!$AO$2:$AO$212,RawTech!$H$2:$H$212)</f>
        <v>Add</v>
      </c>
      <c r="AA214" s="487" t="str">
        <f t="array" ref="AA214">XLOOKUP(MasterTech!$AF$4:$AF$214,RawTech!$AO$2:$AO$212,RawTech!$J$2:$J$212)</f>
        <v>Increases Isolytic Damage in PvE while installed on a G5+ FKR ship by X.</v>
      </c>
      <c r="AB214" s="489" t="b">
        <v>0</v>
      </c>
      <c r="AC214" s="490"/>
      <c r="AD214" s="490"/>
      <c r="AE214" s="491">
        <f t="array" ref="AE214">XLOOKUP(MasterTech!$AF$4:$AF$214,RawTech!$AO$2:$AO$212,RawTech!$AR$2:$AR$212)</f>
        <v>64</v>
      </c>
      <c r="AF214" s="427">
        <v>1.985445147E9</v>
      </c>
      <c r="AG214" s="428" t="b">
        <v>0</v>
      </c>
      <c r="AH214" s="428" t="b">
        <v>0</v>
      </c>
      <c r="AI214" s="429"/>
      <c r="AJ214" s="430"/>
    </row>
  </sheetData>
  <customSheetViews>
    <customSheetView guid="{08196EC6-4ED8-4974-AD2F-406CFCF5981A}" filter="1" showAutoFilter="1">
      <autoFilter ref="$A$3:$AJ$214">
        <sortState ref="A3:AJ214">
          <sortCondition ref="L3:L214"/>
          <sortCondition ref="C3:C214"/>
          <sortCondition ref="V3:V214"/>
          <sortCondition ref="U3:U214"/>
        </sortState>
      </autoFilter>
    </customSheetView>
    <customSheetView guid="{CA8E02A4-DCF3-4B76-92B6-B7CC83783927}" filter="1" showAutoFilter="1">
      <autoFilter ref="$A$3:$AJ$214">
        <filterColumn colId="23">
          <filters/>
        </filterColumn>
        <sortState ref="A3:AJ214">
          <sortCondition ref="X3:X214"/>
        </sortState>
      </autoFilter>
    </customSheetView>
    <customSheetView guid="{65CC8D0F-A12D-4FB2-8C14-C0DB53EBE7F6}" filter="1" showAutoFilter="1">
      <autoFilter ref="$A$3:$AJ$214">
        <filterColumn colId="18">
          <filters>
            <filter val="✅"/>
            <filter val="➖"/>
          </filters>
        </filterColumn>
      </autoFilter>
    </customSheetView>
    <customSheetView guid="{9EDD1754-C8CD-4622-90D2-071A41A4C6F7}" filter="1" showAutoFilter="1">
      <autoFilter ref="$A$3:$AJ$214"/>
    </customSheetView>
  </customSheetViews>
  <mergeCells count="1">
    <mergeCell ref="C1:D1"/>
  </mergeCells>
  <conditionalFormatting sqref="E1 G1">
    <cfRule type="expression" dxfId="0" priority="1">
      <formula>$F1="OA"</formula>
    </cfRule>
  </conditionalFormatting>
  <conditionalFormatting sqref="E1 G1">
    <cfRule type="expression" dxfId="1" priority="2">
      <formula>$F1="CM"</formula>
    </cfRule>
  </conditionalFormatting>
  <conditionalFormatting sqref="E1 G1">
    <cfRule type="expression" dxfId="2" priority="3">
      <formula>$F1="BDA"</formula>
    </cfRule>
  </conditionalFormatting>
  <conditionalFormatting sqref="D2:D214">
    <cfRule type="expression" dxfId="15" priority="4">
      <formula>$D2="CM"</formula>
    </cfRule>
  </conditionalFormatting>
  <conditionalFormatting sqref="D4:D214">
    <cfRule type="expression" dxfId="16" priority="5">
      <formula>$D4="OA"</formula>
    </cfRule>
  </conditionalFormatting>
  <conditionalFormatting sqref="D4:D214">
    <cfRule type="expression" dxfId="17" priority="6">
      <formula>$D4="BDA"</formula>
    </cfRule>
  </conditionalFormatting>
  <conditionalFormatting sqref="AA1:AA214">
    <cfRule type="expression" dxfId="28" priority="7">
      <formula>$AB1=TRUE</formula>
    </cfRule>
  </conditionalFormatting>
  <conditionalFormatting sqref="E1 T1:T214 U1:U4 V1:AF214 U6:U214">
    <cfRule type="expression" dxfId="0" priority="8">
      <formula>$D1="__"</formula>
    </cfRule>
  </conditionalFormatting>
  <conditionalFormatting sqref="E1 T1:T214 U1:U4 V1:AF214 U6:U214">
    <cfRule type="expression" dxfId="1" priority="9">
      <formula>$D1="__"</formula>
    </cfRule>
  </conditionalFormatting>
  <conditionalFormatting sqref="E1 T1:T214 U1:U4 V1:AF214 U6:U214">
    <cfRule type="expression" dxfId="2" priority="10">
      <formula>$D1="__"</formula>
    </cfRule>
  </conditionalFormatting>
  <conditionalFormatting sqref="AB3:AD3">
    <cfRule type="expression" dxfId="0" priority="11">
      <formula>$D3="OA"</formula>
    </cfRule>
  </conditionalFormatting>
  <conditionalFormatting sqref="AB3:AD3">
    <cfRule type="expression" dxfId="1" priority="12">
      <formula>$D3="CM"</formula>
    </cfRule>
  </conditionalFormatting>
  <conditionalFormatting sqref="AB3:AD3">
    <cfRule type="expression" dxfId="2" priority="13">
      <formula>$D3="BDA"</formula>
    </cfRule>
  </conditionalFormatting>
  <conditionalFormatting sqref="A1:C214 AI1:AJ214 D2:E2">
    <cfRule type="expression" dxfId="12" priority="14">
      <formula>$A1="E"</formula>
    </cfRule>
  </conditionalFormatting>
  <conditionalFormatting sqref="A1:C214 AI1:AJ214 D2:E2">
    <cfRule type="expression" dxfId="13" priority="15">
      <formula>$A1="R"</formula>
    </cfRule>
  </conditionalFormatting>
  <conditionalFormatting sqref="A1:C214 AI1:AJ214 D2:E2">
    <cfRule type="expression" dxfId="14" priority="16">
      <formula>$A1="U"</formula>
    </cfRule>
  </conditionalFormatting>
  <conditionalFormatting sqref="A1:C214 AI1:AJ214 D2:E2">
    <cfRule type="expression" dxfId="29" priority="17">
      <formula>$A1="C"</formula>
    </cfRule>
  </conditionalFormatting>
  <conditionalFormatting sqref="D2:E214">
    <cfRule type="expression" dxfId="30" priority="18">
      <formula>$E2="FT"</formula>
    </cfRule>
  </conditionalFormatting>
  <conditionalFormatting sqref="D4:E214">
    <cfRule type="expression" dxfId="31" priority="19">
      <formula>$E4="CT"</formula>
    </cfRule>
  </conditionalFormatting>
  <conditionalFormatting sqref="AB1:AB214 AE1:AJ214">
    <cfRule type="expression" dxfId="10" priority="20">
      <formula>$AC1=TRUE</formula>
    </cfRule>
  </conditionalFormatting>
  <conditionalFormatting sqref="V5">
    <cfRule type="notContainsBlanks" dxfId="20" priority="21">
      <formula>LEN(TRIM(V5))&gt;0</formula>
    </cfRule>
  </conditionalFormatting>
  <conditionalFormatting sqref="A1:C214 AE1:AJ214">
    <cfRule type="expression" dxfId="12" priority="22">
      <formula>$A1="Epic"</formula>
    </cfRule>
  </conditionalFormatting>
  <conditionalFormatting sqref="A1:C214 AE1:AJ214">
    <cfRule type="expression" dxfId="13" priority="23">
      <formula>$A1="Rare"</formula>
    </cfRule>
  </conditionalFormatting>
  <conditionalFormatting sqref="A1:C214 AE1:AJ214">
    <cfRule type="expression" dxfId="14" priority="24">
      <formula>$A1="Uncommon"</formula>
    </cfRule>
  </conditionalFormatting>
  <conditionalFormatting sqref="A1:C214 AE1:AJ214">
    <cfRule type="expression" dxfId="29" priority="25">
      <formula>$A1="Common"</formula>
    </cfRule>
  </conditionalFormatting>
  <conditionalFormatting sqref="AA1:AA3">
    <cfRule type="expression" dxfId="10" priority="26">
      <formula>$AB1=TRUE</formula>
    </cfRule>
  </conditionalFormatting>
  <conditionalFormatting sqref="U1:U4 V1:AJ214 U6:U214">
    <cfRule type="expression" dxfId="0" priority="27">
      <formula>$E1="OA"</formula>
    </cfRule>
  </conditionalFormatting>
  <conditionalFormatting sqref="U1:U4 V1:AJ214 U6:U214">
    <cfRule type="expression" dxfId="1" priority="28">
      <formula>$E1="CM"</formula>
    </cfRule>
  </conditionalFormatting>
  <conditionalFormatting sqref="U1:U4 V1:AJ214 U6:U214">
    <cfRule type="expression" dxfId="2" priority="29">
      <formula>$E1="BDA"</formula>
    </cfRule>
  </conditionalFormatting>
  <dataValidations>
    <dataValidation type="custom" allowBlank="1" showDropDown="1" sqref="D4:D214 AJ4:AJ214">
      <formula1>AND(ISNUMBER(D4),(NOT(OR(NOT(ISERROR(DATEVALUE(D4))), AND(ISNUMBER(D4), LEFT(CELL("format", D4))="D")))))</formula1>
    </dataValidation>
    <dataValidation allowBlank="1" showDropDown="1" sqref="E4:E214 G4:G214 I4:O214 S4:S214 W4:W214"/>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8.75"/>
    <col customWidth="1" min="2" max="2" width="9.63"/>
    <col customWidth="1" min="3" max="3" width="19.88"/>
    <col customWidth="1" min="4" max="4" width="11.75"/>
    <col customWidth="1" min="5" max="5" width="11.5"/>
    <col customWidth="1" min="6" max="8" width="11.0"/>
    <col customWidth="1" min="9" max="9" width="11.13"/>
    <col customWidth="1" min="10" max="10" width="11.0"/>
    <col customWidth="1" min="11" max="12" width="11.13"/>
    <col customWidth="1" min="13" max="13" width="10.88"/>
    <col customWidth="1" min="14" max="15" width="11.13"/>
    <col customWidth="1" min="16" max="16" width="15.25"/>
    <col customWidth="1" min="17" max="17" width="30.0"/>
    <col customWidth="1" min="18" max="18" width="10.88"/>
    <col customWidth="1" min="19" max="19" width="16.5"/>
    <col customWidth="1" min="20" max="20" width="34.25"/>
    <col customWidth="1" min="21" max="21" width="19.88"/>
    <col customWidth="1" min="22" max="22" width="32.88"/>
    <col customWidth="1" min="23" max="23" width="30.0"/>
    <col customWidth="1" min="24" max="26" width="21.13"/>
    <col customWidth="1" min="27" max="27" width="71.13"/>
    <col customWidth="1" min="28" max="28" width="12.75"/>
    <col customWidth="1" min="29" max="29" width="58.25"/>
    <col customWidth="1" min="30" max="30" width="13.13"/>
    <col customWidth="1" min="31" max="31" width="31.13"/>
    <col customWidth="1" min="32" max="32" width="46.63"/>
    <col customWidth="1" min="33" max="33" width="20.88"/>
    <col customWidth="1" min="34" max="34" width="26.38"/>
    <col customWidth="1" min="35" max="36" width="11.5"/>
    <col customWidth="1" min="37" max="37" width="6.63"/>
    <col customWidth="1" min="38" max="39" width="10.38"/>
  </cols>
  <sheetData>
    <row r="1">
      <c r="A1" s="401"/>
      <c r="B1" s="401"/>
      <c r="C1" s="494"/>
      <c r="E1" s="49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F1" s="400"/>
      <c r="G1" s="221"/>
      <c r="H1" s="400"/>
      <c r="I1" s="496"/>
      <c r="J1" s="400"/>
      <c r="K1" s="496"/>
      <c r="L1" s="496"/>
      <c r="M1" s="497"/>
      <c r="N1" s="496"/>
      <c r="O1" s="496"/>
      <c r="P1" s="498"/>
      <c r="Q1" s="498"/>
      <c r="R1" s="497"/>
      <c r="S1" s="497"/>
      <c r="T1" s="499"/>
      <c r="U1" s="499"/>
      <c r="V1" s="500"/>
      <c r="W1" s="498"/>
      <c r="X1" s="500"/>
      <c r="Y1" s="499"/>
      <c r="Z1" s="499"/>
      <c r="AA1" s="501"/>
      <c r="AB1" s="502"/>
      <c r="AC1" s="501"/>
      <c r="AD1" s="502"/>
      <c r="AE1" s="501"/>
      <c r="AF1" s="501"/>
      <c r="AG1" s="503"/>
      <c r="AH1" s="503"/>
      <c r="AI1" s="400"/>
      <c r="AJ1" s="400"/>
      <c r="AK1" s="401"/>
      <c r="AL1" s="402"/>
      <c r="AM1" s="402"/>
    </row>
    <row r="2">
      <c r="A2" s="405"/>
      <c r="B2" s="405"/>
      <c r="C2" s="504"/>
      <c r="D2" s="505"/>
      <c r="E2" s="404"/>
      <c r="F2" s="404"/>
      <c r="G2" s="404"/>
      <c r="H2" s="404"/>
      <c r="I2" s="496"/>
      <c r="J2" s="404"/>
      <c r="K2" s="496"/>
      <c r="L2" s="496"/>
      <c r="M2" s="497"/>
      <c r="N2" s="496"/>
      <c r="O2" s="496"/>
      <c r="P2" s="498"/>
      <c r="Q2" s="498"/>
      <c r="R2" s="497"/>
      <c r="S2" s="497"/>
      <c r="T2" s="506"/>
      <c r="U2" s="507"/>
      <c r="V2" s="500"/>
      <c r="W2" s="499"/>
      <c r="X2" s="500"/>
      <c r="Y2" s="499"/>
      <c r="Z2" s="499"/>
      <c r="AA2" s="501"/>
      <c r="AB2" s="502"/>
      <c r="AC2" s="501"/>
      <c r="AD2" s="502"/>
      <c r="AE2" s="501"/>
      <c r="AF2" s="501"/>
      <c r="AG2" s="503"/>
      <c r="AH2" s="503"/>
      <c r="AI2" s="404"/>
      <c r="AJ2" s="404"/>
      <c r="AK2" s="405"/>
      <c r="AL2" s="406"/>
      <c r="AM2" s="406"/>
    </row>
    <row r="3">
      <c r="A3" s="508" t="s">
        <v>515</v>
      </c>
      <c r="B3" s="508" t="s">
        <v>516</v>
      </c>
      <c r="C3" s="509" t="s">
        <v>551</v>
      </c>
      <c r="D3" s="510" t="s">
        <v>552</v>
      </c>
      <c r="E3" s="508" t="s">
        <v>520</v>
      </c>
      <c r="F3" s="508" t="s">
        <v>53</v>
      </c>
      <c r="G3" s="508" t="s">
        <v>521</v>
      </c>
      <c r="H3" s="508" t="s">
        <v>522</v>
      </c>
      <c r="I3" s="511" t="s">
        <v>523</v>
      </c>
      <c r="J3" s="508" t="s">
        <v>524</v>
      </c>
      <c r="K3" s="511" t="s">
        <v>525</v>
      </c>
      <c r="L3" s="511" t="s">
        <v>526</v>
      </c>
      <c r="M3" s="508" t="s">
        <v>527</v>
      </c>
      <c r="N3" s="511" t="s">
        <v>528</v>
      </c>
      <c r="O3" s="511" t="s">
        <v>529</v>
      </c>
      <c r="P3" s="508" t="s">
        <v>99</v>
      </c>
      <c r="Q3" s="508" t="s">
        <v>530</v>
      </c>
      <c r="R3" s="508" t="s">
        <v>531</v>
      </c>
      <c r="S3" s="508" t="s">
        <v>532</v>
      </c>
      <c r="T3" s="512" t="s">
        <v>553</v>
      </c>
      <c r="U3" s="512" t="s">
        <v>130</v>
      </c>
      <c r="V3" s="512" t="s">
        <v>131</v>
      </c>
      <c r="W3" s="512" t="s">
        <v>132</v>
      </c>
      <c r="X3" s="512" t="s">
        <v>133</v>
      </c>
      <c r="Y3" s="508" t="s">
        <v>119</v>
      </c>
      <c r="Z3" s="512" t="s">
        <v>135</v>
      </c>
      <c r="AA3" s="512" t="s">
        <v>72</v>
      </c>
      <c r="AB3" s="508" t="s">
        <v>533</v>
      </c>
      <c r="AC3" s="508" t="s">
        <v>554</v>
      </c>
      <c r="AD3" s="508" t="s">
        <v>555</v>
      </c>
      <c r="AE3" s="508" t="s">
        <v>534</v>
      </c>
      <c r="AF3" s="508" t="s">
        <v>535</v>
      </c>
      <c r="AG3" s="512" t="s">
        <v>556</v>
      </c>
      <c r="AH3" s="512" t="s">
        <v>557</v>
      </c>
      <c r="AI3" s="508" t="s">
        <v>558</v>
      </c>
      <c r="AJ3" s="508" t="s">
        <v>559</v>
      </c>
      <c r="AK3" s="508" t="s">
        <v>560</v>
      </c>
      <c r="AL3" s="513" t="s">
        <v>561</v>
      </c>
      <c r="AM3" s="513" t="s">
        <v>562</v>
      </c>
    </row>
    <row r="4">
      <c r="A4" s="429" t="str">
        <f t="array" ref="A4">LEFT(XLOOKUP(LCARS_Off[AbilityID],RawOfficer[AbilityID],RawOfficer[OfficerRarity]), 1)</f>
        <v>E</v>
      </c>
      <c r="B4" s="429"/>
      <c r="C4" s="514" t="str">
        <f t="array" ref="C4">HYPERLINK("https://stfc.space/officers/" &amp; XLOOKUP(LCARS_Off[AbilityID],RawOfficer[AbilityID],RawOfficer[OfficerId]), XLOOKUP(LCARS_Off[AbilityID],RawOfficer[AbilityID],RawOfficer[OfficerName]))</f>
        <v>KIRK</v>
      </c>
      <c r="D4" s="515" t="str">
        <f t="array" ref="D4">XLOOKUP(LCARS_Off[AbilityID],RawOfficer[AbilityID],RawOfficer[AbilityType])</f>
        <v>CM</v>
      </c>
      <c r="E4" s="516" t="str">
        <f t="array" ref="E4">XLOOKUP(LCARS_Off[AbilityID],RawOfficer[AbilityID],RawOfficer[Tag_PvPinSpace])</f>
        <v>✴️</v>
      </c>
      <c r="F4" s="516" t="str">
        <f t="array" ref="F4">XLOOKUP(LCARS_Off[AbilityID],RawOfficer[AbilityID],RawOfficer[Tag_PvPStation])</f>
        <v>✴️</v>
      </c>
      <c r="G4" s="516" t="str">
        <f t="array" ref="G4">XLOOKUP(LCARS_Off[AbilityID],RawOfficer[AbilityID],RawOfficer[Tag_NonArmadaHostiles])</f>
        <v>✴️</v>
      </c>
      <c r="H4" s="516" t="str">
        <f t="array" ref="H4">XLOOKUP(LCARS_Off[AbilityID],RawOfficer[AbilityID],RawOfficer[Tag_WaveDefense])</f>
        <v>✴️</v>
      </c>
      <c r="I4" s="516" t="str">
        <f t="array" ref="I4">XLOOKUP(LCARS_Off[AbilityID],RawOfficer[AbilityID],RawOfficer[Tag_QTrial])</f>
        <v>✴️</v>
      </c>
      <c r="J4" s="516" t="str">
        <f t="array" ref="J4">XLOOKUP(LCARS_Off[AbilityID],RawOfficer[AbilityID],RawOfficer[Tag_MissionBosses])</f>
        <v>✴️</v>
      </c>
      <c r="K4" s="516" t="str">
        <f t="array" ref="K4">XLOOKUP(LCARS_Off[AbilityID],RawOfficer[AbilityID],RawOfficer[Tag_GroupArmadas])</f>
        <v>✴️</v>
      </c>
      <c r="L4" s="516" t="str">
        <f t="array" ref="L4">XLOOKUP(LCARS_Off[AbilityID],RawOfficer[AbilityID],RawOfficer[Tag_SoloArmadas])</f>
        <v>✴️</v>
      </c>
      <c r="M4" s="516" t="str">
        <f t="array" ref="M4">XLOOKUP(LCARS_Off[AbilityID],RawOfficer[AbilityID],RawOfficer[Tag_InvadingEntities])</f>
        <v>✴️</v>
      </c>
      <c r="N4" s="516" t="str">
        <f t="array" ref="N4">XLOOKUP(LCARS_Off[AbilityID],RawOfficer[AbilityID],RawOfficer[Tag_Assaults])</f>
        <v>✴️</v>
      </c>
      <c r="O4" s="516" t="str">
        <f t="array" ref="O4">XLOOKUP(LCARS_Off[AbilityID],RawOfficer[AbilityID],RawOfficer[Tag_OutpostArmadas])</f>
        <v>✴️</v>
      </c>
      <c r="P4" s="516" t="str">
        <f t="array" ref="P4">XLOOKUP(LCARS_Off[AbilityID],RawOfficer[AbilityID],RawOfficer[Tag_OutpostRetaliators])</f>
        <v>✴️</v>
      </c>
      <c r="Q4" s="517" t="str">
        <f t="array" ref="Q4">XLOOKUP(LCARS_Off[AbilityID],RawOfficer[AbilityID],RawOfficer[Conditional_Reason])</f>
        <v>SelfHasMorale</v>
      </c>
      <c r="R4" s="518" t="str">
        <f t="array" ref="R4">XLOOKUP(LCARS_Off[AbilityID],RawOfficer[AbilityID],RawOfficer[Tag_Loot])</f>
        <v>➖</v>
      </c>
      <c r="S4" s="516" t="str">
        <f t="array" ref="S4">XLOOKUP(LCARS_Off[AbilityID],RawOfficer[AbilityID],RawOfficer[Tag_Utility])</f>
        <v>➖</v>
      </c>
      <c r="T4" s="429" t="str">
        <f t="array" ref="T4">XLOOKUP(LCARS_Off[AbilityID],RawOfficer[AbilityID],RawOfficer[OfficerSynergy])</f>
        <v>ENTERPRISE CREW</v>
      </c>
      <c r="U4" s="519" t="str">
        <f t="array" ref="U4">XLOOKUP(LCARS_Off[AbilityID],RawOfficer[AbilityID],RawOfficer[AbilityModifier])</f>
        <v>OfficerStatAll</v>
      </c>
      <c r="V4" s="519" t="str">
        <f t="array" ref="V4">XLOOKUP(LCARS_Off[AbilityID],RawOfficer[AbilityID],RawOfficer[AbilityAttributes])</f>
        <v>num_rounds=1</v>
      </c>
      <c r="W4" s="520" t="str">
        <f t="array" ref="W4">XLOOKUP(LCARS_Off[AbilityID],RawOfficer[AbilityID],RawOfficer[AbilityConditions])</f>
        <v>SelfHasMorale</v>
      </c>
      <c r="X4" s="519" t="str">
        <f t="array" ref="X4">XLOOKUP(LCARS_Off[AbilityID],RawOfficer[AbilityID],RawOfficer[AbilityTrigger])</f>
        <v>RoundStart</v>
      </c>
      <c r="Y4" s="519" t="str">
        <f t="array" ref="Y4">XLOOKUP(LCARS_Off[AbilityID],RawOfficer[AbilityID],RawOfficer[AbilityTarget])</f>
        <v>SelfAll</v>
      </c>
      <c r="Z4" s="519" t="str">
        <f t="array" ref="Z4">XLOOKUP(LCARS_Off[AbilityID],RawOfficer[AbilityID],RawOfficer[AbilityOperation])</f>
        <v>MultiplyAdd</v>
      </c>
      <c r="AA4" s="521" t="str">
        <f t="array" ref="AA4">XLOOKUP(LCARS_Off[AbilityID],RawOfficer[AbilityID],RawOfficer[AbilityDescription])</f>
        <v>As long as the ship has Morale, Kirk gives all Officers on the ship a bonus of X to all their stats.</v>
      </c>
      <c r="AB4" s="429" t="b">
        <v>0</v>
      </c>
      <c r="AC4" s="522" t="str">
        <f t="array" ref="AC4">XLOOKUP(LCARS_Off[AbilityID],RawOfficer[AbilityID],RawOfficer[AbilityDescriptionShort])</f>
        <v>X to all Officer stats when the ship has Morale</v>
      </c>
      <c r="AD4" s="523"/>
      <c r="AE4" s="524"/>
      <c r="AF4" s="524"/>
      <c r="AG4" s="525" t="str">
        <f t="array" ref="AG4">XLOOKUP(LCARS_Off[AbilityID],RawOfficer[AbilityID],RawOfficer[AbilityChances])</f>
        <v>1.0, 1.0, 1.0</v>
      </c>
      <c r="AH4" s="525" t="str">
        <f t="array" ref="AH4">XLOOKUP(LCARS_Off[AbilityID],RawOfficer[AbilityID],RawOfficer[AbilityValues])</f>
        <v>0.4, 0.1, 0.2</v>
      </c>
      <c r="AI4" s="428" t="b">
        <f t="array" ref="AI4">XLOOKUP(LCARS_Off[AbilityID],RawOfficer[AbilityID],RawOfficer[AbilityHasChance])</f>
        <v>0</v>
      </c>
      <c r="AJ4" s="428" t="b">
        <f t="array" ref="AJ4">XLOOKUP(LCARS_Off[AbilityID],RawOfficer[AbilityID],RawOfficer[AbilityShowPercentage])</f>
        <v>1</v>
      </c>
      <c r="AK4" s="429">
        <f t="array" ref="AK4">XLOOKUP(LCARS_Off[AbilityID],RawOfficer[AbilityID],RawOfficer[OfficerArt])</f>
        <v>1</v>
      </c>
      <c r="AL4" s="430">
        <v>4.102716881E9</v>
      </c>
      <c r="AM4" s="430">
        <f t="array" ref="AM4">XLOOKUP(LCARS_Off[AbilityID],RawOfficer[AbilityID],RawOfficer[Default Order])</f>
        <v>1</v>
      </c>
    </row>
    <row r="5">
      <c r="A5" s="429" t="str">
        <f t="array" ref="A5">LEFT(XLOOKUP(LCARS_Off[AbilityID],RawOfficer[AbilityID],RawOfficer[OfficerRarity]), 1)</f>
        <v>E</v>
      </c>
      <c r="B5" s="429"/>
      <c r="C5" s="514" t="str">
        <f t="array" ref="C5">HYPERLINK("https://stfc.space/officers/" &amp; XLOOKUP(LCARS_Off[AbilityID],RawOfficer[AbilityID],RawOfficer[OfficerId]), XLOOKUP(LCARS_Off[AbilityID],RawOfficer[AbilityID],RawOfficer[OfficerName]))</f>
        <v>KIRK</v>
      </c>
      <c r="D5" s="526" t="str">
        <f t="array" ref="D5">XLOOKUP(LCARS_Off[AbilityID],RawOfficer[AbilityID],RawOfficer[AbilityType])</f>
        <v>OA</v>
      </c>
      <c r="E5" s="518" t="str">
        <f t="array" ref="E5">XLOOKUP(LCARS_Off[AbilityID],RawOfficer[AbilityID],RawOfficer[Tag_PvPinSpace])</f>
        <v>✅</v>
      </c>
      <c r="F5" s="516" t="str">
        <f t="array" ref="F5">XLOOKUP(LCARS_Off[AbilityID],RawOfficer[AbilityID],RawOfficer[Tag_PvPStation])</f>
        <v>✅</v>
      </c>
      <c r="G5" s="518" t="str">
        <f t="array" ref="G5">XLOOKUP(LCARS_Off[AbilityID],RawOfficer[AbilityID],RawOfficer[Tag_NonArmadaHostiles])</f>
        <v>✅</v>
      </c>
      <c r="H5" s="516" t="str">
        <f t="array" ref="H5">XLOOKUP(LCARS_Off[AbilityID],RawOfficer[AbilityID],RawOfficer[Tag_WaveDefense])</f>
        <v>✅</v>
      </c>
      <c r="I5" s="516" t="str">
        <f t="array" ref="I5">XLOOKUP(LCARS_Off[AbilityID],RawOfficer[AbilityID],RawOfficer[Tag_QTrial])</f>
        <v>✅</v>
      </c>
      <c r="J5" s="518" t="str">
        <f t="array" ref="J5">XLOOKUP(LCARS_Off[AbilityID],RawOfficer[AbilityID],RawOfficer[Tag_MissionBosses])</f>
        <v>✅</v>
      </c>
      <c r="K5" s="516" t="str">
        <f t="array" ref="K5">XLOOKUP(LCARS_Off[AbilityID],RawOfficer[AbilityID],RawOfficer[Tag_GroupArmadas])</f>
        <v>✅</v>
      </c>
      <c r="L5" s="516" t="str">
        <f t="array" ref="L5">XLOOKUP(LCARS_Off[AbilityID],RawOfficer[AbilityID],RawOfficer[Tag_SoloArmadas])</f>
        <v>✅</v>
      </c>
      <c r="M5" s="518" t="str">
        <f t="array" ref="M5">XLOOKUP(LCARS_Off[AbilityID],RawOfficer[AbilityID],RawOfficer[Tag_InvadingEntities])</f>
        <v>✅</v>
      </c>
      <c r="N5" s="516" t="str">
        <f t="array" ref="N5">XLOOKUP(LCARS_Off[AbilityID],RawOfficer[AbilityID],RawOfficer[Tag_Assaults])</f>
        <v>✅</v>
      </c>
      <c r="O5" s="516" t="str">
        <f t="array" ref="O5">XLOOKUP(LCARS_Off[AbilityID],RawOfficer[AbilityID],RawOfficer[Tag_OutpostArmadas])</f>
        <v>✅</v>
      </c>
      <c r="P5" s="516" t="str">
        <f t="array" ref="P5">XLOOKUP(LCARS_Off[AbilityID],RawOfficer[AbilityID],RawOfficer[Tag_OutpostRetaliators])</f>
        <v>✅</v>
      </c>
      <c r="Q5" s="517" t="str">
        <f t="array" ref="Q5">XLOOKUP(LCARS_Off[AbilityID],RawOfficer[AbilityID],RawOfficer[Conditional_Reason])</f>
        <v/>
      </c>
      <c r="R5" s="518" t="str">
        <f t="array" ref="R5">XLOOKUP(LCARS_Off[AbilityID],RawOfficer[AbilityID],RawOfficer[Tag_Loot])</f>
        <v>➖</v>
      </c>
      <c r="S5" s="518" t="str">
        <f t="array" ref="S5">XLOOKUP(LCARS_Off[AbilityID],RawOfficer[AbilityID],RawOfficer[Tag_Utility])</f>
        <v>➖</v>
      </c>
      <c r="T5" s="429" t="str">
        <f t="array" ref="T5">XLOOKUP(LCARS_Off[AbilityID],RawOfficer[AbilityID],RawOfficer[OfficerSynergy])</f>
        <v>ENTERPRISE CREW</v>
      </c>
      <c r="U5" s="519" t="str">
        <f t="array" ref="U5">XLOOKUP(LCARS_Off[AbilityID],RawOfficer[AbilityID],RawOfficer[AbilityModifier])</f>
        <v>AddState</v>
      </c>
      <c r="V5" s="519" t="str">
        <f t="array" ref="V5">XLOOKUP(LCARS_Off[AbilityID],RawOfficer[AbilityID],RawOfficer[AbilityAttributes])</f>
        <v>num_rounds=2, state=8</v>
      </c>
      <c r="W5" s="520" t="str">
        <f t="array" ref="W5">XLOOKUP(LCARS_Off[AbilityID],RawOfficer[AbilityID],RawOfficer[AbilityConditions])</f>
        <v/>
      </c>
      <c r="X5" s="519" t="str">
        <f t="array" ref="X5">XLOOKUP(LCARS_Off[AbilityID],RawOfficer[AbilityID],RawOfficer[AbilityTrigger])</f>
        <v>RoundStart</v>
      </c>
      <c r="Y5" s="519" t="str">
        <f t="array" ref="Y5">XLOOKUP(LCARS_Off[AbilityID],RawOfficer[AbilityID],RawOfficer[AbilityTarget])</f>
        <v>SelfShip</v>
      </c>
      <c r="Z5" s="519" t="str">
        <f t="array" ref="Z5">XLOOKUP(LCARS_Off[AbilityID],RawOfficer[AbilityID],RawOfficer[AbilityOperation])</f>
        <v>Set</v>
      </c>
      <c r="AA5" s="521" t="str">
        <f t="array" ref="AA5">XLOOKUP(LCARS_Off[AbilityID],RawOfficer[AbilityID],RawOfficer[AbilityDescription])</f>
        <v>At the beginning of each round, Kirk has a X chance of inspiring Morale to the ship for 2 rounds.</v>
      </c>
      <c r="AB5" s="429" t="b">
        <v>0</v>
      </c>
      <c r="AC5" s="522" t="str">
        <f t="array" ref="AC5">XLOOKUP(LCARS_Off[AbilityID],RawOfficer[AbilityID],RawOfficer[AbilityDescriptionShort])</f>
        <v>X chance to inspire Morale to his ship each round for 2 rounds</v>
      </c>
      <c r="AD5" s="523"/>
      <c r="AE5" s="524"/>
      <c r="AF5" s="524"/>
      <c r="AG5" s="525" t="str">
        <f t="array" ref="AG5">XLOOKUP(LCARS_Off[AbilityID],RawOfficer[AbilityID],RawOfficer[AbilityChances])</f>
        <v>0.5, 0.6, 0.7, 0.75, 0.8</v>
      </c>
      <c r="AH5" s="525" t="str">
        <f t="array" ref="AH5">XLOOKUP(LCARS_Off[AbilityID],RawOfficer[AbilityID],RawOfficer[AbilityValues])</f>
        <v>0.5, 0.6, 0.7, 0.75, 0.8</v>
      </c>
      <c r="AI5" s="518" t="b">
        <f t="array" ref="AI5">XLOOKUP(LCARS_Off[AbilityID],RawOfficer[AbilityID],RawOfficer[AbilityHasChance])</f>
        <v>1</v>
      </c>
      <c r="AJ5" s="518" t="b">
        <f t="array" ref="AJ5">XLOOKUP(LCARS_Off[AbilityID],RawOfficer[AbilityID],RawOfficer[AbilityShowPercentage])</f>
        <v>1</v>
      </c>
      <c r="AK5" s="429">
        <f t="array" ref="AK5">XLOOKUP(LCARS_Off[AbilityID],RawOfficer[AbilityID],RawOfficer[OfficerArt])</f>
        <v>1</v>
      </c>
      <c r="AL5" s="430">
        <v>2.068068163E9</v>
      </c>
      <c r="AM5" s="430">
        <f t="array" ref="AM5">XLOOKUP(LCARS_Off[AbilityID],RawOfficer[AbilityID],RawOfficer[Default Order])</f>
        <v>2</v>
      </c>
    </row>
    <row r="6">
      <c r="A6" s="429" t="str">
        <f t="array" ref="A6">LEFT(XLOOKUP(LCARS_Off[AbilityID],RawOfficer[AbilityID],RawOfficer[OfficerRarity]), 1)</f>
        <v>R</v>
      </c>
      <c r="B6" s="429"/>
      <c r="C6" s="514" t="str">
        <f t="array" ref="C6">HYPERLINK("https://stfc.space/officers/" &amp; XLOOKUP(LCARS_Off[AbilityID],RawOfficer[AbilityID],RawOfficer[OfficerId]), XLOOKUP(LCARS_Off[AbilityID],RawOfficer[AbilityID],RawOfficer[OfficerName]))</f>
        <v>SPOCK</v>
      </c>
      <c r="D6" s="515" t="str">
        <f t="array" ref="D6">XLOOKUP(LCARS_Off[AbilityID],RawOfficer[AbilityID],RawOfficer[AbilityType])</f>
        <v>CM</v>
      </c>
      <c r="E6" s="516" t="str">
        <f t="array" ref="E6">XLOOKUP(LCARS_Off[AbilityID],RawOfficer[AbilityID],RawOfficer[Tag_PvPinSpace])</f>
        <v>✅</v>
      </c>
      <c r="F6" s="516" t="str">
        <f t="array" ref="F6">XLOOKUP(LCARS_Off[AbilityID],RawOfficer[AbilityID],RawOfficer[Tag_PvPStation])</f>
        <v>✅</v>
      </c>
      <c r="G6" s="516" t="str">
        <f t="array" ref="G6">XLOOKUP(LCARS_Off[AbilityID],RawOfficer[AbilityID],RawOfficer[Tag_NonArmadaHostiles])</f>
        <v>✅</v>
      </c>
      <c r="H6" s="516" t="str">
        <f t="array" ref="H6">XLOOKUP(LCARS_Off[AbilityID],RawOfficer[AbilityID],RawOfficer[Tag_WaveDefense])</f>
        <v>✅</v>
      </c>
      <c r="I6" s="516" t="str">
        <f t="array" ref="I6">XLOOKUP(LCARS_Off[AbilityID],RawOfficer[AbilityID],RawOfficer[Tag_QTrial])</f>
        <v>✅</v>
      </c>
      <c r="J6" s="516" t="str">
        <f t="array" ref="J6">XLOOKUP(LCARS_Off[AbilityID],RawOfficer[AbilityID],RawOfficer[Tag_MissionBosses])</f>
        <v>✅</v>
      </c>
      <c r="K6" s="516" t="str">
        <f t="array" ref="K6">XLOOKUP(LCARS_Off[AbilityID],RawOfficer[AbilityID],RawOfficer[Tag_GroupArmadas])</f>
        <v>✅</v>
      </c>
      <c r="L6" s="516" t="str">
        <f t="array" ref="L6">XLOOKUP(LCARS_Off[AbilityID],RawOfficer[AbilityID],RawOfficer[Tag_SoloArmadas])</f>
        <v>✅</v>
      </c>
      <c r="M6" s="516" t="str">
        <f t="array" ref="M6">XLOOKUP(LCARS_Off[AbilityID],RawOfficer[AbilityID],RawOfficer[Tag_InvadingEntities])</f>
        <v>✅</v>
      </c>
      <c r="N6" s="516" t="str">
        <f t="array" ref="N6">XLOOKUP(LCARS_Off[AbilityID],RawOfficer[AbilityID],RawOfficer[Tag_Assaults])</f>
        <v>✅</v>
      </c>
      <c r="O6" s="516" t="str">
        <f t="array" ref="O6">XLOOKUP(LCARS_Off[AbilityID],RawOfficer[AbilityID],RawOfficer[Tag_OutpostArmadas])</f>
        <v>✅</v>
      </c>
      <c r="P6" s="516" t="str">
        <f t="array" ref="P6">XLOOKUP(LCARS_Off[AbilityID],RawOfficer[AbilityID],RawOfficer[Tag_OutpostRetaliators])</f>
        <v>✅</v>
      </c>
      <c r="Q6" s="517" t="str">
        <f t="array" ref="Q6">XLOOKUP(LCARS_Off[AbilityID],RawOfficer[AbilityID],RawOfficer[Conditional_Reason])</f>
        <v/>
      </c>
      <c r="R6" s="518" t="str">
        <f t="array" ref="R6">XLOOKUP(LCARS_Off[AbilityID],RawOfficer[AbilityID],RawOfficer[Tag_Loot])</f>
        <v>➖</v>
      </c>
      <c r="S6" s="516" t="str">
        <f t="array" ref="S6">XLOOKUP(LCARS_Off[AbilityID],RawOfficer[AbilityID],RawOfficer[Tag_Utility])</f>
        <v>➖</v>
      </c>
      <c r="T6" s="429" t="str">
        <f t="array" ref="T6">XLOOKUP(LCARS_Off[AbilityID],RawOfficer[AbilityID],RawOfficer[OfficerSynergy])</f>
        <v>ENTERPRISE CREW</v>
      </c>
      <c r="U6" s="519" t="str">
        <f t="array" ref="U6">XLOOKUP(LCARS_Off[AbilityID],RawOfficer[AbilityID],RawOfficer[AbilityModifier])</f>
        <v>Accuracy</v>
      </c>
      <c r="V6" s="519" t="str">
        <f t="array" ref="V6">XLOOKUP(LCARS_Off[AbilityID],RawOfficer[AbilityID],RawOfficer[AbilityAttributes])</f>
        <v/>
      </c>
      <c r="W6" s="520" t="str">
        <f t="array" ref="W6">XLOOKUP(LCARS_Off[AbilityID],RawOfficer[AbilityID],RawOfficer[AbilityConditions])</f>
        <v/>
      </c>
      <c r="X6" s="519" t="str">
        <f t="array" ref="X6">XLOOKUP(LCARS_Off[AbilityID],RawOfficer[AbilityID],RawOfficer[AbilityTrigger])</f>
        <v>RoundStart</v>
      </c>
      <c r="Y6" s="519" t="str">
        <f t="array" ref="Y6">XLOOKUP(LCARS_Off[AbilityID],RawOfficer[AbilityID],RawOfficer[AbilityTarget])</f>
        <v>SelfShip</v>
      </c>
      <c r="Z6" s="519" t="str">
        <f t="array" ref="Z6">XLOOKUP(LCARS_Off[AbilityID],RawOfficer[AbilityID],RawOfficer[AbilityOperation])</f>
        <v>MultiplyAdd</v>
      </c>
      <c r="AA6" s="521" t="str">
        <f t="array" ref="AA6">XLOOKUP(LCARS_Off[AbilityID],RawOfficer[AbilityID],RawOfficer[AbilityDescription])</f>
        <v>Spock increases the Accuracy of the ship by X at the beginning of each Round in combat.</v>
      </c>
      <c r="AB6" s="429" t="b">
        <v>0</v>
      </c>
      <c r="AC6" s="522" t="str">
        <f t="array" ref="AC6">XLOOKUP(LCARS_Off[AbilityID],RawOfficer[AbilityID],RawOfficer[AbilityDescriptionShort])</f>
        <v>+X to the ship's Accuracy at the start of each Round</v>
      </c>
      <c r="AD6" s="523"/>
      <c r="AE6" s="524"/>
      <c r="AF6" s="524"/>
      <c r="AG6" s="525" t="str">
        <f t="array" ref="AG6">XLOOKUP(LCARS_Off[AbilityID],RawOfficer[AbilityID],RawOfficer[AbilityChances])</f>
        <v>1.0, 1.0, 1.0</v>
      </c>
      <c r="AH6" s="525" t="str">
        <f t="array" ref="AH6">XLOOKUP(LCARS_Off[AbilityID],RawOfficer[AbilityID],RawOfficer[AbilityValues])</f>
        <v>0.15, 0.05, 0.1</v>
      </c>
      <c r="AI6" s="428" t="b">
        <f t="array" ref="AI6">XLOOKUP(LCARS_Off[AbilityID],RawOfficer[AbilityID],RawOfficer[AbilityHasChance])</f>
        <v>0</v>
      </c>
      <c r="AJ6" s="428" t="b">
        <f t="array" ref="AJ6">XLOOKUP(LCARS_Off[AbilityID],RawOfficer[AbilityID],RawOfficer[AbilityShowPercentage])</f>
        <v>1</v>
      </c>
      <c r="AK6" s="429">
        <f t="array" ref="AK6">XLOOKUP(LCARS_Off[AbilityID],RawOfficer[AbilityID],RawOfficer[OfficerArt])</f>
        <v>2</v>
      </c>
      <c r="AL6" s="430">
        <v>8.69555258E8</v>
      </c>
      <c r="AM6" s="430">
        <f t="array" ref="AM6">XLOOKUP(LCARS_Off[AbilityID],RawOfficer[AbilityID],RawOfficer[Default Order])</f>
        <v>3</v>
      </c>
    </row>
    <row r="7">
      <c r="A7" s="429" t="str">
        <f t="array" ref="A7">LEFT(XLOOKUP(LCARS_Off[AbilityID],RawOfficer[AbilityID],RawOfficer[OfficerRarity]), 1)</f>
        <v>R</v>
      </c>
      <c r="B7" s="429"/>
      <c r="C7" s="514" t="str">
        <f t="array" ref="C7">HYPERLINK("https://stfc.space/officers/" &amp; XLOOKUP(LCARS_Off[AbilityID],RawOfficer[AbilityID],RawOfficer[OfficerId]), XLOOKUP(LCARS_Off[AbilityID],RawOfficer[AbilityID],RawOfficer[OfficerName]))</f>
        <v>SPOCK</v>
      </c>
      <c r="D7" s="515" t="str">
        <f t="array" ref="D7">XLOOKUP(LCARS_Off[AbilityID],RawOfficer[AbilityID],RawOfficer[AbilityType])</f>
        <v>OA</v>
      </c>
      <c r="E7" s="516" t="str">
        <f t="array" ref="E7">XLOOKUP(LCARS_Off[AbilityID],RawOfficer[AbilityID],RawOfficer[Tag_PvPinSpace])</f>
        <v>✴️</v>
      </c>
      <c r="F7" s="516" t="str">
        <f t="array" ref="F7">XLOOKUP(LCARS_Off[AbilityID],RawOfficer[AbilityID],RawOfficer[Tag_PvPStation])</f>
        <v>✴️</v>
      </c>
      <c r="G7" s="516" t="str">
        <f t="array" ref="G7">XLOOKUP(LCARS_Off[AbilityID],RawOfficer[AbilityID],RawOfficer[Tag_NonArmadaHostiles])</f>
        <v>✴️</v>
      </c>
      <c r="H7" s="516" t="str">
        <f t="array" ref="H7">XLOOKUP(LCARS_Off[AbilityID],RawOfficer[AbilityID],RawOfficer[Tag_WaveDefense])</f>
        <v>✴️</v>
      </c>
      <c r="I7" s="516" t="str">
        <f t="array" ref="I7">XLOOKUP(LCARS_Off[AbilityID],RawOfficer[AbilityID],RawOfficer[Tag_QTrial])</f>
        <v>✴️</v>
      </c>
      <c r="J7" s="516" t="str">
        <f t="array" ref="J7">XLOOKUP(LCARS_Off[AbilityID],RawOfficer[AbilityID],RawOfficer[Tag_MissionBosses])</f>
        <v>✴️</v>
      </c>
      <c r="K7" s="516" t="str">
        <f t="array" ref="K7">XLOOKUP(LCARS_Off[AbilityID],RawOfficer[AbilityID],RawOfficer[Tag_GroupArmadas])</f>
        <v>✴️</v>
      </c>
      <c r="L7" s="516" t="str">
        <f t="array" ref="L7">XLOOKUP(LCARS_Off[AbilityID],RawOfficer[AbilityID],RawOfficer[Tag_SoloArmadas])</f>
        <v>✴️</v>
      </c>
      <c r="M7" s="516" t="str">
        <f t="array" ref="M7">XLOOKUP(LCARS_Off[AbilityID],RawOfficer[AbilityID],RawOfficer[Tag_InvadingEntities])</f>
        <v>✴️</v>
      </c>
      <c r="N7" s="516" t="str">
        <f t="array" ref="N7">XLOOKUP(LCARS_Off[AbilityID],RawOfficer[AbilityID],RawOfficer[Tag_Assaults])</f>
        <v>✴️</v>
      </c>
      <c r="O7" s="516" t="str">
        <f t="array" ref="O7">XLOOKUP(LCARS_Off[AbilityID],RawOfficer[AbilityID],RawOfficer[Tag_OutpostArmadas])</f>
        <v>✴️</v>
      </c>
      <c r="P7" s="516" t="str">
        <f t="array" ref="P7">XLOOKUP(LCARS_Off[AbilityID],RawOfficer[AbilityID],RawOfficer[Tag_OutpostRetaliators])</f>
        <v>✴️</v>
      </c>
      <c r="Q7" s="517" t="str">
        <f t="array" ref="Q7">XLOOKUP(LCARS_Off[AbilityID],RawOfficer[AbilityID],RawOfficer[Conditional_Reason])</f>
        <v>SelfHasMorale</v>
      </c>
      <c r="R7" s="518" t="str">
        <f t="array" ref="R7">XLOOKUP(LCARS_Off[AbilityID],RawOfficer[AbilityID],RawOfficer[Tag_Loot])</f>
        <v>➖</v>
      </c>
      <c r="S7" s="516" t="str">
        <f t="array" ref="S7">XLOOKUP(LCARS_Off[AbilityID],RawOfficer[AbilityID],RawOfficer[Tag_Utility])</f>
        <v>➖</v>
      </c>
      <c r="T7" s="429" t="str">
        <f t="array" ref="T7">XLOOKUP(LCARS_Off[AbilityID],RawOfficer[AbilityID],RawOfficer[OfficerSynergy])</f>
        <v>ENTERPRISE CREW</v>
      </c>
      <c r="U7" s="519" t="str">
        <f t="array" ref="U7">XLOOKUP(LCARS_Off[AbilityID],RawOfficer[AbilityID],RawOfficer[AbilityModifier])</f>
        <v>ShieldHPRepair</v>
      </c>
      <c r="V7" s="519" t="str">
        <f t="array" ref="V7">XLOOKUP(LCARS_Off[AbilityID],RawOfficer[AbilityID],RawOfficer[AbilityAttributes])</f>
        <v>officer_stat=2</v>
      </c>
      <c r="W7" s="520" t="str">
        <f t="array" ref="W7">XLOOKUP(LCARS_Off[AbilityID],RawOfficer[AbilityID],RawOfficer[AbilityConditions])</f>
        <v>SelfHasMorale</v>
      </c>
      <c r="X7" s="519" t="str">
        <f t="array" ref="X7">XLOOKUP(LCARS_Off[AbilityID],RawOfficer[AbilityID],RawOfficer[AbilityTrigger])</f>
        <v>RoundStart</v>
      </c>
      <c r="Y7" s="519" t="str">
        <f t="array" ref="Y7">XLOOKUP(LCARS_Off[AbilityID],RawOfficer[AbilityID],RawOfficer[AbilityTarget])</f>
        <v>SelfShip</v>
      </c>
      <c r="Z7" s="519" t="str">
        <f t="array" ref="Z7">XLOOKUP(LCARS_Off[AbilityID],RawOfficer[AbilityID],RawOfficer[AbilityOperation])</f>
        <v>MultiplyBaseAdd</v>
      </c>
      <c r="AA7" s="521" t="str">
        <f t="array" ref="AA7">XLOOKUP(LCARS_Off[AbilityID],RawOfficer[AbilityID],RawOfficer[AbilityDescription])</f>
        <v>While the ship has Morale, Spock restores Shield Health to an amount equal to X of the Defense of the Officers on the ship.</v>
      </c>
      <c r="AB7" s="429" t="b">
        <v>0</v>
      </c>
      <c r="AC7" s="522" t="str">
        <f t="array" ref="AC7">XLOOKUP(LCARS_Off[AbilityID],RawOfficer[AbilityID],RawOfficer[AbilityDescriptionShort])</f>
        <v>X of total Officer Defense on the ship restored to the Shield when having Morale</v>
      </c>
      <c r="AD7" s="523"/>
      <c r="AE7" s="524"/>
      <c r="AF7" s="524"/>
      <c r="AG7" s="525" t="str">
        <f t="array" ref="AG7">XLOOKUP(LCARS_Off[AbilityID],RawOfficer[AbilityID],RawOfficer[AbilityChances])</f>
        <v>1.0, 1.0, 1.0, 1.0, 1.0</v>
      </c>
      <c r="AH7" s="525" t="str">
        <f t="array" ref="AH7">XLOOKUP(LCARS_Off[AbilityID],RawOfficer[AbilityID],RawOfficer[AbilityValues])</f>
        <v>0.25, 0.5, 1.0, 4.0, 7.5</v>
      </c>
      <c r="AI7" s="428" t="b">
        <f t="array" ref="AI7">XLOOKUP(LCARS_Off[AbilityID],RawOfficer[AbilityID],RawOfficer[AbilityHasChance])</f>
        <v>0</v>
      </c>
      <c r="AJ7" s="428" t="b">
        <f t="array" ref="AJ7">XLOOKUP(LCARS_Off[AbilityID],RawOfficer[AbilityID],RawOfficer[AbilityShowPercentage])</f>
        <v>1</v>
      </c>
      <c r="AK7" s="429">
        <f t="array" ref="AK7">XLOOKUP(LCARS_Off[AbilityID],RawOfficer[AbilityID],RawOfficer[OfficerArt])</f>
        <v>2</v>
      </c>
      <c r="AL7" s="430">
        <v>2.500262645E9</v>
      </c>
      <c r="AM7" s="430">
        <f t="array" ref="AM7">XLOOKUP(LCARS_Off[AbilityID],RawOfficer[AbilityID],RawOfficer[Default Order])</f>
        <v>4</v>
      </c>
    </row>
    <row r="8">
      <c r="A8" s="429" t="str">
        <f t="array" ref="A8">LEFT(XLOOKUP(LCARS_Off[AbilityID],RawOfficer[AbilityID],RawOfficer[OfficerRarity]), 1)</f>
        <v>R</v>
      </c>
      <c r="B8" s="429"/>
      <c r="C8" s="514" t="str">
        <f t="array" ref="C8">HYPERLINK("https://stfc.space/officers/" &amp; XLOOKUP(LCARS_Off[AbilityID],RawOfficer[AbilityID],RawOfficer[OfficerId]), XLOOKUP(LCARS_Off[AbilityID],RawOfficer[AbilityID],RawOfficer[OfficerName]))</f>
        <v>BONES</v>
      </c>
      <c r="D8" s="515" t="str">
        <f t="array" ref="D8">XLOOKUP(LCARS_Off[AbilityID],RawOfficer[AbilityID],RawOfficer[AbilityType])</f>
        <v>CM</v>
      </c>
      <c r="E8" s="516" t="str">
        <f t="array" ref="E8">XLOOKUP(LCARS_Off[AbilityID],RawOfficer[AbilityID],RawOfficer[Tag_PvPinSpace])</f>
        <v>✴️</v>
      </c>
      <c r="F8" s="516" t="str">
        <f t="array" ref="F8">XLOOKUP(LCARS_Off[AbilityID],RawOfficer[AbilityID],RawOfficer[Tag_PvPStation])</f>
        <v>✴️</v>
      </c>
      <c r="G8" s="516" t="str">
        <f t="array" ref="G8">XLOOKUP(LCARS_Off[AbilityID],RawOfficer[AbilityID],RawOfficer[Tag_NonArmadaHostiles])</f>
        <v>✴️</v>
      </c>
      <c r="H8" s="516" t="str">
        <f t="array" ref="H8">XLOOKUP(LCARS_Off[AbilityID],RawOfficer[AbilityID],RawOfficer[Tag_WaveDefense])</f>
        <v>✴️</v>
      </c>
      <c r="I8" s="516" t="str">
        <f t="array" ref="I8">XLOOKUP(LCARS_Off[AbilityID],RawOfficer[AbilityID],RawOfficer[Tag_QTrial])</f>
        <v>✴️</v>
      </c>
      <c r="J8" s="516" t="str">
        <f t="array" ref="J8">XLOOKUP(LCARS_Off[AbilityID],RawOfficer[AbilityID],RawOfficer[Tag_MissionBosses])</f>
        <v>✴️</v>
      </c>
      <c r="K8" s="516" t="str">
        <f t="array" ref="K8">XLOOKUP(LCARS_Off[AbilityID],RawOfficer[AbilityID],RawOfficer[Tag_GroupArmadas])</f>
        <v>✴️</v>
      </c>
      <c r="L8" s="516" t="str">
        <f t="array" ref="L8">XLOOKUP(LCARS_Off[AbilityID],RawOfficer[AbilityID],RawOfficer[Tag_SoloArmadas])</f>
        <v>✴️</v>
      </c>
      <c r="M8" s="516" t="str">
        <f t="array" ref="M8">XLOOKUP(LCARS_Off[AbilityID],RawOfficer[AbilityID],RawOfficer[Tag_InvadingEntities])</f>
        <v>✴️</v>
      </c>
      <c r="N8" s="516" t="str">
        <f t="array" ref="N8">XLOOKUP(LCARS_Off[AbilityID],RawOfficer[AbilityID],RawOfficer[Tag_Assaults])</f>
        <v>✴️</v>
      </c>
      <c r="O8" s="516" t="str">
        <f t="array" ref="O8">XLOOKUP(LCARS_Off[AbilityID],RawOfficer[AbilityID],RawOfficer[Tag_OutpostArmadas])</f>
        <v>✴️</v>
      </c>
      <c r="P8" s="516" t="str">
        <f t="array" ref="P8">XLOOKUP(LCARS_Off[AbilityID],RawOfficer[AbilityID],RawOfficer[Tag_OutpostRetaliators])</f>
        <v>✴️</v>
      </c>
      <c r="Q8" s="517" t="str">
        <f t="array" ref="Q8">XLOOKUP(LCARS_Off[AbilityID],RawOfficer[AbilityID],RawOfficer[Conditional_Reason])</f>
        <v>target level 70 or under</v>
      </c>
      <c r="R8" s="518" t="str">
        <f t="array" ref="R8">XLOOKUP(LCARS_Off[AbilityID],RawOfficer[AbilityID],RawOfficer[Tag_Loot])</f>
        <v>➖</v>
      </c>
      <c r="S8" s="516" t="str">
        <f t="array" ref="S8">XLOOKUP(LCARS_Off[AbilityID],RawOfficer[AbilityID],RawOfficer[Tag_Utility])</f>
        <v>➖</v>
      </c>
      <c r="T8" s="429" t="str">
        <f t="array" ref="T8">XLOOKUP(LCARS_Off[AbilityID],RawOfficer[AbilityID],RawOfficer[OfficerSynergy])</f>
        <v>ENTERPRISE CREW</v>
      </c>
      <c r="U8" s="519" t="str">
        <f t="array" ref="U8">XLOOKUP(LCARS_Off[AbilityID],RawOfficer[AbilityID],RawOfficer[AbilityModifier])</f>
        <v>OffAbilityEffect</v>
      </c>
      <c r="V8" s="519" t="str">
        <f t="array" ref="V8">XLOOKUP(LCARS_Off[AbilityID],RawOfficer[AbilityID],RawOfficer[AbilityAttributes])</f>
        <v>max_level=70</v>
      </c>
      <c r="W8" s="520" t="str">
        <f t="array" ref="W8">XLOOKUP(LCARS_Off[AbilityID],RawOfficer[AbilityID],RawOfficer[AbilityConditions])</f>
        <v>TargetMaxLevel</v>
      </c>
      <c r="X8" s="519" t="str">
        <f t="array" ref="X8">XLOOKUP(LCARS_Off[AbilityID],RawOfficer[AbilityID],RawOfficer[AbilityTrigger])</f>
        <v>CombatStart</v>
      </c>
      <c r="Y8" s="519" t="str">
        <f t="array" ref="Y8">XLOOKUP(LCARS_Off[AbilityID],RawOfficer[AbilityID],RawOfficer[AbilityTarget])</f>
        <v>SelfBridge</v>
      </c>
      <c r="Z8" s="519" t="str">
        <f t="array" ref="Z8">XLOOKUP(LCARS_Off[AbilityID],RawOfficer[AbilityID],RawOfficer[AbilityOperation])</f>
        <v>MultiplyAdd</v>
      </c>
      <c r="AA8" s="521" t="str">
        <f t="array" ref="AA8">XLOOKUP(LCARS_Off[AbilityID],RawOfficer[AbilityID],RawOfficer[AbilityDescription])</f>
        <v>McCoy gives a bonus of X to all the Officer Abilities of the Officers on the bridge during combat. Works against Hostiles of level 70 and under.</v>
      </c>
      <c r="AB8" s="429" t="b">
        <v>0</v>
      </c>
      <c r="AC8" s="522" t="str">
        <f t="array" ref="AC8">XLOOKUP(LCARS_Off[AbilityID],RawOfficer[AbilityID],RawOfficer[AbilityDescriptionShort])</f>
        <v>+X bonus to Officer Abilities during combat</v>
      </c>
      <c r="AD8" s="523"/>
      <c r="AE8" s="524"/>
      <c r="AF8" s="524"/>
      <c r="AG8" s="525" t="str">
        <f t="array" ref="AG8">XLOOKUP(LCARS_Off[AbilityID],RawOfficer[AbilityID],RawOfficer[AbilityChances])</f>
        <v>1.0, 1.0, 1.0</v>
      </c>
      <c r="AH8" s="525" t="str">
        <f t="array" ref="AH8">XLOOKUP(LCARS_Off[AbilityID],RawOfficer[AbilityID],RawOfficer[AbilityValues])</f>
        <v>0.2, 0.07, 0.15</v>
      </c>
      <c r="AI8" s="428" t="b">
        <f t="array" ref="AI8">XLOOKUP(LCARS_Off[AbilityID],RawOfficer[AbilityID],RawOfficer[AbilityHasChance])</f>
        <v>0</v>
      </c>
      <c r="AJ8" s="428" t="b">
        <f t="array" ref="AJ8">XLOOKUP(LCARS_Off[AbilityID],RawOfficer[AbilityID],RawOfficer[AbilityShowPercentage])</f>
        <v>1</v>
      </c>
      <c r="AK8" s="429">
        <f t="array" ref="AK8">XLOOKUP(LCARS_Off[AbilityID],RawOfficer[AbilityID],RawOfficer[OfficerArt])</f>
        <v>3</v>
      </c>
      <c r="AL8" s="430">
        <v>1.88993107E8</v>
      </c>
      <c r="AM8" s="430">
        <f t="array" ref="AM8">XLOOKUP(LCARS_Off[AbilityID],RawOfficer[AbilityID],RawOfficer[Default Order])</f>
        <v>5</v>
      </c>
    </row>
    <row r="9">
      <c r="A9" s="429" t="str">
        <f t="array" ref="A9">LEFT(XLOOKUP(LCARS_Off[AbilityID],RawOfficer[AbilityID],RawOfficer[OfficerRarity]), 1)</f>
        <v>R</v>
      </c>
      <c r="B9" s="429"/>
      <c r="C9" s="514" t="str">
        <f t="array" ref="C9">HYPERLINK("https://stfc.space/officers/" &amp; XLOOKUP(LCARS_Off[AbilityID],RawOfficer[AbilityID],RawOfficer[OfficerId]), XLOOKUP(LCARS_Off[AbilityID],RawOfficer[AbilityID],RawOfficer[OfficerName]))</f>
        <v>BONES</v>
      </c>
      <c r="D9" s="515" t="str">
        <f t="array" ref="D9">XLOOKUP(LCARS_Off[AbilityID],RawOfficer[AbilityID],RawOfficer[AbilityType])</f>
        <v>OA</v>
      </c>
      <c r="E9" s="516" t="str">
        <f t="array" ref="E9">XLOOKUP(LCARS_Off[AbilityID],RawOfficer[AbilityID],RawOfficer[Tag_PvPinSpace])</f>
        <v>✴️</v>
      </c>
      <c r="F9" s="516" t="str">
        <f t="array" ref="F9">XLOOKUP(LCARS_Off[AbilityID],RawOfficer[AbilityID],RawOfficer[Tag_PvPStation])</f>
        <v>✴️</v>
      </c>
      <c r="G9" s="516" t="str">
        <f t="array" ref="G9">XLOOKUP(LCARS_Off[AbilityID],RawOfficer[AbilityID],RawOfficer[Tag_NonArmadaHostiles])</f>
        <v>✴️</v>
      </c>
      <c r="H9" s="516" t="str">
        <f t="array" ref="H9">XLOOKUP(LCARS_Off[AbilityID],RawOfficer[AbilityID],RawOfficer[Tag_WaveDefense])</f>
        <v>✴️</v>
      </c>
      <c r="I9" s="516" t="str">
        <f t="array" ref="I9">XLOOKUP(LCARS_Off[AbilityID],RawOfficer[AbilityID],RawOfficer[Tag_QTrial])</f>
        <v>✴️</v>
      </c>
      <c r="J9" s="516" t="str">
        <f t="array" ref="J9">XLOOKUP(LCARS_Off[AbilityID],RawOfficer[AbilityID],RawOfficer[Tag_MissionBosses])</f>
        <v>✴️</v>
      </c>
      <c r="K9" s="516" t="str">
        <f t="array" ref="K9">XLOOKUP(LCARS_Off[AbilityID],RawOfficer[AbilityID],RawOfficer[Tag_GroupArmadas])</f>
        <v>✴️</v>
      </c>
      <c r="L9" s="516" t="str">
        <f t="array" ref="L9">XLOOKUP(LCARS_Off[AbilityID],RawOfficer[AbilityID],RawOfficer[Tag_SoloArmadas])</f>
        <v>✴️</v>
      </c>
      <c r="M9" s="516" t="str">
        <f t="array" ref="M9">XLOOKUP(LCARS_Off[AbilityID],RawOfficer[AbilityID],RawOfficer[Tag_InvadingEntities])</f>
        <v>✴️</v>
      </c>
      <c r="N9" s="516" t="str">
        <f t="array" ref="N9">XLOOKUP(LCARS_Off[AbilityID],RawOfficer[AbilityID],RawOfficer[Tag_Assaults])</f>
        <v>✴️</v>
      </c>
      <c r="O9" s="516" t="str">
        <f t="array" ref="O9">XLOOKUP(LCARS_Off[AbilityID],RawOfficer[AbilityID],RawOfficer[Tag_OutpostArmadas])</f>
        <v>✴️</v>
      </c>
      <c r="P9" s="516" t="str">
        <f t="array" ref="P9">XLOOKUP(LCARS_Off[AbilityID],RawOfficer[AbilityID],RawOfficer[Tag_OutpostRetaliators])</f>
        <v>✴️</v>
      </c>
      <c r="Q9" s="517" t="str">
        <f t="array" ref="Q9">XLOOKUP(LCARS_Off[AbilityID],RawOfficer[AbilityID],RawOfficer[Conditional_Reason])</f>
        <v>target level 70 or under</v>
      </c>
      <c r="R9" s="518" t="str">
        <f t="array" ref="R9">XLOOKUP(LCARS_Off[AbilityID],RawOfficer[AbilityID],RawOfficer[Tag_Loot])</f>
        <v>➖</v>
      </c>
      <c r="S9" s="516" t="str">
        <f t="array" ref="S9">XLOOKUP(LCARS_Off[AbilityID],RawOfficer[AbilityID],RawOfficer[Tag_Utility])</f>
        <v>➖</v>
      </c>
      <c r="T9" s="429" t="str">
        <f t="array" ref="T9">XLOOKUP(LCARS_Off[AbilityID],RawOfficer[AbilityID],RawOfficer[OfficerSynergy])</f>
        <v>ENTERPRISE CREW</v>
      </c>
      <c r="U9" s="519" t="str">
        <f t="array" ref="U9">XLOOKUP(LCARS_Off[AbilityID],RawOfficer[AbilityID],RawOfficer[AbilityModifier])</f>
        <v>OfficerStatDefense</v>
      </c>
      <c r="V9" s="519" t="str">
        <f t="array" ref="V9">XLOOKUP(LCARS_Off[AbilityID],RawOfficer[AbilityID],RawOfficer[AbilityAttributes])</f>
        <v>max_level=70</v>
      </c>
      <c r="W9" s="520" t="str">
        <f t="array" ref="W9">XLOOKUP(LCARS_Off[AbilityID],RawOfficer[AbilityID],RawOfficer[AbilityConditions])</f>
        <v>TargetMaxLevel</v>
      </c>
      <c r="X9" s="519" t="str">
        <f t="array" ref="X9">XLOOKUP(LCARS_Off[AbilityID],RawOfficer[AbilityID],RawOfficer[AbilityTrigger])</f>
        <v>HitTaken</v>
      </c>
      <c r="Y9" s="519" t="str">
        <f t="array" ref="Y9">XLOOKUP(LCARS_Off[AbilityID],RawOfficer[AbilityID],RawOfficer[AbilityTarget])</f>
        <v>SelfBridge</v>
      </c>
      <c r="Z9" s="519" t="str">
        <f t="array" ref="Z9">XLOOKUP(LCARS_Off[AbilityID],RawOfficer[AbilityID],RawOfficer[AbilityOperation])</f>
        <v>MultiplyAdd</v>
      </c>
      <c r="AA9" s="521" t="str">
        <f t="array" ref="AA9">XLOOKUP(LCARS_Off[AbilityID],RawOfficer[AbilityID],RawOfficer[AbilityDescription])</f>
        <v>Every time the ship gets hit by a weapon attack, McCoy increases the Defense of all the officers on the Bridge by X. Works against Hostiles of level 70 and under. -- (Weapons with multiple shots will only trigger this ability once per attack.)</v>
      </c>
      <c r="AB9" s="429" t="b">
        <v>0</v>
      </c>
      <c r="AC9" s="522" t="str">
        <f t="array" ref="AC9">XLOOKUP(LCARS_Off[AbilityID],RawOfficer[AbilityID],RawOfficer[AbilityDescriptionShort])</f>
        <v>+X to the Defense of the Bridge Officers when hit</v>
      </c>
      <c r="AD9" s="523"/>
      <c r="AE9" s="524"/>
      <c r="AF9" s="524"/>
      <c r="AG9" s="525" t="str">
        <f t="array" ref="AG9">XLOOKUP(LCARS_Off[AbilityID],RawOfficer[AbilityID],RawOfficer[AbilityChances])</f>
        <v>1.0, 1.0, 1.0, 1.0, 1.0</v>
      </c>
      <c r="AH9" s="525" t="str">
        <f t="array" ref="AH9">XLOOKUP(LCARS_Off[AbilityID],RawOfficer[AbilityID],RawOfficer[AbilityValues])</f>
        <v>0.1, 0.15, 0.2, 0.25, 0.3</v>
      </c>
      <c r="AI9" s="428" t="b">
        <f t="array" ref="AI9">XLOOKUP(LCARS_Off[AbilityID],RawOfficer[AbilityID],RawOfficer[AbilityHasChance])</f>
        <v>0</v>
      </c>
      <c r="AJ9" s="428" t="b">
        <f t="array" ref="AJ9">XLOOKUP(LCARS_Off[AbilityID],RawOfficer[AbilityID],RawOfficer[AbilityShowPercentage])</f>
        <v>1</v>
      </c>
      <c r="AK9" s="429">
        <f t="array" ref="AK9">XLOOKUP(LCARS_Off[AbilityID],RawOfficer[AbilityID],RawOfficer[OfficerArt])</f>
        <v>3</v>
      </c>
      <c r="AL9" s="430">
        <v>1.520108895E9</v>
      </c>
      <c r="AM9" s="430">
        <f t="array" ref="AM9">XLOOKUP(LCARS_Off[AbilityID],RawOfficer[AbilityID],RawOfficer[Default Order])</f>
        <v>6</v>
      </c>
    </row>
    <row r="10">
      <c r="A10" s="429" t="str">
        <f t="array" ref="A10">LEFT(XLOOKUP(LCARS_Off[AbilityID],RawOfficer[AbilityID],RawOfficer[OfficerRarity]), 1)</f>
        <v>U</v>
      </c>
      <c r="B10" s="429"/>
      <c r="C10" s="514" t="str">
        <f t="array" ref="C10">HYPERLINK("https://stfc.space/officers/" &amp; XLOOKUP(LCARS_Off[AbilityID],RawOfficer[AbilityID],RawOfficer[OfficerId]), XLOOKUP(LCARS_Off[AbilityID],RawOfficer[AbilityID],RawOfficer[OfficerName]))</f>
        <v>SCOTTY</v>
      </c>
      <c r="D10" s="515" t="str">
        <f t="array" ref="D10">XLOOKUP(LCARS_Off[AbilityID],RawOfficer[AbilityID],RawOfficer[AbilityType])</f>
        <v>CM</v>
      </c>
      <c r="E10" s="516" t="str">
        <f t="array" ref="E10">XLOOKUP(LCARS_Off[AbilityID],RawOfficer[AbilityID],RawOfficer[Tag_PvPinSpace])</f>
        <v>➖</v>
      </c>
      <c r="F10" s="516" t="str">
        <f t="array" ref="F10">XLOOKUP(LCARS_Off[AbilityID],RawOfficer[AbilityID],RawOfficer[Tag_PvPStation])</f>
        <v>➖</v>
      </c>
      <c r="G10" s="516" t="str">
        <f t="array" ref="G10">XLOOKUP(LCARS_Off[AbilityID],RawOfficer[AbilityID],RawOfficer[Tag_NonArmadaHostiles])</f>
        <v>➖</v>
      </c>
      <c r="H10" s="516" t="str">
        <f t="array" ref="H10">XLOOKUP(LCARS_Off[AbilityID],RawOfficer[AbilityID],RawOfficer[Tag_WaveDefense])</f>
        <v>➖</v>
      </c>
      <c r="I10" s="516" t="str">
        <f t="array" ref="I10">XLOOKUP(LCARS_Off[AbilityID],RawOfficer[AbilityID],RawOfficer[Tag_QTrial])</f>
        <v>➖</v>
      </c>
      <c r="J10" s="516" t="str">
        <f t="array" ref="J10">XLOOKUP(LCARS_Off[AbilityID],RawOfficer[AbilityID],RawOfficer[Tag_MissionBosses])</f>
        <v>➖</v>
      </c>
      <c r="K10" s="516" t="str">
        <f t="array" ref="K10">XLOOKUP(LCARS_Off[AbilityID],RawOfficer[AbilityID],RawOfficer[Tag_GroupArmadas])</f>
        <v>➖</v>
      </c>
      <c r="L10" s="516" t="str">
        <f t="array" ref="L10">XLOOKUP(LCARS_Off[AbilityID],RawOfficer[AbilityID],RawOfficer[Tag_SoloArmadas])</f>
        <v>➖</v>
      </c>
      <c r="M10" s="516" t="str">
        <f t="array" ref="M10">XLOOKUP(LCARS_Off[AbilityID],RawOfficer[AbilityID],RawOfficer[Tag_InvadingEntities])</f>
        <v>➖</v>
      </c>
      <c r="N10" s="516" t="str">
        <f t="array" ref="N10">XLOOKUP(LCARS_Off[AbilityID],RawOfficer[AbilityID],RawOfficer[Tag_Assaults])</f>
        <v>➖</v>
      </c>
      <c r="O10" s="516" t="str">
        <f t="array" ref="O10">XLOOKUP(LCARS_Off[AbilityID],RawOfficer[AbilityID],RawOfficer[Tag_OutpostArmadas])</f>
        <v>➖</v>
      </c>
      <c r="P10" s="516" t="str">
        <f t="array" ref="P10">XLOOKUP(LCARS_Off[AbilityID],RawOfficer[AbilityID],RawOfficer[Tag_OutpostRetaliators])</f>
        <v>➖</v>
      </c>
      <c r="Q10" s="517" t="str">
        <f t="array" ref="Q10">XLOOKUP(LCARS_Off[AbilityID],RawOfficer[AbilityID],RawOfficer[Conditional_Reason])</f>
        <v/>
      </c>
      <c r="R10" s="518" t="str">
        <f t="array" ref="R10">XLOOKUP(LCARS_Off[AbilityID],RawOfficer[AbilityID],RawOfficer[Tag_Loot])</f>
        <v>➖</v>
      </c>
      <c r="S10" s="516" t="str">
        <f t="array" ref="S10">XLOOKUP(LCARS_Off[AbilityID],RawOfficer[AbilityID],RawOfficer[Tag_Utility])</f>
        <v>✅</v>
      </c>
      <c r="T10" s="429" t="str">
        <f t="array" ref="T10">XLOOKUP(LCARS_Off[AbilityID],RawOfficer[AbilityID],RawOfficer[OfficerSynergy])</f>
        <v>ENTERPRISE CREW</v>
      </c>
      <c r="U10" s="519" t="str">
        <f t="array" ref="U10">XLOOKUP(LCARS_Off[AbilityID],RawOfficer[AbilityID],RawOfficer[AbilityModifier])</f>
        <v>RepairTime</v>
      </c>
      <c r="V10" s="519" t="str">
        <f t="array" ref="V10">XLOOKUP(LCARS_Off[AbilityID],RawOfficer[AbilityID],RawOfficer[AbilityAttributes])</f>
        <v/>
      </c>
      <c r="W10" s="520" t="str">
        <f t="array" ref="W10">XLOOKUP(LCARS_Off[AbilityID],RawOfficer[AbilityID],RawOfficer[AbilityConditions])</f>
        <v/>
      </c>
      <c r="X10" s="519" t="str">
        <f t="array" ref="X10">XLOOKUP(LCARS_Off[AbilityID],RawOfficer[AbilityID],RawOfficer[AbilityTrigger])</f>
        <v>ShipLaunched</v>
      </c>
      <c r="Y10" s="519" t="str">
        <f t="array" ref="Y10">XLOOKUP(LCARS_Off[AbilityID],RawOfficer[AbilityID],RawOfficer[AbilityTarget])</f>
        <v>SelfShip</v>
      </c>
      <c r="Z10" s="519" t="str">
        <f t="array" ref="Z10">XLOOKUP(LCARS_Off[AbilityID],RawOfficer[AbilityID],RawOfficer[AbilityOperation])</f>
        <v>MultiplyAdd</v>
      </c>
      <c r="AA10" s="521" t="str">
        <f t="array" ref="AA10">XLOOKUP(LCARS_Off[AbilityID],RawOfficer[AbilityID],RawOfficer[AbilityDescription])</f>
        <v>Scotty reduces the time needed to repair the ship by X.</v>
      </c>
      <c r="AB10" s="429" t="b">
        <v>0</v>
      </c>
      <c r="AC10" s="522" t="str">
        <f t="array" ref="AC10">XLOOKUP(LCARS_Off[AbilityID],RawOfficer[AbilityID],RawOfficer[AbilityDescriptionShort])</f>
        <v>+X to this ship's repair speed</v>
      </c>
      <c r="AD10" s="523"/>
      <c r="AE10" s="524"/>
      <c r="AF10" s="524"/>
      <c r="AG10" s="525" t="str">
        <f t="array" ref="AG10">XLOOKUP(LCARS_Off[AbilityID],RawOfficer[AbilityID],RawOfficer[AbilityChances])</f>
        <v>1.0, 1.0, 1.0</v>
      </c>
      <c r="AH10" s="525" t="str">
        <f t="array" ref="AH10">XLOOKUP(LCARS_Off[AbilityID],RawOfficer[AbilityID],RawOfficer[AbilityValues])</f>
        <v>0.1, 0.05, 0.1</v>
      </c>
      <c r="AI10" s="428" t="b">
        <f t="array" ref="AI10">XLOOKUP(LCARS_Off[AbilityID],RawOfficer[AbilityID],RawOfficer[AbilityHasChance])</f>
        <v>0</v>
      </c>
      <c r="AJ10" s="428" t="b">
        <f t="array" ref="AJ10">XLOOKUP(LCARS_Off[AbilityID],RawOfficer[AbilityID],RawOfficer[AbilityShowPercentage])</f>
        <v>1</v>
      </c>
      <c r="AK10" s="429">
        <f t="array" ref="AK10">XLOOKUP(LCARS_Off[AbilityID],RawOfficer[AbilityID],RawOfficer[OfficerArt])</f>
        <v>4</v>
      </c>
      <c r="AL10" s="430">
        <v>2.33399498E8</v>
      </c>
      <c r="AM10" s="430">
        <f t="array" ref="AM10">XLOOKUP(LCARS_Off[AbilityID],RawOfficer[AbilityID],RawOfficer[Default Order])</f>
        <v>7</v>
      </c>
    </row>
    <row r="11">
      <c r="A11" s="429" t="str">
        <f t="array" ref="A11">LEFT(XLOOKUP(LCARS_Off[AbilityID],RawOfficer[AbilityID],RawOfficer[OfficerRarity]), 1)</f>
        <v>U</v>
      </c>
      <c r="B11" s="429"/>
      <c r="C11" s="514" t="str">
        <f t="array" ref="C11">HYPERLINK("https://stfc.space/officers/" &amp; XLOOKUP(LCARS_Off[AbilityID],RawOfficer[AbilityID],RawOfficer[OfficerId]), XLOOKUP(LCARS_Off[AbilityID],RawOfficer[AbilityID],RawOfficer[OfficerName]))</f>
        <v>SCOTTY</v>
      </c>
      <c r="D11" s="515" t="str">
        <f t="array" ref="D11">XLOOKUP(LCARS_Off[AbilityID],RawOfficer[AbilityID],RawOfficer[AbilityType])</f>
        <v>OA</v>
      </c>
      <c r="E11" s="516" t="str">
        <f t="array" ref="E11">XLOOKUP(LCARS_Off[AbilityID],RawOfficer[AbilityID],RawOfficer[Tag_PvPinSpace])</f>
        <v>✅</v>
      </c>
      <c r="F11" s="516" t="str">
        <f t="array" ref="F11">XLOOKUP(LCARS_Off[AbilityID],RawOfficer[AbilityID],RawOfficer[Tag_PvPStation])</f>
        <v>✅</v>
      </c>
      <c r="G11" s="516" t="str">
        <f t="array" ref="G11">XLOOKUP(LCARS_Off[AbilityID],RawOfficer[AbilityID],RawOfficer[Tag_NonArmadaHostiles])</f>
        <v>✅</v>
      </c>
      <c r="H11" s="516" t="str">
        <f t="array" ref="H11">XLOOKUP(LCARS_Off[AbilityID],RawOfficer[AbilityID],RawOfficer[Tag_WaveDefense])</f>
        <v>✅</v>
      </c>
      <c r="I11" s="516" t="str">
        <f t="array" ref="I11">XLOOKUP(LCARS_Off[AbilityID],RawOfficer[AbilityID],RawOfficer[Tag_QTrial])</f>
        <v>✅</v>
      </c>
      <c r="J11" s="516" t="str">
        <f t="array" ref="J11">XLOOKUP(LCARS_Off[AbilityID],RawOfficer[AbilityID],RawOfficer[Tag_MissionBosses])</f>
        <v>✅</v>
      </c>
      <c r="K11" s="516" t="str">
        <f t="array" ref="K11">XLOOKUP(LCARS_Off[AbilityID],RawOfficer[AbilityID],RawOfficer[Tag_GroupArmadas])</f>
        <v>✅</v>
      </c>
      <c r="L11" s="516" t="str">
        <f t="array" ref="L11">XLOOKUP(LCARS_Off[AbilityID],RawOfficer[AbilityID],RawOfficer[Tag_SoloArmadas])</f>
        <v>✅</v>
      </c>
      <c r="M11" s="516" t="str">
        <f t="array" ref="M11">XLOOKUP(LCARS_Off[AbilityID],RawOfficer[AbilityID],RawOfficer[Tag_InvadingEntities])</f>
        <v>✅</v>
      </c>
      <c r="N11" s="516" t="str">
        <f t="array" ref="N11">XLOOKUP(LCARS_Off[AbilityID],RawOfficer[AbilityID],RawOfficer[Tag_Assaults])</f>
        <v>✅</v>
      </c>
      <c r="O11" s="516" t="str">
        <f t="array" ref="O11">XLOOKUP(LCARS_Off[AbilityID],RawOfficer[AbilityID],RawOfficer[Tag_OutpostArmadas])</f>
        <v>✅</v>
      </c>
      <c r="P11" s="516" t="str">
        <f t="array" ref="P11">XLOOKUP(LCARS_Off[AbilityID],RawOfficer[AbilityID],RawOfficer[Tag_OutpostRetaliators])</f>
        <v>✅</v>
      </c>
      <c r="Q11" s="517" t="str">
        <f t="array" ref="Q11">XLOOKUP(LCARS_Off[AbilityID],RawOfficer[AbilityID],RawOfficer[Conditional_Reason])</f>
        <v/>
      </c>
      <c r="R11" s="518" t="str">
        <f t="array" ref="R11">XLOOKUP(LCARS_Off[AbilityID],RawOfficer[AbilityID],RawOfficer[Tag_Loot])</f>
        <v>➖</v>
      </c>
      <c r="S11" s="516" t="str">
        <f t="array" ref="S11">XLOOKUP(LCARS_Off[AbilityID],RawOfficer[AbilityID],RawOfficer[Tag_Utility])</f>
        <v>➖</v>
      </c>
      <c r="T11" s="429" t="str">
        <f t="array" ref="T11">XLOOKUP(LCARS_Off[AbilityID],RawOfficer[AbilityID],RawOfficer[OfficerSynergy])</f>
        <v>ENTERPRISE CREW</v>
      </c>
      <c r="U11" s="519" t="str">
        <f t="array" ref="U11">XLOOKUP(LCARS_Off[AbilityID],RawOfficer[AbilityID],RawOfficer[AbilityModifier])</f>
        <v>HullHPMax</v>
      </c>
      <c r="V11" s="519" t="str">
        <f t="array" ref="V11">XLOOKUP(LCARS_Off[AbilityID],RawOfficer[AbilityID],RawOfficer[AbilityAttributes])</f>
        <v/>
      </c>
      <c r="W11" s="520" t="str">
        <f t="array" ref="W11">XLOOKUP(LCARS_Off[AbilityID],RawOfficer[AbilityID],RawOfficer[AbilityConditions])</f>
        <v/>
      </c>
      <c r="X11" s="519" t="str">
        <f t="array" ref="X11">XLOOKUP(LCARS_Off[AbilityID],RawOfficer[AbilityID],RawOfficer[AbilityTrigger])</f>
        <v>ShipLaunched</v>
      </c>
      <c r="Y11" s="519" t="str">
        <f t="array" ref="Y11">XLOOKUP(LCARS_Off[AbilityID],RawOfficer[AbilityID],RawOfficer[AbilityTarget])</f>
        <v>SelfShip</v>
      </c>
      <c r="Z11" s="519" t="str">
        <f t="array" ref="Z11">XLOOKUP(LCARS_Off[AbilityID],RawOfficer[AbilityID],RawOfficer[AbilityOperation])</f>
        <v>MultiplyAdd</v>
      </c>
      <c r="AA11" s="521" t="str">
        <f t="array" ref="AA11">XLOOKUP(LCARS_Off[AbilityID],RawOfficer[AbilityID],RawOfficer[AbilityDescription])</f>
        <v>Scotty increases the total Hull Health of the ship by X of its original Hull Health.</v>
      </c>
      <c r="AB11" s="429" t="b">
        <v>0</v>
      </c>
      <c r="AC11" s="522" t="str">
        <f t="array" ref="AC11">XLOOKUP(LCARS_Off[AbilityID],RawOfficer[AbilityID],RawOfficer[AbilityDescriptionShort])</f>
        <v>+X to this ship's Hull Health</v>
      </c>
      <c r="AD11" s="523"/>
      <c r="AE11" s="524"/>
      <c r="AF11" s="524"/>
      <c r="AG11" s="525" t="str">
        <f t="array" ref="AG11">XLOOKUP(LCARS_Off[AbilityID],RawOfficer[AbilityID],RawOfficer[AbilityChances])</f>
        <v>1.0, 1.0, 1.0, 1.0, 1.0</v>
      </c>
      <c r="AH11" s="525" t="str">
        <f t="array" ref="AH11">XLOOKUP(LCARS_Off[AbilityID],RawOfficer[AbilityID],RawOfficer[AbilityValues])</f>
        <v>0.1, 0.12, 0.14, 0.16, 0.2</v>
      </c>
      <c r="AI11" s="428" t="b">
        <f t="array" ref="AI11">XLOOKUP(LCARS_Off[AbilityID],RawOfficer[AbilityID],RawOfficer[AbilityHasChance])</f>
        <v>0</v>
      </c>
      <c r="AJ11" s="428" t="b">
        <f t="array" ref="AJ11">XLOOKUP(LCARS_Off[AbilityID],RawOfficer[AbilityID],RawOfficer[AbilityShowPercentage])</f>
        <v>1</v>
      </c>
      <c r="AK11" s="429">
        <f t="array" ref="AK11">XLOOKUP(LCARS_Off[AbilityID],RawOfficer[AbilityID],RawOfficer[OfficerArt])</f>
        <v>4</v>
      </c>
      <c r="AL11" s="430">
        <v>1.70467658E9</v>
      </c>
      <c r="AM11" s="430">
        <f t="array" ref="AM11">XLOOKUP(LCARS_Off[AbilityID],RawOfficer[AbilityID],RawOfficer[Default Order])</f>
        <v>8</v>
      </c>
    </row>
    <row r="12">
      <c r="A12" s="429" t="str">
        <f t="array" ref="A12">LEFT(XLOOKUP(LCARS_Off[AbilityID],RawOfficer[AbilityID],RawOfficer[OfficerRarity]), 1)</f>
        <v>U</v>
      </c>
      <c r="B12" s="429"/>
      <c r="C12" s="514" t="str">
        <f t="array" ref="C12">HYPERLINK("https://stfc.space/officers/" &amp; XLOOKUP(LCARS_Off[AbilityID],RawOfficer[AbilityID],RawOfficer[OfficerId]), XLOOKUP(LCARS_Off[AbilityID],RawOfficer[AbilityID],RawOfficer[OfficerName]))</f>
        <v>SULU</v>
      </c>
      <c r="D12" s="515" t="str">
        <f t="array" ref="D12">XLOOKUP(LCARS_Off[AbilityID],RawOfficer[AbilityID],RawOfficer[AbilityType])</f>
        <v>CM</v>
      </c>
      <c r="E12" s="516" t="str">
        <f t="array" ref="E12">XLOOKUP(LCARS_Off[AbilityID],RawOfficer[AbilityID],RawOfficer[Tag_PvPinSpace])</f>
        <v>✅</v>
      </c>
      <c r="F12" s="516" t="str">
        <f t="array" ref="F12">XLOOKUP(LCARS_Off[AbilityID],RawOfficer[AbilityID],RawOfficer[Tag_PvPStation])</f>
        <v>✅</v>
      </c>
      <c r="G12" s="516" t="str">
        <f t="array" ref="G12">XLOOKUP(LCARS_Off[AbilityID],RawOfficer[AbilityID],RawOfficer[Tag_NonArmadaHostiles])</f>
        <v>✅</v>
      </c>
      <c r="H12" s="516" t="str">
        <f t="array" ref="H12">XLOOKUP(LCARS_Off[AbilityID],RawOfficer[AbilityID],RawOfficer[Tag_WaveDefense])</f>
        <v>✅</v>
      </c>
      <c r="I12" s="516" t="str">
        <f t="array" ref="I12">XLOOKUP(LCARS_Off[AbilityID],RawOfficer[AbilityID],RawOfficer[Tag_QTrial])</f>
        <v>✅</v>
      </c>
      <c r="J12" s="516" t="str">
        <f t="array" ref="J12">XLOOKUP(LCARS_Off[AbilityID],RawOfficer[AbilityID],RawOfficer[Tag_MissionBosses])</f>
        <v>✅</v>
      </c>
      <c r="K12" s="516" t="str">
        <f t="array" ref="K12">XLOOKUP(LCARS_Off[AbilityID],RawOfficer[AbilityID],RawOfficer[Tag_GroupArmadas])</f>
        <v>✅</v>
      </c>
      <c r="L12" s="516" t="str">
        <f t="array" ref="L12">XLOOKUP(LCARS_Off[AbilityID],RawOfficer[AbilityID],RawOfficer[Tag_SoloArmadas])</f>
        <v>✅</v>
      </c>
      <c r="M12" s="516" t="str">
        <f t="array" ref="M12">XLOOKUP(LCARS_Off[AbilityID],RawOfficer[AbilityID],RawOfficer[Tag_InvadingEntities])</f>
        <v>✅</v>
      </c>
      <c r="N12" s="516" t="str">
        <f t="array" ref="N12">XLOOKUP(LCARS_Off[AbilityID],RawOfficer[AbilityID],RawOfficer[Tag_Assaults])</f>
        <v>✅</v>
      </c>
      <c r="O12" s="516" t="str">
        <f t="array" ref="O12">XLOOKUP(LCARS_Off[AbilityID],RawOfficer[AbilityID],RawOfficer[Tag_OutpostArmadas])</f>
        <v>✅</v>
      </c>
      <c r="P12" s="516" t="str">
        <f t="array" ref="P12">XLOOKUP(LCARS_Off[AbilityID],RawOfficer[AbilityID],RawOfficer[Tag_OutpostRetaliators])</f>
        <v>✅</v>
      </c>
      <c r="Q12" s="517" t="str">
        <f t="array" ref="Q12">XLOOKUP(LCARS_Off[AbilityID],RawOfficer[AbilityID],RawOfficer[Conditional_Reason])</f>
        <v/>
      </c>
      <c r="R12" s="518" t="str">
        <f t="array" ref="R12">XLOOKUP(LCARS_Off[AbilityID],RawOfficer[AbilityID],RawOfficer[Tag_Loot])</f>
        <v>➖</v>
      </c>
      <c r="S12" s="516" t="str">
        <f t="array" ref="S12">XLOOKUP(LCARS_Off[AbilityID],RawOfficer[AbilityID],RawOfficer[Tag_Utility])</f>
        <v>➖</v>
      </c>
      <c r="T12" s="429" t="str">
        <f t="array" ref="T12">XLOOKUP(LCARS_Off[AbilityID],RawOfficer[AbilityID],RawOfficer[OfficerSynergy])</f>
        <v>ENTERPRISE CREW</v>
      </c>
      <c r="U12" s="519" t="str">
        <f t="array" ref="U12">XLOOKUP(LCARS_Off[AbilityID],RawOfficer[AbilityID],RawOfficer[AbilityModifier])</f>
        <v>AddState</v>
      </c>
      <c r="V12" s="519" t="str">
        <f t="array" ref="V12">XLOOKUP(LCARS_Off[AbilityID],RawOfficer[AbilityID],RawOfficer[AbilityAttributes])</f>
        <v>num_rounds=2, state=8</v>
      </c>
      <c r="W12" s="520" t="str">
        <f t="array" ref="W12">XLOOKUP(LCARS_Off[AbilityID],RawOfficer[AbilityID],RawOfficer[AbilityConditions])</f>
        <v/>
      </c>
      <c r="X12" s="519" t="str">
        <f t="array" ref="X12">XLOOKUP(LCARS_Off[AbilityID],RawOfficer[AbilityID],RawOfficer[AbilityTrigger])</f>
        <v>CriticalShotTaken</v>
      </c>
      <c r="Y12" s="519" t="str">
        <f t="array" ref="Y12">XLOOKUP(LCARS_Off[AbilityID],RawOfficer[AbilityID],RawOfficer[AbilityTarget])</f>
        <v>SelfShip</v>
      </c>
      <c r="Z12" s="519" t="str">
        <f t="array" ref="Z12">XLOOKUP(LCARS_Off[AbilityID],RawOfficer[AbilityID],RawOfficer[AbilityOperation])</f>
        <v>Set</v>
      </c>
      <c r="AA12" s="521" t="str">
        <f t="array" ref="AA12">XLOOKUP(LCARS_Off[AbilityID],RawOfficer[AbilityID],RawOfficer[AbilityDescription])</f>
        <v>When the ship is getting hit by a Critical Hit, Sulu has a X chance of inspiring Morale to the ship for one round.</v>
      </c>
      <c r="AB12" s="429" t="b">
        <v>0</v>
      </c>
      <c r="AC12" s="522" t="str">
        <f t="array" ref="AC12">XLOOKUP(LCARS_Off[AbilityID],RawOfficer[AbilityID],RawOfficer[AbilityDescriptionShort])</f>
        <v>X chance to Inspire Morale after being hit by a critical hit</v>
      </c>
      <c r="AD12" s="523"/>
      <c r="AE12" s="524"/>
      <c r="AF12" s="524"/>
      <c r="AG12" s="525" t="str">
        <f t="array" ref="AG12">XLOOKUP(LCARS_Off[AbilityID],RawOfficer[AbilityID],RawOfficer[AbilityChances])</f>
        <v>0.4, 0.1, 0.2</v>
      </c>
      <c r="AH12" s="525" t="str">
        <f t="array" ref="AH12">XLOOKUP(LCARS_Off[AbilityID],RawOfficer[AbilityID],RawOfficer[AbilityValues])</f>
        <v>1.0, 1.0, 1.0</v>
      </c>
      <c r="AI12" s="428" t="b">
        <f t="array" ref="AI12">XLOOKUP(LCARS_Off[AbilityID],RawOfficer[AbilityID],RawOfficer[AbilityHasChance])</f>
        <v>1</v>
      </c>
      <c r="AJ12" s="428" t="b">
        <f t="array" ref="AJ12">XLOOKUP(LCARS_Off[AbilityID],RawOfficer[AbilityID],RawOfficer[AbilityShowPercentage])</f>
        <v>1</v>
      </c>
      <c r="AK12" s="429">
        <f t="array" ref="AK12">XLOOKUP(LCARS_Off[AbilityID],RawOfficer[AbilityID],RawOfficer[OfficerArt])</f>
        <v>5</v>
      </c>
      <c r="AL12" s="430">
        <v>3.346498472E9</v>
      </c>
      <c r="AM12" s="430">
        <f t="array" ref="AM12">XLOOKUP(LCARS_Off[AbilityID],RawOfficer[AbilityID],RawOfficer[Default Order])</f>
        <v>9</v>
      </c>
    </row>
    <row r="13">
      <c r="A13" s="429" t="str">
        <f t="array" ref="A13">LEFT(XLOOKUP(LCARS_Off[AbilityID],RawOfficer[AbilityID],RawOfficer[OfficerRarity]), 1)</f>
        <v>U</v>
      </c>
      <c r="B13" s="429"/>
      <c r="C13" s="514" t="str">
        <f t="array" ref="C13">HYPERLINK("https://stfc.space/officers/" &amp; XLOOKUP(LCARS_Off[AbilityID],RawOfficer[AbilityID],RawOfficer[OfficerId]), XLOOKUP(LCARS_Off[AbilityID],RawOfficer[AbilityID],RawOfficer[OfficerName]))</f>
        <v>SULU</v>
      </c>
      <c r="D13" s="515" t="str">
        <f t="array" ref="D13">XLOOKUP(LCARS_Off[AbilityID],RawOfficer[AbilityID],RawOfficer[AbilityType])</f>
        <v>OA</v>
      </c>
      <c r="E13" s="516" t="str">
        <f t="array" ref="E13">XLOOKUP(LCARS_Off[AbilityID],RawOfficer[AbilityID],RawOfficer[Tag_PvPinSpace])</f>
        <v>✴️</v>
      </c>
      <c r="F13" s="516" t="str">
        <f t="array" ref="F13">XLOOKUP(LCARS_Off[AbilityID],RawOfficer[AbilityID],RawOfficer[Tag_PvPStation])</f>
        <v>✴️</v>
      </c>
      <c r="G13" s="516" t="str">
        <f t="array" ref="G13">XLOOKUP(LCARS_Off[AbilityID],RawOfficer[AbilityID],RawOfficer[Tag_NonArmadaHostiles])</f>
        <v>✴️</v>
      </c>
      <c r="H13" s="516" t="str">
        <f t="array" ref="H13">XLOOKUP(LCARS_Off[AbilityID],RawOfficer[AbilityID],RawOfficer[Tag_WaveDefense])</f>
        <v>✴️</v>
      </c>
      <c r="I13" s="516" t="str">
        <f t="array" ref="I13">XLOOKUP(LCARS_Off[AbilityID],RawOfficer[AbilityID],RawOfficer[Tag_QTrial])</f>
        <v>✴️</v>
      </c>
      <c r="J13" s="516" t="str">
        <f t="array" ref="J13">XLOOKUP(LCARS_Off[AbilityID],RawOfficer[AbilityID],RawOfficer[Tag_MissionBosses])</f>
        <v>✴️</v>
      </c>
      <c r="K13" s="516" t="str">
        <f t="array" ref="K13">XLOOKUP(LCARS_Off[AbilityID],RawOfficer[AbilityID],RawOfficer[Tag_GroupArmadas])</f>
        <v>✴️</v>
      </c>
      <c r="L13" s="516" t="str">
        <f t="array" ref="L13">XLOOKUP(LCARS_Off[AbilityID],RawOfficer[AbilityID],RawOfficer[Tag_SoloArmadas])</f>
        <v>✴️</v>
      </c>
      <c r="M13" s="516" t="str">
        <f t="array" ref="M13">XLOOKUP(LCARS_Off[AbilityID],RawOfficer[AbilityID],RawOfficer[Tag_InvadingEntities])</f>
        <v>✴️</v>
      </c>
      <c r="N13" s="516" t="str">
        <f t="array" ref="N13">XLOOKUP(LCARS_Off[AbilityID],RawOfficer[AbilityID],RawOfficer[Tag_Assaults])</f>
        <v>✴️</v>
      </c>
      <c r="O13" s="516" t="str">
        <f t="array" ref="O13">XLOOKUP(LCARS_Off[AbilityID],RawOfficer[AbilityID],RawOfficer[Tag_OutpostArmadas])</f>
        <v>✴️</v>
      </c>
      <c r="P13" s="516" t="str">
        <f t="array" ref="P13">XLOOKUP(LCARS_Off[AbilityID],RawOfficer[AbilityID],RawOfficer[Tag_OutpostRetaliators])</f>
        <v>✴️</v>
      </c>
      <c r="Q13" s="517" t="str">
        <f t="array" ref="Q13">XLOOKUP(LCARS_Off[AbilityID],RawOfficer[AbilityID],RawOfficer[Conditional_Reason])</f>
        <v>SelfHasMorale, ModuleEnergy</v>
      </c>
      <c r="R13" s="518" t="str">
        <f t="array" ref="R13">XLOOKUP(LCARS_Off[AbilityID],RawOfficer[AbilityID],RawOfficer[Tag_Loot])</f>
        <v>➖</v>
      </c>
      <c r="S13" s="516" t="str">
        <f t="array" ref="S13">XLOOKUP(LCARS_Off[AbilityID],RawOfficer[AbilityID],RawOfficer[Tag_Utility])</f>
        <v>➖</v>
      </c>
      <c r="T13" s="429" t="str">
        <f t="array" ref="T13">XLOOKUP(LCARS_Off[AbilityID],RawOfficer[AbilityID],RawOfficer[OfficerSynergy])</f>
        <v>ENTERPRISE CREW</v>
      </c>
      <c r="U13" s="519" t="str">
        <f t="array" ref="U13">XLOOKUP(LCARS_Off[AbilityID],RawOfficer[AbilityID],RawOfficer[AbilityModifier])</f>
        <v>AllDamage</v>
      </c>
      <c r="V13" s="519" t="str">
        <f t="array" ref="V13">XLOOKUP(LCARS_Off[AbilityID],RawOfficer[AbilityID],RawOfficer[AbilityAttributes])</f>
        <v>num_rounds=1</v>
      </c>
      <c r="W13" s="520" t="str">
        <f t="array" ref="W13">XLOOKUP(LCARS_Off[AbilityID],RawOfficer[AbilityID],RawOfficer[AbilityConditions])</f>
        <v>SelfHasMorale, ModuleEnergy</v>
      </c>
      <c r="X13" s="519" t="str">
        <f t="array" ref="X13">XLOOKUP(LCARS_Off[AbilityID],RawOfficer[AbilityID],RawOfficer[AbilityTrigger])</f>
        <v>RoundStart</v>
      </c>
      <c r="Y13" s="519" t="str">
        <f t="array" ref="Y13">XLOOKUP(LCARS_Off[AbilityID],RawOfficer[AbilityID],RawOfficer[AbilityTarget])</f>
        <v>SelfShip</v>
      </c>
      <c r="Z13" s="519" t="str">
        <f t="array" ref="Z13">XLOOKUP(LCARS_Off[AbilityID],RawOfficer[AbilityID],RawOfficer[AbilityOperation])</f>
        <v>MultiplyAdd</v>
      </c>
      <c r="AA13" s="521" t="str">
        <f t="array" ref="AA13">XLOOKUP(LCARS_Off[AbilityID],RawOfficer[AbilityID],RawOfficer[AbilityDescription])</f>
        <v>When the ship has Morale, Sulu increases the total damage made by Energy Weapons by X.</v>
      </c>
      <c r="AB13" s="429" t="b">
        <v>0</v>
      </c>
      <c r="AC13" s="522" t="str">
        <f t="array" ref="AC13">XLOOKUP(LCARS_Off[AbilityID],RawOfficer[AbilityID],RawOfficer[AbilityDescriptionShort])</f>
        <v>+X to Energy Damage when the ship has Morale</v>
      </c>
      <c r="AD13" s="523"/>
      <c r="AE13" s="524"/>
      <c r="AF13" s="524"/>
      <c r="AG13" s="525" t="str">
        <f t="array" ref="AG13">XLOOKUP(LCARS_Off[AbilityID],RawOfficer[AbilityID],RawOfficer[AbilityChances])</f>
        <v>1.0, 1.0, 1.0, 1.0, 1.0</v>
      </c>
      <c r="AH13" s="525" t="str">
        <f t="array" ref="AH13">XLOOKUP(LCARS_Off[AbilityID],RawOfficer[AbilityID],RawOfficer[AbilityValues])</f>
        <v>0.15, 0.2, 0.25, 0.3, 0.4</v>
      </c>
      <c r="AI13" s="428" t="b">
        <f t="array" ref="AI13">XLOOKUP(LCARS_Off[AbilityID],RawOfficer[AbilityID],RawOfficer[AbilityHasChance])</f>
        <v>0</v>
      </c>
      <c r="AJ13" s="428" t="b">
        <f t="array" ref="AJ13">XLOOKUP(LCARS_Off[AbilityID],RawOfficer[AbilityID],RawOfficer[AbilityShowPercentage])</f>
        <v>1</v>
      </c>
      <c r="AK13" s="429">
        <f t="array" ref="AK13">XLOOKUP(LCARS_Off[AbilityID],RawOfficer[AbilityID],RawOfficer[OfficerArt])</f>
        <v>5</v>
      </c>
      <c r="AL13" s="430">
        <v>1.840304835E9</v>
      </c>
      <c r="AM13" s="430">
        <f t="array" ref="AM13">XLOOKUP(LCARS_Off[AbilityID],RawOfficer[AbilityID],RawOfficer[Default Order])</f>
        <v>10</v>
      </c>
    </row>
    <row r="14">
      <c r="A14" s="429" t="str">
        <f t="array" ref="A14">LEFT(XLOOKUP(LCARS_Off[AbilityID],RawOfficer[AbilityID],RawOfficer[OfficerRarity]), 1)</f>
        <v>U</v>
      </c>
      <c r="B14" s="429"/>
      <c r="C14" s="514" t="str">
        <f t="array" ref="C14">HYPERLINK("https://stfc.space/officers/" &amp; XLOOKUP(LCARS_Off[AbilityID],RawOfficer[AbilityID],RawOfficer[OfficerId]), XLOOKUP(LCARS_Off[AbilityID],RawOfficer[AbilityID],RawOfficer[OfficerName]))</f>
        <v>ARKADY</v>
      </c>
      <c r="D14" s="515" t="str">
        <f t="array" ref="D14">XLOOKUP(LCARS_Off[AbilityID],RawOfficer[AbilityID],RawOfficer[AbilityType])</f>
        <v>CM</v>
      </c>
      <c r="E14" s="516" t="str">
        <f t="array" ref="E14">XLOOKUP(LCARS_Off[AbilityID],RawOfficer[AbilityID],RawOfficer[Tag_PvPinSpace])</f>
        <v>✅</v>
      </c>
      <c r="F14" s="516" t="str">
        <f t="array" ref="F14">XLOOKUP(LCARS_Off[AbilityID],RawOfficer[AbilityID],RawOfficer[Tag_PvPStation])</f>
        <v>✅</v>
      </c>
      <c r="G14" s="516" t="str">
        <f t="array" ref="G14">XLOOKUP(LCARS_Off[AbilityID],RawOfficer[AbilityID],RawOfficer[Tag_NonArmadaHostiles])</f>
        <v>✅</v>
      </c>
      <c r="H14" s="516" t="str">
        <f t="array" ref="H14">XLOOKUP(LCARS_Off[AbilityID],RawOfficer[AbilityID],RawOfficer[Tag_WaveDefense])</f>
        <v>✅</v>
      </c>
      <c r="I14" s="516" t="str">
        <f t="array" ref="I14">XLOOKUP(LCARS_Off[AbilityID],RawOfficer[AbilityID],RawOfficer[Tag_QTrial])</f>
        <v>✅</v>
      </c>
      <c r="J14" s="516" t="str">
        <f t="array" ref="J14">XLOOKUP(LCARS_Off[AbilityID],RawOfficer[AbilityID],RawOfficer[Tag_MissionBosses])</f>
        <v>✅</v>
      </c>
      <c r="K14" s="516" t="str">
        <f t="array" ref="K14">XLOOKUP(LCARS_Off[AbilityID],RawOfficer[AbilityID],RawOfficer[Tag_GroupArmadas])</f>
        <v>✅</v>
      </c>
      <c r="L14" s="516" t="str">
        <f t="array" ref="L14">XLOOKUP(LCARS_Off[AbilityID],RawOfficer[AbilityID],RawOfficer[Tag_SoloArmadas])</f>
        <v>✅</v>
      </c>
      <c r="M14" s="516" t="str">
        <f t="array" ref="M14">XLOOKUP(LCARS_Off[AbilityID],RawOfficer[AbilityID],RawOfficer[Tag_InvadingEntities])</f>
        <v>✅</v>
      </c>
      <c r="N14" s="516" t="str">
        <f t="array" ref="N14">XLOOKUP(LCARS_Off[AbilityID],RawOfficer[AbilityID],RawOfficer[Tag_Assaults])</f>
        <v>✅</v>
      </c>
      <c r="O14" s="516" t="str">
        <f t="array" ref="O14">XLOOKUP(LCARS_Off[AbilityID],RawOfficer[AbilityID],RawOfficer[Tag_OutpostArmadas])</f>
        <v>✅</v>
      </c>
      <c r="P14" s="516" t="str">
        <f t="array" ref="P14">XLOOKUP(LCARS_Off[AbilityID],RawOfficer[AbilityID],RawOfficer[Tag_OutpostRetaliators])</f>
        <v>✅</v>
      </c>
      <c r="Q14" s="517" t="str">
        <f t="array" ref="Q14">XLOOKUP(LCARS_Off[AbilityID],RawOfficer[AbilityID],RawOfficer[Conditional_Reason])</f>
        <v/>
      </c>
      <c r="R14" s="518" t="str">
        <f t="array" ref="R14">XLOOKUP(LCARS_Off[AbilityID],RawOfficer[AbilityID],RawOfficer[Tag_Loot])</f>
        <v>➖</v>
      </c>
      <c r="S14" s="516" t="str">
        <f t="array" ref="S14">XLOOKUP(LCARS_Off[AbilityID],RawOfficer[AbilityID],RawOfficer[Tag_Utility])</f>
        <v>➖</v>
      </c>
      <c r="T14" s="429" t="str">
        <f t="array" ref="T14">XLOOKUP(LCARS_Off[AbilityID],RawOfficer[AbilityID],RawOfficer[OfficerSynergy])</f>
        <v>ENTERPRISE CREW</v>
      </c>
      <c r="U14" s="519" t="str">
        <f t="array" ref="U14">XLOOKUP(LCARS_Off[AbilityID],RawOfficer[AbilityID],RawOfficer[AbilityModifier])</f>
        <v>AddState</v>
      </c>
      <c r="V14" s="519" t="str">
        <f t="array" ref="V14">XLOOKUP(LCARS_Off[AbilityID],RawOfficer[AbilityID],RawOfficer[AbilityAttributes])</f>
        <v>num_rounds=3, state=8</v>
      </c>
      <c r="W14" s="520" t="str">
        <f t="array" ref="W14">XLOOKUP(LCARS_Off[AbilityID],RawOfficer[AbilityID],RawOfficer[AbilityConditions])</f>
        <v/>
      </c>
      <c r="X14" s="519" t="str">
        <f t="array" ref="X14">XLOOKUP(LCARS_Off[AbilityID],RawOfficer[AbilityID],RawOfficer[AbilityTrigger])</f>
        <v>ShieldsDepleted</v>
      </c>
      <c r="Y14" s="519" t="str">
        <f t="array" ref="Y14">XLOOKUP(LCARS_Off[AbilityID],RawOfficer[AbilityID],RawOfficer[AbilityTarget])</f>
        <v>SelfShip</v>
      </c>
      <c r="Z14" s="519" t="str">
        <f t="array" ref="Z14">XLOOKUP(LCARS_Off[AbilityID],RawOfficer[AbilityID],RawOfficer[AbilityOperation])</f>
        <v>Set</v>
      </c>
      <c r="AA14" s="521" t="str">
        <f t="array" ref="AA14">XLOOKUP(LCARS_Off[AbilityID],RawOfficer[AbilityID],RawOfficer[AbilityDescription])</f>
        <v>When the shield is depleted, Arkady has a X chance of inspiring Morale to the ship for 3 rounds.</v>
      </c>
      <c r="AB14" s="429" t="b">
        <v>0</v>
      </c>
      <c r="AC14" s="522" t="str">
        <f t="array" ref="AC14">XLOOKUP(LCARS_Off[AbilityID],RawOfficer[AbilityID],RawOfficer[AbilityDescriptionShort])</f>
        <v>X chance to inspire Morale for 3 rounds when the Shield is depleted</v>
      </c>
      <c r="AD14" s="523"/>
      <c r="AE14" s="524"/>
      <c r="AF14" s="524"/>
      <c r="AG14" s="525" t="str">
        <f t="array" ref="AG14">XLOOKUP(LCARS_Off[AbilityID],RawOfficer[AbilityID],RawOfficer[AbilityChances])</f>
        <v>0.5, 0.1, 0.2</v>
      </c>
      <c r="AH14" s="525" t="str">
        <f t="array" ref="AH14">XLOOKUP(LCARS_Off[AbilityID],RawOfficer[AbilityID],RawOfficer[AbilityValues])</f>
        <v>1.0, 1.0, 1.0</v>
      </c>
      <c r="AI14" s="428" t="b">
        <f t="array" ref="AI14">XLOOKUP(LCARS_Off[AbilityID],RawOfficer[AbilityID],RawOfficer[AbilityHasChance])</f>
        <v>1</v>
      </c>
      <c r="AJ14" s="428" t="b">
        <f t="array" ref="AJ14">XLOOKUP(LCARS_Off[AbilityID],RawOfficer[AbilityID],RawOfficer[AbilityShowPercentage])</f>
        <v>1</v>
      </c>
      <c r="AK14" s="429">
        <f t="array" ref="AK14">XLOOKUP(LCARS_Off[AbilityID],RawOfficer[AbilityID],RawOfficer[OfficerArt])</f>
        <v>6</v>
      </c>
      <c r="AL14" s="430">
        <v>4.15187074E9</v>
      </c>
      <c r="AM14" s="430">
        <f t="array" ref="AM14">XLOOKUP(LCARS_Off[AbilityID],RawOfficer[AbilityID],RawOfficer[Default Order])</f>
        <v>11</v>
      </c>
    </row>
    <row r="15">
      <c r="A15" s="429" t="str">
        <f t="array" ref="A15">LEFT(XLOOKUP(LCARS_Off[AbilityID],RawOfficer[AbilityID],RawOfficer[OfficerRarity]), 1)</f>
        <v>U</v>
      </c>
      <c r="B15" s="429"/>
      <c r="C15" s="514" t="str">
        <f t="array" ref="C15">HYPERLINK("https://stfc.space/officers/" &amp; XLOOKUP(LCARS_Off[AbilityID],RawOfficer[AbilityID],RawOfficer[OfficerId]), XLOOKUP(LCARS_Off[AbilityID],RawOfficer[AbilityID],RawOfficer[OfficerName]))</f>
        <v>ARKADY</v>
      </c>
      <c r="D15" s="515" t="str">
        <f t="array" ref="D15">XLOOKUP(LCARS_Off[AbilityID],RawOfficer[AbilityID],RawOfficer[AbilityType])</f>
        <v>OA</v>
      </c>
      <c r="E15" s="516" t="str">
        <f t="array" ref="E15">XLOOKUP(LCARS_Off[AbilityID],RawOfficer[AbilityID],RawOfficer[Tag_PvPinSpace])</f>
        <v>✅</v>
      </c>
      <c r="F15" s="516" t="str">
        <f t="array" ref="F15">XLOOKUP(LCARS_Off[AbilityID],RawOfficer[AbilityID],RawOfficer[Tag_PvPStation])</f>
        <v>✅</v>
      </c>
      <c r="G15" s="516" t="str">
        <f t="array" ref="G15">XLOOKUP(LCARS_Off[AbilityID],RawOfficer[AbilityID],RawOfficer[Tag_NonArmadaHostiles])</f>
        <v>✅</v>
      </c>
      <c r="H15" s="516" t="str">
        <f t="array" ref="H15">XLOOKUP(LCARS_Off[AbilityID],RawOfficer[AbilityID],RawOfficer[Tag_WaveDefense])</f>
        <v>✅</v>
      </c>
      <c r="I15" s="516" t="str">
        <f t="array" ref="I15">XLOOKUP(LCARS_Off[AbilityID],RawOfficer[AbilityID],RawOfficer[Tag_QTrial])</f>
        <v>✅</v>
      </c>
      <c r="J15" s="516" t="str">
        <f t="array" ref="J15">XLOOKUP(LCARS_Off[AbilityID],RawOfficer[AbilityID],RawOfficer[Tag_MissionBosses])</f>
        <v>✅</v>
      </c>
      <c r="K15" s="516" t="str">
        <f t="array" ref="K15">XLOOKUP(LCARS_Off[AbilityID],RawOfficer[AbilityID],RawOfficer[Tag_GroupArmadas])</f>
        <v>✅</v>
      </c>
      <c r="L15" s="516" t="str">
        <f t="array" ref="L15">XLOOKUP(LCARS_Off[AbilityID],RawOfficer[AbilityID],RawOfficer[Tag_SoloArmadas])</f>
        <v>✅</v>
      </c>
      <c r="M15" s="516" t="str">
        <f t="array" ref="M15">XLOOKUP(LCARS_Off[AbilityID],RawOfficer[AbilityID],RawOfficer[Tag_InvadingEntities])</f>
        <v>✅</v>
      </c>
      <c r="N15" s="516" t="str">
        <f t="array" ref="N15">XLOOKUP(LCARS_Off[AbilityID],RawOfficer[AbilityID],RawOfficer[Tag_Assaults])</f>
        <v>✅</v>
      </c>
      <c r="O15" s="516" t="str">
        <f t="array" ref="O15">XLOOKUP(LCARS_Off[AbilityID],RawOfficer[AbilityID],RawOfficer[Tag_OutpostArmadas])</f>
        <v>✅</v>
      </c>
      <c r="P15" s="516" t="str">
        <f t="array" ref="P15">XLOOKUP(LCARS_Off[AbilityID],RawOfficer[AbilityID],RawOfficer[Tag_OutpostRetaliators])</f>
        <v>✅</v>
      </c>
      <c r="Q15" s="517" t="str">
        <f t="array" ref="Q15">XLOOKUP(LCARS_Off[AbilityID],RawOfficer[AbilityID],RawOfficer[Conditional_Reason])</f>
        <v/>
      </c>
      <c r="R15" s="518" t="str">
        <f t="array" ref="R15">XLOOKUP(LCARS_Off[AbilityID],RawOfficer[AbilityID],RawOfficer[Tag_Loot])</f>
        <v>➖</v>
      </c>
      <c r="S15" s="516" t="str">
        <f t="array" ref="S15">XLOOKUP(LCARS_Off[AbilityID],RawOfficer[AbilityID],RawOfficer[Tag_Utility])</f>
        <v>➖</v>
      </c>
      <c r="T15" s="429" t="str">
        <f t="array" ref="T15">XLOOKUP(LCARS_Off[AbilityID],RawOfficer[AbilityID],RawOfficer[OfficerSynergy])</f>
        <v>ENTERPRISE CREW</v>
      </c>
      <c r="U15" s="519" t="str">
        <f t="array" ref="U15">XLOOKUP(LCARS_Off[AbilityID],RawOfficer[AbilityID],RawOfficer[AbilityModifier])</f>
        <v>ShieldHPMax</v>
      </c>
      <c r="V15" s="519" t="str">
        <f t="array" ref="V15">XLOOKUP(LCARS_Off[AbilityID],RawOfficer[AbilityID],RawOfficer[AbilityAttributes])</f>
        <v/>
      </c>
      <c r="W15" s="520" t="str">
        <f t="array" ref="W15">XLOOKUP(LCARS_Off[AbilityID],RawOfficer[AbilityID],RawOfficer[AbilityConditions])</f>
        <v/>
      </c>
      <c r="X15" s="519" t="str">
        <f t="array" ref="X15">XLOOKUP(LCARS_Off[AbilityID],RawOfficer[AbilityID],RawOfficer[AbilityTrigger])</f>
        <v>ShipLaunched</v>
      </c>
      <c r="Y15" s="519" t="str">
        <f t="array" ref="Y15">XLOOKUP(LCARS_Off[AbilityID],RawOfficer[AbilityID],RawOfficer[AbilityTarget])</f>
        <v>SelfShip</v>
      </c>
      <c r="Z15" s="519" t="str">
        <f t="array" ref="Z15">XLOOKUP(LCARS_Off[AbilityID],RawOfficer[AbilityID],RawOfficer[AbilityOperation])</f>
        <v>MultiplyAdd</v>
      </c>
      <c r="AA15" s="521" t="str">
        <f t="array" ref="AA15">XLOOKUP(LCARS_Off[AbilityID],RawOfficer[AbilityID],RawOfficer[AbilityDescription])</f>
        <v>Arkady increases the Shield Health of the ship by X.</v>
      </c>
      <c r="AB15" s="429" t="b">
        <v>0</v>
      </c>
      <c r="AC15" s="522" t="str">
        <f t="array" ref="AC15">XLOOKUP(LCARS_Off[AbilityID],RawOfficer[AbilityID],RawOfficer[AbilityDescriptionShort])</f>
        <v>+X to the Shield Health of the Ship</v>
      </c>
      <c r="AD15" s="523"/>
      <c r="AE15" s="524"/>
      <c r="AF15" s="524"/>
      <c r="AG15" s="525" t="str">
        <f t="array" ref="AG15">XLOOKUP(LCARS_Off[AbilityID],RawOfficer[AbilityID],RawOfficer[AbilityChances])</f>
        <v>1.0, 1.0, 1.0, 1.0, 1.0</v>
      </c>
      <c r="AH15" s="525" t="str">
        <f t="array" ref="AH15">XLOOKUP(LCARS_Off[AbilityID],RawOfficer[AbilityID],RawOfficer[AbilityValues])</f>
        <v>0.1, 0.12, 0.14, 0.16, 0.2</v>
      </c>
      <c r="AI15" s="428" t="b">
        <f t="array" ref="AI15">XLOOKUP(LCARS_Off[AbilityID],RawOfficer[AbilityID],RawOfficer[AbilityHasChance])</f>
        <v>0</v>
      </c>
      <c r="AJ15" s="428" t="b">
        <f t="array" ref="AJ15">XLOOKUP(LCARS_Off[AbilityID],RawOfficer[AbilityID],RawOfficer[AbilityShowPercentage])</f>
        <v>1</v>
      </c>
      <c r="AK15" s="429">
        <f t="array" ref="AK15">XLOOKUP(LCARS_Off[AbilityID],RawOfficer[AbilityID],RawOfficer[OfficerArt])</f>
        <v>6</v>
      </c>
      <c r="AL15" s="430">
        <v>3.062248728E9</v>
      </c>
      <c r="AM15" s="430">
        <f t="array" ref="AM15">XLOOKUP(LCARS_Off[AbilityID],RawOfficer[AbilityID],RawOfficer[Default Order])</f>
        <v>12</v>
      </c>
    </row>
    <row r="16">
      <c r="A16" s="429" t="str">
        <f t="array" ref="A16">LEFT(XLOOKUP(LCARS_Off[AbilityID],RawOfficer[AbilityID],RawOfficer[OfficerRarity]), 1)</f>
        <v>R</v>
      </c>
      <c r="B16" s="429"/>
      <c r="C16" s="514" t="str">
        <f t="array" ref="C16">HYPERLINK("https://stfc.space/officers/" &amp; XLOOKUP(LCARS_Off[AbilityID],RawOfficer[AbilityID],RawOfficer[OfficerId]), XLOOKUP(LCARS_Off[AbilityID],RawOfficer[AbilityID],RawOfficer[OfficerName]))</f>
        <v>UHURA</v>
      </c>
      <c r="D16" s="515" t="str">
        <f t="array" ref="D16">XLOOKUP(LCARS_Off[AbilityID],RawOfficer[AbilityID],RawOfficer[AbilityType])</f>
        <v>CM</v>
      </c>
      <c r="E16" s="516" t="str">
        <f t="array" ref="E16">XLOOKUP(LCARS_Off[AbilityID],RawOfficer[AbilityID],RawOfficer[Tag_PvPinSpace])</f>
        <v>✅</v>
      </c>
      <c r="F16" s="516" t="str">
        <f t="array" ref="F16">XLOOKUP(LCARS_Off[AbilityID],RawOfficer[AbilityID],RawOfficer[Tag_PvPStation])</f>
        <v>✅</v>
      </c>
      <c r="G16" s="516" t="str">
        <f t="array" ref="G16">XLOOKUP(LCARS_Off[AbilityID],RawOfficer[AbilityID],RawOfficer[Tag_NonArmadaHostiles])</f>
        <v>✅</v>
      </c>
      <c r="H16" s="516" t="str">
        <f t="array" ref="H16">XLOOKUP(LCARS_Off[AbilityID],RawOfficer[AbilityID],RawOfficer[Tag_WaveDefense])</f>
        <v>✅</v>
      </c>
      <c r="I16" s="516" t="str">
        <f t="array" ref="I16">XLOOKUP(LCARS_Off[AbilityID],RawOfficer[AbilityID],RawOfficer[Tag_QTrial])</f>
        <v>✅</v>
      </c>
      <c r="J16" s="516" t="str">
        <f t="array" ref="J16">XLOOKUP(LCARS_Off[AbilityID],RawOfficer[AbilityID],RawOfficer[Tag_MissionBosses])</f>
        <v>✅</v>
      </c>
      <c r="K16" s="516" t="str">
        <f t="array" ref="K16">XLOOKUP(LCARS_Off[AbilityID],RawOfficer[AbilityID],RawOfficer[Tag_GroupArmadas])</f>
        <v>✅</v>
      </c>
      <c r="L16" s="516" t="str">
        <f t="array" ref="L16">XLOOKUP(LCARS_Off[AbilityID],RawOfficer[AbilityID],RawOfficer[Tag_SoloArmadas])</f>
        <v>✅</v>
      </c>
      <c r="M16" s="516" t="str">
        <f t="array" ref="M16">XLOOKUP(LCARS_Off[AbilityID],RawOfficer[AbilityID],RawOfficer[Tag_InvadingEntities])</f>
        <v>✅</v>
      </c>
      <c r="N16" s="516" t="str">
        <f t="array" ref="N16">XLOOKUP(LCARS_Off[AbilityID],RawOfficer[AbilityID],RawOfficer[Tag_Assaults])</f>
        <v>✅</v>
      </c>
      <c r="O16" s="516" t="str">
        <f t="array" ref="O16">XLOOKUP(LCARS_Off[AbilityID],RawOfficer[AbilityID],RawOfficer[Tag_OutpostArmadas])</f>
        <v>✅</v>
      </c>
      <c r="P16" s="516" t="str">
        <f t="array" ref="P16">XLOOKUP(LCARS_Off[AbilityID],RawOfficer[AbilityID],RawOfficer[Tag_OutpostRetaliators])</f>
        <v>✅</v>
      </c>
      <c r="Q16" s="517" t="str">
        <f t="array" ref="Q16">XLOOKUP(LCARS_Off[AbilityID],RawOfficer[AbilityID],RawOfficer[Conditional_Reason])</f>
        <v/>
      </c>
      <c r="R16" s="518" t="str">
        <f t="array" ref="R16">XLOOKUP(LCARS_Off[AbilityID],RawOfficer[AbilityID],RawOfficer[Tag_Loot])</f>
        <v>➖</v>
      </c>
      <c r="S16" s="516" t="str">
        <f t="array" ref="S16">XLOOKUP(LCARS_Off[AbilityID],RawOfficer[AbilityID],RawOfficer[Tag_Utility])</f>
        <v>➖</v>
      </c>
      <c r="T16" s="429" t="str">
        <f t="array" ref="T16">XLOOKUP(LCARS_Off[AbilityID],RawOfficer[AbilityID],RawOfficer[OfficerSynergy])</f>
        <v>ENTERPRISE CREW</v>
      </c>
      <c r="U16" s="519" t="str">
        <f t="array" ref="U16">XLOOKUP(LCARS_Off[AbilityID],RawOfficer[AbilityID],RawOfficer[AbilityModifier])</f>
        <v>AllReloadSpeed</v>
      </c>
      <c r="V16" s="519" t="str">
        <f t="array" ref="V16">XLOOKUP(LCARS_Off[AbilityID],RawOfficer[AbilityID],RawOfficer[AbilityAttributes])</f>
        <v>num_rounds=2</v>
      </c>
      <c r="W16" s="520" t="str">
        <f t="array" ref="W16">XLOOKUP(LCARS_Off[AbilityID],RawOfficer[AbilityID],RawOfficer[AbilityConditions])</f>
        <v/>
      </c>
      <c r="X16" s="519" t="str">
        <f t="array" ref="X16">XLOOKUP(LCARS_Off[AbilityID],RawOfficer[AbilityID],RawOfficer[AbilityTrigger])</f>
        <v>ShieldsDepleted</v>
      </c>
      <c r="Y16" s="519" t="str">
        <f t="array" ref="Y16">XLOOKUP(LCARS_Off[AbilityID],RawOfficer[AbilityID],RawOfficer[AbilityTarget])</f>
        <v>EnemyShip</v>
      </c>
      <c r="Z16" s="519" t="str">
        <f t="array" ref="Z16">XLOOKUP(LCARS_Off[AbilityID],RawOfficer[AbilityID],RawOfficer[AbilityOperation])</f>
        <v>Add</v>
      </c>
      <c r="AA16" s="521" t="str">
        <f t="array" ref="AA16">XLOOKUP(LCARS_Off[AbilityID],RawOfficer[AbilityID],RawOfficer[AbilityDescription])</f>
        <v>When the shield is depleted, Uhura has a X chance of delaying the next opponent weapon fire by one Round.</v>
      </c>
      <c r="AB16" s="429" t="b">
        <v>0</v>
      </c>
      <c r="AC16" s="522" t="str">
        <f t="array" ref="AC16">XLOOKUP(LCARS_Off[AbilityID],RawOfficer[AbilityID],RawOfficer[AbilityDescriptionShort])</f>
        <v>X chance to delay opponent's fire by 1 round when the Shield is depleted</v>
      </c>
      <c r="AD16" s="523"/>
      <c r="AE16" s="524"/>
      <c r="AF16" s="524"/>
      <c r="AG16" s="525" t="str">
        <f t="array" ref="AG16">XLOOKUP(LCARS_Off[AbilityID],RawOfficer[AbilityID],RawOfficer[AbilityChances])</f>
        <v>0.5, 0.1, 0.2</v>
      </c>
      <c r="AH16" s="525" t="str">
        <f t="array" ref="AH16">XLOOKUP(LCARS_Off[AbilityID],RawOfficer[AbilityID],RawOfficer[AbilityValues])</f>
        <v>1.0, 0.0, 0.0</v>
      </c>
      <c r="AI16" s="428" t="b">
        <f t="array" ref="AI16">XLOOKUP(LCARS_Off[AbilityID],RawOfficer[AbilityID],RawOfficer[AbilityHasChance])</f>
        <v>1</v>
      </c>
      <c r="AJ16" s="428" t="b">
        <f t="array" ref="AJ16">XLOOKUP(LCARS_Off[AbilityID],RawOfficer[AbilityID],RawOfficer[AbilityShowPercentage])</f>
        <v>1</v>
      </c>
      <c r="AK16" s="429">
        <f t="array" ref="AK16">XLOOKUP(LCARS_Off[AbilityID],RawOfficer[AbilityID],RawOfficer[OfficerArt])</f>
        <v>7</v>
      </c>
      <c r="AL16" s="430">
        <v>3.587051486E9</v>
      </c>
      <c r="AM16" s="430">
        <f t="array" ref="AM16">XLOOKUP(LCARS_Off[AbilityID],RawOfficer[AbilityID],RawOfficer[Default Order])</f>
        <v>13</v>
      </c>
    </row>
    <row r="17">
      <c r="A17" s="429" t="str">
        <f t="array" ref="A17">LEFT(XLOOKUP(LCARS_Off[AbilityID],RawOfficer[AbilityID],RawOfficer[OfficerRarity]), 1)</f>
        <v>R</v>
      </c>
      <c r="B17" s="429"/>
      <c r="C17" s="514" t="str">
        <f t="array" ref="C17">HYPERLINK("https://stfc.space/officers/" &amp; XLOOKUP(LCARS_Off[AbilityID],RawOfficer[AbilityID],RawOfficer[OfficerId]), XLOOKUP(LCARS_Off[AbilityID],RawOfficer[AbilityID],RawOfficer[OfficerName]))</f>
        <v>UHURA</v>
      </c>
      <c r="D17" s="515" t="str">
        <f t="array" ref="D17">XLOOKUP(LCARS_Off[AbilityID],RawOfficer[AbilityID],RawOfficer[AbilityType])</f>
        <v>OA</v>
      </c>
      <c r="E17" s="516" t="str">
        <f t="array" ref="E17">XLOOKUP(LCARS_Off[AbilityID],RawOfficer[AbilityID],RawOfficer[Tag_PvPinSpace])</f>
        <v>✅</v>
      </c>
      <c r="F17" s="516" t="str">
        <f t="array" ref="F17">XLOOKUP(LCARS_Off[AbilityID],RawOfficer[AbilityID],RawOfficer[Tag_PvPStation])</f>
        <v>✅</v>
      </c>
      <c r="G17" s="516" t="str">
        <f t="array" ref="G17">XLOOKUP(LCARS_Off[AbilityID],RawOfficer[AbilityID],RawOfficer[Tag_NonArmadaHostiles])</f>
        <v>✅</v>
      </c>
      <c r="H17" s="516" t="str">
        <f t="array" ref="H17">XLOOKUP(LCARS_Off[AbilityID],RawOfficer[AbilityID],RawOfficer[Tag_WaveDefense])</f>
        <v>✅</v>
      </c>
      <c r="I17" s="516" t="str">
        <f t="array" ref="I17">XLOOKUP(LCARS_Off[AbilityID],RawOfficer[AbilityID],RawOfficer[Tag_QTrial])</f>
        <v>✅</v>
      </c>
      <c r="J17" s="516" t="str">
        <f t="array" ref="J17">XLOOKUP(LCARS_Off[AbilityID],RawOfficer[AbilityID],RawOfficer[Tag_MissionBosses])</f>
        <v>✅</v>
      </c>
      <c r="K17" s="516" t="str">
        <f t="array" ref="K17">XLOOKUP(LCARS_Off[AbilityID],RawOfficer[AbilityID],RawOfficer[Tag_GroupArmadas])</f>
        <v>✅</v>
      </c>
      <c r="L17" s="516" t="str">
        <f t="array" ref="L17">XLOOKUP(LCARS_Off[AbilityID],RawOfficer[AbilityID],RawOfficer[Tag_SoloArmadas])</f>
        <v>✅</v>
      </c>
      <c r="M17" s="516" t="str">
        <f t="array" ref="M17">XLOOKUP(LCARS_Off[AbilityID],RawOfficer[AbilityID],RawOfficer[Tag_InvadingEntities])</f>
        <v>✅</v>
      </c>
      <c r="N17" s="516" t="str">
        <f t="array" ref="N17">XLOOKUP(LCARS_Off[AbilityID],RawOfficer[AbilityID],RawOfficer[Tag_Assaults])</f>
        <v>✅</v>
      </c>
      <c r="O17" s="516" t="str">
        <f t="array" ref="O17">XLOOKUP(LCARS_Off[AbilityID],RawOfficer[AbilityID],RawOfficer[Tag_OutpostArmadas])</f>
        <v>✅</v>
      </c>
      <c r="P17" s="516" t="str">
        <f t="array" ref="P17">XLOOKUP(LCARS_Off[AbilityID],RawOfficer[AbilityID],RawOfficer[Tag_OutpostRetaliators])</f>
        <v>✅</v>
      </c>
      <c r="Q17" s="517" t="str">
        <f t="array" ref="Q17">XLOOKUP(LCARS_Off[AbilityID],RawOfficer[AbilityID],RawOfficer[Conditional_Reason])</f>
        <v/>
      </c>
      <c r="R17" s="518" t="str">
        <f t="array" ref="R17">XLOOKUP(LCARS_Off[AbilityID],RawOfficer[AbilityID],RawOfficer[Tag_Loot])</f>
        <v>➖</v>
      </c>
      <c r="S17" s="516" t="str">
        <f t="array" ref="S17">XLOOKUP(LCARS_Off[AbilityID],RawOfficer[AbilityID],RawOfficer[Tag_Utility])</f>
        <v>➖</v>
      </c>
      <c r="T17" s="429" t="str">
        <f t="array" ref="T17">XLOOKUP(LCARS_Off[AbilityID],RawOfficer[AbilityID],RawOfficer[OfficerSynergy])</f>
        <v>ENTERPRISE CREW</v>
      </c>
      <c r="U17" s="519" t="str">
        <f t="array" ref="U17">XLOOKUP(LCARS_Off[AbilityID],RawOfficer[AbilityID],RawOfficer[AbilityModifier])</f>
        <v>Accuracy</v>
      </c>
      <c r="V17" s="519" t="str">
        <f t="array" ref="V17">XLOOKUP(LCARS_Off[AbilityID],RawOfficer[AbilityID],RawOfficer[AbilityAttributes])</f>
        <v/>
      </c>
      <c r="W17" s="520" t="str">
        <f t="array" ref="W17">XLOOKUP(LCARS_Off[AbilityID],RawOfficer[AbilityID],RawOfficer[AbilityConditions])</f>
        <v/>
      </c>
      <c r="X17" s="519" t="str">
        <f t="array" ref="X17">XLOOKUP(LCARS_Off[AbilityID],RawOfficer[AbilityID],RawOfficer[AbilityTrigger])</f>
        <v>ShipLaunched</v>
      </c>
      <c r="Y17" s="519" t="str">
        <f t="array" ref="Y17">XLOOKUP(LCARS_Off[AbilityID],RawOfficer[AbilityID],RawOfficer[AbilityTarget])</f>
        <v>SelfShip</v>
      </c>
      <c r="Z17" s="519" t="str">
        <f t="array" ref="Z17">XLOOKUP(LCARS_Off[AbilityID],RawOfficer[AbilityID],RawOfficer[AbilityOperation])</f>
        <v>MultiplyAdd</v>
      </c>
      <c r="AA17" s="521" t="str">
        <f t="array" ref="AA17">XLOOKUP(LCARS_Off[AbilityID],RawOfficer[AbilityID],RawOfficer[AbilityDescription])</f>
        <v>Uhura increases the Accuracy of the ship she's in by X.</v>
      </c>
      <c r="AB17" s="429" t="b">
        <v>0</v>
      </c>
      <c r="AC17" s="522" t="str">
        <f t="array" ref="AC17">XLOOKUP(LCARS_Off[AbilityID],RawOfficer[AbilityID],RawOfficer[AbilityDescriptionShort])</f>
        <v>+X to this ship's Accuracy</v>
      </c>
      <c r="AD17" s="523"/>
      <c r="AE17" s="524"/>
      <c r="AF17" s="524"/>
      <c r="AG17" s="525" t="str">
        <f t="array" ref="AG17">XLOOKUP(LCARS_Off[AbilityID],RawOfficer[AbilityID],RawOfficer[AbilityChances])</f>
        <v>1.0, 1.0, 1.0, 1.0, 1.0</v>
      </c>
      <c r="AH17" s="525" t="str">
        <f t="array" ref="AH17">XLOOKUP(LCARS_Off[AbilityID],RawOfficer[AbilityID],RawOfficer[AbilityValues])</f>
        <v>0.4, 0.5, 0.6, 0.7, 0.8</v>
      </c>
      <c r="AI17" s="428" t="b">
        <f t="array" ref="AI17">XLOOKUP(LCARS_Off[AbilityID],RawOfficer[AbilityID],RawOfficer[AbilityHasChance])</f>
        <v>0</v>
      </c>
      <c r="AJ17" s="428" t="b">
        <f t="array" ref="AJ17">XLOOKUP(LCARS_Off[AbilityID],RawOfficer[AbilityID],RawOfficer[AbilityShowPercentage])</f>
        <v>1</v>
      </c>
      <c r="AK17" s="429">
        <f t="array" ref="AK17">XLOOKUP(LCARS_Off[AbilityID],RawOfficer[AbilityID],RawOfficer[OfficerArt])</f>
        <v>7</v>
      </c>
      <c r="AL17" s="430">
        <v>2.416805344E9</v>
      </c>
      <c r="AM17" s="430">
        <f t="array" ref="AM17">XLOOKUP(LCARS_Off[AbilityID],RawOfficer[AbilityID],RawOfficer[Default Order])</f>
        <v>14</v>
      </c>
    </row>
    <row r="18">
      <c r="A18" s="429" t="str">
        <f t="array" ref="A18">LEFT(XLOOKUP(LCARS_Off[AbilityID],RawOfficer[AbilityID],RawOfficer[OfficerRarity]), 1)</f>
        <v>E</v>
      </c>
      <c r="B18" s="429"/>
      <c r="C18" s="514" t="str">
        <f t="array" ref="C18">HYPERLINK("https://stfc.space/officers/" &amp; XLOOKUP(LCARS_Off[AbilityID],RawOfficer[AbilityID],RawOfficer[OfficerId]), XLOOKUP(LCARS_Off[AbilityID],RawOfficer[AbilityID],RawOfficer[OfficerName]))</f>
        <v>GORKON</v>
      </c>
      <c r="D18" s="515" t="str">
        <f t="array" ref="D18">XLOOKUP(LCARS_Off[AbilityID],RawOfficer[AbilityID],RawOfficer[AbilityType])</f>
        <v>CM</v>
      </c>
      <c r="E18" s="516" t="str">
        <f t="array" ref="E18">XLOOKUP(LCARS_Off[AbilityID],RawOfficer[AbilityID],RawOfficer[Tag_PvPinSpace])</f>
        <v>✅</v>
      </c>
      <c r="F18" s="516" t="str">
        <f t="array" ref="F18">XLOOKUP(LCARS_Off[AbilityID],RawOfficer[AbilityID],RawOfficer[Tag_PvPStation])</f>
        <v>✅</v>
      </c>
      <c r="G18" s="516" t="str">
        <f t="array" ref="G18">XLOOKUP(LCARS_Off[AbilityID],RawOfficer[AbilityID],RawOfficer[Tag_NonArmadaHostiles])</f>
        <v>✅</v>
      </c>
      <c r="H18" s="516" t="str">
        <f t="array" ref="H18">XLOOKUP(LCARS_Off[AbilityID],RawOfficer[AbilityID],RawOfficer[Tag_WaveDefense])</f>
        <v>✅</v>
      </c>
      <c r="I18" s="516" t="str">
        <f t="array" ref="I18">XLOOKUP(LCARS_Off[AbilityID],RawOfficer[AbilityID],RawOfficer[Tag_QTrial])</f>
        <v>✅</v>
      </c>
      <c r="J18" s="516" t="str">
        <f t="array" ref="J18">XLOOKUP(LCARS_Off[AbilityID],RawOfficer[AbilityID],RawOfficer[Tag_MissionBosses])</f>
        <v>✅</v>
      </c>
      <c r="K18" s="516" t="str">
        <f t="array" ref="K18">XLOOKUP(LCARS_Off[AbilityID],RawOfficer[AbilityID],RawOfficer[Tag_GroupArmadas])</f>
        <v>✅</v>
      </c>
      <c r="L18" s="516" t="str">
        <f t="array" ref="L18">XLOOKUP(LCARS_Off[AbilityID],RawOfficer[AbilityID],RawOfficer[Tag_SoloArmadas])</f>
        <v>✅</v>
      </c>
      <c r="M18" s="516" t="str">
        <f t="array" ref="M18">XLOOKUP(LCARS_Off[AbilityID],RawOfficer[AbilityID],RawOfficer[Tag_InvadingEntities])</f>
        <v>✅</v>
      </c>
      <c r="N18" s="516" t="str">
        <f t="array" ref="N18">XLOOKUP(LCARS_Off[AbilityID],RawOfficer[AbilityID],RawOfficer[Tag_Assaults])</f>
        <v>✅</v>
      </c>
      <c r="O18" s="516" t="str">
        <f t="array" ref="O18">XLOOKUP(LCARS_Off[AbilityID],RawOfficer[AbilityID],RawOfficer[Tag_OutpostArmadas])</f>
        <v>✅</v>
      </c>
      <c r="P18" s="516" t="str">
        <f t="array" ref="P18">XLOOKUP(LCARS_Off[AbilityID],RawOfficer[AbilityID],RawOfficer[Tag_OutpostRetaliators])</f>
        <v>✅</v>
      </c>
      <c r="Q18" s="517" t="str">
        <f t="array" ref="Q18">XLOOKUP(LCARS_Off[AbilityID],RawOfficer[AbilityID],RawOfficer[Conditional_Reason])</f>
        <v/>
      </c>
      <c r="R18" s="518" t="str">
        <f t="array" ref="R18">XLOOKUP(LCARS_Off[AbilityID],RawOfficer[AbilityID],RawOfficer[Tag_Loot])</f>
        <v>➖</v>
      </c>
      <c r="S18" s="516" t="str">
        <f t="array" ref="S18">XLOOKUP(LCARS_Off[AbilityID],RawOfficer[AbilityID],RawOfficer[Tag_Utility])</f>
        <v>➖</v>
      </c>
      <c r="T18" s="429" t="str">
        <f t="array" ref="T18">XLOOKUP(LCARS_Off[AbilityID],RawOfficer[AbilityID],RawOfficer[OfficerSynergy])</f>
        <v>KLINGON PATRIOTS</v>
      </c>
      <c r="U18" s="519" t="str">
        <f t="array" ref="U18">XLOOKUP(LCARS_Off[AbilityID],RawOfficer[AbilityID],RawOfficer[AbilityModifier])</f>
        <v>CritChance</v>
      </c>
      <c r="V18" s="519" t="str">
        <f t="array" ref="V18">XLOOKUP(LCARS_Off[AbilityID],RawOfficer[AbilityID],RawOfficer[AbilityAttributes])</f>
        <v>num_rounds=2</v>
      </c>
      <c r="W18" s="520" t="str">
        <f t="array" ref="W18">XLOOKUP(LCARS_Off[AbilityID],RawOfficer[AbilityID],RawOfficer[AbilityConditions])</f>
        <v/>
      </c>
      <c r="X18" s="519" t="str">
        <f t="array" ref="X18">XLOOKUP(LCARS_Off[AbilityID],RawOfficer[AbilityID],RawOfficer[AbilityTrigger])</f>
        <v>CombatStart</v>
      </c>
      <c r="Y18" s="519" t="str">
        <f t="array" ref="Y18">XLOOKUP(LCARS_Off[AbilityID],RawOfficer[AbilityID],RawOfficer[AbilityTarget])</f>
        <v>SelfShip</v>
      </c>
      <c r="Z18" s="519" t="str">
        <f t="array" ref="Z18">XLOOKUP(LCARS_Off[AbilityID],RawOfficer[AbilityID],RawOfficer[AbilityOperation])</f>
        <v>Add</v>
      </c>
      <c r="AA18" s="521" t="str">
        <f t="array" ref="AA18">XLOOKUP(LCARS_Off[AbilityID],RawOfficer[AbilityID],RawOfficer[AbilityDescription])</f>
        <v>Gorkon increases the chances of dealing a Critical Hit by  X for the first 2 Rounds.</v>
      </c>
      <c r="AB18" s="429" t="b">
        <v>0</v>
      </c>
      <c r="AC18" s="522" t="str">
        <f t="array" ref="AC18">XLOOKUP(LCARS_Off[AbilityID],RawOfficer[AbilityID],RawOfficer[AbilityDescriptionShort])</f>
        <v>+X bonus to Critical Hit Chances for the first 2 Rounds</v>
      </c>
      <c r="AD18" s="523"/>
      <c r="AE18" s="524"/>
      <c r="AF18" s="524"/>
      <c r="AG18" s="525" t="str">
        <f t="array" ref="AG18">XLOOKUP(LCARS_Off[AbilityID],RawOfficer[AbilityID],RawOfficer[AbilityChances])</f>
        <v>1.0, 1.0, 1.0</v>
      </c>
      <c r="AH18" s="525" t="str">
        <f t="array" ref="AH18">XLOOKUP(LCARS_Off[AbilityID],RawOfficer[AbilityID],RawOfficer[AbilityValues])</f>
        <v>0.1, 0.05, 0.1</v>
      </c>
      <c r="AI18" s="428" t="b">
        <f t="array" ref="AI18">XLOOKUP(LCARS_Off[AbilityID],RawOfficer[AbilityID],RawOfficer[AbilityHasChance])</f>
        <v>0</v>
      </c>
      <c r="AJ18" s="428" t="b">
        <f t="array" ref="AJ18">XLOOKUP(LCARS_Off[AbilityID],RawOfficer[AbilityID],RawOfficer[AbilityShowPercentage])</f>
        <v>1</v>
      </c>
      <c r="AK18" s="429">
        <f t="array" ref="AK18">XLOOKUP(LCARS_Off[AbilityID],RawOfficer[AbilityID],RawOfficer[OfficerArt])</f>
        <v>8</v>
      </c>
      <c r="AL18" s="430">
        <v>6.74724565E8</v>
      </c>
      <c r="AM18" s="430">
        <f t="array" ref="AM18">XLOOKUP(LCARS_Off[AbilityID],RawOfficer[AbilityID],RawOfficer[Default Order])</f>
        <v>15</v>
      </c>
    </row>
    <row r="19">
      <c r="A19" s="429" t="str">
        <f t="array" ref="A19">LEFT(XLOOKUP(LCARS_Off[AbilityID],RawOfficer[AbilityID],RawOfficer[OfficerRarity]), 1)</f>
        <v>E</v>
      </c>
      <c r="B19" s="429"/>
      <c r="C19" s="514" t="str">
        <f t="array" ref="C19">HYPERLINK("https://stfc.space/officers/" &amp; XLOOKUP(LCARS_Off[AbilityID],RawOfficer[AbilityID],RawOfficer[OfficerId]), XLOOKUP(LCARS_Off[AbilityID],RawOfficer[AbilityID],RawOfficer[OfficerName]))</f>
        <v>GORKON</v>
      </c>
      <c r="D19" s="515" t="str">
        <f t="array" ref="D19">XLOOKUP(LCARS_Off[AbilityID],RawOfficer[AbilityID],RawOfficer[AbilityType])</f>
        <v>OA</v>
      </c>
      <c r="E19" s="516" t="str">
        <f t="array" ref="E19">XLOOKUP(LCARS_Off[AbilityID],RawOfficer[AbilityID],RawOfficer[Tag_PvPinSpace])</f>
        <v>✅</v>
      </c>
      <c r="F19" s="516" t="str">
        <f t="array" ref="F19">XLOOKUP(LCARS_Off[AbilityID],RawOfficer[AbilityID],RawOfficer[Tag_PvPStation])</f>
        <v>✅</v>
      </c>
      <c r="G19" s="516" t="str">
        <f t="array" ref="G19">XLOOKUP(LCARS_Off[AbilityID],RawOfficer[AbilityID],RawOfficer[Tag_NonArmadaHostiles])</f>
        <v>✅</v>
      </c>
      <c r="H19" s="516" t="str">
        <f t="array" ref="H19">XLOOKUP(LCARS_Off[AbilityID],RawOfficer[AbilityID],RawOfficer[Tag_WaveDefense])</f>
        <v>✅</v>
      </c>
      <c r="I19" s="516" t="str">
        <f t="array" ref="I19">XLOOKUP(LCARS_Off[AbilityID],RawOfficer[AbilityID],RawOfficer[Tag_QTrial])</f>
        <v>✅</v>
      </c>
      <c r="J19" s="516" t="str">
        <f t="array" ref="J19">XLOOKUP(LCARS_Off[AbilityID],RawOfficer[AbilityID],RawOfficer[Tag_MissionBosses])</f>
        <v>✅</v>
      </c>
      <c r="K19" s="516" t="str">
        <f t="array" ref="K19">XLOOKUP(LCARS_Off[AbilityID],RawOfficer[AbilityID],RawOfficer[Tag_GroupArmadas])</f>
        <v>✅</v>
      </c>
      <c r="L19" s="516" t="str">
        <f t="array" ref="L19">XLOOKUP(LCARS_Off[AbilityID],RawOfficer[AbilityID],RawOfficer[Tag_SoloArmadas])</f>
        <v>✅</v>
      </c>
      <c r="M19" s="516" t="str">
        <f t="array" ref="M19">XLOOKUP(LCARS_Off[AbilityID],RawOfficer[AbilityID],RawOfficer[Tag_InvadingEntities])</f>
        <v>✅</v>
      </c>
      <c r="N19" s="516" t="str">
        <f t="array" ref="N19">XLOOKUP(LCARS_Off[AbilityID],RawOfficer[AbilityID],RawOfficer[Tag_Assaults])</f>
        <v>✅</v>
      </c>
      <c r="O19" s="516" t="str">
        <f t="array" ref="O19">XLOOKUP(LCARS_Off[AbilityID],RawOfficer[AbilityID],RawOfficer[Tag_OutpostArmadas])</f>
        <v>✅</v>
      </c>
      <c r="P19" s="516" t="str">
        <f t="array" ref="P19">XLOOKUP(LCARS_Off[AbilityID],RawOfficer[AbilityID],RawOfficer[Tag_OutpostRetaliators])</f>
        <v>✅</v>
      </c>
      <c r="Q19" s="517" t="str">
        <f t="array" ref="Q19">XLOOKUP(LCARS_Off[AbilityID],RawOfficer[AbilityID],RawOfficer[Conditional_Reason])</f>
        <v/>
      </c>
      <c r="R19" s="518" t="str">
        <f t="array" ref="R19">XLOOKUP(LCARS_Off[AbilityID],RawOfficer[AbilityID],RawOfficer[Tag_Loot])</f>
        <v>➖</v>
      </c>
      <c r="S19" s="516" t="str">
        <f t="array" ref="S19">XLOOKUP(LCARS_Off[AbilityID],RawOfficer[AbilityID],RawOfficer[Tag_Utility])</f>
        <v>➖</v>
      </c>
      <c r="T19" s="429" t="str">
        <f t="array" ref="T19">XLOOKUP(LCARS_Off[AbilityID],RawOfficer[AbilityID],RawOfficer[OfficerSynergy])</f>
        <v>KLINGON PATRIOTS</v>
      </c>
      <c r="U19" s="519" t="str">
        <f t="array" ref="U19">XLOOKUP(LCARS_Off[AbilityID],RawOfficer[AbilityID],RawOfficer[AbilityModifier])</f>
        <v>AddState</v>
      </c>
      <c r="V19" s="519" t="str">
        <f t="array" ref="V19">XLOOKUP(LCARS_Off[AbilityID],RawOfficer[AbilityID],RawOfficer[AbilityAttributes])</f>
        <v>num_rounds=3, state=4</v>
      </c>
      <c r="W19" s="520" t="str">
        <f t="array" ref="W19">XLOOKUP(LCARS_Off[AbilityID],RawOfficer[AbilityID],RawOfficer[AbilityConditions])</f>
        <v/>
      </c>
      <c r="X19" s="519" t="str">
        <f t="array" ref="X19">XLOOKUP(LCARS_Off[AbilityID],RawOfficer[AbilityID],RawOfficer[AbilityTrigger])</f>
        <v>CriticalShotFired</v>
      </c>
      <c r="Y19" s="519" t="str">
        <f t="array" ref="Y19">XLOOKUP(LCARS_Off[AbilityID],RawOfficer[AbilityID],RawOfficer[AbilityTarget])</f>
        <v>EnemyShip</v>
      </c>
      <c r="Z19" s="519" t="str">
        <f t="array" ref="Z19">XLOOKUP(LCARS_Off[AbilityID],RawOfficer[AbilityID],RawOfficer[AbilityOperation])</f>
        <v>Set</v>
      </c>
      <c r="AA19" s="521" t="str">
        <f t="array" ref="AA19">XLOOKUP(LCARS_Off[AbilityID],RawOfficer[AbilityID],RawOfficer[AbilityDescription])</f>
        <v>When the ship hits the opponent with a Critical Hit, Gorkon has a X chance of causing a Hull Breach for three rounds on the opponent's ship.</v>
      </c>
      <c r="AB19" s="429" t="b">
        <v>0</v>
      </c>
      <c r="AC19" s="522" t="str">
        <f t="array" ref="AC19">XLOOKUP(LCARS_Off[AbilityID],RawOfficer[AbilityID],RawOfficer[AbilityDescriptionShort])</f>
        <v>X chance to cause a Hull Breach for 3 Rounds when hitting with a Critical Hit</v>
      </c>
      <c r="AD19" s="523"/>
      <c r="AE19" s="524"/>
      <c r="AF19" s="524"/>
      <c r="AG19" s="525" t="str">
        <f t="array" ref="AG19">XLOOKUP(LCARS_Off[AbilityID],RawOfficer[AbilityID],RawOfficer[AbilityChances])</f>
        <v>0.7, 0.75, 0.8, 0.85, 0.9</v>
      </c>
      <c r="AH19" s="525" t="str">
        <f t="array" ref="AH19">XLOOKUP(LCARS_Off[AbilityID],RawOfficer[AbilityID],RawOfficer[AbilityValues])</f>
        <v>0.7, 0.75, 0.8, 0.85, 0.9</v>
      </c>
      <c r="AI19" s="428" t="b">
        <f t="array" ref="AI19">XLOOKUP(LCARS_Off[AbilityID],RawOfficer[AbilityID],RawOfficer[AbilityHasChance])</f>
        <v>1</v>
      </c>
      <c r="AJ19" s="428" t="b">
        <f t="array" ref="AJ19">XLOOKUP(LCARS_Off[AbilityID],RawOfficer[AbilityID],RawOfficer[AbilityShowPercentage])</f>
        <v>1</v>
      </c>
      <c r="AK19" s="429">
        <f t="array" ref="AK19">XLOOKUP(LCARS_Off[AbilityID],RawOfficer[AbilityID],RawOfficer[OfficerArt])</f>
        <v>8</v>
      </c>
      <c r="AL19" s="430">
        <v>3.732921554E9</v>
      </c>
      <c r="AM19" s="430">
        <f t="array" ref="AM19">XLOOKUP(LCARS_Off[AbilityID],RawOfficer[AbilityID],RawOfficer[Default Order])</f>
        <v>16</v>
      </c>
    </row>
    <row r="20">
      <c r="A20" s="429" t="str">
        <f t="array" ref="A20">LEFT(XLOOKUP(LCARS_Off[AbilityID],RawOfficer[AbilityID],RawOfficer[OfficerRarity]), 1)</f>
        <v>R</v>
      </c>
      <c r="B20" s="429"/>
      <c r="C20" s="514" t="str">
        <f t="array" ref="C20">HYPERLINK("https://stfc.space/officers/" &amp; XLOOKUP(LCARS_Off[AbilityID],RawOfficer[AbilityID],RawOfficer[OfficerId]), XLOOKUP(LCARS_Off[AbilityID],RawOfficer[AbilityID],RawOfficer[OfficerName]))</f>
        <v>CHANG</v>
      </c>
      <c r="D20" s="515" t="str">
        <f t="array" ref="D20">XLOOKUP(LCARS_Off[AbilityID],RawOfficer[AbilityID],RawOfficer[AbilityType])</f>
        <v>CM</v>
      </c>
      <c r="E20" s="516" t="str">
        <f t="array" ref="E20">XLOOKUP(LCARS_Off[AbilityID],RawOfficer[AbilityID],RawOfficer[Tag_PvPinSpace])</f>
        <v>✴️</v>
      </c>
      <c r="F20" s="516" t="str">
        <f t="array" ref="F20">XLOOKUP(LCARS_Off[AbilityID],RawOfficer[AbilityID],RawOfficer[Tag_PvPStation])</f>
        <v>✴️</v>
      </c>
      <c r="G20" s="516" t="str">
        <f t="array" ref="G20">XLOOKUP(LCARS_Off[AbilityID],RawOfficer[AbilityID],RawOfficer[Tag_NonArmadaHostiles])</f>
        <v>✴️</v>
      </c>
      <c r="H20" s="516" t="str">
        <f t="array" ref="H20">XLOOKUP(LCARS_Off[AbilityID],RawOfficer[AbilityID],RawOfficer[Tag_WaveDefense])</f>
        <v>✴️</v>
      </c>
      <c r="I20" s="516" t="str">
        <f t="array" ref="I20">XLOOKUP(LCARS_Off[AbilityID],RawOfficer[AbilityID],RawOfficer[Tag_QTrial])</f>
        <v>✴️</v>
      </c>
      <c r="J20" s="516" t="str">
        <f t="array" ref="J20">XLOOKUP(LCARS_Off[AbilityID],RawOfficer[AbilityID],RawOfficer[Tag_MissionBosses])</f>
        <v>✴️</v>
      </c>
      <c r="K20" s="516" t="str">
        <f t="array" ref="K20">XLOOKUP(LCARS_Off[AbilityID],RawOfficer[AbilityID],RawOfficer[Tag_GroupArmadas])</f>
        <v>✴️</v>
      </c>
      <c r="L20" s="516" t="str">
        <f t="array" ref="L20">XLOOKUP(LCARS_Off[AbilityID],RawOfficer[AbilityID],RawOfficer[Tag_SoloArmadas])</f>
        <v>✴️</v>
      </c>
      <c r="M20" s="516" t="str">
        <f t="array" ref="M20">XLOOKUP(LCARS_Off[AbilityID],RawOfficer[AbilityID],RawOfficer[Tag_InvadingEntities])</f>
        <v>✴️</v>
      </c>
      <c r="N20" s="516" t="str">
        <f t="array" ref="N20">XLOOKUP(LCARS_Off[AbilityID],RawOfficer[AbilityID],RawOfficer[Tag_Assaults])</f>
        <v>✴️</v>
      </c>
      <c r="O20" s="516" t="str">
        <f t="array" ref="O20">XLOOKUP(LCARS_Off[AbilityID],RawOfficer[AbilityID],RawOfficer[Tag_OutpostArmadas])</f>
        <v>✴️</v>
      </c>
      <c r="P20" s="516" t="str">
        <f t="array" ref="P20">XLOOKUP(LCARS_Off[AbilityID],RawOfficer[AbilityID],RawOfficer[Tag_OutpostRetaliators])</f>
        <v>✴️</v>
      </c>
      <c r="Q20" s="517" t="str">
        <f t="array" ref="Q20">XLOOKUP(LCARS_Off[AbilityID],RawOfficer[AbilityID],RawOfficer[Conditional_Reason])</f>
        <v>HullHealthBelow</v>
      </c>
      <c r="R20" s="518" t="str">
        <f t="array" ref="R20">XLOOKUP(LCARS_Off[AbilityID],RawOfficer[AbilityID],RawOfficer[Tag_Loot])</f>
        <v>➖</v>
      </c>
      <c r="S20" s="516" t="str">
        <f t="array" ref="S20">XLOOKUP(LCARS_Off[AbilityID],RawOfficer[AbilityID],RawOfficer[Tag_Utility])</f>
        <v>➖</v>
      </c>
      <c r="T20" s="429" t="str">
        <f t="array" ref="T20">XLOOKUP(LCARS_Off[AbilityID],RawOfficer[AbilityID],RawOfficer[OfficerSynergy])</f>
        <v>KLINGON PATRIOTS</v>
      </c>
      <c r="U20" s="519" t="str">
        <f t="array" ref="U20">XLOOKUP(LCARS_Off[AbilityID],RawOfficer[AbilityID],RawOfficer[AbilityModifier])</f>
        <v>AllDamage</v>
      </c>
      <c r="V20" s="519" t="str">
        <f t="array" ref="V20">XLOOKUP(LCARS_Off[AbilityID],RawOfficer[AbilityID],RawOfficer[AbilityAttributes])</f>
        <v>num_rounds=1, percentage=0.6</v>
      </c>
      <c r="W20" s="520" t="str">
        <f t="array" ref="W20">XLOOKUP(LCARS_Off[AbilityID],RawOfficer[AbilityID],RawOfficer[AbilityConditions])</f>
        <v>HullHealthBelow</v>
      </c>
      <c r="X20" s="519" t="str">
        <f t="array" ref="X20">XLOOKUP(LCARS_Off[AbilityID],RawOfficer[AbilityID],RawOfficer[AbilityTrigger])</f>
        <v>RoundStart</v>
      </c>
      <c r="Y20" s="519" t="str">
        <f t="array" ref="Y20">XLOOKUP(LCARS_Off[AbilityID],RawOfficer[AbilityID],RawOfficer[AbilityTarget])</f>
        <v>SelfShip</v>
      </c>
      <c r="Z20" s="519" t="str">
        <f t="array" ref="Z20">XLOOKUP(LCARS_Off[AbilityID],RawOfficer[AbilityID],RawOfficer[AbilityOperation])</f>
        <v>MultiplyAdd</v>
      </c>
      <c r="AA20" s="521" t="str">
        <f t="array" ref="AA20">XLOOKUP(LCARS_Off[AbilityID],RawOfficer[AbilityID],RawOfficer[AbilityDescription])</f>
        <v>As long as the opponent's ship Hull Health is under 60%, Chang increases the Damage of the weapons by X.</v>
      </c>
      <c r="AB20" s="429" t="b">
        <v>0</v>
      </c>
      <c r="AC20" s="522" t="str">
        <f t="array" ref="AC20">XLOOKUP(LCARS_Off[AbilityID],RawOfficer[AbilityID],RawOfficer[AbilityDescriptionShort])</f>
        <v>+X to Damage if the opponent's Hull Health under 60%</v>
      </c>
      <c r="AD20" s="523"/>
      <c r="AE20" s="524"/>
      <c r="AF20" s="524"/>
      <c r="AG20" s="525" t="str">
        <f t="array" ref="AG20">XLOOKUP(LCARS_Off[AbilityID],RawOfficer[AbilityID],RawOfficer[AbilityChances])</f>
        <v>1.0, 1.0, 1.0</v>
      </c>
      <c r="AH20" s="525" t="str">
        <f t="array" ref="AH20">XLOOKUP(LCARS_Off[AbilityID],RawOfficer[AbilityID],RawOfficer[AbilityValues])</f>
        <v>0.1, 0.1, 0.2</v>
      </c>
      <c r="AI20" s="428" t="b">
        <f t="array" ref="AI20">XLOOKUP(LCARS_Off[AbilityID],RawOfficer[AbilityID],RawOfficer[AbilityHasChance])</f>
        <v>0</v>
      </c>
      <c r="AJ20" s="428" t="b">
        <f t="array" ref="AJ20">XLOOKUP(LCARS_Off[AbilityID],RawOfficer[AbilityID],RawOfficer[AbilityShowPercentage])</f>
        <v>1</v>
      </c>
      <c r="AK20" s="429">
        <f t="array" ref="AK20">XLOOKUP(LCARS_Off[AbilityID],RawOfficer[AbilityID],RawOfficer[OfficerArt])</f>
        <v>9</v>
      </c>
      <c r="AL20" s="430">
        <v>2.42644831E8</v>
      </c>
      <c r="AM20" s="430">
        <f t="array" ref="AM20">XLOOKUP(LCARS_Off[AbilityID],RawOfficer[AbilityID],RawOfficer[Default Order])</f>
        <v>17</v>
      </c>
    </row>
    <row r="21">
      <c r="A21" s="429" t="str">
        <f t="array" ref="A21">LEFT(XLOOKUP(LCARS_Off[AbilityID],RawOfficer[AbilityID],RawOfficer[OfficerRarity]), 1)</f>
        <v>R</v>
      </c>
      <c r="B21" s="429"/>
      <c r="C21" s="514" t="str">
        <f t="array" ref="C21">HYPERLINK("https://stfc.space/officers/" &amp; XLOOKUP(LCARS_Off[AbilityID],RawOfficer[AbilityID],RawOfficer[OfficerId]), XLOOKUP(LCARS_Off[AbilityID],RawOfficer[AbilityID],RawOfficer[OfficerName]))</f>
        <v>CHANG</v>
      </c>
      <c r="D21" s="515" t="str">
        <f t="array" ref="D21">XLOOKUP(LCARS_Off[AbilityID],RawOfficer[AbilityID],RawOfficer[AbilityType])</f>
        <v>OA</v>
      </c>
      <c r="E21" s="516" t="str">
        <f t="array" ref="E21">XLOOKUP(LCARS_Off[AbilityID],RawOfficer[AbilityID],RawOfficer[Tag_PvPinSpace])</f>
        <v>✴️</v>
      </c>
      <c r="F21" s="516" t="str">
        <f t="array" ref="F21">XLOOKUP(LCARS_Off[AbilityID],RawOfficer[AbilityID],RawOfficer[Tag_PvPStation])</f>
        <v>✴️</v>
      </c>
      <c r="G21" s="516" t="str">
        <f t="array" ref="G21">XLOOKUP(LCARS_Off[AbilityID],RawOfficer[AbilityID],RawOfficer[Tag_NonArmadaHostiles])</f>
        <v>✴️</v>
      </c>
      <c r="H21" s="516" t="str">
        <f t="array" ref="H21">XLOOKUP(LCARS_Off[AbilityID],RawOfficer[AbilityID],RawOfficer[Tag_WaveDefense])</f>
        <v>✴️</v>
      </c>
      <c r="I21" s="516" t="str">
        <f t="array" ref="I21">XLOOKUP(LCARS_Off[AbilityID],RawOfficer[AbilityID],RawOfficer[Tag_QTrial])</f>
        <v>✴️</v>
      </c>
      <c r="J21" s="516" t="str">
        <f t="array" ref="J21">XLOOKUP(LCARS_Off[AbilityID],RawOfficer[AbilityID],RawOfficer[Tag_MissionBosses])</f>
        <v>✴️</v>
      </c>
      <c r="K21" s="516" t="str">
        <f t="array" ref="K21">XLOOKUP(LCARS_Off[AbilityID],RawOfficer[AbilityID],RawOfficer[Tag_GroupArmadas])</f>
        <v>➖</v>
      </c>
      <c r="L21" s="516" t="str">
        <f t="array" ref="L21">XLOOKUP(LCARS_Off[AbilityID],RawOfficer[AbilityID],RawOfficer[Tag_SoloArmadas])</f>
        <v>➖</v>
      </c>
      <c r="M21" s="516" t="str">
        <f t="array" ref="M21">XLOOKUP(LCARS_Off[AbilityID],RawOfficer[AbilityID],RawOfficer[Tag_InvadingEntities])</f>
        <v>➖</v>
      </c>
      <c r="N21" s="516" t="str">
        <f t="array" ref="N21">XLOOKUP(LCARS_Off[AbilityID],RawOfficer[AbilityID],RawOfficer[Tag_Assaults])</f>
        <v>➖</v>
      </c>
      <c r="O21" s="516" t="str">
        <f t="array" ref="O21">XLOOKUP(LCARS_Off[AbilityID],RawOfficer[AbilityID],RawOfficer[Tag_OutpostArmadas])</f>
        <v>✴️</v>
      </c>
      <c r="P21" s="516" t="str">
        <f t="array" ref="P21">XLOOKUP(LCARS_Off[AbilityID],RawOfficer[AbilityID],RawOfficer[Tag_OutpostRetaliators])</f>
        <v>✴️</v>
      </c>
      <c r="Q21" s="517" t="str">
        <f t="array" ref="Q21">XLOOKUP(LCARS_Off[AbilityID],RawOfficer[AbilityID],RawOfficer[Conditional_Reason])</f>
        <v>TargetHasHullBreach</v>
      </c>
      <c r="R21" s="518" t="str">
        <f t="array" ref="R21">XLOOKUP(LCARS_Off[AbilityID],RawOfficer[AbilityID],RawOfficer[Tag_Loot])</f>
        <v>➖</v>
      </c>
      <c r="S21" s="516" t="str">
        <f t="array" ref="S21">XLOOKUP(LCARS_Off[AbilityID],RawOfficer[AbilityID],RawOfficer[Tag_Utility])</f>
        <v>➖</v>
      </c>
      <c r="T21" s="429" t="str">
        <f t="array" ref="T21">XLOOKUP(LCARS_Off[AbilityID],RawOfficer[AbilityID],RawOfficer[OfficerSynergy])</f>
        <v>KLINGON PATRIOTS</v>
      </c>
      <c r="U21" s="519" t="str">
        <f t="array" ref="U21">XLOOKUP(LCARS_Off[AbilityID],RawOfficer[AbilityID],RawOfficer[AbilityModifier])</f>
        <v>AllReloadSpeed</v>
      </c>
      <c r="V21" s="519" t="str">
        <f t="array" ref="V21">XLOOKUP(LCARS_Off[AbilityID],RawOfficer[AbilityID],RawOfficer[AbilityAttributes])</f>
        <v>num_rounds=1</v>
      </c>
      <c r="W21" s="520" t="str">
        <f t="array" ref="W21">XLOOKUP(LCARS_Off[AbilityID],RawOfficer[AbilityID],RawOfficer[AbilityConditions])</f>
        <v>TargetNotArmada, TargetNotASB, TargetHasHullBreach</v>
      </c>
      <c r="X21" s="519" t="str">
        <f t="array" ref="X21">XLOOKUP(LCARS_Off[AbilityID],RawOfficer[AbilityID],RawOfficer[AbilityTrigger])</f>
        <v>CriticalShotFired</v>
      </c>
      <c r="Y21" s="519" t="str">
        <f t="array" ref="Y21">XLOOKUP(LCARS_Off[AbilityID],RawOfficer[AbilityID],RawOfficer[AbilityTarget])</f>
        <v>EnemyShip</v>
      </c>
      <c r="Z21" s="519" t="str">
        <f t="array" ref="Z21">XLOOKUP(LCARS_Off[AbilityID],RawOfficer[AbilityID],RawOfficer[AbilityOperation])</f>
        <v>Add</v>
      </c>
      <c r="AA21" s="521" t="str">
        <f t="array" ref="AA21">XLOOKUP(LCARS_Off[AbilityID],RawOfficer[AbilityID],RawOfficer[AbilityDescription])</f>
        <v>If the ship deals a Critical Hit to the opponent's ship while it has a Hull Breach, Chang has a X chance of delaying its next weapon attack by 1 round.</v>
      </c>
      <c r="AB21" s="429" t="b">
        <v>0</v>
      </c>
      <c r="AC21" s="522" t="str">
        <f t="array" ref="AC21">XLOOKUP(LCARS_Off[AbilityID],RawOfficer[AbilityID],RawOfficer[AbilityDescriptionShort])</f>
        <v>X chance to delay opponent's weapon fire for 1 round with a Critical Hit on a Hull Breach</v>
      </c>
      <c r="AD21" s="523"/>
      <c r="AE21" s="524"/>
      <c r="AF21" s="524"/>
      <c r="AG21" s="525" t="str">
        <f t="array" ref="AG21">XLOOKUP(LCARS_Off[AbilityID],RawOfficer[AbilityID],RawOfficer[AbilityChances])</f>
        <v>0.3, 0.35, 0.4, 0.45, 0.5</v>
      </c>
      <c r="AH21" s="525" t="str">
        <f t="array" ref="AH21">XLOOKUP(LCARS_Off[AbilityID],RawOfficer[AbilityID],RawOfficer[AbilityValues])</f>
        <v>1.0, 1.0, 1.0, 1.0, 1.0</v>
      </c>
      <c r="AI21" s="428" t="b">
        <f t="array" ref="AI21">XLOOKUP(LCARS_Off[AbilityID],RawOfficer[AbilityID],RawOfficer[AbilityHasChance])</f>
        <v>1</v>
      </c>
      <c r="AJ21" s="428" t="b">
        <f t="array" ref="AJ21">XLOOKUP(LCARS_Off[AbilityID],RawOfficer[AbilityID],RawOfficer[AbilityShowPercentage])</f>
        <v>1</v>
      </c>
      <c r="AK21" s="429">
        <f t="array" ref="AK21">XLOOKUP(LCARS_Off[AbilityID],RawOfficer[AbilityID],RawOfficer[OfficerArt])</f>
        <v>9</v>
      </c>
      <c r="AL21" s="430">
        <v>2.1574135E9</v>
      </c>
      <c r="AM21" s="430">
        <f t="array" ref="AM21">XLOOKUP(LCARS_Off[AbilityID],RawOfficer[AbilityID],RawOfficer[Default Order])</f>
        <v>18</v>
      </c>
    </row>
    <row r="22">
      <c r="A22" s="429" t="str">
        <f t="array" ref="A22">LEFT(XLOOKUP(LCARS_Off[AbilityID],RawOfficer[AbilityID],RawOfficer[OfficerRarity]), 1)</f>
        <v>R</v>
      </c>
      <c r="B22" s="429"/>
      <c r="C22" s="514" t="str">
        <f t="array" ref="C22">HYPERLINK("https://stfc.space/officers/" &amp; XLOOKUP(LCARS_Off[AbilityID],RawOfficer[AbilityID],RawOfficer[OfficerId]), XLOOKUP(LCARS_Off[AbilityID],RawOfficer[AbilityID],RawOfficer[OfficerName]))</f>
        <v>KERLA</v>
      </c>
      <c r="D22" s="515" t="str">
        <f t="array" ref="D22">XLOOKUP(LCARS_Off[AbilityID],RawOfficer[AbilityID],RawOfficer[AbilityType])</f>
        <v>CM</v>
      </c>
      <c r="E22" s="516" t="str">
        <f t="array" ref="E22">XLOOKUP(LCARS_Off[AbilityID],RawOfficer[AbilityID],RawOfficer[Tag_PvPinSpace])</f>
        <v>✅</v>
      </c>
      <c r="F22" s="516" t="str">
        <f t="array" ref="F22">XLOOKUP(LCARS_Off[AbilityID],RawOfficer[AbilityID],RawOfficer[Tag_PvPStation])</f>
        <v>✅</v>
      </c>
      <c r="G22" s="516" t="str">
        <f t="array" ref="G22">XLOOKUP(LCARS_Off[AbilityID],RawOfficer[AbilityID],RawOfficer[Tag_NonArmadaHostiles])</f>
        <v>✅</v>
      </c>
      <c r="H22" s="516" t="str">
        <f t="array" ref="H22">XLOOKUP(LCARS_Off[AbilityID],RawOfficer[AbilityID],RawOfficer[Tag_WaveDefense])</f>
        <v>✅</v>
      </c>
      <c r="I22" s="516" t="str">
        <f t="array" ref="I22">XLOOKUP(LCARS_Off[AbilityID],RawOfficer[AbilityID],RawOfficer[Tag_QTrial])</f>
        <v>✅</v>
      </c>
      <c r="J22" s="516" t="str">
        <f t="array" ref="J22">XLOOKUP(LCARS_Off[AbilityID],RawOfficer[AbilityID],RawOfficer[Tag_MissionBosses])</f>
        <v>✅</v>
      </c>
      <c r="K22" s="516" t="str">
        <f t="array" ref="K22">XLOOKUP(LCARS_Off[AbilityID],RawOfficer[AbilityID],RawOfficer[Tag_GroupArmadas])</f>
        <v>✅</v>
      </c>
      <c r="L22" s="516" t="str">
        <f t="array" ref="L22">XLOOKUP(LCARS_Off[AbilityID],RawOfficer[AbilityID],RawOfficer[Tag_SoloArmadas])</f>
        <v>✅</v>
      </c>
      <c r="M22" s="516" t="str">
        <f t="array" ref="M22">XLOOKUP(LCARS_Off[AbilityID],RawOfficer[AbilityID],RawOfficer[Tag_InvadingEntities])</f>
        <v>✅</v>
      </c>
      <c r="N22" s="516" t="str">
        <f t="array" ref="N22">XLOOKUP(LCARS_Off[AbilityID],RawOfficer[AbilityID],RawOfficer[Tag_Assaults])</f>
        <v>✅</v>
      </c>
      <c r="O22" s="516" t="str">
        <f t="array" ref="O22">XLOOKUP(LCARS_Off[AbilityID],RawOfficer[AbilityID],RawOfficer[Tag_OutpostArmadas])</f>
        <v>✅</v>
      </c>
      <c r="P22" s="516" t="str">
        <f t="array" ref="P22">XLOOKUP(LCARS_Off[AbilityID],RawOfficer[AbilityID],RawOfficer[Tag_OutpostRetaliators])</f>
        <v>✅</v>
      </c>
      <c r="Q22" s="517" t="str">
        <f t="array" ref="Q22">XLOOKUP(LCARS_Off[AbilityID],RawOfficer[AbilityID],RawOfficer[Conditional_Reason])</f>
        <v/>
      </c>
      <c r="R22" s="518" t="str">
        <f t="array" ref="R22">XLOOKUP(LCARS_Off[AbilityID],RawOfficer[AbilityID],RawOfficer[Tag_Loot])</f>
        <v>➖</v>
      </c>
      <c r="S22" s="516" t="str">
        <f t="array" ref="S22">XLOOKUP(LCARS_Off[AbilityID],RawOfficer[AbilityID],RawOfficer[Tag_Utility])</f>
        <v>➖</v>
      </c>
      <c r="T22" s="429" t="str">
        <f t="array" ref="T22">XLOOKUP(LCARS_Off[AbilityID],RawOfficer[AbilityID],RawOfficer[OfficerSynergy])</f>
        <v>KLINGON PATRIOTS</v>
      </c>
      <c r="U22" s="519" t="str">
        <f t="array" ref="U22">XLOOKUP(LCARS_Off[AbilityID],RawOfficer[AbilityID],RawOfficer[AbilityModifier])</f>
        <v>ShipDodge</v>
      </c>
      <c r="V22" s="519" t="str">
        <f t="array" ref="V22">XLOOKUP(LCARS_Off[AbilityID],RawOfficer[AbilityID],RawOfficer[AbilityAttributes])</f>
        <v/>
      </c>
      <c r="W22" s="520" t="str">
        <f t="array" ref="W22">XLOOKUP(LCARS_Off[AbilityID],RawOfficer[AbilityID],RawOfficer[AbilityConditions])</f>
        <v/>
      </c>
      <c r="X22" s="519" t="str">
        <f t="array" ref="X22">XLOOKUP(LCARS_Off[AbilityID],RawOfficer[AbilityID],RawOfficer[AbilityTrigger])</f>
        <v>ShieldsDepleted</v>
      </c>
      <c r="Y22" s="519" t="str">
        <f t="array" ref="Y22">XLOOKUP(LCARS_Off[AbilityID],RawOfficer[AbilityID],RawOfficer[AbilityTarget])</f>
        <v>SelfShip</v>
      </c>
      <c r="Z22" s="519" t="str">
        <f t="array" ref="Z22">XLOOKUP(LCARS_Off[AbilityID],RawOfficer[AbilityID],RawOfficer[AbilityOperation])</f>
        <v>MultiplyAdd</v>
      </c>
      <c r="AA22" s="521" t="str">
        <f t="array" ref="AA22">XLOOKUP(LCARS_Off[AbilityID],RawOfficer[AbilityID],RawOfficer[AbilityDescription])</f>
        <v>When the shields are depleted during battle, Kerla increases the Dodge of the ship by X.</v>
      </c>
      <c r="AB22" s="429" t="b">
        <v>0</v>
      </c>
      <c r="AC22" s="522" t="str">
        <f t="array" ref="AC22">XLOOKUP(LCARS_Off[AbilityID],RawOfficer[AbilityID],RawOfficer[AbilityDescriptionShort])</f>
        <v>+X to Dodge when the Shields are depleted</v>
      </c>
      <c r="AD22" s="523"/>
      <c r="AE22" s="524"/>
      <c r="AF22" s="524"/>
      <c r="AG22" s="525" t="str">
        <f t="array" ref="AG22">XLOOKUP(LCARS_Off[AbilityID],RawOfficer[AbilityID],RawOfficer[AbilityChances])</f>
        <v>1.0, 1.0, 1.0</v>
      </c>
      <c r="AH22" s="525" t="str">
        <f t="array" ref="AH22">XLOOKUP(LCARS_Off[AbilityID],RawOfficer[AbilityID],RawOfficer[AbilityValues])</f>
        <v>0.5, 0.1, 0.25</v>
      </c>
      <c r="AI22" s="428" t="b">
        <f t="array" ref="AI22">XLOOKUP(LCARS_Off[AbilityID],RawOfficer[AbilityID],RawOfficer[AbilityHasChance])</f>
        <v>0</v>
      </c>
      <c r="AJ22" s="428" t="b">
        <f t="array" ref="AJ22">XLOOKUP(LCARS_Off[AbilityID],RawOfficer[AbilityID],RawOfficer[AbilityShowPercentage])</f>
        <v>1</v>
      </c>
      <c r="AK22" s="429">
        <f t="array" ref="AK22">XLOOKUP(LCARS_Off[AbilityID],RawOfficer[AbilityID],RawOfficer[OfficerArt])</f>
        <v>10</v>
      </c>
      <c r="AL22" s="430">
        <v>2.28933399E8</v>
      </c>
      <c r="AM22" s="430">
        <f t="array" ref="AM22">XLOOKUP(LCARS_Off[AbilityID],RawOfficer[AbilityID],RawOfficer[Default Order])</f>
        <v>19</v>
      </c>
    </row>
    <row r="23">
      <c r="A23" s="429" t="str">
        <f t="array" ref="A23">LEFT(XLOOKUP(LCARS_Off[AbilityID],RawOfficer[AbilityID],RawOfficer[OfficerRarity]), 1)</f>
        <v>R</v>
      </c>
      <c r="B23" s="429"/>
      <c r="C23" s="514" t="str">
        <f t="array" ref="C23">HYPERLINK("https://stfc.space/officers/" &amp; XLOOKUP(LCARS_Off[AbilityID],RawOfficer[AbilityID],RawOfficer[OfficerId]), XLOOKUP(LCARS_Off[AbilityID],RawOfficer[AbilityID],RawOfficer[OfficerName]))</f>
        <v>KERLA</v>
      </c>
      <c r="D23" s="515" t="str">
        <f t="array" ref="D23">XLOOKUP(LCARS_Off[AbilityID],RawOfficer[AbilityID],RawOfficer[AbilityType])</f>
        <v>OA</v>
      </c>
      <c r="E23" s="516" t="str">
        <f t="array" ref="E23">XLOOKUP(LCARS_Off[AbilityID],RawOfficer[AbilityID],RawOfficer[Tag_PvPinSpace])</f>
        <v>✴️</v>
      </c>
      <c r="F23" s="516" t="str">
        <f t="array" ref="F23">XLOOKUP(LCARS_Off[AbilityID],RawOfficer[AbilityID],RawOfficer[Tag_PvPStation])</f>
        <v>✴️</v>
      </c>
      <c r="G23" s="516" t="str">
        <f t="array" ref="G23">XLOOKUP(LCARS_Off[AbilityID],RawOfficer[AbilityID],RawOfficer[Tag_NonArmadaHostiles])</f>
        <v>✴️</v>
      </c>
      <c r="H23" s="516" t="str">
        <f t="array" ref="H23">XLOOKUP(LCARS_Off[AbilityID],RawOfficer[AbilityID],RawOfficer[Tag_WaveDefense])</f>
        <v>✴️</v>
      </c>
      <c r="I23" s="516" t="str">
        <f t="array" ref="I23">XLOOKUP(LCARS_Off[AbilityID],RawOfficer[AbilityID],RawOfficer[Tag_QTrial])</f>
        <v>✴️</v>
      </c>
      <c r="J23" s="516" t="str">
        <f t="array" ref="J23">XLOOKUP(LCARS_Off[AbilityID],RawOfficer[AbilityID],RawOfficer[Tag_MissionBosses])</f>
        <v>✴️</v>
      </c>
      <c r="K23" s="516" t="str">
        <f t="array" ref="K23">XLOOKUP(LCARS_Off[AbilityID],RawOfficer[AbilityID],RawOfficer[Tag_GroupArmadas])</f>
        <v>✴️</v>
      </c>
      <c r="L23" s="516" t="str">
        <f t="array" ref="L23">XLOOKUP(LCARS_Off[AbilityID],RawOfficer[AbilityID],RawOfficer[Tag_SoloArmadas])</f>
        <v>✴️</v>
      </c>
      <c r="M23" s="516" t="str">
        <f t="array" ref="M23">XLOOKUP(LCARS_Off[AbilityID],RawOfficer[AbilityID],RawOfficer[Tag_InvadingEntities])</f>
        <v>✴️</v>
      </c>
      <c r="N23" s="516" t="str">
        <f t="array" ref="N23">XLOOKUP(LCARS_Off[AbilityID],RawOfficer[AbilityID],RawOfficer[Tag_Assaults])</f>
        <v>✴️</v>
      </c>
      <c r="O23" s="516" t="str">
        <f t="array" ref="O23">XLOOKUP(LCARS_Off[AbilityID],RawOfficer[AbilityID],RawOfficer[Tag_OutpostArmadas])</f>
        <v>✴️</v>
      </c>
      <c r="P23" s="516" t="str">
        <f t="array" ref="P23">XLOOKUP(LCARS_Off[AbilityID],RawOfficer[AbilityID],RawOfficer[Tag_OutpostRetaliators])</f>
        <v>✴️</v>
      </c>
      <c r="Q23" s="517" t="str">
        <f t="array" ref="Q23">XLOOKUP(LCARS_Off[AbilityID],RawOfficer[AbilityID],RawOfficer[Conditional_Reason])</f>
        <v>ModuleKinetic</v>
      </c>
      <c r="R23" s="518" t="str">
        <f t="array" ref="R23">XLOOKUP(LCARS_Off[AbilityID],RawOfficer[AbilityID],RawOfficer[Tag_Loot])</f>
        <v>➖</v>
      </c>
      <c r="S23" s="516" t="str">
        <f t="array" ref="S23">XLOOKUP(LCARS_Off[AbilityID],RawOfficer[AbilityID],RawOfficer[Tag_Utility])</f>
        <v>➖</v>
      </c>
      <c r="T23" s="429" t="str">
        <f t="array" ref="T23">XLOOKUP(LCARS_Off[AbilityID],RawOfficer[AbilityID],RawOfficer[OfficerSynergy])</f>
        <v>KLINGON PATRIOTS</v>
      </c>
      <c r="U23" s="519" t="str">
        <f t="array" ref="U23">XLOOKUP(LCARS_Off[AbilityID],RawOfficer[AbilityID],RawOfficer[AbilityModifier])</f>
        <v>CritDamage</v>
      </c>
      <c r="V23" s="519" t="str">
        <f t="array" ref="V23">XLOOKUP(LCARS_Off[AbilityID],RawOfficer[AbilityID],RawOfficer[AbilityAttributes])</f>
        <v/>
      </c>
      <c r="W23" s="520" t="str">
        <f t="array" ref="W23">XLOOKUP(LCARS_Off[AbilityID],RawOfficer[AbilityID],RawOfficer[AbilityConditions])</f>
        <v>ModuleKinetic</v>
      </c>
      <c r="X23" s="519" t="str">
        <f t="array" ref="X23">XLOOKUP(LCARS_Off[AbilityID],RawOfficer[AbilityID],RawOfficer[AbilityTrigger])</f>
        <v>CombatStart</v>
      </c>
      <c r="Y23" s="519" t="str">
        <f t="array" ref="Y23">XLOOKUP(LCARS_Off[AbilityID],RawOfficer[AbilityID],RawOfficer[AbilityTarget])</f>
        <v>SelfShip</v>
      </c>
      <c r="Z23" s="519" t="str">
        <f t="array" ref="Z23">XLOOKUP(LCARS_Off[AbilityID],RawOfficer[AbilityID],RawOfficer[AbilityOperation])</f>
        <v>Add</v>
      </c>
      <c r="AA23" s="521" t="str">
        <f t="array" ref="AA23">XLOOKUP(LCARS_Off[AbilityID],RawOfficer[AbilityID],RawOfficer[AbilityDescription])</f>
        <v>Kerla increases the Critical Hit Damage by X when firing with a Kinetic Weapon.</v>
      </c>
      <c r="AB23" s="429" t="b">
        <v>0</v>
      </c>
      <c r="AC23" s="522" t="str">
        <f t="array" ref="AC23">XLOOKUP(LCARS_Off[AbilityID],RawOfficer[AbilityID],RawOfficer[AbilityDescriptionShort])</f>
        <v>+X to Critical Damage with Kinetic weapons</v>
      </c>
      <c r="AD23" s="523"/>
      <c r="AE23" s="524"/>
      <c r="AF23" s="524"/>
      <c r="AG23" s="525" t="str">
        <f t="array" ref="AG23">XLOOKUP(LCARS_Off[AbilityID],RawOfficer[AbilityID],RawOfficer[AbilityChances])</f>
        <v>1.0, 1.0, 1.0, 1.0, 1.0</v>
      </c>
      <c r="AH23" s="525" t="str">
        <f t="array" ref="AH23">XLOOKUP(LCARS_Off[AbilityID],RawOfficer[AbilityID],RawOfficer[AbilityValues])</f>
        <v>0.2, 0.25, 0.3, 0.4, 0.5</v>
      </c>
      <c r="AI23" s="428" t="b">
        <f t="array" ref="AI23">XLOOKUP(LCARS_Off[AbilityID],RawOfficer[AbilityID],RawOfficer[AbilityHasChance])</f>
        <v>0</v>
      </c>
      <c r="AJ23" s="428" t="b">
        <f t="array" ref="AJ23">XLOOKUP(LCARS_Off[AbilityID],RawOfficer[AbilityID],RawOfficer[AbilityShowPercentage])</f>
        <v>1</v>
      </c>
      <c r="AK23" s="429">
        <f t="array" ref="AK23">XLOOKUP(LCARS_Off[AbilityID],RawOfficer[AbilityID],RawOfficer[OfficerArt])</f>
        <v>10</v>
      </c>
      <c r="AL23" s="430">
        <v>1.118413176E9</v>
      </c>
      <c r="AM23" s="430">
        <f t="array" ref="AM23">XLOOKUP(LCARS_Off[AbilityID],RawOfficer[AbilityID],RawOfficer[Default Order])</f>
        <v>20</v>
      </c>
    </row>
    <row r="24">
      <c r="A24" s="429" t="str">
        <f t="array" ref="A24">LEFT(XLOOKUP(LCARS_Off[AbilityID],RawOfficer[AbilityID],RawOfficer[OfficerRarity]), 1)</f>
        <v>R</v>
      </c>
      <c r="B24" s="429"/>
      <c r="C24" s="514" t="str">
        <f t="array" ref="C24">HYPERLINK("https://stfc.space/officers/" &amp; XLOOKUP(LCARS_Off[AbilityID],RawOfficer[AbilityID],RawOfficer[OfficerId]), XLOOKUP(LCARS_Off[AbilityID],RawOfficer[AbilityID],RawOfficer[OfficerName]))</f>
        <v>AZETBUR</v>
      </c>
      <c r="D24" s="515" t="str">
        <f t="array" ref="D24">XLOOKUP(LCARS_Off[AbilityID],RawOfficer[AbilityID],RawOfficer[AbilityType])</f>
        <v>CM</v>
      </c>
      <c r="E24" s="516" t="str">
        <f t="array" ref="E24">XLOOKUP(LCARS_Off[AbilityID],RawOfficer[AbilityID],RawOfficer[Tag_PvPinSpace])</f>
        <v>✴️</v>
      </c>
      <c r="F24" s="516" t="str">
        <f t="array" ref="F24">XLOOKUP(LCARS_Off[AbilityID],RawOfficer[AbilityID],RawOfficer[Tag_PvPStation])</f>
        <v>✴️</v>
      </c>
      <c r="G24" s="516" t="str">
        <f t="array" ref="G24">XLOOKUP(LCARS_Off[AbilityID],RawOfficer[AbilityID],RawOfficer[Tag_NonArmadaHostiles])</f>
        <v>✴️</v>
      </c>
      <c r="H24" s="516" t="str">
        <f t="array" ref="H24">XLOOKUP(LCARS_Off[AbilityID],RawOfficer[AbilityID],RawOfficer[Tag_WaveDefense])</f>
        <v>✴️</v>
      </c>
      <c r="I24" s="516" t="str">
        <f t="array" ref="I24">XLOOKUP(LCARS_Off[AbilityID],RawOfficer[AbilityID],RawOfficer[Tag_QTrial])</f>
        <v>✴️</v>
      </c>
      <c r="J24" s="516" t="str">
        <f t="array" ref="J24">XLOOKUP(LCARS_Off[AbilityID],RawOfficer[AbilityID],RawOfficer[Tag_MissionBosses])</f>
        <v>✴️</v>
      </c>
      <c r="K24" s="516" t="str">
        <f t="array" ref="K24">XLOOKUP(LCARS_Off[AbilityID],RawOfficer[AbilityID],RawOfficer[Tag_GroupArmadas])</f>
        <v>✴️</v>
      </c>
      <c r="L24" s="516" t="str">
        <f t="array" ref="L24">XLOOKUP(LCARS_Off[AbilityID],RawOfficer[AbilityID],RawOfficer[Tag_SoloArmadas])</f>
        <v>✴️</v>
      </c>
      <c r="M24" s="516" t="str">
        <f t="array" ref="M24">XLOOKUP(LCARS_Off[AbilityID],RawOfficer[AbilityID],RawOfficer[Tag_InvadingEntities])</f>
        <v>✴️</v>
      </c>
      <c r="N24" s="516" t="str">
        <f t="array" ref="N24">XLOOKUP(LCARS_Off[AbilityID],RawOfficer[AbilityID],RawOfficer[Tag_Assaults])</f>
        <v>✴️</v>
      </c>
      <c r="O24" s="516" t="str">
        <f t="array" ref="O24">XLOOKUP(LCARS_Off[AbilityID],RawOfficer[AbilityID],RawOfficer[Tag_OutpostArmadas])</f>
        <v>✴️</v>
      </c>
      <c r="P24" s="516" t="str">
        <f t="array" ref="P24">XLOOKUP(LCARS_Off[AbilityID],RawOfficer[AbilityID],RawOfficer[Tag_OutpostRetaliators])</f>
        <v>✴️</v>
      </c>
      <c r="Q24" s="517" t="str">
        <f t="array" ref="Q24">XLOOKUP(LCARS_Off[AbilityID],RawOfficer[AbilityID],RawOfficer[Conditional_Reason])</f>
        <v>HitEnemyWithKinetic</v>
      </c>
      <c r="R24" s="518" t="str">
        <f t="array" ref="R24">XLOOKUP(LCARS_Off[AbilityID],RawOfficer[AbilityID],RawOfficer[Tag_Loot])</f>
        <v>➖</v>
      </c>
      <c r="S24" s="516" t="str">
        <f t="array" ref="S24">XLOOKUP(LCARS_Off[AbilityID],RawOfficer[AbilityID],RawOfficer[Tag_Utility])</f>
        <v>➖</v>
      </c>
      <c r="T24" s="429" t="str">
        <f t="array" ref="T24">XLOOKUP(LCARS_Off[AbilityID],RawOfficer[AbilityID],RawOfficer[OfficerSynergy])</f>
        <v>KLINGON PATRIOTS</v>
      </c>
      <c r="U24" s="519" t="str">
        <f t="array" ref="U24">XLOOKUP(LCARS_Off[AbilityID],RawOfficer[AbilityID],RawOfficer[AbilityModifier])</f>
        <v>AddState</v>
      </c>
      <c r="V24" s="519" t="str">
        <f t="array" ref="V24">XLOOKUP(LCARS_Off[AbilityID],RawOfficer[AbilityID],RawOfficer[AbilityAttributes])</f>
        <v>num_rounds=2, state=4</v>
      </c>
      <c r="W24" s="520" t="str">
        <f t="array" ref="W24">XLOOKUP(LCARS_Off[AbilityID],RawOfficer[AbilityID],RawOfficer[AbilityConditions])</f>
        <v>HitEnemyWithKinetic</v>
      </c>
      <c r="X24" s="519" t="str">
        <f t="array" ref="X24">XLOOKUP(LCARS_Off[AbilityID],RawOfficer[AbilityID],RawOfficer[AbilityTrigger])</f>
        <v>EnemyTakesHit</v>
      </c>
      <c r="Y24" s="519" t="str">
        <f t="array" ref="Y24">XLOOKUP(LCARS_Off[AbilityID],RawOfficer[AbilityID],RawOfficer[AbilityTarget])</f>
        <v>EnemyShip</v>
      </c>
      <c r="Z24" s="519" t="str">
        <f t="array" ref="Z24">XLOOKUP(LCARS_Off[AbilityID],RawOfficer[AbilityID],RawOfficer[AbilityOperation])</f>
        <v>Set</v>
      </c>
      <c r="AA24" s="521" t="str">
        <f t="array" ref="AA24">XLOOKUP(LCARS_Off[AbilityID],RawOfficer[AbilityID],RawOfficer[AbilityDescription])</f>
        <v>When hitting the enemy with a Kinetic weapon attack, Azetbur has a X chance of causing a Hull Breach for 2 rounds on the opponent's ship. -- (Weapons with multiple shots will only trigger this ability once per attack.)</v>
      </c>
      <c r="AB24" s="429" t="b">
        <v>0</v>
      </c>
      <c r="AC24" s="522" t="str">
        <f t="array" ref="AC24">XLOOKUP(LCARS_Off[AbilityID],RawOfficer[AbilityID],RawOfficer[AbilityDescriptionShort])</f>
        <v>X to cause a Hull Breach for 2 rounds after hitting with a kinetic weapon</v>
      </c>
      <c r="AD24" s="523"/>
      <c r="AE24" s="524"/>
      <c r="AF24" s="524"/>
      <c r="AG24" s="525" t="str">
        <f t="array" ref="AG24">XLOOKUP(LCARS_Off[AbilityID],RawOfficer[AbilityID],RawOfficer[AbilityChances])</f>
        <v>0.2, 0.05, 0.15</v>
      </c>
      <c r="AH24" s="525" t="str">
        <f t="array" ref="AH24">XLOOKUP(LCARS_Off[AbilityID],RawOfficer[AbilityID],RawOfficer[AbilityValues])</f>
        <v>1.0, 1.0, 1.0</v>
      </c>
      <c r="AI24" s="428" t="b">
        <f t="array" ref="AI24">XLOOKUP(LCARS_Off[AbilityID],RawOfficer[AbilityID],RawOfficer[AbilityHasChance])</f>
        <v>1</v>
      </c>
      <c r="AJ24" s="428" t="b">
        <f t="array" ref="AJ24">XLOOKUP(LCARS_Off[AbilityID],RawOfficer[AbilityID],RawOfficer[AbilityShowPercentage])</f>
        <v>1</v>
      </c>
      <c r="AK24" s="429">
        <f t="array" ref="AK24">XLOOKUP(LCARS_Off[AbilityID],RawOfficer[AbilityID],RawOfficer[OfficerArt])</f>
        <v>11</v>
      </c>
      <c r="AL24" s="430">
        <v>1.262973132E9</v>
      </c>
      <c r="AM24" s="430">
        <f t="array" ref="AM24">XLOOKUP(LCARS_Off[AbilityID],RawOfficer[AbilityID],RawOfficer[Default Order])</f>
        <v>21</v>
      </c>
    </row>
    <row r="25">
      <c r="A25" s="429" t="str">
        <f t="array" ref="A25">LEFT(XLOOKUP(LCARS_Off[AbilityID],RawOfficer[AbilityID],RawOfficer[OfficerRarity]), 1)</f>
        <v>R</v>
      </c>
      <c r="B25" s="429"/>
      <c r="C25" s="514" t="str">
        <f t="array" ref="C25">HYPERLINK("https://stfc.space/officers/" &amp; XLOOKUP(LCARS_Off[AbilityID],RawOfficer[AbilityID],RawOfficer[OfficerId]), XLOOKUP(LCARS_Off[AbilityID],RawOfficer[AbilityID],RawOfficer[OfficerName]))</f>
        <v>AZETBUR</v>
      </c>
      <c r="D25" s="515" t="str">
        <f t="array" ref="D25">XLOOKUP(LCARS_Off[AbilityID],RawOfficer[AbilityID],RawOfficer[AbilityType])</f>
        <v>OA</v>
      </c>
      <c r="E25" s="516" t="str">
        <f t="array" ref="E25">XLOOKUP(LCARS_Off[AbilityID],RawOfficer[AbilityID],RawOfficer[Tag_PvPinSpace])</f>
        <v>✅</v>
      </c>
      <c r="F25" s="516" t="str">
        <f t="array" ref="F25">XLOOKUP(LCARS_Off[AbilityID],RawOfficer[AbilityID],RawOfficer[Tag_PvPStation])</f>
        <v>✅</v>
      </c>
      <c r="G25" s="516" t="str">
        <f t="array" ref="G25">XLOOKUP(LCARS_Off[AbilityID],RawOfficer[AbilityID],RawOfficer[Tag_NonArmadaHostiles])</f>
        <v>✅</v>
      </c>
      <c r="H25" s="516" t="str">
        <f t="array" ref="H25">XLOOKUP(LCARS_Off[AbilityID],RawOfficer[AbilityID],RawOfficer[Tag_WaveDefense])</f>
        <v>✅</v>
      </c>
      <c r="I25" s="516" t="str">
        <f t="array" ref="I25">XLOOKUP(LCARS_Off[AbilityID],RawOfficer[AbilityID],RawOfficer[Tag_QTrial])</f>
        <v>✅</v>
      </c>
      <c r="J25" s="516" t="str">
        <f t="array" ref="J25">XLOOKUP(LCARS_Off[AbilityID],RawOfficer[AbilityID],RawOfficer[Tag_MissionBosses])</f>
        <v>✅</v>
      </c>
      <c r="K25" s="516" t="str">
        <f t="array" ref="K25">XLOOKUP(LCARS_Off[AbilityID],RawOfficer[AbilityID],RawOfficer[Tag_GroupArmadas])</f>
        <v>✅</v>
      </c>
      <c r="L25" s="516" t="str">
        <f t="array" ref="L25">XLOOKUP(LCARS_Off[AbilityID],RawOfficer[AbilityID],RawOfficer[Tag_SoloArmadas])</f>
        <v>✅</v>
      </c>
      <c r="M25" s="516" t="str">
        <f t="array" ref="M25">XLOOKUP(LCARS_Off[AbilityID],RawOfficer[AbilityID],RawOfficer[Tag_InvadingEntities])</f>
        <v>✅</v>
      </c>
      <c r="N25" s="516" t="str">
        <f t="array" ref="N25">XLOOKUP(LCARS_Off[AbilityID],RawOfficer[AbilityID],RawOfficer[Tag_Assaults])</f>
        <v>✅</v>
      </c>
      <c r="O25" s="516" t="str">
        <f t="array" ref="O25">XLOOKUP(LCARS_Off[AbilityID],RawOfficer[AbilityID],RawOfficer[Tag_OutpostArmadas])</f>
        <v>✅</v>
      </c>
      <c r="P25" s="516" t="str">
        <f t="array" ref="P25">XLOOKUP(LCARS_Off[AbilityID],RawOfficer[AbilityID],RawOfficer[Tag_OutpostRetaliators])</f>
        <v>✅</v>
      </c>
      <c r="Q25" s="517" t="str">
        <f t="array" ref="Q25">XLOOKUP(LCARS_Off[AbilityID],RawOfficer[AbilityID],RawOfficer[Conditional_Reason])</f>
        <v/>
      </c>
      <c r="R25" s="518" t="str">
        <f t="array" ref="R25">XLOOKUP(LCARS_Off[AbilityID],RawOfficer[AbilityID],RawOfficer[Tag_Loot])</f>
        <v>➖</v>
      </c>
      <c r="S25" s="516" t="str">
        <f t="array" ref="S25">XLOOKUP(LCARS_Off[AbilityID],RawOfficer[AbilityID],RawOfficer[Tag_Utility])</f>
        <v>➖</v>
      </c>
      <c r="T25" s="429" t="str">
        <f t="array" ref="T25">XLOOKUP(LCARS_Off[AbilityID],RawOfficer[AbilityID],RawOfficer[OfficerSynergy])</f>
        <v>KLINGON PATRIOTS</v>
      </c>
      <c r="U25" s="519" t="str">
        <f t="array" ref="U25">XLOOKUP(LCARS_Off[AbilityID],RawOfficer[AbilityID],RawOfficer[AbilityModifier])</f>
        <v>ArmorPiercing</v>
      </c>
      <c r="V25" s="519" t="str">
        <f t="array" ref="V25">XLOOKUP(LCARS_Off[AbilityID],RawOfficer[AbilityID],RawOfficer[AbilityAttributes])</f>
        <v/>
      </c>
      <c r="W25" s="520" t="str">
        <f t="array" ref="W25">XLOOKUP(LCARS_Off[AbilityID],RawOfficer[AbilityID],RawOfficer[AbilityConditions])</f>
        <v/>
      </c>
      <c r="X25" s="519" t="str">
        <f t="array" ref="X25">XLOOKUP(LCARS_Off[AbilityID],RawOfficer[AbilityID],RawOfficer[AbilityTrigger])</f>
        <v>EnemyTakesHit</v>
      </c>
      <c r="Y25" s="519" t="str">
        <f t="array" ref="Y25">XLOOKUP(LCARS_Off[AbilityID],RawOfficer[AbilityID],RawOfficer[AbilityTarget])</f>
        <v>SelfShip</v>
      </c>
      <c r="Z25" s="519" t="str">
        <f t="array" ref="Z25">XLOOKUP(LCARS_Off[AbilityID],RawOfficer[AbilityID],RawOfficer[AbilityOperation])</f>
        <v>MultiplyAdd</v>
      </c>
      <c r="AA25" s="521" t="str">
        <f t="array" ref="AA25">XLOOKUP(LCARS_Off[AbilityID],RawOfficer[AbilityID],RawOfficer[AbilityDescription])</f>
        <v>Every time the ship hits the opponent with a weapon attack, Azetbur increases the Armor Piercing of the ship by X. -- (Weapons with multiple shots will only trigger this ability once per attack.)</v>
      </c>
      <c r="AB25" s="429" t="b">
        <v>0</v>
      </c>
      <c r="AC25" s="522" t="str">
        <f t="array" ref="AC25">XLOOKUP(LCARS_Off[AbilityID],RawOfficer[AbilityID],RawOfficer[AbilityDescriptionShort])</f>
        <v>+X To Armor Piercing every time the ship hits</v>
      </c>
      <c r="AD25" s="523"/>
      <c r="AE25" s="524"/>
      <c r="AF25" s="524"/>
      <c r="AG25" s="525" t="str">
        <f t="array" ref="AG25">XLOOKUP(LCARS_Off[AbilityID],RawOfficer[AbilityID],RawOfficer[AbilityChances])</f>
        <v>1.0, 1.0, 1.0, 1.0, 1.0</v>
      </c>
      <c r="AH25" s="525" t="str">
        <f t="array" ref="AH25">XLOOKUP(LCARS_Off[AbilityID],RawOfficer[AbilityID],RawOfficer[AbilityValues])</f>
        <v>0.1, 0.15, 0.2, 0.3, 0.4</v>
      </c>
      <c r="AI25" s="428" t="b">
        <f t="array" ref="AI25">XLOOKUP(LCARS_Off[AbilityID],RawOfficer[AbilityID],RawOfficer[AbilityHasChance])</f>
        <v>0</v>
      </c>
      <c r="AJ25" s="428" t="b">
        <f t="array" ref="AJ25">XLOOKUP(LCARS_Off[AbilityID],RawOfficer[AbilityID],RawOfficer[AbilityShowPercentage])</f>
        <v>1</v>
      </c>
      <c r="AK25" s="429">
        <f t="array" ref="AK25">XLOOKUP(LCARS_Off[AbilityID],RawOfficer[AbilityID],RawOfficer[OfficerArt])</f>
        <v>11</v>
      </c>
      <c r="AL25" s="430">
        <v>3.301945997E9</v>
      </c>
      <c r="AM25" s="430">
        <f t="array" ref="AM25">XLOOKUP(LCARS_Off[AbilityID],RawOfficer[AbilityID],RawOfficer[Default Order])</f>
        <v>22</v>
      </c>
    </row>
    <row r="26">
      <c r="A26" s="429" t="str">
        <f t="array" ref="A26">LEFT(XLOOKUP(LCARS_Off[AbilityID],RawOfficer[AbilityID],RawOfficer[OfficerRarity]), 1)</f>
        <v>U</v>
      </c>
      <c r="B26" s="429"/>
      <c r="C26" s="514" t="str">
        <f t="array" ref="C26">HYPERLINK("https://stfc.space/officers/" &amp; XLOOKUP(LCARS_Off[AbilityID],RawOfficer[AbilityID],RawOfficer[OfficerId]), XLOOKUP(LCARS_Off[AbilityID],RawOfficer[AbilityID],RawOfficer[OfficerName]))</f>
        <v>KOTH</v>
      </c>
      <c r="D26" s="515" t="str">
        <f t="array" ref="D26">XLOOKUP(LCARS_Off[AbilityID],RawOfficer[AbilityID],RawOfficer[AbilityType])</f>
        <v>CM</v>
      </c>
      <c r="E26" s="516" t="str">
        <f t="array" ref="E26">XLOOKUP(LCARS_Off[AbilityID],RawOfficer[AbilityID],RawOfficer[Tag_PvPinSpace])</f>
        <v>➖</v>
      </c>
      <c r="F26" s="516" t="str">
        <f t="array" ref="F26">XLOOKUP(LCARS_Off[AbilityID],RawOfficer[AbilityID],RawOfficer[Tag_PvPStation])</f>
        <v>➖</v>
      </c>
      <c r="G26" s="516" t="str">
        <f t="array" ref="G26">XLOOKUP(LCARS_Off[AbilityID],RawOfficer[AbilityID],RawOfficer[Tag_NonArmadaHostiles])</f>
        <v>➖</v>
      </c>
      <c r="H26" s="516" t="str">
        <f t="array" ref="H26">XLOOKUP(LCARS_Off[AbilityID],RawOfficer[AbilityID],RawOfficer[Tag_WaveDefense])</f>
        <v>➖</v>
      </c>
      <c r="I26" s="516" t="str">
        <f t="array" ref="I26">XLOOKUP(LCARS_Off[AbilityID],RawOfficer[AbilityID],RawOfficer[Tag_QTrial])</f>
        <v>➖</v>
      </c>
      <c r="J26" s="516" t="str">
        <f t="array" ref="J26">XLOOKUP(LCARS_Off[AbilityID],RawOfficer[AbilityID],RawOfficer[Tag_MissionBosses])</f>
        <v>➖</v>
      </c>
      <c r="K26" s="516" t="str">
        <f t="array" ref="K26">XLOOKUP(LCARS_Off[AbilityID],RawOfficer[AbilityID],RawOfficer[Tag_GroupArmadas])</f>
        <v>➖</v>
      </c>
      <c r="L26" s="516" t="str">
        <f t="array" ref="L26">XLOOKUP(LCARS_Off[AbilityID],RawOfficer[AbilityID],RawOfficer[Tag_SoloArmadas])</f>
        <v>➖</v>
      </c>
      <c r="M26" s="516" t="str">
        <f t="array" ref="M26">XLOOKUP(LCARS_Off[AbilityID],RawOfficer[AbilityID],RawOfficer[Tag_InvadingEntities])</f>
        <v>➖</v>
      </c>
      <c r="N26" s="516" t="str">
        <f t="array" ref="N26">XLOOKUP(LCARS_Off[AbilityID],RawOfficer[AbilityID],RawOfficer[Tag_Assaults])</f>
        <v>➖</v>
      </c>
      <c r="O26" s="516" t="str">
        <f t="array" ref="O26">XLOOKUP(LCARS_Off[AbilityID],RawOfficer[AbilityID],RawOfficer[Tag_OutpostArmadas])</f>
        <v>➖</v>
      </c>
      <c r="P26" s="516" t="str">
        <f t="array" ref="P26">XLOOKUP(LCARS_Off[AbilityID],RawOfficer[AbilityID],RawOfficer[Tag_OutpostRetaliators])</f>
        <v>➖</v>
      </c>
      <c r="Q26" s="517" t="str">
        <f t="array" ref="Q26">XLOOKUP(LCARS_Off[AbilityID],RawOfficer[AbilityID],RawOfficer[Conditional_Reason])</f>
        <v/>
      </c>
      <c r="R26" s="518" t="str">
        <f t="array" ref="R26">XLOOKUP(LCARS_Off[AbilityID],RawOfficer[AbilityID],RawOfficer[Tag_Loot])</f>
        <v>➖</v>
      </c>
      <c r="S26" s="516" t="str">
        <f t="array" ref="S26">XLOOKUP(LCARS_Off[AbilityID],RawOfficer[AbilityID],RawOfficer[Tag_Utility])</f>
        <v>✅</v>
      </c>
      <c r="T26" s="429" t="str">
        <f t="array" ref="T26">XLOOKUP(LCARS_Off[AbilityID],RawOfficer[AbilityID],RawOfficer[OfficerSynergy])</f>
        <v>KLINGON PATRIOTS</v>
      </c>
      <c r="U26" s="519" t="str">
        <f t="array" ref="U26">XLOOKUP(LCARS_Off[AbilityID],RawOfficer[AbilityID],RawOfficer[AbilityModifier])</f>
        <v>RepairTime</v>
      </c>
      <c r="V26" s="519" t="str">
        <f t="array" ref="V26">XLOOKUP(LCARS_Off[AbilityID],RawOfficer[AbilityID],RawOfficer[AbilityAttributes])</f>
        <v/>
      </c>
      <c r="W26" s="520" t="str">
        <f t="array" ref="W26">XLOOKUP(LCARS_Off[AbilityID],RawOfficer[AbilityID],RawOfficer[AbilityConditions])</f>
        <v>SelfInterceptor</v>
      </c>
      <c r="X26" s="519" t="str">
        <f t="array" ref="X26">XLOOKUP(LCARS_Off[AbilityID],RawOfficer[AbilityID],RawOfficer[AbilityTrigger])</f>
        <v>ShipRecalled</v>
      </c>
      <c r="Y26" s="519" t="str">
        <f t="array" ref="Y26">XLOOKUP(LCARS_Off[AbilityID],RawOfficer[AbilityID],RawOfficer[AbilityTarget])</f>
        <v>SelfShip</v>
      </c>
      <c r="Z26" s="519" t="str">
        <f t="array" ref="Z26">XLOOKUP(LCARS_Off[AbilityID],RawOfficer[AbilityID],RawOfficer[AbilityOperation])</f>
        <v>MultiplyAdd</v>
      </c>
      <c r="AA26" s="521" t="str">
        <f t="array" ref="AA26">XLOOKUP(LCARS_Off[AbilityID],RawOfficer[AbilityID],RawOfficer[AbilityDescription])</f>
        <v>Koth decreases the time needed to repair the ship by X if it is an Interceptor.</v>
      </c>
      <c r="AB26" s="429" t="b">
        <v>0</v>
      </c>
      <c r="AC26" s="522" t="str">
        <f t="array" ref="AC26">XLOOKUP(LCARS_Off[AbilityID],RawOfficer[AbilityID],RawOfficer[AbilityDescriptionShort])</f>
        <v>+X to Repair speed on this ship if it is an Interceptor</v>
      </c>
      <c r="AD26" s="523"/>
      <c r="AE26" s="524"/>
      <c r="AF26" s="524"/>
      <c r="AG26" s="525" t="str">
        <f t="array" ref="AG26">XLOOKUP(LCARS_Off[AbilityID],RawOfficer[AbilityID],RawOfficer[AbilityChances])</f>
        <v>1.0, 1.0, 1.0</v>
      </c>
      <c r="AH26" s="525" t="str">
        <f t="array" ref="AH26">XLOOKUP(LCARS_Off[AbilityID],RawOfficer[AbilityID],RawOfficer[AbilityValues])</f>
        <v>0.2, 0.05, 0.1</v>
      </c>
      <c r="AI26" s="428" t="b">
        <f t="array" ref="AI26">XLOOKUP(LCARS_Off[AbilityID],RawOfficer[AbilityID],RawOfficer[AbilityHasChance])</f>
        <v>0</v>
      </c>
      <c r="AJ26" s="428" t="b">
        <f t="array" ref="AJ26">XLOOKUP(LCARS_Off[AbilityID],RawOfficer[AbilityID],RawOfficer[AbilityShowPercentage])</f>
        <v>1</v>
      </c>
      <c r="AK26" s="429">
        <f t="array" ref="AK26">XLOOKUP(LCARS_Off[AbilityID],RawOfficer[AbilityID],RawOfficer[OfficerArt])</f>
        <v>12</v>
      </c>
      <c r="AL26" s="430">
        <v>2.092278144E9</v>
      </c>
      <c r="AM26" s="430">
        <f t="array" ref="AM26">XLOOKUP(LCARS_Off[AbilityID],RawOfficer[AbilityID],RawOfficer[Default Order])</f>
        <v>23</v>
      </c>
    </row>
    <row r="27">
      <c r="A27" s="429" t="str">
        <f t="array" ref="A27">LEFT(XLOOKUP(LCARS_Off[AbilityID],RawOfficer[AbilityID],RawOfficer[OfficerRarity]), 1)</f>
        <v>U</v>
      </c>
      <c r="B27" s="429"/>
      <c r="C27" s="514" t="str">
        <f t="array" ref="C27">HYPERLINK("https://stfc.space/officers/" &amp; XLOOKUP(LCARS_Off[AbilityID],RawOfficer[AbilityID],RawOfficer[OfficerId]), XLOOKUP(LCARS_Off[AbilityID],RawOfficer[AbilityID],RawOfficer[OfficerName]))</f>
        <v>KOTH</v>
      </c>
      <c r="D27" s="515" t="str">
        <f t="array" ref="D27">XLOOKUP(LCARS_Off[AbilityID],RawOfficer[AbilityID],RawOfficer[AbilityType])</f>
        <v>OA</v>
      </c>
      <c r="E27" s="516" t="str">
        <f t="array" ref="E27">XLOOKUP(LCARS_Off[AbilityID],RawOfficer[AbilityID],RawOfficer[Tag_PvPinSpace])</f>
        <v>✴️</v>
      </c>
      <c r="F27" s="516" t="str">
        <f t="array" ref="F27">XLOOKUP(LCARS_Off[AbilityID],RawOfficer[AbilityID],RawOfficer[Tag_PvPStation])</f>
        <v>✴️</v>
      </c>
      <c r="G27" s="516" t="str">
        <f t="array" ref="G27">XLOOKUP(LCARS_Off[AbilityID],RawOfficer[AbilityID],RawOfficer[Tag_NonArmadaHostiles])</f>
        <v>✴️</v>
      </c>
      <c r="H27" s="516" t="str">
        <f t="array" ref="H27">XLOOKUP(LCARS_Off[AbilityID],RawOfficer[AbilityID],RawOfficer[Tag_WaveDefense])</f>
        <v>✴️</v>
      </c>
      <c r="I27" s="516" t="str">
        <f t="array" ref="I27">XLOOKUP(LCARS_Off[AbilityID],RawOfficer[AbilityID],RawOfficer[Tag_QTrial])</f>
        <v>✴️</v>
      </c>
      <c r="J27" s="516" t="str">
        <f t="array" ref="J27">XLOOKUP(LCARS_Off[AbilityID],RawOfficer[AbilityID],RawOfficer[Tag_MissionBosses])</f>
        <v>✴️</v>
      </c>
      <c r="K27" s="516" t="str">
        <f t="array" ref="K27">XLOOKUP(LCARS_Off[AbilityID],RawOfficer[AbilityID],RawOfficer[Tag_GroupArmadas])</f>
        <v>✴️</v>
      </c>
      <c r="L27" s="516" t="str">
        <f t="array" ref="L27">XLOOKUP(LCARS_Off[AbilityID],RawOfficer[AbilityID],RawOfficer[Tag_SoloArmadas])</f>
        <v>✴️</v>
      </c>
      <c r="M27" s="516" t="str">
        <f t="array" ref="M27">XLOOKUP(LCARS_Off[AbilityID],RawOfficer[AbilityID],RawOfficer[Tag_InvadingEntities])</f>
        <v>✴️</v>
      </c>
      <c r="N27" s="516" t="str">
        <f t="array" ref="N27">XLOOKUP(LCARS_Off[AbilityID],RawOfficer[AbilityID],RawOfficer[Tag_Assaults])</f>
        <v>✴️</v>
      </c>
      <c r="O27" s="516" t="str">
        <f t="array" ref="O27">XLOOKUP(LCARS_Off[AbilityID],RawOfficer[AbilityID],RawOfficer[Tag_OutpostArmadas])</f>
        <v>✴️</v>
      </c>
      <c r="P27" s="516" t="str">
        <f t="array" ref="P27">XLOOKUP(LCARS_Off[AbilityID],RawOfficer[AbilityID],RawOfficer[Tag_OutpostRetaliators])</f>
        <v>✴️</v>
      </c>
      <c r="Q27" s="517" t="str">
        <f t="array" ref="Q27">XLOOKUP(LCARS_Off[AbilityID],RawOfficer[AbilityID],RawOfficer[Conditional_Reason])</f>
        <v>ModuleKinetic, TargetHasHullBreach</v>
      </c>
      <c r="R27" s="518" t="str">
        <f t="array" ref="R27">XLOOKUP(LCARS_Off[AbilityID],RawOfficer[AbilityID],RawOfficer[Tag_Loot])</f>
        <v>➖</v>
      </c>
      <c r="S27" s="516" t="str">
        <f t="array" ref="S27">XLOOKUP(LCARS_Off[AbilityID],RawOfficer[AbilityID],RawOfficer[Tag_Utility])</f>
        <v>➖</v>
      </c>
      <c r="T27" s="429" t="str">
        <f t="array" ref="T27">XLOOKUP(LCARS_Off[AbilityID],RawOfficer[AbilityID],RawOfficer[OfficerSynergy])</f>
        <v>KLINGON PATRIOTS</v>
      </c>
      <c r="U27" s="519" t="str">
        <f t="array" ref="U27">XLOOKUP(LCARS_Off[AbilityID],RawOfficer[AbilityID],RawOfficer[AbilityModifier])</f>
        <v>AllDamage</v>
      </c>
      <c r="V27" s="519" t="str">
        <f t="array" ref="V27">XLOOKUP(LCARS_Off[AbilityID],RawOfficer[AbilityID],RawOfficer[AbilityAttributes])</f>
        <v/>
      </c>
      <c r="W27" s="520" t="str">
        <f t="array" ref="W27">XLOOKUP(LCARS_Off[AbilityID],RawOfficer[AbilityID],RawOfficer[AbilityConditions])</f>
        <v>ModuleKinetic, TargetHasHullBreach</v>
      </c>
      <c r="X27" s="519" t="str">
        <f t="array" ref="X27">XLOOKUP(LCARS_Off[AbilityID],RawOfficer[AbilityID],RawOfficer[AbilityTrigger])</f>
        <v>RoundStart</v>
      </c>
      <c r="Y27" s="519" t="str">
        <f t="array" ref="Y27">XLOOKUP(LCARS_Off[AbilityID],RawOfficer[AbilityID],RawOfficer[AbilityTarget])</f>
        <v>SelfShip</v>
      </c>
      <c r="Z27" s="519" t="str">
        <f t="array" ref="Z27">XLOOKUP(LCARS_Off[AbilityID],RawOfficer[AbilityID],RawOfficer[AbilityOperation])</f>
        <v>MultiplyAdd</v>
      </c>
      <c r="AA27" s="521" t="str">
        <f t="array" ref="AA27">XLOOKUP(LCARS_Off[AbilityID],RawOfficer[AbilityID],RawOfficer[AbilityDescription])</f>
        <v>As long as the opponent's ship has a Hull Breach, Koth increases the damage dealt by Kinetic Weapons by X.</v>
      </c>
      <c r="AB27" s="429" t="b">
        <v>0</v>
      </c>
      <c r="AC27" s="522" t="str">
        <f t="array" ref="AC27">XLOOKUP(LCARS_Off[AbilityID],RawOfficer[AbilityID],RawOfficer[AbilityDescriptionShort])</f>
        <v>+X to Kinetic damage while the opponent has a Hull Breach</v>
      </c>
      <c r="AD27" s="523"/>
      <c r="AE27" s="524"/>
      <c r="AF27" s="524"/>
      <c r="AG27" s="525" t="str">
        <f t="array" ref="AG27">XLOOKUP(LCARS_Off[AbilityID],RawOfficer[AbilityID],RawOfficer[AbilityChances])</f>
        <v>1.0, 1.0, 1.0, 1.0, 1.0</v>
      </c>
      <c r="AH27" s="525" t="str">
        <f t="array" ref="AH27">XLOOKUP(LCARS_Off[AbilityID],RawOfficer[AbilityID],RawOfficer[AbilityValues])</f>
        <v>0.05, 0.1, 0.15, 0.2, 0.25</v>
      </c>
      <c r="AI27" s="428" t="b">
        <f t="array" ref="AI27">XLOOKUP(LCARS_Off[AbilityID],RawOfficer[AbilityID],RawOfficer[AbilityHasChance])</f>
        <v>0</v>
      </c>
      <c r="AJ27" s="428" t="b">
        <f t="array" ref="AJ27">XLOOKUP(LCARS_Off[AbilityID],RawOfficer[AbilityID],RawOfficer[AbilityShowPercentage])</f>
        <v>1</v>
      </c>
      <c r="AK27" s="429">
        <f t="array" ref="AK27">XLOOKUP(LCARS_Off[AbilityID],RawOfficer[AbilityID],RawOfficer[OfficerArt])</f>
        <v>12</v>
      </c>
      <c r="AL27" s="430">
        <v>1.880351032E9</v>
      </c>
      <c r="AM27" s="430">
        <f t="array" ref="AM27">XLOOKUP(LCARS_Off[AbilityID],RawOfficer[AbilityID],RawOfficer[Default Order])</f>
        <v>24</v>
      </c>
    </row>
    <row r="28">
      <c r="A28" s="429" t="str">
        <f t="array" ref="A28">LEFT(XLOOKUP(LCARS_Off[AbilityID],RawOfficer[AbilityID],RawOfficer[OfficerRarity]), 1)</f>
        <v>U</v>
      </c>
      <c r="B28" s="429"/>
      <c r="C28" s="514" t="str">
        <f t="array" ref="C28">HYPERLINK("https://stfc.space/officers/" &amp; XLOOKUP(LCARS_Off[AbilityID],RawOfficer[AbilityID],RawOfficer[OfficerId]), XLOOKUP(LCARS_Off[AbilityID],RawOfficer[AbilityID],RawOfficer[OfficerName]))</f>
        <v>WOTELN</v>
      </c>
      <c r="D28" s="515" t="str">
        <f t="array" ref="D28">XLOOKUP(LCARS_Off[AbilityID],RawOfficer[AbilityID],RawOfficer[AbilityType])</f>
        <v>CM</v>
      </c>
      <c r="E28" s="516" t="str">
        <f t="array" ref="E28">XLOOKUP(LCARS_Off[AbilityID],RawOfficer[AbilityID],RawOfficer[Tag_PvPinSpace])</f>
        <v>✴️</v>
      </c>
      <c r="F28" s="516" t="str">
        <f t="array" ref="F28">XLOOKUP(LCARS_Off[AbilityID],RawOfficer[AbilityID],RawOfficer[Tag_PvPStation])</f>
        <v>✴️</v>
      </c>
      <c r="G28" s="516" t="str">
        <f t="array" ref="G28">XLOOKUP(LCARS_Off[AbilityID],RawOfficer[AbilityID],RawOfficer[Tag_NonArmadaHostiles])</f>
        <v>✴️</v>
      </c>
      <c r="H28" s="516" t="str">
        <f t="array" ref="H28">XLOOKUP(LCARS_Off[AbilityID],RawOfficer[AbilityID],RawOfficer[Tag_WaveDefense])</f>
        <v>✴️</v>
      </c>
      <c r="I28" s="516" t="str">
        <f t="array" ref="I28">XLOOKUP(LCARS_Off[AbilityID],RawOfficer[AbilityID],RawOfficer[Tag_QTrial])</f>
        <v>✴️</v>
      </c>
      <c r="J28" s="516" t="str">
        <f t="array" ref="J28">XLOOKUP(LCARS_Off[AbilityID],RawOfficer[AbilityID],RawOfficer[Tag_MissionBosses])</f>
        <v>✴️</v>
      </c>
      <c r="K28" s="516" t="str">
        <f t="array" ref="K28">XLOOKUP(LCARS_Off[AbilityID],RawOfficer[AbilityID],RawOfficer[Tag_GroupArmadas])</f>
        <v>✴️</v>
      </c>
      <c r="L28" s="516" t="str">
        <f t="array" ref="L28">XLOOKUP(LCARS_Off[AbilityID],RawOfficer[AbilityID],RawOfficer[Tag_SoloArmadas])</f>
        <v>✴️</v>
      </c>
      <c r="M28" s="516" t="str">
        <f t="array" ref="M28">XLOOKUP(LCARS_Off[AbilityID],RawOfficer[AbilityID],RawOfficer[Tag_InvadingEntities])</f>
        <v>✴️</v>
      </c>
      <c r="N28" s="516" t="str">
        <f t="array" ref="N28">XLOOKUP(LCARS_Off[AbilityID],RawOfficer[AbilityID],RawOfficer[Tag_Assaults])</f>
        <v>✴️</v>
      </c>
      <c r="O28" s="516" t="str">
        <f t="array" ref="O28">XLOOKUP(LCARS_Off[AbilityID],RawOfficer[AbilityID],RawOfficer[Tag_OutpostArmadas])</f>
        <v>✴️</v>
      </c>
      <c r="P28" s="516" t="str">
        <f t="array" ref="P28">XLOOKUP(LCARS_Off[AbilityID],RawOfficer[AbilityID],RawOfficer[Tag_OutpostRetaliators])</f>
        <v>✴️</v>
      </c>
      <c r="Q28" s="517" t="str">
        <f t="array" ref="Q28">XLOOKUP(LCARS_Off[AbilityID],RawOfficer[AbilityID],RawOfficer[Conditional_Reason])</f>
        <v>EnemyBattleship</v>
      </c>
      <c r="R28" s="518" t="str">
        <f t="array" ref="R28">XLOOKUP(LCARS_Off[AbilityID],RawOfficer[AbilityID],RawOfficer[Tag_Loot])</f>
        <v>➖</v>
      </c>
      <c r="S28" s="516" t="str">
        <f t="array" ref="S28">XLOOKUP(LCARS_Off[AbilityID],RawOfficer[AbilityID],RawOfficer[Tag_Utility])</f>
        <v>➖</v>
      </c>
      <c r="T28" s="429" t="str">
        <f t="array" ref="T28">XLOOKUP(LCARS_Off[AbilityID],RawOfficer[AbilityID],RawOfficer[OfficerSynergy])</f>
        <v>KLINGON PATRIOTS</v>
      </c>
      <c r="U28" s="519" t="str">
        <f t="array" ref="U28">XLOOKUP(LCARS_Off[AbilityID],RawOfficer[AbilityID],RawOfficer[AbilityModifier])</f>
        <v>AllDamage</v>
      </c>
      <c r="V28" s="519" t="str">
        <f t="array" ref="V28">XLOOKUP(LCARS_Off[AbilityID],RawOfficer[AbilityID],RawOfficer[AbilityAttributes])</f>
        <v/>
      </c>
      <c r="W28" s="520" t="str">
        <f t="array" ref="W28">XLOOKUP(LCARS_Off[AbilityID],RawOfficer[AbilityID],RawOfficer[AbilityConditions])</f>
        <v>EnemyBattleship</v>
      </c>
      <c r="X28" s="519" t="str">
        <f t="array" ref="X28">XLOOKUP(LCARS_Off[AbilityID],RawOfficer[AbilityID],RawOfficer[AbilityTrigger])</f>
        <v>CombatStart</v>
      </c>
      <c r="Y28" s="519" t="str">
        <f t="array" ref="Y28">XLOOKUP(LCARS_Off[AbilityID],RawOfficer[AbilityID],RawOfficer[AbilityTarget])</f>
        <v>SelfShip</v>
      </c>
      <c r="Z28" s="519" t="str">
        <f t="array" ref="Z28">XLOOKUP(LCARS_Off[AbilityID],RawOfficer[AbilityID],RawOfficer[AbilityOperation])</f>
        <v>MultiplyAdd</v>
      </c>
      <c r="AA28" s="521" t="str">
        <f t="array" ref="AA28">XLOOKUP(LCARS_Off[AbilityID],RawOfficer[AbilityID],RawOfficer[AbilityDescription])</f>
        <v>If the opponent's ship is a Battleship, Woteln increases the Damage of the weapons by X.</v>
      </c>
      <c r="AB28" s="429" t="b">
        <v>0</v>
      </c>
      <c r="AC28" s="522" t="str">
        <f t="array" ref="AC28">XLOOKUP(LCARS_Off[AbilityID],RawOfficer[AbilityID],RawOfficer[AbilityDescriptionShort])</f>
        <v>+X to Damage if the opponent is a Battleship</v>
      </c>
      <c r="AD28" s="523"/>
      <c r="AE28" s="524"/>
      <c r="AF28" s="524"/>
      <c r="AG28" s="525" t="str">
        <f t="array" ref="AG28">XLOOKUP(LCARS_Off[AbilityID],RawOfficer[AbilityID],RawOfficer[AbilityChances])</f>
        <v>1.0, 1.0, 1.0</v>
      </c>
      <c r="AH28" s="525" t="str">
        <f t="array" ref="AH28">XLOOKUP(LCARS_Off[AbilityID],RawOfficer[AbilityID],RawOfficer[AbilityValues])</f>
        <v>0.1, 0.05, 0.1</v>
      </c>
      <c r="AI28" s="428" t="b">
        <f t="array" ref="AI28">XLOOKUP(LCARS_Off[AbilityID],RawOfficer[AbilityID],RawOfficer[AbilityHasChance])</f>
        <v>0</v>
      </c>
      <c r="AJ28" s="428" t="b">
        <f t="array" ref="AJ28">XLOOKUP(LCARS_Off[AbilityID],RawOfficer[AbilityID],RawOfficer[AbilityShowPercentage])</f>
        <v>1</v>
      </c>
      <c r="AK28" s="429">
        <f t="array" ref="AK28">XLOOKUP(LCARS_Off[AbilityID],RawOfficer[AbilityID],RawOfficer[OfficerArt])</f>
        <v>13</v>
      </c>
      <c r="AL28" s="430">
        <v>4.287045306E9</v>
      </c>
      <c r="AM28" s="430">
        <f t="array" ref="AM28">XLOOKUP(LCARS_Off[AbilityID],RawOfficer[AbilityID],RawOfficer[Default Order])</f>
        <v>25</v>
      </c>
    </row>
    <row r="29">
      <c r="A29" s="429" t="str">
        <f t="array" ref="A29">LEFT(XLOOKUP(LCARS_Off[AbilityID],RawOfficer[AbilityID],RawOfficer[OfficerRarity]), 1)</f>
        <v>U</v>
      </c>
      <c r="B29" s="429"/>
      <c r="C29" s="514" t="str">
        <f t="array" ref="C29">HYPERLINK("https://stfc.space/officers/" &amp; XLOOKUP(LCARS_Off[AbilityID],RawOfficer[AbilityID],RawOfficer[OfficerId]), XLOOKUP(LCARS_Off[AbilityID],RawOfficer[AbilityID],RawOfficer[OfficerName]))</f>
        <v>WOTELN</v>
      </c>
      <c r="D29" s="515" t="str">
        <f t="array" ref="D29">XLOOKUP(LCARS_Off[AbilityID],RawOfficer[AbilityID],RawOfficer[AbilityType])</f>
        <v>OA</v>
      </c>
      <c r="E29" s="516" t="str">
        <f t="array" ref="E29">XLOOKUP(LCARS_Off[AbilityID],RawOfficer[AbilityID],RawOfficer[Tag_PvPinSpace])</f>
        <v>✴️</v>
      </c>
      <c r="F29" s="516" t="str">
        <f t="array" ref="F29">XLOOKUP(LCARS_Off[AbilityID],RawOfficer[AbilityID],RawOfficer[Tag_PvPStation])</f>
        <v>✴️</v>
      </c>
      <c r="G29" s="516" t="str">
        <f t="array" ref="G29">XLOOKUP(LCARS_Off[AbilityID],RawOfficer[AbilityID],RawOfficer[Tag_NonArmadaHostiles])</f>
        <v>✴️</v>
      </c>
      <c r="H29" s="516" t="str">
        <f t="array" ref="H29">XLOOKUP(LCARS_Off[AbilityID],RawOfficer[AbilityID],RawOfficer[Tag_WaveDefense])</f>
        <v>✴️</v>
      </c>
      <c r="I29" s="516" t="str">
        <f t="array" ref="I29">XLOOKUP(LCARS_Off[AbilityID],RawOfficer[AbilityID],RawOfficer[Tag_QTrial])</f>
        <v>✴️</v>
      </c>
      <c r="J29" s="516" t="str">
        <f t="array" ref="J29">XLOOKUP(LCARS_Off[AbilityID],RawOfficer[AbilityID],RawOfficer[Tag_MissionBosses])</f>
        <v>✴️</v>
      </c>
      <c r="K29" s="516" t="str">
        <f t="array" ref="K29">XLOOKUP(LCARS_Off[AbilityID],RawOfficer[AbilityID],RawOfficer[Tag_GroupArmadas])</f>
        <v>✴️</v>
      </c>
      <c r="L29" s="516" t="str">
        <f t="array" ref="L29">XLOOKUP(LCARS_Off[AbilityID],RawOfficer[AbilityID],RawOfficer[Tag_SoloArmadas])</f>
        <v>✴️</v>
      </c>
      <c r="M29" s="516" t="str">
        <f t="array" ref="M29">XLOOKUP(LCARS_Off[AbilityID],RawOfficer[AbilityID],RawOfficer[Tag_InvadingEntities])</f>
        <v>✴️</v>
      </c>
      <c r="N29" s="516" t="str">
        <f t="array" ref="N29">XLOOKUP(LCARS_Off[AbilityID],RawOfficer[AbilityID],RawOfficer[Tag_Assaults])</f>
        <v>✴️</v>
      </c>
      <c r="O29" s="516" t="str">
        <f t="array" ref="O29">XLOOKUP(LCARS_Off[AbilityID],RawOfficer[AbilityID],RawOfficer[Tag_OutpostArmadas])</f>
        <v>✴️</v>
      </c>
      <c r="P29" s="516" t="str">
        <f t="array" ref="P29">XLOOKUP(LCARS_Off[AbilityID],RawOfficer[AbilityID],RawOfficer[Tag_OutpostRetaliators])</f>
        <v>✴️</v>
      </c>
      <c r="Q29" s="517" t="str">
        <f t="array" ref="Q29">XLOOKUP(LCARS_Off[AbilityID],RawOfficer[AbilityID],RawOfficer[Conditional_Reason])</f>
        <v>SelfInterceptor</v>
      </c>
      <c r="R29" s="518" t="str">
        <f t="array" ref="R29">XLOOKUP(LCARS_Off[AbilityID],RawOfficer[AbilityID],RawOfficer[Tag_Loot])</f>
        <v>➖</v>
      </c>
      <c r="S29" s="516" t="str">
        <f t="array" ref="S29">XLOOKUP(LCARS_Off[AbilityID],RawOfficer[AbilityID],RawOfficer[Tag_Utility])</f>
        <v>➖</v>
      </c>
      <c r="T29" s="429" t="str">
        <f t="array" ref="T29">XLOOKUP(LCARS_Off[AbilityID],RawOfficer[AbilityID],RawOfficer[OfficerSynergy])</f>
        <v>KLINGON PATRIOTS</v>
      </c>
      <c r="U29" s="519" t="str">
        <f t="array" ref="U29">XLOOKUP(LCARS_Off[AbilityID],RawOfficer[AbilityID],RawOfficer[AbilityModifier])</f>
        <v>ShipDodge</v>
      </c>
      <c r="V29" s="519" t="str">
        <f t="array" ref="V29">XLOOKUP(LCARS_Off[AbilityID],RawOfficer[AbilityID],RawOfficer[AbilityAttributes])</f>
        <v/>
      </c>
      <c r="W29" s="520" t="str">
        <f t="array" ref="W29">XLOOKUP(LCARS_Off[AbilityID],RawOfficer[AbilityID],RawOfficer[AbilityConditions])</f>
        <v>SelfInterceptor</v>
      </c>
      <c r="X29" s="519" t="str">
        <f t="array" ref="X29">XLOOKUP(LCARS_Off[AbilityID],RawOfficer[AbilityID],RawOfficer[AbilityTrigger])</f>
        <v>ShipLaunched</v>
      </c>
      <c r="Y29" s="519" t="str">
        <f t="array" ref="Y29">XLOOKUP(LCARS_Off[AbilityID],RawOfficer[AbilityID],RawOfficer[AbilityTarget])</f>
        <v>SelfShip</v>
      </c>
      <c r="Z29" s="519" t="str">
        <f t="array" ref="Z29">XLOOKUP(LCARS_Off[AbilityID],RawOfficer[AbilityID],RawOfficer[AbilityOperation])</f>
        <v>MultiplyAdd</v>
      </c>
      <c r="AA29" s="521" t="str">
        <f t="array" ref="AA29">XLOOKUP(LCARS_Off[AbilityID],RawOfficer[AbilityID],RawOfficer[AbilityDescription])</f>
        <v>If the ship is an Interceptor, Woteln increases its Dodge value by X.</v>
      </c>
      <c r="AB29" s="429" t="b">
        <v>0</v>
      </c>
      <c r="AC29" s="522" t="str">
        <f t="array" ref="AC29">XLOOKUP(LCARS_Off[AbilityID],RawOfficer[AbilityID],RawOfficer[AbilityDescriptionShort])</f>
        <v>+X to Dodge when aboard an Interceptor</v>
      </c>
      <c r="AD29" s="523"/>
      <c r="AE29" s="524"/>
      <c r="AF29" s="524"/>
      <c r="AG29" s="525" t="str">
        <f t="array" ref="AG29">XLOOKUP(LCARS_Off[AbilityID],RawOfficer[AbilityID],RawOfficer[AbilityChances])</f>
        <v>1.0, 1.0, 1.0, 1.0, 1.0</v>
      </c>
      <c r="AH29" s="525" t="str">
        <f t="array" ref="AH29">XLOOKUP(LCARS_Off[AbilityID],RawOfficer[AbilityID],RawOfficer[AbilityValues])</f>
        <v>0.15, 0.2, 0.25, 0.3, 0.4</v>
      </c>
      <c r="AI29" s="428" t="b">
        <f t="array" ref="AI29">XLOOKUP(LCARS_Off[AbilityID],RawOfficer[AbilityID],RawOfficer[AbilityHasChance])</f>
        <v>0</v>
      </c>
      <c r="AJ29" s="428" t="b">
        <f t="array" ref="AJ29">XLOOKUP(LCARS_Off[AbilityID],RawOfficer[AbilityID],RawOfficer[AbilityShowPercentage])</f>
        <v>1</v>
      </c>
      <c r="AK29" s="429">
        <f t="array" ref="AK29">XLOOKUP(LCARS_Off[AbilityID],RawOfficer[AbilityID],RawOfficer[OfficerArt])</f>
        <v>13</v>
      </c>
      <c r="AL29" s="430">
        <v>2.75923455E9</v>
      </c>
      <c r="AM29" s="430">
        <f t="array" ref="AM29">XLOOKUP(LCARS_Off[AbilityID],RawOfficer[AbilityID],RawOfficer[Default Order])</f>
        <v>26</v>
      </c>
    </row>
    <row r="30">
      <c r="A30" s="429" t="str">
        <f t="array" ref="A30">LEFT(XLOOKUP(LCARS_Off[AbilityID],RawOfficer[AbilityID],RawOfficer[OfficerRarity]), 1)</f>
        <v>U</v>
      </c>
      <c r="B30" s="429"/>
      <c r="C30" s="514" t="str">
        <f t="array" ref="C30">HYPERLINK("https://stfc.space/officers/" &amp; XLOOKUP(LCARS_Off[AbilityID],RawOfficer[AbilityID],RawOfficer[OfficerId]), XLOOKUP(LCARS_Off[AbilityID],RawOfficer[AbilityID],RawOfficer[OfficerName]))</f>
        <v>M'RAL</v>
      </c>
      <c r="D30" s="515" t="str">
        <f t="array" ref="D30">XLOOKUP(LCARS_Off[AbilityID],RawOfficer[AbilityID],RawOfficer[AbilityType])</f>
        <v>CM</v>
      </c>
      <c r="E30" s="516" t="str">
        <f t="array" ref="E30">XLOOKUP(LCARS_Off[AbilityID],RawOfficer[AbilityID],RawOfficer[Tag_PvPinSpace])</f>
        <v>✅</v>
      </c>
      <c r="F30" s="516" t="str">
        <f t="array" ref="F30">XLOOKUP(LCARS_Off[AbilityID],RawOfficer[AbilityID],RawOfficer[Tag_PvPStation])</f>
        <v>✅</v>
      </c>
      <c r="G30" s="516" t="str">
        <f t="array" ref="G30">XLOOKUP(LCARS_Off[AbilityID],RawOfficer[AbilityID],RawOfficer[Tag_NonArmadaHostiles])</f>
        <v>✅</v>
      </c>
      <c r="H30" s="516" t="str">
        <f t="array" ref="H30">XLOOKUP(LCARS_Off[AbilityID],RawOfficer[AbilityID],RawOfficer[Tag_WaveDefense])</f>
        <v>✅</v>
      </c>
      <c r="I30" s="516" t="str">
        <f t="array" ref="I30">XLOOKUP(LCARS_Off[AbilityID],RawOfficer[AbilityID],RawOfficer[Tag_QTrial])</f>
        <v>✅</v>
      </c>
      <c r="J30" s="516" t="str">
        <f t="array" ref="J30">XLOOKUP(LCARS_Off[AbilityID],RawOfficer[AbilityID],RawOfficer[Tag_MissionBosses])</f>
        <v>✅</v>
      </c>
      <c r="K30" s="516" t="str">
        <f t="array" ref="K30">XLOOKUP(LCARS_Off[AbilityID],RawOfficer[AbilityID],RawOfficer[Tag_GroupArmadas])</f>
        <v>✅</v>
      </c>
      <c r="L30" s="516" t="str">
        <f t="array" ref="L30">XLOOKUP(LCARS_Off[AbilityID],RawOfficer[AbilityID],RawOfficer[Tag_SoloArmadas])</f>
        <v>✅</v>
      </c>
      <c r="M30" s="516" t="str">
        <f t="array" ref="M30">XLOOKUP(LCARS_Off[AbilityID],RawOfficer[AbilityID],RawOfficer[Tag_InvadingEntities])</f>
        <v>✅</v>
      </c>
      <c r="N30" s="516" t="str">
        <f t="array" ref="N30">XLOOKUP(LCARS_Off[AbilityID],RawOfficer[AbilityID],RawOfficer[Tag_Assaults])</f>
        <v>✅</v>
      </c>
      <c r="O30" s="516" t="str">
        <f t="array" ref="O30">XLOOKUP(LCARS_Off[AbilityID],RawOfficer[AbilityID],RawOfficer[Tag_OutpostArmadas])</f>
        <v>✅</v>
      </c>
      <c r="P30" s="516" t="str">
        <f t="array" ref="P30">XLOOKUP(LCARS_Off[AbilityID],RawOfficer[AbilityID],RawOfficer[Tag_OutpostRetaliators])</f>
        <v>✅</v>
      </c>
      <c r="Q30" s="517" t="str">
        <f t="array" ref="Q30">XLOOKUP(LCARS_Off[AbilityID],RawOfficer[AbilityID],RawOfficer[Conditional_Reason])</f>
        <v/>
      </c>
      <c r="R30" s="518" t="str">
        <f t="array" ref="R30">XLOOKUP(LCARS_Off[AbilityID],RawOfficer[AbilityID],RawOfficer[Tag_Loot])</f>
        <v>➖</v>
      </c>
      <c r="S30" s="516" t="str">
        <f t="array" ref="S30">XLOOKUP(LCARS_Off[AbilityID],RawOfficer[AbilityID],RawOfficer[Tag_Utility])</f>
        <v>➖</v>
      </c>
      <c r="T30" s="429" t="str">
        <f t="array" ref="T30">XLOOKUP(LCARS_Off[AbilityID],RawOfficer[AbilityID],RawOfficer[OfficerSynergy])</f>
        <v>KLINGON PATRIOTS</v>
      </c>
      <c r="U30" s="519" t="str">
        <f t="array" ref="U30">XLOOKUP(LCARS_Off[AbilityID],RawOfficer[AbilityID],RawOfficer[AbilityModifier])</f>
        <v>ArmorPiercing</v>
      </c>
      <c r="V30" s="519" t="str">
        <f t="array" ref="V30">XLOOKUP(LCARS_Off[AbilityID],RawOfficer[AbilityID],RawOfficer[AbilityAttributes])</f>
        <v/>
      </c>
      <c r="W30" s="520" t="str">
        <f t="array" ref="W30">XLOOKUP(LCARS_Off[AbilityID],RawOfficer[AbilityID],RawOfficer[AbilityConditions])</f>
        <v/>
      </c>
      <c r="X30" s="519" t="str">
        <f t="array" ref="X30">XLOOKUP(LCARS_Off[AbilityID],RawOfficer[AbilityID],RawOfficer[AbilityTrigger])</f>
        <v>ShipLaunched</v>
      </c>
      <c r="Y30" s="519" t="str">
        <f t="array" ref="Y30">XLOOKUP(LCARS_Off[AbilityID],RawOfficer[AbilityID],RawOfficer[AbilityTarget])</f>
        <v>SelfShip</v>
      </c>
      <c r="Z30" s="519" t="str">
        <f t="array" ref="Z30">XLOOKUP(LCARS_Off[AbilityID],RawOfficer[AbilityID],RawOfficer[AbilityOperation])</f>
        <v>MultiplyAdd</v>
      </c>
      <c r="AA30" s="521" t="str">
        <f t="array" ref="AA30">XLOOKUP(LCARS_Off[AbilityID],RawOfficer[AbilityID],RawOfficer[AbilityDescription])</f>
        <v>M'ral increases the Armor Piercing of the ship by X.</v>
      </c>
      <c r="AB30" s="429" t="b">
        <v>0</v>
      </c>
      <c r="AC30" s="522" t="str">
        <f t="array" ref="AC30">XLOOKUP(LCARS_Off[AbilityID],RawOfficer[AbilityID],RawOfficer[AbilityDescriptionShort])</f>
        <v>+X to Armor Piercing</v>
      </c>
      <c r="AD30" s="523"/>
      <c r="AE30" s="524"/>
      <c r="AF30" s="524"/>
      <c r="AG30" s="525" t="str">
        <f t="array" ref="AG30">XLOOKUP(LCARS_Off[AbilityID],RawOfficer[AbilityID],RawOfficer[AbilityChances])</f>
        <v>1.0, 1.0, 1.0</v>
      </c>
      <c r="AH30" s="525" t="str">
        <f t="array" ref="AH30">XLOOKUP(LCARS_Off[AbilityID],RawOfficer[AbilityID],RawOfficer[AbilityValues])</f>
        <v>0.2, 0.05, 0.1</v>
      </c>
      <c r="AI30" s="428" t="b">
        <f t="array" ref="AI30">XLOOKUP(LCARS_Off[AbilityID],RawOfficer[AbilityID],RawOfficer[AbilityHasChance])</f>
        <v>0</v>
      </c>
      <c r="AJ30" s="428" t="b">
        <f t="array" ref="AJ30">XLOOKUP(LCARS_Off[AbilityID],RawOfficer[AbilityID],RawOfficer[AbilityShowPercentage])</f>
        <v>1</v>
      </c>
      <c r="AK30" s="429">
        <f t="array" ref="AK30">XLOOKUP(LCARS_Off[AbilityID],RawOfficer[AbilityID],RawOfficer[OfficerArt])</f>
        <v>14</v>
      </c>
      <c r="AL30" s="430">
        <v>5.08362235E8</v>
      </c>
      <c r="AM30" s="430">
        <f t="array" ref="AM30">XLOOKUP(LCARS_Off[AbilityID],RawOfficer[AbilityID],RawOfficer[Default Order])</f>
        <v>27</v>
      </c>
    </row>
    <row r="31">
      <c r="A31" s="429" t="str">
        <f t="array" ref="A31">LEFT(XLOOKUP(LCARS_Off[AbilityID],RawOfficer[AbilityID],RawOfficer[OfficerRarity]), 1)</f>
        <v>U</v>
      </c>
      <c r="B31" s="429"/>
      <c r="C31" s="514" t="str">
        <f t="array" ref="C31">HYPERLINK("https://stfc.space/officers/" &amp; XLOOKUP(LCARS_Off[AbilityID],RawOfficer[AbilityID],RawOfficer[OfficerId]), XLOOKUP(LCARS_Off[AbilityID],RawOfficer[AbilityID],RawOfficer[OfficerName]))</f>
        <v>M'RAL</v>
      </c>
      <c r="D31" s="515" t="str">
        <f t="array" ref="D31">XLOOKUP(LCARS_Off[AbilityID],RawOfficer[AbilityID],RawOfficer[AbilityType])</f>
        <v>OA</v>
      </c>
      <c r="E31" s="516" t="str">
        <f t="array" ref="E31">XLOOKUP(LCARS_Off[AbilityID],RawOfficer[AbilityID],RawOfficer[Tag_PvPinSpace])</f>
        <v>✅</v>
      </c>
      <c r="F31" s="516" t="str">
        <f t="array" ref="F31">XLOOKUP(LCARS_Off[AbilityID],RawOfficer[AbilityID],RawOfficer[Tag_PvPStation])</f>
        <v>✅</v>
      </c>
      <c r="G31" s="516" t="str">
        <f t="array" ref="G31">XLOOKUP(LCARS_Off[AbilityID],RawOfficer[AbilityID],RawOfficer[Tag_NonArmadaHostiles])</f>
        <v>✅</v>
      </c>
      <c r="H31" s="516" t="str">
        <f t="array" ref="H31">XLOOKUP(LCARS_Off[AbilityID],RawOfficer[AbilityID],RawOfficer[Tag_WaveDefense])</f>
        <v>✅</v>
      </c>
      <c r="I31" s="516" t="str">
        <f t="array" ref="I31">XLOOKUP(LCARS_Off[AbilityID],RawOfficer[AbilityID],RawOfficer[Tag_QTrial])</f>
        <v>✅</v>
      </c>
      <c r="J31" s="516" t="str">
        <f t="array" ref="J31">XLOOKUP(LCARS_Off[AbilityID],RawOfficer[AbilityID],RawOfficer[Tag_MissionBosses])</f>
        <v>✅</v>
      </c>
      <c r="K31" s="516" t="str">
        <f t="array" ref="K31">XLOOKUP(LCARS_Off[AbilityID],RawOfficer[AbilityID],RawOfficer[Tag_GroupArmadas])</f>
        <v>✅</v>
      </c>
      <c r="L31" s="516" t="str">
        <f t="array" ref="L31">XLOOKUP(LCARS_Off[AbilityID],RawOfficer[AbilityID],RawOfficer[Tag_SoloArmadas])</f>
        <v>✅</v>
      </c>
      <c r="M31" s="516" t="str">
        <f t="array" ref="M31">XLOOKUP(LCARS_Off[AbilityID],RawOfficer[AbilityID],RawOfficer[Tag_InvadingEntities])</f>
        <v>✅</v>
      </c>
      <c r="N31" s="516" t="str">
        <f t="array" ref="N31">XLOOKUP(LCARS_Off[AbilityID],RawOfficer[AbilityID],RawOfficer[Tag_Assaults])</f>
        <v>✅</v>
      </c>
      <c r="O31" s="516" t="str">
        <f t="array" ref="O31">XLOOKUP(LCARS_Off[AbilityID],RawOfficer[AbilityID],RawOfficer[Tag_OutpostArmadas])</f>
        <v>✅</v>
      </c>
      <c r="P31" s="516" t="str">
        <f t="array" ref="P31">XLOOKUP(LCARS_Off[AbilityID],RawOfficer[AbilityID],RawOfficer[Tag_OutpostRetaliators])</f>
        <v>✅</v>
      </c>
      <c r="Q31" s="517" t="str">
        <f t="array" ref="Q31">XLOOKUP(LCARS_Off[AbilityID],RawOfficer[AbilityID],RawOfficer[Conditional_Reason])</f>
        <v/>
      </c>
      <c r="R31" s="518" t="str">
        <f t="array" ref="R31">XLOOKUP(LCARS_Off[AbilityID],RawOfficer[AbilityID],RawOfficer[Tag_Loot])</f>
        <v>➖</v>
      </c>
      <c r="S31" s="516" t="str">
        <f t="array" ref="S31">XLOOKUP(LCARS_Off[AbilityID],RawOfficer[AbilityID],RawOfficer[Tag_Utility])</f>
        <v>➖</v>
      </c>
      <c r="T31" s="429" t="str">
        <f t="array" ref="T31">XLOOKUP(LCARS_Off[AbilityID],RawOfficer[AbilityID],RawOfficer[OfficerSynergy])</f>
        <v>KLINGON PATRIOTS</v>
      </c>
      <c r="U31" s="519" t="str">
        <f t="array" ref="U31">XLOOKUP(LCARS_Off[AbilityID],RawOfficer[AbilityID],RawOfficer[AbilityModifier])</f>
        <v>OfficerStatAttack</v>
      </c>
      <c r="V31" s="519" t="str">
        <f t="array" ref="V31">XLOOKUP(LCARS_Off[AbilityID],RawOfficer[AbilityID],RawOfficer[AbilityAttributes])</f>
        <v/>
      </c>
      <c r="W31" s="520" t="str">
        <f t="array" ref="W31">XLOOKUP(LCARS_Off[AbilityID],RawOfficer[AbilityID],RawOfficer[AbilityConditions])</f>
        <v/>
      </c>
      <c r="X31" s="519" t="str">
        <f t="array" ref="X31">XLOOKUP(LCARS_Off[AbilityID],RawOfficer[AbilityID],RawOfficer[AbilityTrigger])</f>
        <v>ShipLaunched</v>
      </c>
      <c r="Y31" s="519" t="str">
        <f t="array" ref="Y31">XLOOKUP(LCARS_Off[AbilityID],RawOfficer[AbilityID],RawOfficer[AbilityTarget])</f>
        <v>SelfBridge</v>
      </c>
      <c r="Z31" s="519" t="str">
        <f t="array" ref="Z31">XLOOKUP(LCARS_Off[AbilityID],RawOfficer[AbilityID],RawOfficer[AbilityOperation])</f>
        <v>MultiplyAdd</v>
      </c>
      <c r="AA31" s="521" t="str">
        <f t="array" ref="AA31">XLOOKUP(LCARS_Off[AbilityID],RawOfficer[AbilityID],RawOfficer[AbilityDescription])</f>
        <v>M'ral increases the total Attack of all Officers on the bridge by X.</v>
      </c>
      <c r="AB31" s="429" t="b">
        <v>0</v>
      </c>
      <c r="AC31" s="522" t="str">
        <f t="array" ref="AC31">XLOOKUP(LCARS_Off[AbilityID],RawOfficer[AbilityID],RawOfficer[AbilityDescriptionShort])</f>
        <v>+X bonus to the Attack of the bridge Officers</v>
      </c>
      <c r="AD31" s="523"/>
      <c r="AE31" s="524"/>
      <c r="AF31" s="524"/>
      <c r="AG31" s="525" t="str">
        <f t="array" ref="AG31">XLOOKUP(LCARS_Off[AbilityID],RawOfficer[AbilityID],RawOfficer[AbilityChances])</f>
        <v>1.0, 1.0, 1.0, 1.0, 1.0</v>
      </c>
      <c r="AH31" s="525" t="str">
        <f t="array" ref="AH31">XLOOKUP(LCARS_Off[AbilityID],RawOfficer[AbilityID],RawOfficer[AbilityValues])</f>
        <v>0.1, 0.15, 0.2, 0.25, 0.3</v>
      </c>
      <c r="AI31" s="428" t="b">
        <f t="array" ref="AI31">XLOOKUP(LCARS_Off[AbilityID],RawOfficer[AbilityID],RawOfficer[AbilityHasChance])</f>
        <v>0</v>
      </c>
      <c r="AJ31" s="428" t="b">
        <f t="array" ref="AJ31">XLOOKUP(LCARS_Off[AbilityID],RawOfficer[AbilityID],RawOfficer[AbilityShowPercentage])</f>
        <v>1</v>
      </c>
      <c r="AK31" s="429">
        <f t="array" ref="AK31">XLOOKUP(LCARS_Off[AbilityID],RawOfficer[AbilityID],RawOfficer[OfficerArt])</f>
        <v>14</v>
      </c>
      <c r="AL31" s="430">
        <v>1.987416811E9</v>
      </c>
      <c r="AM31" s="430">
        <f t="array" ref="AM31">XLOOKUP(LCARS_Off[AbilityID],RawOfficer[AbilityID],RawOfficer[Default Order])</f>
        <v>28</v>
      </c>
    </row>
    <row r="32">
      <c r="A32" s="429" t="str">
        <f t="array" ref="A32">LEFT(XLOOKUP(LCARS_Off[AbilityID],RawOfficer[AbilityID],RawOfficer[OfficerRarity]), 1)</f>
        <v>E</v>
      </c>
      <c r="B32" s="429"/>
      <c r="C32" s="514" t="str">
        <f t="array" ref="C32">HYPERLINK("https://stfc.space/officers/" &amp; XLOOKUP(LCARS_Off[AbilityID],RawOfficer[AbilityID],RawOfficer[OfficerId]), XLOOKUP(LCARS_Off[AbilityID],RawOfficer[AbilityID],RawOfficer[OfficerName]))</f>
        <v>NERO</v>
      </c>
      <c r="D32" s="515" t="str">
        <f t="array" ref="D32">XLOOKUP(LCARS_Off[AbilityID],RawOfficer[AbilityID],RawOfficer[AbilityType])</f>
        <v>CM</v>
      </c>
      <c r="E32" s="516" t="str">
        <f t="array" ref="E32">XLOOKUP(LCARS_Off[AbilityID],RawOfficer[AbilityID],RawOfficer[Tag_PvPinSpace])</f>
        <v>✴️</v>
      </c>
      <c r="F32" s="516" t="str">
        <f t="array" ref="F32">XLOOKUP(LCARS_Off[AbilityID],RawOfficer[AbilityID],RawOfficer[Tag_PvPStation])</f>
        <v>✴️</v>
      </c>
      <c r="G32" s="516" t="str">
        <f t="array" ref="G32">XLOOKUP(LCARS_Off[AbilityID],RawOfficer[AbilityID],RawOfficer[Tag_NonArmadaHostiles])</f>
        <v>✴️</v>
      </c>
      <c r="H32" s="516" t="str">
        <f t="array" ref="H32">XLOOKUP(LCARS_Off[AbilityID],RawOfficer[AbilityID],RawOfficer[Tag_WaveDefense])</f>
        <v>✴️</v>
      </c>
      <c r="I32" s="516" t="str">
        <f t="array" ref="I32">XLOOKUP(LCARS_Off[AbilityID],RawOfficer[AbilityID],RawOfficer[Tag_QTrial])</f>
        <v>✴️</v>
      </c>
      <c r="J32" s="516" t="str">
        <f t="array" ref="J32">XLOOKUP(LCARS_Off[AbilityID],RawOfficer[AbilityID],RawOfficer[Tag_MissionBosses])</f>
        <v>✴️</v>
      </c>
      <c r="K32" s="516" t="str">
        <f t="array" ref="K32">XLOOKUP(LCARS_Off[AbilityID],RawOfficer[AbilityID],RawOfficer[Tag_GroupArmadas])</f>
        <v>✴️</v>
      </c>
      <c r="L32" s="516" t="str">
        <f t="array" ref="L32">XLOOKUP(LCARS_Off[AbilityID],RawOfficer[AbilityID],RawOfficer[Tag_SoloArmadas])</f>
        <v>✴️</v>
      </c>
      <c r="M32" s="516" t="str">
        <f t="array" ref="M32">XLOOKUP(LCARS_Off[AbilityID],RawOfficer[AbilityID],RawOfficer[Tag_InvadingEntities])</f>
        <v>✴️</v>
      </c>
      <c r="N32" s="516" t="str">
        <f t="array" ref="N32">XLOOKUP(LCARS_Off[AbilityID],RawOfficer[AbilityID],RawOfficer[Tag_Assaults])</f>
        <v>✴️</v>
      </c>
      <c r="O32" s="516" t="str">
        <f t="array" ref="O32">XLOOKUP(LCARS_Off[AbilityID],RawOfficer[AbilityID],RawOfficer[Tag_OutpostArmadas])</f>
        <v>✴️</v>
      </c>
      <c r="P32" s="516" t="str">
        <f t="array" ref="P32">XLOOKUP(LCARS_Off[AbilityID],RawOfficer[AbilityID],RawOfficer[Tag_OutpostRetaliators])</f>
        <v>✴️</v>
      </c>
      <c r="Q32" s="517" t="str">
        <f t="array" ref="Q32">XLOOKUP(LCARS_Off[AbilityID],RawOfficer[AbilityID],RawOfficer[Conditional_Reason])</f>
        <v>TargetHasBurning</v>
      </c>
      <c r="R32" s="518" t="str">
        <f t="array" ref="R32">XLOOKUP(LCARS_Off[AbilityID],RawOfficer[AbilityID],RawOfficer[Tag_Loot])</f>
        <v>➖</v>
      </c>
      <c r="S32" s="516" t="str">
        <f t="array" ref="S32">XLOOKUP(LCARS_Off[AbilityID],RawOfficer[AbilityID],RawOfficer[Tag_Utility])</f>
        <v>➖</v>
      </c>
      <c r="T32" s="429" t="str">
        <f t="array" ref="T32">XLOOKUP(LCARS_Off[AbilityID],RawOfficer[AbilityID],RawOfficer[OfficerSynergy])</f>
        <v>NERO'S CREW</v>
      </c>
      <c r="U32" s="519" t="str">
        <f t="array" ref="U32">XLOOKUP(LCARS_Off[AbilityID],RawOfficer[AbilityID],RawOfficer[AbilityModifier])</f>
        <v>AllDamage</v>
      </c>
      <c r="V32" s="519" t="str">
        <f t="array" ref="V32">XLOOKUP(LCARS_Off[AbilityID],RawOfficer[AbilityID],RawOfficer[AbilityAttributes])</f>
        <v>num_rounds=1</v>
      </c>
      <c r="W32" s="520" t="str">
        <f t="array" ref="W32">XLOOKUP(LCARS_Off[AbilityID],RawOfficer[AbilityID],RawOfficer[AbilityConditions])</f>
        <v>TargetHasBurning</v>
      </c>
      <c r="X32" s="519" t="str">
        <f t="array" ref="X32">XLOOKUP(LCARS_Off[AbilityID],RawOfficer[AbilityID],RawOfficer[AbilityTrigger])</f>
        <v>RoundStart</v>
      </c>
      <c r="Y32" s="519" t="str">
        <f t="array" ref="Y32">XLOOKUP(LCARS_Off[AbilityID],RawOfficer[AbilityID],RawOfficer[AbilityTarget])</f>
        <v>SelfShip</v>
      </c>
      <c r="Z32" s="519" t="str">
        <f t="array" ref="Z32">XLOOKUP(LCARS_Off[AbilityID],RawOfficer[AbilityID],RawOfficer[AbilityOperation])</f>
        <v>MultiplyAdd</v>
      </c>
      <c r="AA32" s="521" t="str">
        <f t="array" ref="AA32">XLOOKUP(LCARS_Off[AbilityID],RawOfficer[AbilityID],RawOfficer[AbilityDescription])</f>
        <v>At the beginning of each round, if the opponent's ship is Burning, Nero increases the Damage of the weapons by X.</v>
      </c>
      <c r="AB32" s="429" t="b">
        <v>0</v>
      </c>
      <c r="AC32" s="522" t="str">
        <f t="array" ref="AC32">XLOOKUP(LCARS_Off[AbilityID],RawOfficer[AbilityID],RawOfficer[AbilityDescriptionShort])</f>
        <v>+X to Damage when the enemy ship is Burning</v>
      </c>
      <c r="AD32" s="523"/>
      <c r="AE32" s="524"/>
      <c r="AF32" s="524"/>
      <c r="AG32" s="525" t="str">
        <f t="array" ref="AG32">XLOOKUP(LCARS_Off[AbilityID],RawOfficer[AbilityID],RawOfficer[AbilityChances])</f>
        <v>1.0, 1.0, 1.0</v>
      </c>
      <c r="AH32" s="525" t="str">
        <f t="array" ref="AH32">XLOOKUP(LCARS_Off[AbilityID],RawOfficer[AbilityID],RawOfficer[AbilityValues])</f>
        <v>0.4, 0.1, 0.2</v>
      </c>
      <c r="AI32" s="428" t="b">
        <f t="array" ref="AI32">XLOOKUP(LCARS_Off[AbilityID],RawOfficer[AbilityID],RawOfficer[AbilityHasChance])</f>
        <v>0</v>
      </c>
      <c r="AJ32" s="428" t="b">
        <f t="array" ref="AJ32">XLOOKUP(LCARS_Off[AbilityID],RawOfficer[AbilityID],RawOfficer[AbilityShowPercentage])</f>
        <v>1</v>
      </c>
      <c r="AK32" s="429">
        <f t="array" ref="AK32">XLOOKUP(LCARS_Off[AbilityID],RawOfficer[AbilityID],RawOfficer[OfficerArt])</f>
        <v>15</v>
      </c>
      <c r="AL32" s="430">
        <v>1.824840463E9</v>
      </c>
      <c r="AM32" s="430">
        <f t="array" ref="AM32">XLOOKUP(LCARS_Off[AbilityID],RawOfficer[AbilityID],RawOfficer[Default Order])</f>
        <v>29</v>
      </c>
    </row>
    <row r="33">
      <c r="A33" s="429" t="str">
        <f t="array" ref="A33">LEFT(XLOOKUP(LCARS_Off[AbilityID],RawOfficer[AbilityID],RawOfficer[OfficerRarity]), 1)</f>
        <v>E</v>
      </c>
      <c r="B33" s="429"/>
      <c r="C33" s="514" t="str">
        <f t="array" ref="C33">HYPERLINK("https://stfc.space/officers/" &amp; XLOOKUP(LCARS_Off[AbilityID],RawOfficer[AbilityID],RawOfficer[OfficerId]), XLOOKUP(LCARS_Off[AbilityID],RawOfficer[AbilityID],RawOfficer[OfficerName]))</f>
        <v>NERO</v>
      </c>
      <c r="D33" s="515" t="str">
        <f t="array" ref="D33">XLOOKUP(LCARS_Off[AbilityID],RawOfficer[AbilityID],RawOfficer[AbilityType])</f>
        <v>OA</v>
      </c>
      <c r="E33" s="516" t="str">
        <f t="array" ref="E33">XLOOKUP(LCARS_Off[AbilityID],RawOfficer[AbilityID],RawOfficer[Tag_PvPinSpace])</f>
        <v>✅</v>
      </c>
      <c r="F33" s="516" t="str">
        <f t="array" ref="F33">XLOOKUP(LCARS_Off[AbilityID],RawOfficer[AbilityID],RawOfficer[Tag_PvPStation])</f>
        <v>✅</v>
      </c>
      <c r="G33" s="516" t="str">
        <f t="array" ref="G33">XLOOKUP(LCARS_Off[AbilityID],RawOfficer[AbilityID],RawOfficer[Tag_NonArmadaHostiles])</f>
        <v>✅</v>
      </c>
      <c r="H33" s="516" t="str">
        <f t="array" ref="H33">XLOOKUP(LCARS_Off[AbilityID],RawOfficer[AbilityID],RawOfficer[Tag_WaveDefense])</f>
        <v>✅</v>
      </c>
      <c r="I33" s="516" t="str">
        <f t="array" ref="I33">XLOOKUP(LCARS_Off[AbilityID],RawOfficer[AbilityID],RawOfficer[Tag_QTrial])</f>
        <v>✅</v>
      </c>
      <c r="J33" s="516" t="str">
        <f t="array" ref="J33">XLOOKUP(LCARS_Off[AbilityID],RawOfficer[AbilityID],RawOfficer[Tag_MissionBosses])</f>
        <v>✅</v>
      </c>
      <c r="K33" s="516" t="str">
        <f t="array" ref="K33">XLOOKUP(LCARS_Off[AbilityID],RawOfficer[AbilityID],RawOfficer[Tag_GroupArmadas])</f>
        <v>✅</v>
      </c>
      <c r="L33" s="516" t="str">
        <f t="array" ref="L33">XLOOKUP(LCARS_Off[AbilityID],RawOfficer[AbilityID],RawOfficer[Tag_SoloArmadas])</f>
        <v>✅</v>
      </c>
      <c r="M33" s="516" t="str">
        <f t="array" ref="M33">XLOOKUP(LCARS_Off[AbilityID],RawOfficer[AbilityID],RawOfficer[Tag_InvadingEntities])</f>
        <v>✅</v>
      </c>
      <c r="N33" s="516" t="str">
        <f t="array" ref="N33">XLOOKUP(LCARS_Off[AbilityID],RawOfficer[AbilityID],RawOfficer[Tag_Assaults])</f>
        <v>✅</v>
      </c>
      <c r="O33" s="516" t="str">
        <f t="array" ref="O33">XLOOKUP(LCARS_Off[AbilityID],RawOfficer[AbilityID],RawOfficer[Tag_OutpostArmadas])</f>
        <v>✅</v>
      </c>
      <c r="P33" s="516" t="str">
        <f t="array" ref="P33">XLOOKUP(LCARS_Off[AbilityID],RawOfficer[AbilityID],RawOfficer[Tag_OutpostRetaliators])</f>
        <v>✅</v>
      </c>
      <c r="Q33" s="517" t="str">
        <f t="array" ref="Q33">XLOOKUP(LCARS_Off[AbilityID],RawOfficer[AbilityID],RawOfficer[Conditional_Reason])</f>
        <v/>
      </c>
      <c r="R33" s="518" t="str">
        <f t="array" ref="R33">XLOOKUP(LCARS_Off[AbilityID],RawOfficer[AbilityID],RawOfficer[Tag_Loot])</f>
        <v>➖</v>
      </c>
      <c r="S33" s="516" t="str">
        <f t="array" ref="S33">XLOOKUP(LCARS_Off[AbilityID],RawOfficer[AbilityID],RawOfficer[Tag_Utility])</f>
        <v>➖</v>
      </c>
      <c r="T33" s="429" t="str">
        <f t="array" ref="T33">XLOOKUP(LCARS_Off[AbilityID],RawOfficer[AbilityID],RawOfficer[OfficerSynergy])</f>
        <v>NERO'S CREW</v>
      </c>
      <c r="U33" s="519" t="str">
        <f t="array" ref="U33">XLOOKUP(LCARS_Off[AbilityID],RawOfficer[AbilityID],RawOfficer[AbilityModifier])</f>
        <v>AddState</v>
      </c>
      <c r="V33" s="519" t="str">
        <f t="array" ref="V33">XLOOKUP(LCARS_Off[AbilityID],RawOfficer[AbilityID],RawOfficer[AbilityAttributes])</f>
        <v>num_rounds=2, state=2</v>
      </c>
      <c r="W33" s="520" t="str">
        <f t="array" ref="W33">XLOOKUP(LCARS_Off[AbilityID],RawOfficer[AbilityID],RawOfficer[AbilityConditions])</f>
        <v/>
      </c>
      <c r="X33" s="519" t="str">
        <f t="array" ref="X33">XLOOKUP(LCARS_Off[AbilityID],RawOfficer[AbilityID],RawOfficer[AbilityTrigger])</f>
        <v>EnemyTakesHit</v>
      </c>
      <c r="Y33" s="519" t="str">
        <f t="array" ref="Y33">XLOOKUP(LCARS_Off[AbilityID],RawOfficer[AbilityID],RawOfficer[AbilityTarget])</f>
        <v>EnemyShip</v>
      </c>
      <c r="Z33" s="519" t="str">
        <f t="array" ref="Z33">XLOOKUP(LCARS_Off[AbilityID],RawOfficer[AbilityID],RawOfficer[AbilityOperation])</f>
        <v>MultiplySub</v>
      </c>
      <c r="AA33" s="521" t="str">
        <f t="array" ref="AA33">XLOOKUP(LCARS_Off[AbilityID],RawOfficer[AbilityID],RawOfficer[AbilityDescription])</f>
        <v>Every time the ship strikes the opponent with a weapon attack, Nero has a X chance of Burning it for two rounds.</v>
      </c>
      <c r="AB33" s="429" t="b">
        <v>0</v>
      </c>
      <c r="AC33" s="522" t="str">
        <f t="array" ref="AC33">XLOOKUP(LCARS_Off[AbilityID],RawOfficer[AbilityID],RawOfficer[AbilityDescriptionShort])</f>
        <v>X chance to cause Burning to the enemy when hitting it</v>
      </c>
      <c r="AD33" s="523"/>
      <c r="AE33" s="524"/>
      <c r="AF33" s="524"/>
      <c r="AG33" s="525" t="str">
        <f t="array" ref="AG33">XLOOKUP(LCARS_Off[AbilityID],RawOfficer[AbilityID],RawOfficer[AbilityChances])</f>
        <v>0.25, 0.3, 0.35, 0.4, 0.5</v>
      </c>
      <c r="AH33" s="525" t="str">
        <f t="array" ref="AH33">XLOOKUP(LCARS_Off[AbilityID],RawOfficer[AbilityID],RawOfficer[AbilityValues])</f>
        <v>0.25, 0.3, 0.35, 0.4, 0.5</v>
      </c>
      <c r="AI33" s="428" t="b">
        <f t="array" ref="AI33">XLOOKUP(LCARS_Off[AbilityID],RawOfficer[AbilityID],RawOfficer[AbilityHasChance])</f>
        <v>1</v>
      </c>
      <c r="AJ33" s="428" t="b">
        <f t="array" ref="AJ33">XLOOKUP(LCARS_Off[AbilityID],RawOfficer[AbilityID],RawOfficer[AbilityShowPercentage])</f>
        <v>1</v>
      </c>
      <c r="AK33" s="429">
        <f t="array" ref="AK33">XLOOKUP(LCARS_Off[AbilityID],RawOfficer[AbilityID],RawOfficer[OfficerArt])</f>
        <v>15</v>
      </c>
      <c r="AL33" s="430">
        <v>1.215201819E9</v>
      </c>
      <c r="AM33" s="430">
        <f t="array" ref="AM33">XLOOKUP(LCARS_Off[AbilityID],RawOfficer[AbilityID],RawOfficer[Default Order])</f>
        <v>30</v>
      </c>
    </row>
    <row r="34">
      <c r="A34" s="429" t="str">
        <f t="array" ref="A34">LEFT(XLOOKUP(LCARS_Off[AbilityID],RawOfficer[AbilityID],RawOfficer[OfficerRarity]), 1)</f>
        <v>R</v>
      </c>
      <c r="B34" s="429"/>
      <c r="C34" s="514" t="str">
        <f t="array" ref="C34">HYPERLINK("https://stfc.space/officers/" &amp; XLOOKUP(LCARS_Off[AbilityID],RawOfficer[AbilityID],RawOfficer[OfficerId]), XLOOKUP(LCARS_Off[AbilityID],RawOfficer[AbilityID],RawOfficer[OfficerName]))</f>
        <v>VEMET</v>
      </c>
      <c r="D34" s="515" t="str">
        <f t="array" ref="D34">XLOOKUP(LCARS_Off[AbilityID],RawOfficer[AbilityID],RawOfficer[AbilityType])</f>
        <v>CM</v>
      </c>
      <c r="E34" s="516" t="str">
        <f t="array" ref="E34">XLOOKUP(LCARS_Off[AbilityID],RawOfficer[AbilityID],RawOfficer[Tag_PvPinSpace])</f>
        <v>✅</v>
      </c>
      <c r="F34" s="516" t="str">
        <f t="array" ref="F34">XLOOKUP(LCARS_Off[AbilityID],RawOfficer[AbilityID],RawOfficer[Tag_PvPStation])</f>
        <v>✅</v>
      </c>
      <c r="G34" s="516" t="str">
        <f t="array" ref="G34">XLOOKUP(LCARS_Off[AbilityID],RawOfficer[AbilityID],RawOfficer[Tag_NonArmadaHostiles])</f>
        <v>✅</v>
      </c>
      <c r="H34" s="516" t="str">
        <f t="array" ref="H34">XLOOKUP(LCARS_Off[AbilityID],RawOfficer[AbilityID],RawOfficer[Tag_WaveDefense])</f>
        <v>✅</v>
      </c>
      <c r="I34" s="516" t="str">
        <f t="array" ref="I34">XLOOKUP(LCARS_Off[AbilityID],RawOfficer[AbilityID],RawOfficer[Tag_QTrial])</f>
        <v>✅</v>
      </c>
      <c r="J34" s="516" t="str">
        <f t="array" ref="J34">XLOOKUP(LCARS_Off[AbilityID],RawOfficer[AbilityID],RawOfficer[Tag_MissionBosses])</f>
        <v>✅</v>
      </c>
      <c r="K34" s="516" t="str">
        <f t="array" ref="K34">XLOOKUP(LCARS_Off[AbilityID],RawOfficer[AbilityID],RawOfficer[Tag_GroupArmadas])</f>
        <v>✅</v>
      </c>
      <c r="L34" s="516" t="str">
        <f t="array" ref="L34">XLOOKUP(LCARS_Off[AbilityID],RawOfficer[AbilityID],RawOfficer[Tag_SoloArmadas])</f>
        <v>✅</v>
      </c>
      <c r="M34" s="516" t="str">
        <f t="array" ref="M34">XLOOKUP(LCARS_Off[AbilityID],RawOfficer[AbilityID],RawOfficer[Tag_InvadingEntities])</f>
        <v>✅</v>
      </c>
      <c r="N34" s="516" t="str">
        <f t="array" ref="N34">XLOOKUP(LCARS_Off[AbilityID],RawOfficer[AbilityID],RawOfficer[Tag_Assaults])</f>
        <v>✅</v>
      </c>
      <c r="O34" s="516" t="str">
        <f t="array" ref="O34">XLOOKUP(LCARS_Off[AbilityID],RawOfficer[AbilityID],RawOfficer[Tag_OutpostArmadas])</f>
        <v>✅</v>
      </c>
      <c r="P34" s="516" t="str">
        <f t="array" ref="P34">XLOOKUP(LCARS_Off[AbilityID],RawOfficer[AbilityID],RawOfficer[Tag_OutpostRetaliators])</f>
        <v>✅</v>
      </c>
      <c r="Q34" s="517" t="str">
        <f t="array" ref="Q34">XLOOKUP(LCARS_Off[AbilityID],RawOfficer[AbilityID],RawOfficer[Conditional_Reason])</f>
        <v/>
      </c>
      <c r="R34" s="518" t="str">
        <f t="array" ref="R34">XLOOKUP(LCARS_Off[AbilityID],RawOfficer[AbilityID],RawOfficer[Tag_Loot])</f>
        <v>➖</v>
      </c>
      <c r="S34" s="516" t="str">
        <f t="array" ref="S34">XLOOKUP(LCARS_Off[AbilityID],RawOfficer[AbilityID],RawOfficer[Tag_Utility])</f>
        <v>➖</v>
      </c>
      <c r="T34" s="429" t="str">
        <f t="array" ref="T34">XLOOKUP(LCARS_Off[AbilityID],RawOfficer[AbilityID],RawOfficer[OfficerSynergy])</f>
        <v>NERO'S CREW</v>
      </c>
      <c r="U34" s="519" t="str">
        <f t="array" ref="U34">XLOOKUP(LCARS_Off[AbilityID],RawOfficer[AbilityID],RawOfficer[AbilityModifier])</f>
        <v>HullHPRepair</v>
      </c>
      <c r="V34" s="519" t="str">
        <f t="array" ref="V34">XLOOKUP(LCARS_Off[AbilityID],RawOfficer[AbilityID],RawOfficer[AbilityAttributes])</f>
        <v/>
      </c>
      <c r="W34" s="520" t="str">
        <f t="array" ref="W34">XLOOKUP(LCARS_Off[AbilityID],RawOfficer[AbilityID],RawOfficer[AbilityConditions])</f>
        <v/>
      </c>
      <c r="X34" s="519" t="str">
        <f t="array" ref="X34">XLOOKUP(LCARS_Off[AbilityID],RawOfficer[AbilityID],RawOfficer[AbilityTrigger])</f>
        <v>ShieldsDepleted</v>
      </c>
      <c r="Y34" s="519" t="str">
        <f t="array" ref="Y34">XLOOKUP(LCARS_Off[AbilityID],RawOfficer[AbilityID],RawOfficer[AbilityTarget])</f>
        <v>SelfShip</v>
      </c>
      <c r="Z34" s="519" t="str">
        <f t="array" ref="Z34">XLOOKUP(LCARS_Off[AbilityID],RawOfficer[AbilityID],RawOfficer[AbilityOperation])</f>
        <v>MultiplySub</v>
      </c>
      <c r="AA34" s="521" t="str">
        <f t="array" ref="AA34">XLOOKUP(LCARS_Off[AbilityID],RawOfficer[AbilityID],RawOfficer[AbilityDescription])</f>
        <v>If the ship survives an attack that depletes its shields and is destroyed in one of the following attacks during the same battle, the battle is lost but Vemet heals X of the Hull Health and the ship survives. This takes precedence over the NSEA Protector’s Omega-13 Ship Ability and does not stack.</v>
      </c>
      <c r="AB34" s="429" t="b">
        <v>0</v>
      </c>
      <c r="AC34" s="522" t="str">
        <f t="array" ref="AC34">XLOOKUP(LCARS_Off[AbilityID],RawOfficer[AbilityID],RawOfficer[AbilityDescriptionShort])</f>
        <v>The ship can resurrect with X of the ship's hull health. This takes precedence over the NSEA Protector’s Omega-13 Ship Ability and does not stack.</v>
      </c>
      <c r="AD34" s="523"/>
      <c r="AE34" s="524"/>
      <c r="AF34" s="524"/>
      <c r="AG34" s="525" t="str">
        <f t="array" ref="AG34">XLOOKUP(LCARS_Off[AbilityID],RawOfficer[AbilityID],RawOfficer[AbilityChances])</f>
        <v>1.0, 1.0, 1.0</v>
      </c>
      <c r="AH34" s="525" t="str">
        <f t="array" ref="AH34">XLOOKUP(LCARS_Off[AbilityID],RawOfficer[AbilityID],RawOfficer[AbilityValues])</f>
        <v>0.05, 0.02, 0.05</v>
      </c>
      <c r="AI34" s="428" t="b">
        <f t="array" ref="AI34">XLOOKUP(LCARS_Off[AbilityID],RawOfficer[AbilityID],RawOfficer[AbilityHasChance])</f>
        <v>0</v>
      </c>
      <c r="AJ34" s="428" t="b">
        <f t="array" ref="AJ34">XLOOKUP(LCARS_Off[AbilityID],RawOfficer[AbilityID],RawOfficer[AbilityShowPercentage])</f>
        <v>1</v>
      </c>
      <c r="AK34" s="429">
        <f t="array" ref="AK34">XLOOKUP(LCARS_Off[AbilityID],RawOfficer[AbilityID],RawOfficer[OfficerArt])</f>
        <v>16</v>
      </c>
      <c r="AL34" s="430">
        <v>4.289717791E9</v>
      </c>
      <c r="AM34" s="430">
        <f t="array" ref="AM34">XLOOKUP(LCARS_Off[AbilityID],RawOfficer[AbilityID],RawOfficer[Default Order])</f>
        <v>31</v>
      </c>
    </row>
    <row r="35">
      <c r="A35" s="429" t="str">
        <f t="array" ref="A35">LEFT(XLOOKUP(LCARS_Off[AbilityID],RawOfficer[AbilityID],RawOfficer[OfficerRarity]), 1)</f>
        <v>R</v>
      </c>
      <c r="B35" s="429"/>
      <c r="C35" s="514" t="str">
        <f t="array" ref="C35">HYPERLINK("https://stfc.space/officers/" &amp; XLOOKUP(LCARS_Off[AbilityID],RawOfficer[AbilityID],RawOfficer[OfficerId]), XLOOKUP(LCARS_Off[AbilityID],RawOfficer[AbilityID],RawOfficer[OfficerName]))</f>
        <v>VEMET</v>
      </c>
      <c r="D35" s="515" t="str">
        <f t="array" ref="D35">XLOOKUP(LCARS_Off[AbilityID],RawOfficer[AbilityID],RawOfficer[AbilityType])</f>
        <v>OA</v>
      </c>
      <c r="E35" s="516" t="str">
        <f t="array" ref="E35">XLOOKUP(LCARS_Off[AbilityID],RawOfficer[AbilityID],RawOfficer[Tag_PvPinSpace])</f>
        <v>✴️</v>
      </c>
      <c r="F35" s="516" t="str">
        <f t="array" ref="F35">XLOOKUP(LCARS_Off[AbilityID],RawOfficer[AbilityID],RawOfficer[Tag_PvPStation])</f>
        <v>✴️</v>
      </c>
      <c r="G35" s="516" t="str">
        <f t="array" ref="G35">XLOOKUP(LCARS_Off[AbilityID],RawOfficer[AbilityID],RawOfficer[Tag_NonArmadaHostiles])</f>
        <v>✴️</v>
      </c>
      <c r="H35" s="516" t="str">
        <f t="array" ref="H35">XLOOKUP(LCARS_Off[AbilityID],RawOfficer[AbilityID],RawOfficer[Tag_WaveDefense])</f>
        <v>✴️</v>
      </c>
      <c r="I35" s="516" t="str">
        <f t="array" ref="I35">XLOOKUP(LCARS_Off[AbilityID],RawOfficer[AbilityID],RawOfficer[Tag_QTrial])</f>
        <v>✴️</v>
      </c>
      <c r="J35" s="516" t="str">
        <f t="array" ref="J35">XLOOKUP(LCARS_Off[AbilityID],RawOfficer[AbilityID],RawOfficer[Tag_MissionBosses])</f>
        <v>✴️</v>
      </c>
      <c r="K35" s="516" t="str">
        <f t="array" ref="K35">XLOOKUP(LCARS_Off[AbilityID],RawOfficer[AbilityID],RawOfficer[Tag_GroupArmadas])</f>
        <v>✴️</v>
      </c>
      <c r="L35" s="516" t="str">
        <f t="array" ref="L35">XLOOKUP(LCARS_Off[AbilityID],RawOfficer[AbilityID],RawOfficer[Tag_SoloArmadas])</f>
        <v>✴️</v>
      </c>
      <c r="M35" s="516" t="str">
        <f t="array" ref="M35">XLOOKUP(LCARS_Off[AbilityID],RawOfficer[AbilityID],RawOfficer[Tag_InvadingEntities])</f>
        <v>✴️</v>
      </c>
      <c r="N35" s="516" t="str">
        <f t="array" ref="N35">XLOOKUP(LCARS_Off[AbilityID],RawOfficer[AbilityID],RawOfficer[Tag_Assaults])</f>
        <v>✴️</v>
      </c>
      <c r="O35" s="516" t="str">
        <f t="array" ref="O35">XLOOKUP(LCARS_Off[AbilityID],RawOfficer[AbilityID],RawOfficer[Tag_OutpostArmadas])</f>
        <v>✴️</v>
      </c>
      <c r="P35" s="516" t="str">
        <f t="array" ref="P35">XLOOKUP(LCARS_Off[AbilityID],RawOfficer[AbilityID],RawOfficer[Tag_OutpostRetaliators])</f>
        <v>✴️</v>
      </c>
      <c r="Q35" s="517" t="str">
        <f t="array" ref="Q35">XLOOKUP(LCARS_Off[AbilityID],RawOfficer[AbilityID],RawOfficer[Conditional_Reason])</f>
        <v>TargetHasBurning</v>
      </c>
      <c r="R35" s="518" t="str">
        <f t="array" ref="R35">XLOOKUP(LCARS_Off[AbilityID],RawOfficer[AbilityID],RawOfficer[Tag_Loot])</f>
        <v>➖</v>
      </c>
      <c r="S35" s="516" t="str">
        <f t="array" ref="S35">XLOOKUP(LCARS_Off[AbilityID],RawOfficer[AbilityID],RawOfficer[Tag_Utility])</f>
        <v>➖</v>
      </c>
      <c r="T35" s="429" t="str">
        <f t="array" ref="T35">XLOOKUP(LCARS_Off[AbilityID],RawOfficer[AbilityID],RawOfficer[OfficerSynergy])</f>
        <v>NERO'S CREW</v>
      </c>
      <c r="U35" s="519" t="str">
        <f t="array" ref="U35">XLOOKUP(LCARS_Off[AbilityID],RawOfficer[AbilityID],RawOfficer[AbilityModifier])</f>
        <v>ShieldHPRepair</v>
      </c>
      <c r="V35" s="519" t="str">
        <f t="array" ref="V35">XLOOKUP(LCARS_Off[AbilityID],RawOfficer[AbilityID],RawOfficer[AbilityAttributes])</f>
        <v>officer_stat=3</v>
      </c>
      <c r="W35" s="520" t="str">
        <f t="array" ref="W35">XLOOKUP(LCARS_Off[AbilityID],RawOfficer[AbilityID],RawOfficer[AbilityConditions])</f>
        <v>TargetHasBurning</v>
      </c>
      <c r="X35" s="519" t="str">
        <f t="array" ref="X35">XLOOKUP(LCARS_Off[AbilityID],RawOfficer[AbilityID],RawOfficer[AbilityTrigger])</f>
        <v>RoundStart</v>
      </c>
      <c r="Y35" s="519" t="str">
        <f t="array" ref="Y35">XLOOKUP(LCARS_Off[AbilityID],RawOfficer[AbilityID],RawOfficer[AbilityTarget])</f>
        <v>EnemyShip</v>
      </c>
      <c r="Z35" s="519" t="str">
        <f t="array" ref="Z35">XLOOKUP(LCARS_Off[AbilityID],RawOfficer[AbilityID],RawOfficer[AbilityOperation])</f>
        <v>MultiplyBaseSub</v>
      </c>
      <c r="AA35" s="521" t="str">
        <f t="array" ref="AA35">XLOOKUP(LCARS_Off[AbilityID],RawOfficer[AbilityID],RawOfficer[AbilityDescription])</f>
        <v>At the beginning of each round, if the opponent's ship is Burning, Vemet decreases its Shield Health by an amount equal to X of the Health of all Officers on the ship.</v>
      </c>
      <c r="AB35" s="429" t="b">
        <v>0</v>
      </c>
      <c r="AC35" s="522" t="str">
        <f t="array" ref="AC35">XLOOKUP(LCARS_Off[AbilityID],RawOfficer[AbilityID],RawOfficer[AbilityDescriptionShort])</f>
        <v>X of total Officer Health deducted from the Shield Health of a Burning ship each round</v>
      </c>
      <c r="AD35" s="523"/>
      <c r="AE35" s="524"/>
      <c r="AF35" s="524"/>
      <c r="AG35" s="525" t="str">
        <f t="array" ref="AG35">XLOOKUP(LCARS_Off[AbilityID],RawOfficer[AbilityID],RawOfficer[AbilityChances])</f>
        <v>1.0, 1.0, 1.0, 1.0, 1.0</v>
      </c>
      <c r="AH35" s="525" t="str">
        <f t="array" ref="AH35">XLOOKUP(LCARS_Off[AbilityID],RawOfficer[AbilityID],RawOfficer[AbilityValues])</f>
        <v>0.25, 0.5, 1.0, 4.0, 7.5</v>
      </c>
      <c r="AI35" s="428" t="b">
        <f t="array" ref="AI35">XLOOKUP(LCARS_Off[AbilityID],RawOfficer[AbilityID],RawOfficer[AbilityHasChance])</f>
        <v>0</v>
      </c>
      <c r="AJ35" s="428" t="b">
        <f t="array" ref="AJ35">XLOOKUP(LCARS_Off[AbilityID],RawOfficer[AbilityID],RawOfficer[AbilityShowPercentage])</f>
        <v>1</v>
      </c>
      <c r="AK35" s="429">
        <f t="array" ref="AK35">XLOOKUP(LCARS_Off[AbilityID],RawOfficer[AbilityID],RawOfficer[OfficerArt])</f>
        <v>16</v>
      </c>
      <c r="AL35" s="430">
        <v>2.633638696E9</v>
      </c>
      <c r="AM35" s="430">
        <f t="array" ref="AM35">XLOOKUP(LCARS_Off[AbilityID],RawOfficer[AbilityID],RawOfficer[Default Order])</f>
        <v>32</v>
      </c>
    </row>
    <row r="36">
      <c r="A36" s="429" t="str">
        <f t="array" ref="A36">LEFT(XLOOKUP(LCARS_Off[AbilityID],RawOfficer[AbilityID],RawOfficer[OfficerRarity]), 1)</f>
        <v>R</v>
      </c>
      <c r="B36" s="429"/>
      <c r="C36" s="514" t="str">
        <f t="array" ref="C36">HYPERLINK("https://stfc.space/officers/" &amp; XLOOKUP(LCARS_Off[AbilityID],RawOfficer[AbilityID],RawOfficer[OfficerId]), XLOOKUP(LCARS_Off[AbilityID],RawOfficer[AbilityID],RawOfficer[OfficerName]))</f>
        <v>KUMAK</v>
      </c>
      <c r="D36" s="515" t="str">
        <f t="array" ref="D36">XLOOKUP(LCARS_Off[AbilityID],RawOfficer[AbilityID],RawOfficer[AbilityType])</f>
        <v>CM</v>
      </c>
      <c r="E36" s="516" t="str">
        <f t="array" ref="E36">XLOOKUP(LCARS_Off[AbilityID],RawOfficer[AbilityID],RawOfficer[Tag_PvPinSpace])</f>
        <v>✅</v>
      </c>
      <c r="F36" s="516" t="str">
        <f t="array" ref="F36">XLOOKUP(LCARS_Off[AbilityID],RawOfficer[AbilityID],RawOfficer[Tag_PvPStation])</f>
        <v>✅</v>
      </c>
      <c r="G36" s="516" t="str">
        <f t="array" ref="G36">XLOOKUP(LCARS_Off[AbilityID],RawOfficer[AbilityID],RawOfficer[Tag_NonArmadaHostiles])</f>
        <v>✅</v>
      </c>
      <c r="H36" s="516" t="str">
        <f t="array" ref="H36">XLOOKUP(LCARS_Off[AbilityID],RawOfficer[AbilityID],RawOfficer[Tag_WaveDefense])</f>
        <v>✅</v>
      </c>
      <c r="I36" s="516" t="str">
        <f t="array" ref="I36">XLOOKUP(LCARS_Off[AbilityID],RawOfficer[AbilityID],RawOfficer[Tag_QTrial])</f>
        <v>✅</v>
      </c>
      <c r="J36" s="516" t="str">
        <f t="array" ref="J36">XLOOKUP(LCARS_Off[AbilityID],RawOfficer[AbilityID],RawOfficer[Tag_MissionBosses])</f>
        <v>✅</v>
      </c>
      <c r="K36" s="516" t="str">
        <f t="array" ref="K36">XLOOKUP(LCARS_Off[AbilityID],RawOfficer[AbilityID],RawOfficer[Tag_GroupArmadas])</f>
        <v>✅</v>
      </c>
      <c r="L36" s="516" t="str">
        <f t="array" ref="L36">XLOOKUP(LCARS_Off[AbilityID],RawOfficer[AbilityID],RawOfficer[Tag_SoloArmadas])</f>
        <v>✅</v>
      </c>
      <c r="M36" s="516" t="str">
        <f t="array" ref="M36">XLOOKUP(LCARS_Off[AbilityID],RawOfficer[AbilityID],RawOfficer[Tag_InvadingEntities])</f>
        <v>✅</v>
      </c>
      <c r="N36" s="516" t="str">
        <f t="array" ref="N36">XLOOKUP(LCARS_Off[AbilityID],RawOfficer[AbilityID],RawOfficer[Tag_Assaults])</f>
        <v>✅</v>
      </c>
      <c r="O36" s="516" t="str">
        <f t="array" ref="O36">XLOOKUP(LCARS_Off[AbilityID],RawOfficer[AbilityID],RawOfficer[Tag_OutpostArmadas])</f>
        <v>✅</v>
      </c>
      <c r="P36" s="516" t="str">
        <f t="array" ref="P36">XLOOKUP(LCARS_Off[AbilityID],RawOfficer[AbilityID],RawOfficer[Tag_OutpostRetaliators])</f>
        <v>✅</v>
      </c>
      <c r="Q36" s="517" t="str">
        <f t="array" ref="Q36">XLOOKUP(LCARS_Off[AbilityID],RawOfficer[AbilityID],RawOfficer[Conditional_Reason])</f>
        <v/>
      </c>
      <c r="R36" s="518" t="str">
        <f t="array" ref="R36">XLOOKUP(LCARS_Off[AbilityID],RawOfficer[AbilityID],RawOfficer[Tag_Loot])</f>
        <v>➖</v>
      </c>
      <c r="S36" s="516" t="str">
        <f t="array" ref="S36">XLOOKUP(LCARS_Off[AbilityID],RawOfficer[AbilityID],RawOfficer[Tag_Utility])</f>
        <v>➖</v>
      </c>
      <c r="T36" s="429" t="str">
        <f t="array" ref="T36">XLOOKUP(LCARS_Off[AbilityID],RawOfficer[AbilityID],RawOfficer[OfficerSynergy])</f>
        <v>NERO'S CREW</v>
      </c>
      <c r="U36" s="519" t="str">
        <f t="array" ref="U36">XLOOKUP(LCARS_Off[AbilityID],RawOfficer[AbilityID],RawOfficer[AbilityModifier])</f>
        <v>OfficerStatAll</v>
      </c>
      <c r="V36" s="519" t="str">
        <f t="array" ref="V36">XLOOKUP(LCARS_Off[AbilityID],RawOfficer[AbilityID],RawOfficer[AbilityAttributes])</f>
        <v/>
      </c>
      <c r="W36" s="520" t="str">
        <f t="array" ref="W36">XLOOKUP(LCARS_Off[AbilityID],RawOfficer[AbilityID],RawOfficer[AbilityConditions])</f>
        <v/>
      </c>
      <c r="X36" s="519" t="str">
        <f t="array" ref="X36">XLOOKUP(LCARS_Off[AbilityID],RawOfficer[AbilityID],RawOfficer[AbilityTrigger])</f>
        <v>RoundStart</v>
      </c>
      <c r="Y36" s="519" t="str">
        <f t="array" ref="Y36">XLOOKUP(LCARS_Off[AbilityID],RawOfficer[AbilityID],RawOfficer[AbilityTarget])</f>
        <v>SelfAll</v>
      </c>
      <c r="Z36" s="519" t="str">
        <f t="array" ref="Z36">XLOOKUP(LCARS_Off[AbilityID],RawOfficer[AbilityID],RawOfficer[AbilityOperation])</f>
        <v>MultiplyAdd</v>
      </c>
      <c r="AA36" s="521" t="str">
        <f t="array" ref="AA36">XLOOKUP(LCARS_Off[AbilityID],RawOfficer[AbilityID],RawOfficer[AbilityDescription])</f>
        <v>At the beginning of each round, Kumak increases the stats of all Officers on the ship by X.</v>
      </c>
      <c r="AB36" s="429" t="b">
        <v>0</v>
      </c>
      <c r="AC36" s="522" t="str">
        <f t="array" ref="AC36">XLOOKUP(LCARS_Off[AbilityID],RawOfficer[AbilityID],RawOfficer[AbilityDescriptionShort])</f>
        <v>+X to all Officer Stats each round</v>
      </c>
      <c r="AD36" s="523"/>
      <c r="AE36" s="524"/>
      <c r="AF36" s="524"/>
      <c r="AG36" s="525" t="str">
        <f t="array" ref="AG36">XLOOKUP(LCARS_Off[AbilityID],RawOfficer[AbilityID],RawOfficer[AbilityChances])</f>
        <v>1.0, 1.0, 1.0</v>
      </c>
      <c r="AH36" s="525" t="str">
        <f t="array" ref="AH36">XLOOKUP(LCARS_Off[AbilityID],RawOfficer[AbilityID],RawOfficer[AbilityValues])</f>
        <v>0.05, 0.02, 0.05</v>
      </c>
      <c r="AI36" s="428" t="b">
        <f t="array" ref="AI36">XLOOKUP(LCARS_Off[AbilityID],RawOfficer[AbilityID],RawOfficer[AbilityHasChance])</f>
        <v>0</v>
      </c>
      <c r="AJ36" s="428" t="b">
        <f t="array" ref="AJ36">XLOOKUP(LCARS_Off[AbilityID],RawOfficer[AbilityID],RawOfficer[AbilityShowPercentage])</f>
        <v>1</v>
      </c>
      <c r="AK36" s="429">
        <f t="array" ref="AK36">XLOOKUP(LCARS_Off[AbilityID],RawOfficer[AbilityID],RawOfficer[OfficerArt])</f>
        <v>17</v>
      </c>
      <c r="AL36" s="430">
        <v>1.44686537E9</v>
      </c>
      <c r="AM36" s="430">
        <f t="array" ref="AM36">XLOOKUP(LCARS_Off[AbilityID],RawOfficer[AbilityID],RawOfficer[Default Order])</f>
        <v>33</v>
      </c>
    </row>
    <row r="37">
      <c r="A37" s="429" t="str">
        <f t="array" ref="A37">LEFT(XLOOKUP(LCARS_Off[AbilityID],RawOfficer[AbilityID],RawOfficer[OfficerRarity]), 1)</f>
        <v>R</v>
      </c>
      <c r="B37" s="429"/>
      <c r="C37" s="514" t="str">
        <f t="array" ref="C37">HYPERLINK("https://stfc.space/officers/" &amp; XLOOKUP(LCARS_Off[AbilityID],RawOfficer[AbilityID],RawOfficer[OfficerId]), XLOOKUP(LCARS_Off[AbilityID],RawOfficer[AbilityID],RawOfficer[OfficerName]))</f>
        <v>KUMAK</v>
      </c>
      <c r="D37" s="515" t="str">
        <f t="array" ref="D37">XLOOKUP(LCARS_Off[AbilityID],RawOfficer[AbilityID],RawOfficer[AbilityType])</f>
        <v>OA</v>
      </c>
      <c r="E37" s="516" t="str">
        <f t="array" ref="E37">XLOOKUP(LCARS_Off[AbilityID],RawOfficer[AbilityID],RawOfficer[Tag_PvPinSpace])</f>
        <v>✴️</v>
      </c>
      <c r="F37" s="516" t="str">
        <f t="array" ref="F37">XLOOKUP(LCARS_Off[AbilityID],RawOfficer[AbilityID],RawOfficer[Tag_PvPStation])</f>
        <v>✴️</v>
      </c>
      <c r="G37" s="516" t="str">
        <f t="array" ref="G37">XLOOKUP(LCARS_Off[AbilityID],RawOfficer[AbilityID],RawOfficer[Tag_NonArmadaHostiles])</f>
        <v>✴️</v>
      </c>
      <c r="H37" s="516" t="str">
        <f t="array" ref="H37">XLOOKUP(LCARS_Off[AbilityID],RawOfficer[AbilityID],RawOfficer[Tag_WaveDefense])</f>
        <v>✴️</v>
      </c>
      <c r="I37" s="516" t="str">
        <f t="array" ref="I37">XLOOKUP(LCARS_Off[AbilityID],RawOfficer[AbilityID],RawOfficer[Tag_QTrial])</f>
        <v>✴️</v>
      </c>
      <c r="J37" s="516" t="str">
        <f t="array" ref="J37">XLOOKUP(LCARS_Off[AbilityID],RawOfficer[AbilityID],RawOfficer[Tag_MissionBosses])</f>
        <v>✴️</v>
      </c>
      <c r="K37" s="516" t="str">
        <f t="array" ref="K37">XLOOKUP(LCARS_Off[AbilityID],RawOfficer[AbilityID],RawOfficer[Tag_GroupArmadas])</f>
        <v>✴️</v>
      </c>
      <c r="L37" s="516" t="str">
        <f t="array" ref="L37">XLOOKUP(LCARS_Off[AbilityID],RawOfficer[AbilityID],RawOfficer[Tag_SoloArmadas])</f>
        <v>✴️</v>
      </c>
      <c r="M37" s="516" t="str">
        <f t="array" ref="M37">XLOOKUP(LCARS_Off[AbilityID],RawOfficer[AbilityID],RawOfficer[Tag_InvadingEntities])</f>
        <v>✴️</v>
      </c>
      <c r="N37" s="516" t="str">
        <f t="array" ref="N37">XLOOKUP(LCARS_Off[AbilityID],RawOfficer[AbilityID],RawOfficer[Tag_Assaults])</f>
        <v>✴️</v>
      </c>
      <c r="O37" s="516" t="str">
        <f t="array" ref="O37">XLOOKUP(LCARS_Off[AbilityID],RawOfficer[AbilityID],RawOfficer[Tag_OutpostArmadas])</f>
        <v>✴️</v>
      </c>
      <c r="P37" s="516" t="str">
        <f t="array" ref="P37">XLOOKUP(LCARS_Off[AbilityID],RawOfficer[AbilityID],RawOfficer[Tag_OutpostRetaliators])</f>
        <v>✴️</v>
      </c>
      <c r="Q37" s="517" t="str">
        <f t="array" ref="Q37">XLOOKUP(LCARS_Off[AbilityID],RawOfficer[AbilityID],RawOfficer[Conditional_Reason])</f>
        <v>TargetHasBurning</v>
      </c>
      <c r="R37" s="518" t="str">
        <f t="array" ref="R37">XLOOKUP(LCARS_Off[AbilityID],RawOfficer[AbilityID],RawOfficer[Tag_Loot])</f>
        <v>➖</v>
      </c>
      <c r="S37" s="516" t="str">
        <f t="array" ref="S37">XLOOKUP(LCARS_Off[AbilityID],RawOfficer[AbilityID],RawOfficer[Tag_Utility])</f>
        <v>➖</v>
      </c>
      <c r="T37" s="429" t="str">
        <f t="array" ref="T37">XLOOKUP(LCARS_Off[AbilityID],RawOfficer[AbilityID],RawOfficer[OfficerSynergy])</f>
        <v>NERO'S CREW</v>
      </c>
      <c r="U37" s="519" t="str">
        <f t="array" ref="U37">XLOOKUP(LCARS_Off[AbilityID],RawOfficer[AbilityID],RawOfficer[AbilityModifier])</f>
        <v>AllDefenses</v>
      </c>
      <c r="V37" s="519" t="str">
        <f t="array" ref="V37">XLOOKUP(LCARS_Off[AbilityID],RawOfficer[AbilityID],RawOfficer[AbilityAttributes])</f>
        <v>num_rounds=1</v>
      </c>
      <c r="W37" s="520" t="str">
        <f t="array" ref="W37">XLOOKUP(LCARS_Off[AbilityID],RawOfficer[AbilityID],RawOfficer[AbilityConditions])</f>
        <v>TargetHasBurning</v>
      </c>
      <c r="X37" s="519" t="str">
        <f t="array" ref="X37">XLOOKUP(LCARS_Off[AbilityID],RawOfficer[AbilityID],RawOfficer[AbilityTrigger])</f>
        <v>RoundStart</v>
      </c>
      <c r="Y37" s="519" t="str">
        <f t="array" ref="Y37">XLOOKUP(LCARS_Off[AbilityID],RawOfficer[AbilityID],RawOfficer[AbilityTarget])</f>
        <v>SelfShip</v>
      </c>
      <c r="Z37" s="519" t="str">
        <f t="array" ref="Z37">XLOOKUP(LCARS_Off[AbilityID],RawOfficer[AbilityID],RawOfficer[AbilityOperation])</f>
        <v>MultiplyAdd</v>
      </c>
      <c r="AA37" s="521" t="str">
        <f t="array" ref="AA37">XLOOKUP(LCARS_Off[AbilityID],RawOfficer[AbilityID],RawOfficer[AbilityDescription])</f>
        <v>As long as the enemy ship is Burning, Kumak increases the Armor, Shield Deflection and Dodge of the ship by X.</v>
      </c>
      <c r="AB37" s="429" t="b">
        <v>0</v>
      </c>
      <c r="AC37" s="522" t="str">
        <f t="array" ref="AC37">XLOOKUP(LCARS_Off[AbilityID],RawOfficer[AbilityID],RawOfficer[AbilityDescriptionShort])</f>
        <v>+X To Armor, Shield Deflection and Dodge when the opponent is Burning</v>
      </c>
      <c r="AD37" s="523"/>
      <c r="AE37" s="524"/>
      <c r="AF37" s="524"/>
      <c r="AG37" s="525" t="str">
        <f t="array" ref="AG37">XLOOKUP(LCARS_Off[AbilityID],RawOfficer[AbilityID],RawOfficer[AbilityChances])</f>
        <v>1.0, 1.0, 1.0, 1.0, 1.0</v>
      </c>
      <c r="AH37" s="525" t="str">
        <f t="array" ref="AH37">XLOOKUP(LCARS_Off[AbilityID],RawOfficer[AbilityID],RawOfficer[AbilityValues])</f>
        <v>0.4, 0.5, 0.6, 0.8, 1.0</v>
      </c>
      <c r="AI37" s="428" t="b">
        <f t="array" ref="AI37">XLOOKUP(LCARS_Off[AbilityID],RawOfficer[AbilityID],RawOfficer[AbilityHasChance])</f>
        <v>0</v>
      </c>
      <c r="AJ37" s="428" t="b">
        <f t="array" ref="AJ37">XLOOKUP(LCARS_Off[AbilityID],RawOfficer[AbilityID],RawOfficer[AbilityShowPercentage])</f>
        <v>1</v>
      </c>
      <c r="AK37" s="429">
        <f t="array" ref="AK37">XLOOKUP(LCARS_Off[AbilityID],RawOfficer[AbilityID],RawOfficer[OfficerArt])</f>
        <v>17</v>
      </c>
      <c r="AL37" s="430">
        <v>2.642188917E9</v>
      </c>
      <c r="AM37" s="430">
        <f t="array" ref="AM37">XLOOKUP(LCARS_Off[AbilityID],RawOfficer[AbilityID],RawOfficer[Default Order])</f>
        <v>34</v>
      </c>
    </row>
    <row r="38">
      <c r="A38" s="429" t="str">
        <f t="array" ref="A38">LEFT(XLOOKUP(LCARS_Off[AbilityID],RawOfficer[AbilityID],RawOfficer[OfficerRarity]), 1)</f>
        <v>R</v>
      </c>
      <c r="B38" s="429"/>
      <c r="C38" s="514" t="str">
        <f t="array" ref="C38">HYPERLINK("https://stfc.space/officers/" &amp; XLOOKUP(LCARS_Off[AbilityID],RawOfficer[AbilityID],RawOfficer[OfficerId]), XLOOKUP(LCARS_Off[AbilityID],RawOfficer[AbilityID],RawOfficer[OfficerName]))</f>
        <v>LIVIS</v>
      </c>
      <c r="D38" s="515" t="str">
        <f t="array" ref="D38">XLOOKUP(LCARS_Off[AbilityID],RawOfficer[AbilityID],RawOfficer[AbilityType])</f>
        <v>CM</v>
      </c>
      <c r="E38" s="516" t="str">
        <f t="array" ref="E38">XLOOKUP(LCARS_Off[AbilityID],RawOfficer[AbilityID],RawOfficer[Tag_PvPinSpace])</f>
        <v>➖</v>
      </c>
      <c r="F38" s="516" t="str">
        <f t="array" ref="F38">XLOOKUP(LCARS_Off[AbilityID],RawOfficer[AbilityID],RawOfficer[Tag_PvPStation])</f>
        <v>➖</v>
      </c>
      <c r="G38" s="516" t="str">
        <f t="array" ref="G38">XLOOKUP(LCARS_Off[AbilityID],RawOfficer[AbilityID],RawOfficer[Tag_NonArmadaHostiles])</f>
        <v>➖</v>
      </c>
      <c r="H38" s="516" t="str">
        <f t="array" ref="H38">XLOOKUP(LCARS_Off[AbilityID],RawOfficer[AbilityID],RawOfficer[Tag_WaveDefense])</f>
        <v>➖</v>
      </c>
      <c r="I38" s="516" t="str">
        <f t="array" ref="I38">XLOOKUP(LCARS_Off[AbilityID],RawOfficer[AbilityID],RawOfficer[Tag_QTrial])</f>
        <v>➖</v>
      </c>
      <c r="J38" s="516" t="str">
        <f t="array" ref="J38">XLOOKUP(LCARS_Off[AbilityID],RawOfficer[AbilityID],RawOfficer[Tag_MissionBosses])</f>
        <v>➖</v>
      </c>
      <c r="K38" s="516" t="str">
        <f t="array" ref="K38">XLOOKUP(LCARS_Off[AbilityID],RawOfficer[AbilityID],RawOfficer[Tag_GroupArmadas])</f>
        <v>➖</v>
      </c>
      <c r="L38" s="516" t="str">
        <f t="array" ref="L38">XLOOKUP(LCARS_Off[AbilityID],RawOfficer[AbilityID],RawOfficer[Tag_SoloArmadas])</f>
        <v>➖</v>
      </c>
      <c r="M38" s="516" t="str">
        <f t="array" ref="M38">XLOOKUP(LCARS_Off[AbilityID],RawOfficer[AbilityID],RawOfficer[Tag_InvadingEntities])</f>
        <v>➖</v>
      </c>
      <c r="N38" s="516" t="str">
        <f t="array" ref="N38">XLOOKUP(LCARS_Off[AbilityID],RawOfficer[AbilityID],RawOfficer[Tag_Assaults])</f>
        <v>➖</v>
      </c>
      <c r="O38" s="516" t="str">
        <f t="array" ref="O38">XLOOKUP(LCARS_Off[AbilityID],RawOfficer[AbilityID],RawOfficer[Tag_OutpostArmadas])</f>
        <v>➖</v>
      </c>
      <c r="P38" s="516" t="str">
        <f t="array" ref="P38">XLOOKUP(LCARS_Off[AbilityID],RawOfficer[AbilityID],RawOfficer[Tag_OutpostRetaliators])</f>
        <v>➖</v>
      </c>
      <c r="Q38" s="517" t="str">
        <f t="array" ref="Q38">XLOOKUP(LCARS_Off[AbilityID],RawOfficer[AbilityID],RawOfficer[Conditional_Reason])</f>
        <v/>
      </c>
      <c r="R38" s="518" t="str">
        <f t="array" ref="R38">XLOOKUP(LCARS_Off[AbilityID],RawOfficer[AbilityID],RawOfficer[Tag_Loot])</f>
        <v>➖</v>
      </c>
      <c r="S38" s="516" t="str">
        <f t="array" ref="S38">XLOOKUP(LCARS_Off[AbilityID],RawOfficer[AbilityID],RawOfficer[Tag_Utility])</f>
        <v>✅</v>
      </c>
      <c r="T38" s="429" t="str">
        <f t="array" ref="T38">XLOOKUP(LCARS_Off[AbilityID],RawOfficer[AbilityID],RawOfficer[OfficerSynergy])</f>
        <v>NERO'S CREW</v>
      </c>
      <c r="U38" s="519" t="str">
        <f t="array" ref="U38">XLOOKUP(LCARS_Off[AbilityID],RawOfficer[AbilityID],RawOfficer[AbilityModifier])</f>
        <v>RepairTime</v>
      </c>
      <c r="V38" s="519" t="str">
        <f t="array" ref="V38">XLOOKUP(LCARS_Off[AbilityID],RawOfficer[AbilityID],RawOfficer[AbilityAttributes])</f>
        <v/>
      </c>
      <c r="W38" s="520" t="str">
        <f t="array" ref="W38">XLOOKUP(LCARS_Off[AbilityID],RawOfficer[AbilityID],RawOfficer[AbilityConditions])</f>
        <v>SelfBattleship</v>
      </c>
      <c r="X38" s="519" t="str">
        <f t="array" ref="X38">XLOOKUP(LCARS_Off[AbilityID],RawOfficer[AbilityID],RawOfficer[AbilityTrigger])</f>
        <v>ShipRecalled</v>
      </c>
      <c r="Y38" s="519" t="str">
        <f t="array" ref="Y38">XLOOKUP(LCARS_Off[AbilityID],RawOfficer[AbilityID],RawOfficer[AbilityTarget])</f>
        <v>SelfShip</v>
      </c>
      <c r="Z38" s="519" t="str">
        <f t="array" ref="Z38">XLOOKUP(LCARS_Off[AbilityID],RawOfficer[AbilityID],RawOfficer[AbilityOperation])</f>
        <v>MultiplyAdd</v>
      </c>
      <c r="AA38" s="521" t="str">
        <f t="array" ref="AA38">XLOOKUP(LCARS_Off[AbilityID],RawOfficer[AbilityID],RawOfficer[AbilityDescription])</f>
        <v>Livis decreases the time needed to repair the ship by X if it is a Battleship.</v>
      </c>
      <c r="AB38" s="429" t="b">
        <v>0</v>
      </c>
      <c r="AC38" s="522" t="str">
        <f t="array" ref="AC38">XLOOKUP(LCARS_Off[AbilityID],RawOfficer[AbilityID],RawOfficer[AbilityDescriptionShort])</f>
        <v>+X to Repair speed on this ship if it is a Battleship</v>
      </c>
      <c r="AD38" s="523"/>
      <c r="AE38" s="524"/>
      <c r="AF38" s="524"/>
      <c r="AG38" s="525" t="str">
        <f t="array" ref="AG38">XLOOKUP(LCARS_Off[AbilityID],RawOfficer[AbilityID],RawOfficer[AbilityChances])</f>
        <v>1.0, 1.0, 1.0</v>
      </c>
      <c r="AH38" s="525" t="str">
        <f t="array" ref="AH38">XLOOKUP(LCARS_Off[AbilityID],RawOfficer[AbilityID],RawOfficer[AbilityValues])</f>
        <v>0.1, 0.05, 0.1</v>
      </c>
      <c r="AI38" s="428" t="b">
        <f t="array" ref="AI38">XLOOKUP(LCARS_Off[AbilityID],RawOfficer[AbilityID],RawOfficer[AbilityHasChance])</f>
        <v>0</v>
      </c>
      <c r="AJ38" s="428" t="b">
        <f t="array" ref="AJ38">XLOOKUP(LCARS_Off[AbilityID],RawOfficer[AbilityID],RawOfficer[AbilityShowPercentage])</f>
        <v>1</v>
      </c>
      <c r="AK38" s="429">
        <f t="array" ref="AK38">XLOOKUP(LCARS_Off[AbilityID],RawOfficer[AbilityID],RawOfficer[OfficerArt])</f>
        <v>18</v>
      </c>
      <c r="AL38" s="430">
        <v>2.144007762E9</v>
      </c>
      <c r="AM38" s="430">
        <f t="array" ref="AM38">XLOOKUP(LCARS_Off[AbilityID],RawOfficer[AbilityID],RawOfficer[Default Order])</f>
        <v>35</v>
      </c>
    </row>
    <row r="39">
      <c r="A39" s="429" t="str">
        <f t="array" ref="A39">LEFT(XLOOKUP(LCARS_Off[AbilityID],RawOfficer[AbilityID],RawOfficer[OfficerRarity]), 1)</f>
        <v>R</v>
      </c>
      <c r="B39" s="429"/>
      <c r="C39" s="514" t="str">
        <f t="array" ref="C39">HYPERLINK("https://stfc.space/officers/" &amp; XLOOKUP(LCARS_Off[AbilityID],RawOfficer[AbilityID],RawOfficer[OfficerId]), XLOOKUP(LCARS_Off[AbilityID],RawOfficer[AbilityID],RawOfficer[OfficerName]))</f>
        <v>LIVIS</v>
      </c>
      <c r="D39" s="515" t="str">
        <f t="array" ref="D39">XLOOKUP(LCARS_Off[AbilityID],RawOfficer[AbilityID],RawOfficer[AbilityType])</f>
        <v>OA</v>
      </c>
      <c r="E39" s="516" t="str">
        <f t="array" ref="E39">XLOOKUP(LCARS_Off[AbilityID],RawOfficer[AbilityID],RawOfficer[Tag_PvPinSpace])</f>
        <v>✴️</v>
      </c>
      <c r="F39" s="516" t="str">
        <f t="array" ref="F39">XLOOKUP(LCARS_Off[AbilityID],RawOfficer[AbilityID],RawOfficer[Tag_PvPStation])</f>
        <v>✴️</v>
      </c>
      <c r="G39" s="516" t="str">
        <f t="array" ref="G39">XLOOKUP(LCARS_Off[AbilityID],RawOfficer[AbilityID],RawOfficer[Tag_NonArmadaHostiles])</f>
        <v>✴️</v>
      </c>
      <c r="H39" s="516" t="str">
        <f t="array" ref="H39">XLOOKUP(LCARS_Off[AbilityID],RawOfficer[AbilityID],RawOfficer[Tag_WaveDefense])</f>
        <v>✴️</v>
      </c>
      <c r="I39" s="516" t="str">
        <f t="array" ref="I39">XLOOKUP(LCARS_Off[AbilityID],RawOfficer[AbilityID],RawOfficer[Tag_QTrial])</f>
        <v>✴️</v>
      </c>
      <c r="J39" s="516" t="str">
        <f t="array" ref="J39">XLOOKUP(LCARS_Off[AbilityID],RawOfficer[AbilityID],RawOfficer[Tag_MissionBosses])</f>
        <v>✴️</v>
      </c>
      <c r="K39" s="516" t="str">
        <f t="array" ref="K39">XLOOKUP(LCARS_Off[AbilityID],RawOfficer[AbilityID],RawOfficer[Tag_GroupArmadas])</f>
        <v>✴️</v>
      </c>
      <c r="L39" s="516" t="str">
        <f t="array" ref="L39">XLOOKUP(LCARS_Off[AbilityID],RawOfficer[AbilityID],RawOfficer[Tag_SoloArmadas])</f>
        <v>✴️</v>
      </c>
      <c r="M39" s="516" t="str">
        <f t="array" ref="M39">XLOOKUP(LCARS_Off[AbilityID],RawOfficer[AbilityID],RawOfficer[Tag_InvadingEntities])</f>
        <v>✴️</v>
      </c>
      <c r="N39" s="516" t="str">
        <f t="array" ref="N39">XLOOKUP(LCARS_Off[AbilityID],RawOfficer[AbilityID],RawOfficer[Tag_Assaults])</f>
        <v>✴️</v>
      </c>
      <c r="O39" s="516" t="str">
        <f t="array" ref="O39">XLOOKUP(LCARS_Off[AbilityID],RawOfficer[AbilityID],RawOfficer[Tag_OutpostArmadas])</f>
        <v>✴️</v>
      </c>
      <c r="P39" s="516" t="str">
        <f t="array" ref="P39">XLOOKUP(LCARS_Off[AbilityID],RawOfficer[AbilityID],RawOfficer[Tag_OutpostRetaliators])</f>
        <v>✴️</v>
      </c>
      <c r="Q39" s="517" t="str">
        <f t="array" ref="Q39">XLOOKUP(LCARS_Off[AbilityID],RawOfficer[AbilityID],RawOfficer[Conditional_Reason])</f>
        <v>SelfBattleship</v>
      </c>
      <c r="R39" s="518" t="str">
        <f t="array" ref="R39">XLOOKUP(LCARS_Off[AbilityID],RawOfficer[AbilityID],RawOfficer[Tag_Loot])</f>
        <v>➖</v>
      </c>
      <c r="S39" s="516" t="str">
        <f t="array" ref="S39">XLOOKUP(LCARS_Off[AbilityID],RawOfficer[AbilityID],RawOfficer[Tag_Utility])</f>
        <v>➖</v>
      </c>
      <c r="T39" s="429" t="str">
        <f t="array" ref="T39">XLOOKUP(LCARS_Off[AbilityID],RawOfficer[AbilityID],RawOfficer[OfficerSynergy])</f>
        <v>NERO'S CREW</v>
      </c>
      <c r="U39" s="519" t="str">
        <f t="array" ref="U39">XLOOKUP(LCARS_Off[AbilityID],RawOfficer[AbilityID],RawOfficer[AbilityModifier])</f>
        <v>HullHPMax</v>
      </c>
      <c r="V39" s="519" t="str">
        <f t="array" ref="V39">XLOOKUP(LCARS_Off[AbilityID],RawOfficer[AbilityID],RawOfficer[AbilityAttributes])</f>
        <v/>
      </c>
      <c r="W39" s="520" t="str">
        <f t="array" ref="W39">XLOOKUP(LCARS_Off[AbilityID],RawOfficer[AbilityID],RawOfficer[AbilityConditions])</f>
        <v>SelfBattleship</v>
      </c>
      <c r="X39" s="519" t="str">
        <f t="array" ref="X39">XLOOKUP(LCARS_Off[AbilityID],RawOfficer[AbilityID],RawOfficer[AbilityTrigger])</f>
        <v>ShipLaunched</v>
      </c>
      <c r="Y39" s="519" t="str">
        <f t="array" ref="Y39">XLOOKUP(LCARS_Off[AbilityID],RawOfficer[AbilityID],RawOfficer[AbilityTarget])</f>
        <v>SelfShip</v>
      </c>
      <c r="Z39" s="519" t="str">
        <f t="array" ref="Z39">XLOOKUP(LCARS_Off[AbilityID],RawOfficer[AbilityID],RawOfficer[AbilityOperation])</f>
        <v>MultiplyAdd</v>
      </c>
      <c r="AA39" s="521" t="str">
        <f t="array" ref="AA39">XLOOKUP(LCARS_Off[AbilityID],RawOfficer[AbilityID],RawOfficer[AbilityDescription])</f>
        <v>If the ship is a Battleship, Livis increases its maximum Hull Health by X.</v>
      </c>
      <c r="AB39" s="429" t="b">
        <v>0</v>
      </c>
      <c r="AC39" s="522" t="str">
        <f t="array" ref="AC39">XLOOKUP(LCARS_Off[AbilityID],RawOfficer[AbilityID],RawOfficer[AbilityDescriptionShort])</f>
        <v>+X to this ship's max Hull Health if it is a Battleship</v>
      </c>
      <c r="AD39" s="523"/>
      <c r="AE39" s="524"/>
      <c r="AF39" s="524"/>
      <c r="AG39" s="525" t="str">
        <f t="array" ref="AG39">XLOOKUP(LCARS_Off[AbilityID],RawOfficer[AbilityID],RawOfficer[AbilityChances])</f>
        <v>1.0, 1.0, 1.0, 1.0, 1.0</v>
      </c>
      <c r="AH39" s="525" t="str">
        <f t="array" ref="AH39">XLOOKUP(LCARS_Off[AbilityID],RawOfficer[AbilityID],RawOfficer[AbilityValues])</f>
        <v>0.2, 0.3, 0.4, 0.5, 0.6</v>
      </c>
      <c r="AI39" s="428" t="b">
        <f t="array" ref="AI39">XLOOKUP(LCARS_Off[AbilityID],RawOfficer[AbilityID],RawOfficer[AbilityHasChance])</f>
        <v>0</v>
      </c>
      <c r="AJ39" s="428" t="b">
        <f t="array" ref="AJ39">XLOOKUP(LCARS_Off[AbilityID],RawOfficer[AbilityID],RawOfficer[AbilityShowPercentage])</f>
        <v>1</v>
      </c>
      <c r="AK39" s="429">
        <f t="array" ref="AK39">XLOOKUP(LCARS_Off[AbilityID],RawOfficer[AbilityID],RawOfficer[OfficerArt])</f>
        <v>18</v>
      </c>
      <c r="AL39" s="430">
        <v>2.714109144E9</v>
      </c>
      <c r="AM39" s="430">
        <f t="array" ref="AM39">XLOOKUP(LCARS_Off[AbilityID],RawOfficer[AbilityID],RawOfficer[Default Order])</f>
        <v>36</v>
      </c>
    </row>
    <row r="40">
      <c r="A40" s="429" t="str">
        <f t="array" ref="A40">LEFT(XLOOKUP(LCARS_Off[AbilityID],RawOfficer[AbilityID],RawOfficer[OfficerRarity]), 1)</f>
        <v>U</v>
      </c>
      <c r="B40" s="429"/>
      <c r="C40" s="514" t="str">
        <f t="array" ref="C40">HYPERLINK("https://stfc.space/officers/" &amp; XLOOKUP(LCARS_Off[AbilityID],RawOfficer[AbilityID],RawOfficer[OfficerId]), XLOOKUP(LCARS_Off[AbilityID],RawOfficer[AbilityID],RawOfficer[OfficerName]))</f>
        <v>ARIX</v>
      </c>
      <c r="D40" s="515" t="str">
        <f t="array" ref="D40">XLOOKUP(LCARS_Off[AbilityID],RawOfficer[AbilityID],RawOfficer[AbilityType])</f>
        <v>CM</v>
      </c>
      <c r="E40" s="516" t="str">
        <f t="array" ref="E40">XLOOKUP(LCARS_Off[AbilityID],RawOfficer[AbilityID],RawOfficer[Tag_PvPinSpace])</f>
        <v>✴️</v>
      </c>
      <c r="F40" s="516" t="str">
        <f t="array" ref="F40">XLOOKUP(LCARS_Off[AbilityID],RawOfficer[AbilityID],RawOfficer[Tag_PvPStation])</f>
        <v>✴️</v>
      </c>
      <c r="G40" s="516" t="str">
        <f t="array" ref="G40">XLOOKUP(LCARS_Off[AbilityID],RawOfficer[AbilityID],RawOfficer[Tag_NonArmadaHostiles])</f>
        <v>✴️</v>
      </c>
      <c r="H40" s="516" t="str">
        <f t="array" ref="H40">XLOOKUP(LCARS_Off[AbilityID],RawOfficer[AbilityID],RawOfficer[Tag_WaveDefense])</f>
        <v>✴️</v>
      </c>
      <c r="I40" s="516" t="str">
        <f t="array" ref="I40">XLOOKUP(LCARS_Off[AbilityID],RawOfficer[AbilityID],RawOfficer[Tag_QTrial])</f>
        <v>✴️</v>
      </c>
      <c r="J40" s="516" t="str">
        <f t="array" ref="J40">XLOOKUP(LCARS_Off[AbilityID],RawOfficer[AbilityID],RawOfficer[Tag_MissionBosses])</f>
        <v>✴️</v>
      </c>
      <c r="K40" s="516" t="str">
        <f t="array" ref="K40">XLOOKUP(LCARS_Off[AbilityID],RawOfficer[AbilityID],RawOfficer[Tag_GroupArmadas])</f>
        <v>✴️</v>
      </c>
      <c r="L40" s="516" t="str">
        <f t="array" ref="L40">XLOOKUP(LCARS_Off[AbilityID],RawOfficer[AbilityID],RawOfficer[Tag_SoloArmadas])</f>
        <v>✴️</v>
      </c>
      <c r="M40" s="516" t="str">
        <f t="array" ref="M40">XLOOKUP(LCARS_Off[AbilityID],RawOfficer[AbilityID],RawOfficer[Tag_InvadingEntities])</f>
        <v>✴️</v>
      </c>
      <c r="N40" s="516" t="str">
        <f t="array" ref="N40">XLOOKUP(LCARS_Off[AbilityID],RawOfficer[AbilityID],RawOfficer[Tag_Assaults])</f>
        <v>✴️</v>
      </c>
      <c r="O40" s="516" t="str">
        <f t="array" ref="O40">XLOOKUP(LCARS_Off[AbilityID],RawOfficer[AbilityID],RawOfficer[Tag_OutpostArmadas])</f>
        <v>✴️</v>
      </c>
      <c r="P40" s="516" t="str">
        <f t="array" ref="P40">XLOOKUP(LCARS_Off[AbilityID],RawOfficer[AbilityID],RawOfficer[Tag_OutpostRetaliators])</f>
        <v>✴️</v>
      </c>
      <c r="Q40" s="517" t="str">
        <f t="array" ref="Q40">XLOOKUP(LCARS_Off[AbilityID],RawOfficer[AbilityID],RawOfficer[Conditional_Reason])</f>
        <v>HitEnemyWithEnergy</v>
      </c>
      <c r="R40" s="518" t="str">
        <f t="array" ref="R40">XLOOKUP(LCARS_Off[AbilityID],RawOfficer[AbilityID],RawOfficer[Tag_Loot])</f>
        <v>➖</v>
      </c>
      <c r="S40" s="516" t="str">
        <f t="array" ref="S40">XLOOKUP(LCARS_Off[AbilityID],RawOfficer[AbilityID],RawOfficer[Tag_Utility])</f>
        <v>➖</v>
      </c>
      <c r="T40" s="429" t="str">
        <f t="array" ref="T40">XLOOKUP(LCARS_Off[AbilityID],RawOfficer[AbilityID],RawOfficer[OfficerSynergy])</f>
        <v>NERO'S CREW</v>
      </c>
      <c r="U40" s="519" t="str">
        <f t="array" ref="U40">XLOOKUP(LCARS_Off[AbilityID],RawOfficer[AbilityID],RawOfficer[AbilityModifier])</f>
        <v>AddState</v>
      </c>
      <c r="V40" s="519" t="str">
        <f t="array" ref="V40">XLOOKUP(LCARS_Off[AbilityID],RawOfficer[AbilityID],RawOfficer[AbilityAttributes])</f>
        <v>num_rounds=1, state=2</v>
      </c>
      <c r="W40" s="520" t="str">
        <f t="array" ref="W40">XLOOKUP(LCARS_Off[AbilityID],RawOfficer[AbilityID],RawOfficer[AbilityConditions])</f>
        <v>HitEnemyWithEnergy</v>
      </c>
      <c r="X40" s="519" t="str">
        <f t="array" ref="X40">XLOOKUP(LCARS_Off[AbilityID],RawOfficer[AbilityID],RawOfficer[AbilityTrigger])</f>
        <v>EnemyTakesHit</v>
      </c>
      <c r="Y40" s="519" t="str">
        <f t="array" ref="Y40">XLOOKUP(LCARS_Off[AbilityID],RawOfficer[AbilityID],RawOfficer[AbilityTarget])</f>
        <v>EnemyShip</v>
      </c>
      <c r="Z40" s="519" t="str">
        <f t="array" ref="Z40">XLOOKUP(LCARS_Off[AbilityID],RawOfficer[AbilityID],RawOfficer[AbilityOperation])</f>
        <v>Set</v>
      </c>
      <c r="AA40" s="521" t="str">
        <f t="array" ref="AA40">XLOOKUP(LCARS_Off[AbilityID],RawOfficer[AbilityID],RawOfficer[AbilityDescription])</f>
        <v>Every time the opponent is hit by an energy weapon attack, Arix has a X chance of Burning it. -- (Weapons with multiple shots will only trigger this maneuver once per attack.)</v>
      </c>
      <c r="AB40" s="429" t="b">
        <v>0</v>
      </c>
      <c r="AC40" s="522" t="str">
        <f t="array" ref="AC40">XLOOKUP(LCARS_Off[AbilityID],RawOfficer[AbilityID],RawOfficer[AbilityDescriptionShort])</f>
        <v>X chance to cause Burning to the opponent after hitting it with an energy weapon</v>
      </c>
      <c r="AD40" s="523"/>
      <c r="AE40" s="524"/>
      <c r="AF40" s="524"/>
      <c r="AG40" s="525" t="str">
        <f t="array" ref="AG40">XLOOKUP(LCARS_Off[AbilityID],RawOfficer[AbilityID],RawOfficer[AbilityChances])</f>
        <v>0.1, 0.02, 0.05</v>
      </c>
      <c r="AH40" s="525" t="str">
        <f t="array" ref="AH40">XLOOKUP(LCARS_Off[AbilityID],RawOfficer[AbilityID],RawOfficer[AbilityValues])</f>
        <v>1.0, 1.0, 1.0</v>
      </c>
      <c r="AI40" s="428" t="b">
        <f t="array" ref="AI40">XLOOKUP(LCARS_Off[AbilityID],RawOfficer[AbilityID],RawOfficer[AbilityHasChance])</f>
        <v>1</v>
      </c>
      <c r="AJ40" s="428" t="b">
        <f t="array" ref="AJ40">XLOOKUP(LCARS_Off[AbilityID],RawOfficer[AbilityID],RawOfficer[AbilityShowPercentage])</f>
        <v>1</v>
      </c>
      <c r="AK40" s="429">
        <f t="array" ref="AK40">XLOOKUP(LCARS_Off[AbilityID],RawOfficer[AbilityID],RawOfficer[OfficerArt])</f>
        <v>19</v>
      </c>
      <c r="AL40" s="430">
        <v>2.60350455E9</v>
      </c>
      <c r="AM40" s="430">
        <f t="array" ref="AM40">XLOOKUP(LCARS_Off[AbilityID],RawOfficer[AbilityID],RawOfficer[Default Order])</f>
        <v>37</v>
      </c>
    </row>
    <row r="41">
      <c r="A41" s="429" t="str">
        <f t="array" ref="A41">LEFT(XLOOKUP(LCARS_Off[AbilityID],RawOfficer[AbilityID],RawOfficer[OfficerRarity]), 1)</f>
        <v>U</v>
      </c>
      <c r="B41" s="429"/>
      <c r="C41" s="514" t="str">
        <f t="array" ref="C41">HYPERLINK("https://stfc.space/officers/" &amp; XLOOKUP(LCARS_Off[AbilityID],RawOfficer[AbilityID],RawOfficer[OfficerId]), XLOOKUP(LCARS_Off[AbilityID],RawOfficer[AbilityID],RawOfficer[OfficerName]))</f>
        <v>ARIX</v>
      </c>
      <c r="D41" s="515" t="str">
        <f t="array" ref="D41">XLOOKUP(LCARS_Off[AbilityID],RawOfficer[AbilityID],RawOfficer[AbilityType])</f>
        <v>OA</v>
      </c>
      <c r="E41" s="516" t="str">
        <f t="array" ref="E41">XLOOKUP(LCARS_Off[AbilityID],RawOfficer[AbilityID],RawOfficer[Tag_PvPinSpace])</f>
        <v>✴️</v>
      </c>
      <c r="F41" s="516" t="str">
        <f t="array" ref="F41">XLOOKUP(LCARS_Off[AbilityID],RawOfficer[AbilityID],RawOfficer[Tag_PvPStation])</f>
        <v>✴️</v>
      </c>
      <c r="G41" s="516" t="str">
        <f t="array" ref="G41">XLOOKUP(LCARS_Off[AbilityID],RawOfficer[AbilityID],RawOfficer[Tag_NonArmadaHostiles])</f>
        <v>✴️</v>
      </c>
      <c r="H41" s="516" t="str">
        <f t="array" ref="H41">XLOOKUP(LCARS_Off[AbilityID],RawOfficer[AbilityID],RawOfficer[Tag_WaveDefense])</f>
        <v>✴️</v>
      </c>
      <c r="I41" s="516" t="str">
        <f t="array" ref="I41">XLOOKUP(LCARS_Off[AbilityID],RawOfficer[AbilityID],RawOfficer[Tag_QTrial])</f>
        <v>✴️</v>
      </c>
      <c r="J41" s="516" t="str">
        <f t="array" ref="J41">XLOOKUP(LCARS_Off[AbilityID],RawOfficer[AbilityID],RawOfficer[Tag_MissionBosses])</f>
        <v>✴️</v>
      </c>
      <c r="K41" s="516" t="str">
        <f t="array" ref="K41">XLOOKUP(LCARS_Off[AbilityID],RawOfficer[AbilityID],RawOfficer[Tag_GroupArmadas])</f>
        <v>✴️</v>
      </c>
      <c r="L41" s="516" t="str">
        <f t="array" ref="L41">XLOOKUP(LCARS_Off[AbilityID],RawOfficer[AbilityID],RawOfficer[Tag_SoloArmadas])</f>
        <v>✴️</v>
      </c>
      <c r="M41" s="516" t="str">
        <f t="array" ref="M41">XLOOKUP(LCARS_Off[AbilityID],RawOfficer[AbilityID],RawOfficer[Tag_InvadingEntities])</f>
        <v>✴️</v>
      </c>
      <c r="N41" s="516" t="str">
        <f t="array" ref="N41">XLOOKUP(LCARS_Off[AbilityID],RawOfficer[AbilityID],RawOfficer[Tag_Assaults])</f>
        <v>✴️</v>
      </c>
      <c r="O41" s="516" t="str">
        <f t="array" ref="O41">XLOOKUP(LCARS_Off[AbilityID],RawOfficer[AbilityID],RawOfficer[Tag_OutpostArmadas])</f>
        <v>✴️</v>
      </c>
      <c r="P41" s="516" t="str">
        <f t="array" ref="P41">XLOOKUP(LCARS_Off[AbilityID],RawOfficer[AbilityID],RawOfficer[Tag_OutpostRetaliators])</f>
        <v>✴️</v>
      </c>
      <c r="Q41" s="517" t="str">
        <f t="array" ref="Q41">XLOOKUP(LCARS_Off[AbilityID],RawOfficer[AbilityID],RawOfficer[Conditional_Reason])</f>
        <v>HullHealthBelowStartOfCombat</v>
      </c>
      <c r="R41" s="518" t="str">
        <f t="array" ref="R41">XLOOKUP(LCARS_Off[AbilityID],RawOfficer[AbilityID],RawOfficer[Tag_Loot])</f>
        <v>➖</v>
      </c>
      <c r="S41" s="516" t="str">
        <f t="array" ref="S41">XLOOKUP(LCARS_Off[AbilityID],RawOfficer[AbilityID],RawOfficer[Tag_Utility])</f>
        <v>➖</v>
      </c>
      <c r="T41" s="429" t="str">
        <f t="array" ref="T41">XLOOKUP(LCARS_Off[AbilityID],RawOfficer[AbilityID],RawOfficer[OfficerSynergy])</f>
        <v>NERO'S CREW</v>
      </c>
      <c r="U41" s="519" t="str">
        <f t="array" ref="U41">XLOOKUP(LCARS_Off[AbilityID],RawOfficer[AbilityID],RawOfficer[AbilityModifier])</f>
        <v>ShipArmor</v>
      </c>
      <c r="V41" s="519" t="str">
        <f t="array" ref="V41">XLOOKUP(LCARS_Off[AbilityID],RawOfficer[AbilityID],RawOfficer[AbilityAttributes])</f>
        <v>percentage=0.7</v>
      </c>
      <c r="W41" s="520" t="str">
        <f t="array" ref="W41">XLOOKUP(LCARS_Off[AbilityID],RawOfficer[AbilityID],RawOfficer[AbilityConditions])</f>
        <v>HullHealthBelowStartOfCombat</v>
      </c>
      <c r="X41" s="519" t="str">
        <f t="array" ref="X41">XLOOKUP(LCARS_Off[AbilityID],RawOfficer[AbilityID],RawOfficer[AbilityTrigger])</f>
        <v>RoundStart</v>
      </c>
      <c r="Y41" s="519" t="str">
        <f t="array" ref="Y41">XLOOKUP(LCARS_Off[AbilityID],RawOfficer[AbilityID],RawOfficer[AbilityTarget])</f>
        <v>SelfShip</v>
      </c>
      <c r="Z41" s="519" t="str">
        <f t="array" ref="Z41">XLOOKUP(LCARS_Off[AbilityID],RawOfficer[AbilityID],RawOfficer[AbilityOperation])</f>
        <v>MultiplyAdd</v>
      </c>
      <c r="AA41" s="521" t="str">
        <f t="array" ref="AA41">XLOOKUP(LCARS_Off[AbilityID],RawOfficer[AbilityID],RawOfficer[AbilityDescription])</f>
        <v>As long as the ship's Hull Health is under 70% of its value at the start of combat, Arix increases its Armor by X</v>
      </c>
      <c r="AB41" s="429" t="b">
        <v>0</v>
      </c>
      <c r="AC41" s="522" t="str">
        <f t="array" ref="AC41">XLOOKUP(LCARS_Off[AbilityID],RawOfficer[AbilityID],RawOfficer[AbilityDescriptionShort])</f>
        <v>+X to Armor when the ship has less than 70% Hull Health</v>
      </c>
      <c r="AD41" s="523"/>
      <c r="AE41" s="524"/>
      <c r="AF41" s="524"/>
      <c r="AG41" s="525" t="str">
        <f t="array" ref="AG41">XLOOKUP(LCARS_Off[AbilityID],RawOfficer[AbilityID],RawOfficer[AbilityChances])</f>
        <v>1.0, 1.0, 1.0, 1.0, 1.0</v>
      </c>
      <c r="AH41" s="525" t="str">
        <f t="array" ref="AH41">XLOOKUP(LCARS_Off[AbilityID],RawOfficer[AbilityID],RawOfficer[AbilityValues])</f>
        <v>0.15, 0.2, 0.3, 0.4, 0.5</v>
      </c>
      <c r="AI41" s="428" t="b">
        <f t="array" ref="AI41">XLOOKUP(LCARS_Off[AbilityID],RawOfficer[AbilityID],RawOfficer[AbilityHasChance])</f>
        <v>0</v>
      </c>
      <c r="AJ41" s="428" t="b">
        <f t="array" ref="AJ41">XLOOKUP(LCARS_Off[AbilityID],RawOfficer[AbilityID],RawOfficer[AbilityShowPercentage])</f>
        <v>1</v>
      </c>
      <c r="AK41" s="429">
        <f t="array" ref="AK41">XLOOKUP(LCARS_Off[AbilityID],RawOfficer[AbilityID],RawOfficer[OfficerArt])</f>
        <v>19</v>
      </c>
      <c r="AL41" s="430">
        <v>1.93818243E8</v>
      </c>
      <c r="AM41" s="430">
        <f t="array" ref="AM41">XLOOKUP(LCARS_Off[AbilityID],RawOfficer[AbilityID],RawOfficer[Default Order])</f>
        <v>38</v>
      </c>
    </row>
    <row r="42">
      <c r="A42" s="429" t="str">
        <f t="array" ref="A42">LEFT(XLOOKUP(LCARS_Off[AbilityID],RawOfficer[AbilityID],RawOfficer[OfficerRarity]), 1)</f>
        <v>U</v>
      </c>
      <c r="B42" s="429"/>
      <c r="C42" s="514" t="str">
        <f t="array" ref="C42">HYPERLINK("https://stfc.space/officers/" &amp; XLOOKUP(LCARS_Off[AbilityID],RawOfficer[AbilityID],RawOfficer[OfficerId]), XLOOKUP(LCARS_Off[AbilityID],RawOfficer[AbilityID],RawOfficer[OfficerName]))</f>
        <v>VELLA</v>
      </c>
      <c r="D42" s="515" t="str">
        <f t="array" ref="D42">XLOOKUP(LCARS_Off[AbilityID],RawOfficer[AbilityID],RawOfficer[AbilityType])</f>
        <v>CM</v>
      </c>
      <c r="E42" s="516" t="str">
        <f t="array" ref="E42">XLOOKUP(LCARS_Off[AbilityID],RawOfficer[AbilityID],RawOfficer[Tag_PvPinSpace])</f>
        <v>✴️</v>
      </c>
      <c r="F42" s="516" t="str">
        <f t="array" ref="F42">XLOOKUP(LCARS_Off[AbilityID],RawOfficer[AbilityID],RawOfficer[Tag_PvPStation])</f>
        <v>✴️</v>
      </c>
      <c r="G42" s="516" t="str">
        <f t="array" ref="G42">XLOOKUP(LCARS_Off[AbilityID],RawOfficer[AbilityID],RawOfficer[Tag_NonArmadaHostiles])</f>
        <v>✴️</v>
      </c>
      <c r="H42" s="516" t="str">
        <f t="array" ref="H42">XLOOKUP(LCARS_Off[AbilityID],RawOfficer[AbilityID],RawOfficer[Tag_WaveDefense])</f>
        <v>✴️</v>
      </c>
      <c r="I42" s="516" t="str">
        <f t="array" ref="I42">XLOOKUP(LCARS_Off[AbilityID],RawOfficer[AbilityID],RawOfficer[Tag_QTrial])</f>
        <v>✴️</v>
      </c>
      <c r="J42" s="516" t="str">
        <f t="array" ref="J42">XLOOKUP(LCARS_Off[AbilityID],RawOfficer[AbilityID],RawOfficer[Tag_MissionBosses])</f>
        <v>✴️</v>
      </c>
      <c r="K42" s="516" t="str">
        <f t="array" ref="K42">XLOOKUP(LCARS_Off[AbilityID],RawOfficer[AbilityID],RawOfficer[Tag_GroupArmadas])</f>
        <v>✴️</v>
      </c>
      <c r="L42" s="516" t="str">
        <f t="array" ref="L42">XLOOKUP(LCARS_Off[AbilityID],RawOfficer[AbilityID],RawOfficer[Tag_SoloArmadas])</f>
        <v>✴️</v>
      </c>
      <c r="M42" s="516" t="str">
        <f t="array" ref="M42">XLOOKUP(LCARS_Off[AbilityID],RawOfficer[AbilityID],RawOfficer[Tag_InvadingEntities])</f>
        <v>✴️</v>
      </c>
      <c r="N42" s="516" t="str">
        <f t="array" ref="N42">XLOOKUP(LCARS_Off[AbilityID],RawOfficer[AbilityID],RawOfficer[Tag_Assaults])</f>
        <v>✴️</v>
      </c>
      <c r="O42" s="516" t="str">
        <f t="array" ref="O42">XLOOKUP(LCARS_Off[AbilityID],RawOfficer[AbilityID],RawOfficer[Tag_OutpostArmadas])</f>
        <v>✴️</v>
      </c>
      <c r="P42" s="516" t="str">
        <f t="array" ref="P42">XLOOKUP(LCARS_Off[AbilityID],RawOfficer[AbilityID],RawOfficer[Tag_OutpostRetaliators])</f>
        <v>✴️</v>
      </c>
      <c r="Q42" s="517" t="str">
        <f t="array" ref="Q42">XLOOKUP(LCARS_Off[AbilityID],RawOfficer[AbilityID],RawOfficer[Conditional_Reason])</f>
        <v>EnemyExplorer</v>
      </c>
      <c r="R42" s="518" t="str">
        <f t="array" ref="R42">XLOOKUP(LCARS_Off[AbilityID],RawOfficer[AbilityID],RawOfficer[Tag_Loot])</f>
        <v>➖</v>
      </c>
      <c r="S42" s="516" t="str">
        <f t="array" ref="S42">XLOOKUP(LCARS_Off[AbilityID],RawOfficer[AbilityID],RawOfficer[Tag_Utility])</f>
        <v>➖</v>
      </c>
      <c r="T42" s="429" t="str">
        <f t="array" ref="T42">XLOOKUP(LCARS_Off[AbilityID],RawOfficer[AbilityID],RawOfficer[OfficerSynergy])</f>
        <v>NERO'S CREW</v>
      </c>
      <c r="U42" s="519" t="str">
        <f t="array" ref="U42">XLOOKUP(LCARS_Off[AbilityID],RawOfficer[AbilityID],RawOfficer[AbilityModifier])</f>
        <v>AllDamage</v>
      </c>
      <c r="V42" s="519" t="str">
        <f t="array" ref="V42">XLOOKUP(LCARS_Off[AbilityID],RawOfficer[AbilityID],RawOfficer[AbilityAttributes])</f>
        <v/>
      </c>
      <c r="W42" s="520" t="str">
        <f t="array" ref="W42">XLOOKUP(LCARS_Off[AbilityID],RawOfficer[AbilityID],RawOfficer[AbilityConditions])</f>
        <v>EnemyExplorer</v>
      </c>
      <c r="X42" s="519" t="str">
        <f t="array" ref="X42">XLOOKUP(LCARS_Off[AbilityID],RawOfficer[AbilityID],RawOfficer[AbilityTrigger])</f>
        <v>CombatStart</v>
      </c>
      <c r="Y42" s="519" t="str">
        <f t="array" ref="Y42">XLOOKUP(LCARS_Off[AbilityID],RawOfficer[AbilityID],RawOfficer[AbilityTarget])</f>
        <v>SelfShip</v>
      </c>
      <c r="Z42" s="519" t="str">
        <f t="array" ref="Z42">XLOOKUP(LCARS_Off[AbilityID],RawOfficer[AbilityID],RawOfficer[AbilityOperation])</f>
        <v>MultiplyAdd</v>
      </c>
      <c r="AA42" s="521" t="str">
        <f t="array" ref="AA42">XLOOKUP(LCARS_Off[AbilityID],RawOfficer[AbilityID],RawOfficer[AbilityDescription])</f>
        <v>If the opponent's ship is an Explorer, Vella increases the damage of weapons by X.</v>
      </c>
      <c r="AB42" s="429" t="b">
        <v>0</v>
      </c>
      <c r="AC42" s="522" t="str">
        <f t="array" ref="AC42">XLOOKUP(LCARS_Off[AbilityID],RawOfficer[AbilityID],RawOfficer[AbilityDescriptionShort])</f>
        <v>+X Damage if the opponent is an Explorer</v>
      </c>
      <c r="AD42" s="523"/>
      <c r="AE42" s="524"/>
      <c r="AF42" s="524"/>
      <c r="AG42" s="525" t="str">
        <f t="array" ref="AG42">XLOOKUP(LCARS_Off[AbilityID],RawOfficer[AbilityID],RawOfficer[AbilityChances])</f>
        <v>1.0, 1.0, 1.0</v>
      </c>
      <c r="AH42" s="525" t="str">
        <f t="array" ref="AH42">XLOOKUP(LCARS_Off[AbilityID],RawOfficer[AbilityID],RawOfficer[AbilityValues])</f>
        <v>0.1, 0.05, 0.1</v>
      </c>
      <c r="AI42" s="428" t="b">
        <f t="array" ref="AI42">XLOOKUP(LCARS_Off[AbilityID],RawOfficer[AbilityID],RawOfficer[AbilityHasChance])</f>
        <v>0</v>
      </c>
      <c r="AJ42" s="428" t="b">
        <f t="array" ref="AJ42">XLOOKUP(LCARS_Off[AbilityID],RawOfficer[AbilityID],RawOfficer[AbilityShowPercentage])</f>
        <v>1</v>
      </c>
      <c r="AK42" s="429">
        <f t="array" ref="AK42">XLOOKUP(LCARS_Off[AbilityID],RawOfficer[AbilityID],RawOfficer[OfficerArt])</f>
        <v>20</v>
      </c>
      <c r="AL42" s="430">
        <v>3.575708063E9</v>
      </c>
      <c r="AM42" s="430">
        <f t="array" ref="AM42">XLOOKUP(LCARS_Off[AbilityID],RawOfficer[AbilityID],RawOfficer[Default Order])</f>
        <v>39</v>
      </c>
    </row>
    <row r="43">
      <c r="A43" s="429" t="str">
        <f t="array" ref="A43">LEFT(XLOOKUP(LCARS_Off[AbilityID],RawOfficer[AbilityID],RawOfficer[OfficerRarity]), 1)</f>
        <v>U</v>
      </c>
      <c r="B43" s="429"/>
      <c r="C43" s="514" t="str">
        <f t="array" ref="C43">HYPERLINK("https://stfc.space/officers/" &amp; XLOOKUP(LCARS_Off[AbilityID],RawOfficer[AbilityID],RawOfficer[OfficerId]), XLOOKUP(LCARS_Off[AbilityID],RawOfficer[AbilityID],RawOfficer[OfficerName]))</f>
        <v>VELLA</v>
      </c>
      <c r="D43" s="515" t="str">
        <f t="array" ref="D43">XLOOKUP(LCARS_Off[AbilityID],RawOfficer[AbilityID],RawOfficer[AbilityType])</f>
        <v>OA</v>
      </c>
      <c r="E43" s="516" t="str">
        <f t="array" ref="E43">XLOOKUP(LCARS_Off[AbilityID],RawOfficer[AbilityID],RawOfficer[Tag_PvPinSpace])</f>
        <v>✅</v>
      </c>
      <c r="F43" s="516" t="str">
        <f t="array" ref="F43">XLOOKUP(LCARS_Off[AbilityID],RawOfficer[AbilityID],RawOfficer[Tag_PvPStation])</f>
        <v>✅</v>
      </c>
      <c r="G43" s="516" t="str">
        <f t="array" ref="G43">XLOOKUP(LCARS_Off[AbilityID],RawOfficer[AbilityID],RawOfficer[Tag_NonArmadaHostiles])</f>
        <v>✅</v>
      </c>
      <c r="H43" s="516" t="str">
        <f t="array" ref="H43">XLOOKUP(LCARS_Off[AbilityID],RawOfficer[AbilityID],RawOfficer[Tag_WaveDefense])</f>
        <v>✅</v>
      </c>
      <c r="I43" s="516" t="str">
        <f t="array" ref="I43">XLOOKUP(LCARS_Off[AbilityID],RawOfficer[AbilityID],RawOfficer[Tag_QTrial])</f>
        <v>✅</v>
      </c>
      <c r="J43" s="516" t="str">
        <f t="array" ref="J43">XLOOKUP(LCARS_Off[AbilityID],RawOfficer[AbilityID],RawOfficer[Tag_MissionBosses])</f>
        <v>✅</v>
      </c>
      <c r="K43" s="516" t="str">
        <f t="array" ref="K43">XLOOKUP(LCARS_Off[AbilityID],RawOfficer[AbilityID],RawOfficer[Tag_GroupArmadas])</f>
        <v>✅</v>
      </c>
      <c r="L43" s="516" t="str">
        <f t="array" ref="L43">XLOOKUP(LCARS_Off[AbilityID],RawOfficer[AbilityID],RawOfficer[Tag_SoloArmadas])</f>
        <v>✅</v>
      </c>
      <c r="M43" s="516" t="str">
        <f t="array" ref="M43">XLOOKUP(LCARS_Off[AbilityID],RawOfficer[AbilityID],RawOfficer[Tag_InvadingEntities])</f>
        <v>✅</v>
      </c>
      <c r="N43" s="516" t="str">
        <f t="array" ref="N43">XLOOKUP(LCARS_Off[AbilityID],RawOfficer[AbilityID],RawOfficer[Tag_Assaults])</f>
        <v>✅</v>
      </c>
      <c r="O43" s="516" t="str">
        <f t="array" ref="O43">XLOOKUP(LCARS_Off[AbilityID],RawOfficer[AbilityID],RawOfficer[Tag_OutpostArmadas])</f>
        <v>✅</v>
      </c>
      <c r="P43" s="516" t="str">
        <f t="array" ref="P43">XLOOKUP(LCARS_Off[AbilityID],RawOfficer[AbilityID],RawOfficer[Tag_OutpostRetaliators])</f>
        <v>✅</v>
      </c>
      <c r="Q43" s="517" t="str">
        <f t="array" ref="Q43">XLOOKUP(LCARS_Off[AbilityID],RawOfficer[AbilityID],RawOfficer[Conditional_Reason])</f>
        <v/>
      </c>
      <c r="R43" s="518" t="str">
        <f t="array" ref="R43">XLOOKUP(LCARS_Off[AbilityID],RawOfficer[AbilityID],RawOfficer[Tag_Loot])</f>
        <v>➖</v>
      </c>
      <c r="S43" s="516" t="str">
        <f t="array" ref="S43">XLOOKUP(LCARS_Off[AbilityID],RawOfficer[AbilityID],RawOfficer[Tag_Utility])</f>
        <v>➖</v>
      </c>
      <c r="T43" s="429" t="str">
        <f t="array" ref="T43">XLOOKUP(LCARS_Off[AbilityID],RawOfficer[AbilityID],RawOfficer[OfficerSynergy])</f>
        <v>NERO'S CREW</v>
      </c>
      <c r="U43" s="519" t="str">
        <f t="array" ref="U43">XLOOKUP(LCARS_Off[AbilityID],RawOfficer[AbilityID],RawOfficer[AbilityModifier])</f>
        <v>OfficerStatHealth</v>
      </c>
      <c r="V43" s="519" t="str">
        <f t="array" ref="V43">XLOOKUP(LCARS_Off[AbilityID],RawOfficer[AbilityID],RawOfficer[AbilityAttributes])</f>
        <v/>
      </c>
      <c r="W43" s="520" t="str">
        <f t="array" ref="W43">XLOOKUP(LCARS_Off[AbilityID],RawOfficer[AbilityID],RawOfficer[AbilityConditions])</f>
        <v/>
      </c>
      <c r="X43" s="519" t="str">
        <f t="array" ref="X43">XLOOKUP(LCARS_Off[AbilityID],RawOfficer[AbilityID],RawOfficer[AbilityTrigger])</f>
        <v>ShipLaunched</v>
      </c>
      <c r="Y43" s="519" t="str">
        <f t="array" ref="Y43">XLOOKUP(LCARS_Off[AbilityID],RawOfficer[AbilityID],RawOfficer[AbilityTarget])</f>
        <v>SelfAll</v>
      </c>
      <c r="Z43" s="519" t="str">
        <f t="array" ref="Z43">XLOOKUP(LCARS_Off[AbilityID],RawOfficer[AbilityID],RawOfficer[AbilityOperation])</f>
        <v>MultiplyAdd</v>
      </c>
      <c r="AA43" s="521" t="str">
        <f t="array" ref="AA43">XLOOKUP(LCARS_Off[AbilityID],RawOfficer[AbilityID],RawOfficer[AbilityDescription])</f>
        <v>Vella increases the total Health of all Officers on the ship by X.</v>
      </c>
      <c r="AB43" s="429" t="b">
        <v>0</v>
      </c>
      <c r="AC43" s="522" t="str">
        <f t="array" ref="AC43">XLOOKUP(LCARS_Off[AbilityID],RawOfficer[AbilityID],RawOfficer[AbilityDescriptionShort])</f>
        <v>+X to Health for all Officers on this ship</v>
      </c>
      <c r="AD43" s="523"/>
      <c r="AE43" s="524"/>
      <c r="AF43" s="524"/>
      <c r="AG43" s="525" t="str">
        <f t="array" ref="AG43">XLOOKUP(LCARS_Off[AbilityID],RawOfficer[AbilityID],RawOfficer[AbilityChances])</f>
        <v>1.0, 1.0, 1.0, 1.0, 1.0</v>
      </c>
      <c r="AH43" s="525" t="str">
        <f t="array" ref="AH43">XLOOKUP(LCARS_Off[AbilityID],RawOfficer[AbilityID],RawOfficer[AbilityValues])</f>
        <v>0.05, 0.07, 0.09, 0.12, 0.15</v>
      </c>
      <c r="AI43" s="428" t="b">
        <f t="array" ref="AI43">XLOOKUP(LCARS_Off[AbilityID],RawOfficer[AbilityID],RawOfficer[AbilityHasChance])</f>
        <v>0</v>
      </c>
      <c r="AJ43" s="428" t="b">
        <f t="array" ref="AJ43">XLOOKUP(LCARS_Off[AbilityID],RawOfficer[AbilityID],RawOfficer[AbilityShowPercentage])</f>
        <v>1</v>
      </c>
      <c r="AK43" s="429">
        <f t="array" ref="AK43">XLOOKUP(LCARS_Off[AbilityID],RawOfficer[AbilityID],RawOfficer[OfficerArt])</f>
        <v>20</v>
      </c>
      <c r="AL43" s="430">
        <v>4.246759861E9</v>
      </c>
      <c r="AM43" s="430">
        <f t="array" ref="AM43">XLOOKUP(LCARS_Off[AbilityID],RawOfficer[AbilityID],RawOfficer[Default Order])</f>
        <v>40</v>
      </c>
    </row>
    <row r="44">
      <c r="A44" s="429" t="str">
        <f t="array" ref="A44">LEFT(XLOOKUP(LCARS_Off[AbilityID],RawOfficer[AbilityID],RawOfficer[OfficerRarity]), 1)</f>
        <v>U</v>
      </c>
      <c r="B44" s="429"/>
      <c r="C44" s="514" t="str">
        <f t="array" ref="C44">HYPERLINK("https://stfc.space/officers/" &amp; XLOOKUP(LCARS_Off[AbilityID],RawOfficer[AbilityID],RawOfficer[OfficerId]), XLOOKUP(LCARS_Off[AbilityID],RawOfficer[AbilityID],RawOfficer[OfficerName]))</f>
        <v>JAVAID</v>
      </c>
      <c r="D44" s="515" t="str">
        <f t="array" ref="D44">XLOOKUP(LCARS_Off[AbilityID],RawOfficer[AbilityID],RawOfficer[AbilityType])</f>
        <v>CM</v>
      </c>
      <c r="E44" s="516" t="str">
        <f t="array" ref="E44">XLOOKUP(LCARS_Off[AbilityID],RawOfficer[AbilityID],RawOfficer[Tag_PvPinSpace])</f>
        <v>✅</v>
      </c>
      <c r="F44" s="516" t="str">
        <f t="array" ref="F44">XLOOKUP(LCARS_Off[AbilityID],RawOfficer[AbilityID],RawOfficer[Tag_PvPStation])</f>
        <v>✅</v>
      </c>
      <c r="G44" s="516" t="str">
        <f t="array" ref="G44">XLOOKUP(LCARS_Off[AbilityID],RawOfficer[AbilityID],RawOfficer[Tag_NonArmadaHostiles])</f>
        <v>✅</v>
      </c>
      <c r="H44" s="516" t="str">
        <f t="array" ref="H44">XLOOKUP(LCARS_Off[AbilityID],RawOfficer[AbilityID],RawOfficer[Tag_WaveDefense])</f>
        <v>✅</v>
      </c>
      <c r="I44" s="516" t="str">
        <f t="array" ref="I44">XLOOKUP(LCARS_Off[AbilityID],RawOfficer[AbilityID],RawOfficer[Tag_QTrial])</f>
        <v>✅</v>
      </c>
      <c r="J44" s="516" t="str">
        <f t="array" ref="J44">XLOOKUP(LCARS_Off[AbilityID],RawOfficer[AbilityID],RawOfficer[Tag_MissionBosses])</f>
        <v>✅</v>
      </c>
      <c r="K44" s="516" t="str">
        <f t="array" ref="K44">XLOOKUP(LCARS_Off[AbilityID],RawOfficer[AbilityID],RawOfficer[Tag_GroupArmadas])</f>
        <v>✅</v>
      </c>
      <c r="L44" s="516" t="str">
        <f t="array" ref="L44">XLOOKUP(LCARS_Off[AbilityID],RawOfficer[AbilityID],RawOfficer[Tag_SoloArmadas])</f>
        <v>✅</v>
      </c>
      <c r="M44" s="516" t="str">
        <f t="array" ref="M44">XLOOKUP(LCARS_Off[AbilityID],RawOfficer[AbilityID],RawOfficer[Tag_InvadingEntities])</f>
        <v>✅</v>
      </c>
      <c r="N44" s="516" t="str">
        <f t="array" ref="N44">XLOOKUP(LCARS_Off[AbilityID],RawOfficer[AbilityID],RawOfficer[Tag_Assaults])</f>
        <v>✅</v>
      </c>
      <c r="O44" s="516" t="str">
        <f t="array" ref="O44">XLOOKUP(LCARS_Off[AbilityID],RawOfficer[AbilityID],RawOfficer[Tag_OutpostArmadas])</f>
        <v>✅</v>
      </c>
      <c r="P44" s="516" t="str">
        <f t="array" ref="P44">XLOOKUP(LCARS_Off[AbilityID],RawOfficer[AbilityID],RawOfficer[Tag_OutpostRetaliators])</f>
        <v>✅</v>
      </c>
      <c r="Q44" s="517" t="str">
        <f t="array" ref="Q44">XLOOKUP(LCARS_Off[AbilityID],RawOfficer[AbilityID],RawOfficer[Conditional_Reason])</f>
        <v/>
      </c>
      <c r="R44" s="518" t="str">
        <f t="array" ref="R44">XLOOKUP(LCARS_Off[AbilityID],RawOfficer[AbilityID],RawOfficer[Tag_Loot])</f>
        <v>➖</v>
      </c>
      <c r="S44" s="516" t="str">
        <f t="array" ref="S44">XLOOKUP(LCARS_Off[AbilityID],RawOfficer[AbilityID],RawOfficer[Tag_Utility])</f>
        <v>➖</v>
      </c>
      <c r="T44" s="429" t="str">
        <f t="array" ref="T44">XLOOKUP(LCARS_Off[AbilityID],RawOfficer[AbilityID],RawOfficer[OfficerSynergy])</f>
        <v>NERO'S CREW</v>
      </c>
      <c r="U44" s="519" t="str">
        <f t="array" ref="U44">XLOOKUP(LCARS_Off[AbilityID],RawOfficer[AbilityID],RawOfficer[AbilityModifier])</f>
        <v>ShieldPiercing</v>
      </c>
      <c r="V44" s="519" t="str">
        <f t="array" ref="V44">XLOOKUP(LCARS_Off[AbilityID],RawOfficer[AbilityID],RawOfficer[AbilityAttributes])</f>
        <v/>
      </c>
      <c r="W44" s="520" t="str">
        <f t="array" ref="W44">XLOOKUP(LCARS_Off[AbilityID],RawOfficer[AbilityID],RawOfficer[AbilityConditions])</f>
        <v/>
      </c>
      <c r="X44" s="519" t="str">
        <f t="array" ref="X44">XLOOKUP(LCARS_Off[AbilityID],RawOfficer[AbilityID],RawOfficer[AbilityTrigger])</f>
        <v>ShipLaunched</v>
      </c>
      <c r="Y44" s="519" t="str">
        <f t="array" ref="Y44">XLOOKUP(LCARS_Off[AbilityID],RawOfficer[AbilityID],RawOfficer[AbilityTarget])</f>
        <v>SelfShip</v>
      </c>
      <c r="Z44" s="519" t="str">
        <f t="array" ref="Z44">XLOOKUP(LCARS_Off[AbilityID],RawOfficer[AbilityID],RawOfficer[AbilityOperation])</f>
        <v>MultiplyAdd</v>
      </c>
      <c r="AA44" s="521" t="str">
        <f t="array" ref="AA44">XLOOKUP(LCARS_Off[AbilityID],RawOfficer[AbilityID],RawOfficer[AbilityDescription])</f>
        <v>Javaid increases the Shield Piercing of the ship by X.</v>
      </c>
      <c r="AB44" s="429" t="b">
        <v>0</v>
      </c>
      <c r="AC44" s="522" t="str">
        <f t="array" ref="AC44">XLOOKUP(LCARS_Off[AbilityID],RawOfficer[AbilityID],RawOfficer[AbilityDescriptionShort])</f>
        <v>+X to Shield Piercing</v>
      </c>
      <c r="AD44" s="523"/>
      <c r="AE44" s="524"/>
      <c r="AF44" s="524"/>
      <c r="AG44" s="525" t="str">
        <f t="array" ref="AG44">XLOOKUP(LCARS_Off[AbilityID],RawOfficer[AbilityID],RawOfficer[AbilityChances])</f>
        <v>1.0, 1.0, 1.0</v>
      </c>
      <c r="AH44" s="525" t="str">
        <f t="array" ref="AH44">XLOOKUP(LCARS_Off[AbilityID],RawOfficer[AbilityID],RawOfficer[AbilityValues])</f>
        <v>0.2, 0.05, 0.1</v>
      </c>
      <c r="AI44" s="428" t="b">
        <f t="array" ref="AI44">XLOOKUP(LCARS_Off[AbilityID],RawOfficer[AbilityID],RawOfficer[AbilityHasChance])</f>
        <v>0</v>
      </c>
      <c r="AJ44" s="428" t="b">
        <f t="array" ref="AJ44">XLOOKUP(LCARS_Off[AbilityID],RawOfficer[AbilityID],RawOfficer[AbilityShowPercentage])</f>
        <v>1</v>
      </c>
      <c r="AK44" s="429">
        <f t="array" ref="AK44">XLOOKUP(LCARS_Off[AbilityID],RawOfficer[AbilityID],RawOfficer[OfficerArt])</f>
        <v>21</v>
      </c>
      <c r="AL44" s="430">
        <v>2.120680252E9</v>
      </c>
      <c r="AM44" s="430">
        <f t="array" ref="AM44">XLOOKUP(LCARS_Off[AbilityID],RawOfficer[AbilityID],RawOfficer[Default Order])</f>
        <v>41</v>
      </c>
    </row>
    <row r="45">
      <c r="A45" s="429" t="str">
        <f t="array" ref="A45">LEFT(XLOOKUP(LCARS_Off[AbilityID],RawOfficer[AbilityID],RawOfficer[OfficerRarity]), 1)</f>
        <v>U</v>
      </c>
      <c r="B45" s="429"/>
      <c r="C45" s="514" t="str">
        <f t="array" ref="C45">HYPERLINK("https://stfc.space/officers/" &amp; XLOOKUP(LCARS_Off[AbilityID],RawOfficer[AbilityID],RawOfficer[OfficerId]), XLOOKUP(LCARS_Off[AbilityID],RawOfficer[AbilityID],RawOfficer[OfficerName]))</f>
        <v>JAVAID</v>
      </c>
      <c r="D45" s="515" t="str">
        <f t="array" ref="D45">XLOOKUP(LCARS_Off[AbilityID],RawOfficer[AbilityID],RawOfficer[AbilityType])</f>
        <v>OA</v>
      </c>
      <c r="E45" s="516" t="str">
        <f t="array" ref="E45">XLOOKUP(LCARS_Off[AbilityID],RawOfficer[AbilityID],RawOfficer[Tag_PvPinSpace])</f>
        <v>✴️</v>
      </c>
      <c r="F45" s="516" t="str">
        <f t="array" ref="F45">XLOOKUP(LCARS_Off[AbilityID],RawOfficer[AbilityID],RawOfficer[Tag_PvPStation])</f>
        <v>✴️</v>
      </c>
      <c r="G45" s="516" t="str">
        <f t="array" ref="G45">XLOOKUP(LCARS_Off[AbilityID],RawOfficer[AbilityID],RawOfficer[Tag_NonArmadaHostiles])</f>
        <v>✴️</v>
      </c>
      <c r="H45" s="516" t="str">
        <f t="array" ref="H45">XLOOKUP(LCARS_Off[AbilityID],RawOfficer[AbilityID],RawOfficer[Tag_WaveDefense])</f>
        <v>✴️</v>
      </c>
      <c r="I45" s="516" t="str">
        <f t="array" ref="I45">XLOOKUP(LCARS_Off[AbilityID],RawOfficer[AbilityID],RawOfficer[Tag_QTrial])</f>
        <v>✴️</v>
      </c>
      <c r="J45" s="516" t="str">
        <f t="array" ref="J45">XLOOKUP(LCARS_Off[AbilityID],RawOfficer[AbilityID],RawOfficer[Tag_MissionBosses])</f>
        <v>✴️</v>
      </c>
      <c r="K45" s="516" t="str">
        <f t="array" ref="K45">XLOOKUP(LCARS_Off[AbilityID],RawOfficer[AbilityID],RawOfficer[Tag_GroupArmadas])</f>
        <v>✴️</v>
      </c>
      <c r="L45" s="516" t="str">
        <f t="array" ref="L45">XLOOKUP(LCARS_Off[AbilityID],RawOfficer[AbilityID],RawOfficer[Tag_SoloArmadas])</f>
        <v>✴️</v>
      </c>
      <c r="M45" s="516" t="str">
        <f t="array" ref="M45">XLOOKUP(LCARS_Off[AbilityID],RawOfficer[AbilityID],RawOfficer[Tag_InvadingEntities])</f>
        <v>✴️</v>
      </c>
      <c r="N45" s="516" t="str">
        <f t="array" ref="N45">XLOOKUP(LCARS_Off[AbilityID],RawOfficer[AbilityID],RawOfficer[Tag_Assaults])</f>
        <v>✴️</v>
      </c>
      <c r="O45" s="516" t="str">
        <f t="array" ref="O45">XLOOKUP(LCARS_Off[AbilityID],RawOfficer[AbilityID],RawOfficer[Tag_OutpostArmadas])</f>
        <v>✴️</v>
      </c>
      <c r="P45" s="516" t="str">
        <f t="array" ref="P45">XLOOKUP(LCARS_Off[AbilityID],RawOfficer[AbilityID],RawOfficer[Tag_OutpostRetaliators])</f>
        <v>✴️</v>
      </c>
      <c r="Q45" s="517" t="str">
        <f t="array" ref="Q45">XLOOKUP(LCARS_Off[AbilityID],RawOfficer[AbilityID],RawOfficer[Conditional_Reason])</f>
        <v>SelfBattleship</v>
      </c>
      <c r="R45" s="518" t="str">
        <f t="array" ref="R45">XLOOKUP(LCARS_Off[AbilityID],RawOfficer[AbilityID],RawOfficer[Tag_Loot])</f>
        <v>➖</v>
      </c>
      <c r="S45" s="516" t="str">
        <f t="array" ref="S45">XLOOKUP(LCARS_Off[AbilityID],RawOfficer[AbilityID],RawOfficer[Tag_Utility])</f>
        <v>➖</v>
      </c>
      <c r="T45" s="429" t="str">
        <f t="array" ref="T45">XLOOKUP(LCARS_Off[AbilityID],RawOfficer[AbilityID],RawOfficer[OfficerSynergy])</f>
        <v>NERO'S CREW</v>
      </c>
      <c r="U45" s="519" t="str">
        <f t="array" ref="U45">XLOOKUP(LCARS_Off[AbilityID],RawOfficer[AbilityID],RawOfficer[AbilityModifier])</f>
        <v>ShipArmor</v>
      </c>
      <c r="V45" s="519" t="str">
        <f t="array" ref="V45">XLOOKUP(LCARS_Off[AbilityID],RawOfficer[AbilityID],RawOfficer[AbilityAttributes])</f>
        <v/>
      </c>
      <c r="W45" s="520" t="str">
        <f t="array" ref="W45">XLOOKUP(LCARS_Off[AbilityID],RawOfficer[AbilityID],RawOfficer[AbilityConditions])</f>
        <v>SelfBattleship</v>
      </c>
      <c r="X45" s="519" t="str">
        <f t="array" ref="X45">XLOOKUP(LCARS_Off[AbilityID],RawOfficer[AbilityID],RawOfficer[AbilityTrigger])</f>
        <v>ShipLaunched</v>
      </c>
      <c r="Y45" s="519" t="str">
        <f t="array" ref="Y45">XLOOKUP(LCARS_Off[AbilityID],RawOfficer[AbilityID],RawOfficer[AbilityTarget])</f>
        <v>SelfShip</v>
      </c>
      <c r="Z45" s="519" t="str">
        <f t="array" ref="Z45">XLOOKUP(LCARS_Off[AbilityID],RawOfficer[AbilityID],RawOfficer[AbilityOperation])</f>
        <v>MultiplyAdd</v>
      </c>
      <c r="AA45" s="521" t="str">
        <f t="array" ref="AA45">XLOOKUP(LCARS_Off[AbilityID],RawOfficer[AbilityID],RawOfficer[AbilityDescription])</f>
        <v>If the ship is a Battleship, Javaid increases its Armor by X.</v>
      </c>
      <c r="AB45" s="429" t="b">
        <v>0</v>
      </c>
      <c r="AC45" s="522" t="str">
        <f t="array" ref="AC45">XLOOKUP(LCARS_Off[AbilityID],RawOfficer[AbilityID],RawOfficer[AbilityDescriptionShort])</f>
        <v>+X to Armor if the ship is a Battleship</v>
      </c>
      <c r="AD45" s="523"/>
      <c r="AE45" s="524"/>
      <c r="AF45" s="524"/>
      <c r="AG45" s="525" t="str">
        <f t="array" ref="AG45">XLOOKUP(LCARS_Off[AbilityID],RawOfficer[AbilityID],RawOfficer[AbilityChances])</f>
        <v>1.0, 1.0, 1.0, 1.0, 1.0</v>
      </c>
      <c r="AH45" s="525" t="str">
        <f t="array" ref="AH45">XLOOKUP(LCARS_Off[AbilityID],RawOfficer[AbilityID],RawOfficer[AbilityValues])</f>
        <v>0.15, 0.2, 0.25, 0.3, 0.4</v>
      </c>
      <c r="AI45" s="428" t="b">
        <f t="array" ref="AI45">XLOOKUP(LCARS_Off[AbilityID],RawOfficer[AbilityID],RawOfficer[AbilityHasChance])</f>
        <v>0</v>
      </c>
      <c r="AJ45" s="428" t="b">
        <f t="array" ref="AJ45">XLOOKUP(LCARS_Off[AbilityID],RawOfficer[AbilityID],RawOfficer[AbilityShowPercentage])</f>
        <v>1</v>
      </c>
      <c r="AK45" s="429">
        <f t="array" ref="AK45">XLOOKUP(LCARS_Off[AbilityID],RawOfficer[AbilityID],RawOfficer[OfficerArt])</f>
        <v>21</v>
      </c>
      <c r="AL45" s="430">
        <v>6.40569748E8</v>
      </c>
      <c r="AM45" s="430">
        <f t="array" ref="AM45">XLOOKUP(LCARS_Off[AbilityID],RawOfficer[AbilityID],RawOfficer[Default Order])</f>
        <v>42</v>
      </c>
    </row>
    <row r="46">
      <c r="A46" s="429" t="str">
        <f t="array" ref="A46">LEFT(XLOOKUP(LCARS_Off[AbilityID],RawOfficer[AbilityID],RawOfficer[OfficerRarity]), 1)</f>
        <v>R</v>
      </c>
      <c r="B46" s="429"/>
      <c r="C46" s="514" t="str">
        <f t="array" ref="C46">HYPERLINK("https://stfc.space/officers/" &amp; XLOOKUP(LCARS_Off[AbilityID],RawOfficer[AbilityID],RawOfficer[OfficerId]), XLOOKUP(LCARS_Off[AbilityID],RawOfficer[AbilityID],RawOfficer[OfficerName]))</f>
        <v>T'PRING</v>
      </c>
      <c r="D46" s="515" t="str">
        <f t="array" ref="D46">XLOOKUP(LCARS_Off[AbilityID],RawOfficer[AbilityID],RawOfficer[AbilityType])</f>
        <v>CM</v>
      </c>
      <c r="E46" s="516" t="str">
        <f t="array" ref="E46">XLOOKUP(LCARS_Off[AbilityID],RawOfficer[AbilityID],RawOfficer[Tag_PvPinSpace])</f>
        <v>➖</v>
      </c>
      <c r="F46" s="516" t="str">
        <f t="array" ref="F46">XLOOKUP(LCARS_Off[AbilityID],RawOfficer[AbilityID],RawOfficer[Tag_PvPStation])</f>
        <v>➖</v>
      </c>
      <c r="G46" s="516" t="str">
        <f t="array" ref="G46">XLOOKUP(LCARS_Off[AbilityID],RawOfficer[AbilityID],RawOfficer[Tag_NonArmadaHostiles])</f>
        <v>➖</v>
      </c>
      <c r="H46" s="516" t="str">
        <f t="array" ref="H46">XLOOKUP(LCARS_Off[AbilityID],RawOfficer[AbilityID],RawOfficer[Tag_WaveDefense])</f>
        <v>➖</v>
      </c>
      <c r="I46" s="516" t="str">
        <f t="array" ref="I46">XLOOKUP(LCARS_Off[AbilityID],RawOfficer[AbilityID],RawOfficer[Tag_QTrial])</f>
        <v>➖</v>
      </c>
      <c r="J46" s="516" t="str">
        <f t="array" ref="J46">XLOOKUP(LCARS_Off[AbilityID],RawOfficer[AbilityID],RawOfficer[Tag_MissionBosses])</f>
        <v>➖</v>
      </c>
      <c r="K46" s="516" t="str">
        <f t="array" ref="K46">XLOOKUP(LCARS_Off[AbilityID],RawOfficer[AbilityID],RawOfficer[Tag_GroupArmadas])</f>
        <v>➖</v>
      </c>
      <c r="L46" s="516" t="str">
        <f t="array" ref="L46">XLOOKUP(LCARS_Off[AbilityID],RawOfficer[AbilityID],RawOfficer[Tag_SoloArmadas])</f>
        <v>➖</v>
      </c>
      <c r="M46" s="516" t="str">
        <f t="array" ref="M46">XLOOKUP(LCARS_Off[AbilityID],RawOfficer[AbilityID],RawOfficer[Tag_InvadingEntities])</f>
        <v>➖</v>
      </c>
      <c r="N46" s="516" t="str">
        <f t="array" ref="N46">XLOOKUP(LCARS_Off[AbilityID],RawOfficer[AbilityID],RawOfficer[Tag_Assaults])</f>
        <v>➖</v>
      </c>
      <c r="O46" s="516" t="str">
        <f t="array" ref="O46">XLOOKUP(LCARS_Off[AbilityID],RawOfficer[AbilityID],RawOfficer[Tag_OutpostArmadas])</f>
        <v>➖</v>
      </c>
      <c r="P46" s="516" t="str">
        <f t="array" ref="P46">XLOOKUP(LCARS_Off[AbilityID],RawOfficer[AbilityID],RawOfficer[Tag_OutpostRetaliators])</f>
        <v>➖</v>
      </c>
      <c r="Q46" s="517" t="str">
        <f t="array" ref="Q46">XLOOKUP(LCARS_Off[AbilityID],RawOfficer[AbilityID],RawOfficer[Conditional_Reason])</f>
        <v/>
      </c>
      <c r="R46" s="518" t="str">
        <f t="array" ref="R46">XLOOKUP(LCARS_Off[AbilityID],RawOfficer[AbilityID],RawOfficer[Tag_Loot])</f>
        <v>➖</v>
      </c>
      <c r="S46" s="516" t="str">
        <f t="array" ref="S46">XLOOKUP(LCARS_Off[AbilityID],RawOfficer[AbilityID],RawOfficer[Tag_Utility])</f>
        <v>✅</v>
      </c>
      <c r="T46" s="429" t="str">
        <f t="array" ref="T46">XLOOKUP(LCARS_Off[AbilityID],RawOfficer[AbilityID],RawOfficer[OfficerSynergy])</f>
        <v>SURVEYORS &amp; MINERS</v>
      </c>
      <c r="U46" s="519" t="str">
        <f t="array" ref="U46">XLOOKUP(LCARS_Off[AbilityID],RawOfficer[AbilityID],RawOfficer[AbilityModifier])</f>
        <v>MiningRate</v>
      </c>
      <c r="V46" s="519" t="str">
        <f t="array" ref="V46">XLOOKUP(LCARS_Off[AbilityID],RawOfficer[AbilityID],RawOfficer[AbilityAttributes])</f>
        <v>resources=[96209859, 1779416627, 2964093937, 1349464922, 2002611017, 296474010]</v>
      </c>
      <c r="W46" s="520" t="str">
        <f t="array" ref="W46">XLOOKUP(LCARS_Off[AbilityID],RawOfficer[AbilityID],RawOfficer[AbilityConditions])</f>
        <v/>
      </c>
      <c r="X46" s="519" t="str">
        <f t="array" ref="X46">XLOOKUP(LCARS_Off[AbilityID],RawOfficer[AbilityID],RawOfficer[AbilityTrigger])</f>
        <v>ShipLaunched</v>
      </c>
      <c r="Y46" s="519" t="str">
        <f t="array" ref="Y46">XLOOKUP(LCARS_Off[AbilityID],RawOfficer[AbilityID],RawOfficer[AbilityTarget])</f>
        <v>SelfShip</v>
      </c>
      <c r="Z46" s="519" t="str">
        <f t="array" ref="Z46">XLOOKUP(LCARS_Off[AbilityID],RawOfficer[AbilityID],RawOfficer[AbilityOperation])</f>
        <v>MultiplyAdd</v>
      </c>
      <c r="AA46" s="521" t="str">
        <f t="array" ref="AA46">XLOOKUP(LCARS_Off[AbilityID],RawOfficer[AbilityID],RawOfficer[AbilityDescription])</f>
        <v>T'pring increases the Mining Rate of the ship by X when mining Gas.</v>
      </c>
      <c r="AB46" s="429" t="b">
        <v>0</v>
      </c>
      <c r="AC46" s="522" t="str">
        <f t="array" ref="AC46">XLOOKUP(LCARS_Off[AbilityID],RawOfficer[AbilityID],RawOfficer[AbilityDescriptionShort])</f>
        <v>+X to Gas mining rate</v>
      </c>
      <c r="AD46" s="523"/>
      <c r="AE46" s="524"/>
      <c r="AF46" s="524"/>
      <c r="AG46" s="525" t="str">
        <f t="array" ref="AG46">XLOOKUP(LCARS_Off[AbilityID],RawOfficer[AbilityID],RawOfficer[AbilityChances])</f>
        <v>1.0, 1.0, 1.0</v>
      </c>
      <c r="AH46" s="525" t="str">
        <f t="array" ref="AH46">XLOOKUP(LCARS_Off[AbilityID],RawOfficer[AbilityID],RawOfficer[AbilityValues])</f>
        <v>0.4, 0.2, 0.3</v>
      </c>
      <c r="AI46" s="428" t="b">
        <f t="array" ref="AI46">XLOOKUP(LCARS_Off[AbilityID],RawOfficer[AbilityID],RawOfficer[AbilityHasChance])</f>
        <v>0</v>
      </c>
      <c r="AJ46" s="428" t="b">
        <f t="array" ref="AJ46">XLOOKUP(LCARS_Off[AbilityID],RawOfficer[AbilityID],RawOfficer[AbilityShowPercentage])</f>
        <v>1</v>
      </c>
      <c r="AK46" s="429">
        <f t="array" ref="AK46">XLOOKUP(LCARS_Off[AbilityID],RawOfficer[AbilityID],RawOfficer[OfficerArt])</f>
        <v>49</v>
      </c>
      <c r="AL46" s="430">
        <v>3.248153153E9</v>
      </c>
      <c r="AM46" s="430">
        <f t="array" ref="AM46">XLOOKUP(LCARS_Off[AbilityID],RawOfficer[AbilityID],RawOfficer[Default Order])</f>
        <v>43</v>
      </c>
    </row>
    <row r="47">
      <c r="A47" s="429" t="str">
        <f t="array" ref="A47">LEFT(XLOOKUP(LCARS_Off[AbilityID],RawOfficer[AbilityID],RawOfficer[OfficerRarity]), 1)</f>
        <v>R</v>
      </c>
      <c r="B47" s="429"/>
      <c r="C47" s="514" t="str">
        <f t="array" ref="C47">HYPERLINK("https://stfc.space/officers/" &amp; XLOOKUP(LCARS_Off[AbilityID],RawOfficer[AbilityID],RawOfficer[OfficerId]), XLOOKUP(LCARS_Off[AbilityID],RawOfficer[AbilityID],RawOfficer[OfficerName]))</f>
        <v>T'PRING</v>
      </c>
      <c r="D47" s="515" t="str">
        <f t="array" ref="D47">XLOOKUP(LCARS_Off[AbilityID],RawOfficer[AbilityID],RawOfficer[AbilityType])</f>
        <v>OA</v>
      </c>
      <c r="E47" s="516" t="str">
        <f t="array" ref="E47">XLOOKUP(LCARS_Off[AbilityID],RawOfficer[AbilityID],RawOfficer[Tag_PvPinSpace])</f>
        <v>➖</v>
      </c>
      <c r="F47" s="516" t="str">
        <f t="array" ref="F47">XLOOKUP(LCARS_Off[AbilityID],RawOfficer[AbilityID],RawOfficer[Tag_PvPStation])</f>
        <v>➖</v>
      </c>
      <c r="G47" s="516" t="str">
        <f t="array" ref="G47">XLOOKUP(LCARS_Off[AbilityID],RawOfficer[AbilityID],RawOfficer[Tag_NonArmadaHostiles])</f>
        <v>➖</v>
      </c>
      <c r="H47" s="516" t="str">
        <f t="array" ref="H47">XLOOKUP(LCARS_Off[AbilityID],RawOfficer[AbilityID],RawOfficer[Tag_WaveDefense])</f>
        <v>➖</v>
      </c>
      <c r="I47" s="516" t="str">
        <f t="array" ref="I47">XLOOKUP(LCARS_Off[AbilityID],RawOfficer[AbilityID],RawOfficer[Tag_QTrial])</f>
        <v>➖</v>
      </c>
      <c r="J47" s="516" t="str">
        <f t="array" ref="J47">XLOOKUP(LCARS_Off[AbilityID],RawOfficer[AbilityID],RawOfficer[Tag_MissionBosses])</f>
        <v>➖</v>
      </c>
      <c r="K47" s="516" t="str">
        <f t="array" ref="K47">XLOOKUP(LCARS_Off[AbilityID],RawOfficer[AbilityID],RawOfficer[Tag_GroupArmadas])</f>
        <v>➖</v>
      </c>
      <c r="L47" s="516" t="str">
        <f t="array" ref="L47">XLOOKUP(LCARS_Off[AbilityID],RawOfficer[AbilityID],RawOfficer[Tag_SoloArmadas])</f>
        <v>➖</v>
      </c>
      <c r="M47" s="516" t="str">
        <f t="array" ref="M47">XLOOKUP(LCARS_Off[AbilityID],RawOfficer[AbilityID],RawOfficer[Tag_InvadingEntities])</f>
        <v>➖</v>
      </c>
      <c r="N47" s="516" t="str">
        <f t="array" ref="N47">XLOOKUP(LCARS_Off[AbilityID],RawOfficer[AbilityID],RawOfficer[Tag_Assaults])</f>
        <v>➖</v>
      </c>
      <c r="O47" s="516" t="str">
        <f t="array" ref="O47">XLOOKUP(LCARS_Off[AbilityID],RawOfficer[AbilityID],RawOfficer[Tag_OutpostArmadas])</f>
        <v>➖</v>
      </c>
      <c r="P47" s="516" t="str">
        <f t="array" ref="P47">XLOOKUP(LCARS_Off[AbilityID],RawOfficer[AbilityID],RawOfficer[Tag_OutpostRetaliators])</f>
        <v>➖</v>
      </c>
      <c r="Q47" s="517" t="str">
        <f t="array" ref="Q47">XLOOKUP(LCARS_Off[AbilityID],RawOfficer[AbilityID],RawOfficer[Conditional_Reason])</f>
        <v/>
      </c>
      <c r="R47" s="518" t="str">
        <f t="array" ref="R47">XLOOKUP(LCARS_Off[AbilityID],RawOfficer[AbilityID],RawOfficer[Tag_Loot])</f>
        <v>➖</v>
      </c>
      <c r="S47" s="516" t="str">
        <f t="array" ref="S47">XLOOKUP(LCARS_Off[AbilityID],RawOfficer[AbilityID],RawOfficer[Tag_Utility])</f>
        <v>✅</v>
      </c>
      <c r="T47" s="429" t="str">
        <f t="array" ref="T47">XLOOKUP(LCARS_Off[AbilityID],RawOfficer[AbilityID],RawOfficer[OfficerSynergy])</f>
        <v>SURVEYORS &amp; MINERS</v>
      </c>
      <c r="U47" s="519" t="str">
        <f t="array" ref="U47">XLOOKUP(LCARS_Off[AbilityID],RawOfficer[AbilityID],RawOfficer[AbilityModifier])</f>
        <v>CargoProtection</v>
      </c>
      <c r="V47" s="519" t="str">
        <f t="array" ref="V47">XLOOKUP(LCARS_Off[AbilityID],RawOfficer[AbilityID],RawOfficer[AbilityAttributes])</f>
        <v/>
      </c>
      <c r="W47" s="520" t="str">
        <f t="array" ref="W47">XLOOKUP(LCARS_Off[AbilityID],RawOfficer[AbilityID],RawOfficer[AbilityConditions])</f>
        <v/>
      </c>
      <c r="X47" s="519" t="str">
        <f t="array" ref="X47">XLOOKUP(LCARS_Off[AbilityID],RawOfficer[AbilityID],RawOfficer[AbilityTrigger])</f>
        <v>ShipLaunched</v>
      </c>
      <c r="Y47" s="519" t="str">
        <f t="array" ref="Y47">XLOOKUP(LCARS_Off[AbilityID],RawOfficer[AbilityID],RawOfficer[AbilityTarget])</f>
        <v>SelfShip</v>
      </c>
      <c r="Z47" s="519" t="str">
        <f t="array" ref="Z47">XLOOKUP(LCARS_Off[AbilityID],RawOfficer[AbilityID],RawOfficer[AbilityOperation])</f>
        <v>MultiplyAdd</v>
      </c>
      <c r="AA47" s="521" t="str">
        <f t="array" ref="AA47">XLOOKUP(LCARS_Off[AbilityID],RawOfficer[AbilityID],RawOfficer[AbilityDescription])</f>
        <v>T'Pring increases the Protected Cargo by X.</v>
      </c>
      <c r="AB47" s="429" t="b">
        <v>0</v>
      </c>
      <c r="AC47" s="522" t="str">
        <f t="array" ref="AC47">XLOOKUP(LCARS_Off[AbilityID],RawOfficer[AbilityID],RawOfficer[AbilityDescriptionShort])</f>
        <v>+X to Protected Cargo</v>
      </c>
      <c r="AD47" s="523"/>
      <c r="AE47" s="524"/>
      <c r="AF47" s="524"/>
      <c r="AG47" s="525" t="str">
        <f t="array" ref="AG47">XLOOKUP(LCARS_Off[AbilityID],RawOfficer[AbilityID],RawOfficer[AbilityChances])</f>
        <v>1.0, 1.0, 1.0, 1.0, 1.0</v>
      </c>
      <c r="AH47" s="525" t="str">
        <f t="array" ref="AH47">XLOOKUP(LCARS_Off[AbilityID],RawOfficer[AbilityID],RawOfficer[AbilityValues])</f>
        <v>0.5, 1.0, 1.5, 2.0, 3.0</v>
      </c>
      <c r="AI47" s="428" t="b">
        <f t="array" ref="AI47">XLOOKUP(LCARS_Off[AbilityID],RawOfficer[AbilityID],RawOfficer[AbilityHasChance])</f>
        <v>0</v>
      </c>
      <c r="AJ47" s="428" t="b">
        <f t="array" ref="AJ47">XLOOKUP(LCARS_Off[AbilityID],RawOfficer[AbilityID],RawOfficer[AbilityShowPercentage])</f>
        <v>1</v>
      </c>
      <c r="AK47" s="429">
        <f t="array" ref="AK47">XLOOKUP(LCARS_Off[AbilityID],RawOfficer[AbilityID],RawOfficer[OfficerArt])</f>
        <v>49</v>
      </c>
      <c r="AL47" s="430">
        <v>1.776341383E9</v>
      </c>
      <c r="AM47" s="430">
        <f t="array" ref="AM47">XLOOKUP(LCARS_Off[AbilityID],RawOfficer[AbilityID],RawOfficer[Default Order])</f>
        <v>44</v>
      </c>
    </row>
    <row r="48">
      <c r="A48" s="429" t="str">
        <f t="array" ref="A48">LEFT(XLOOKUP(LCARS_Off[AbilityID],RawOfficer[AbilityID],RawOfficer[OfficerRarity]), 1)</f>
        <v>R</v>
      </c>
      <c r="B48" s="429"/>
      <c r="C48" s="514" t="str">
        <f t="array" ref="C48">HYPERLINK("https://stfc.space/officers/" &amp; XLOOKUP(LCARS_Off[AbilityID],RawOfficer[AbilityID],RawOfficer[OfficerId]), XLOOKUP(LCARS_Off[AbilityID],RawOfficer[AbilityID],RawOfficer[OfficerName]))</f>
        <v>STONN</v>
      </c>
      <c r="D48" s="515" t="str">
        <f t="array" ref="D48">XLOOKUP(LCARS_Off[AbilityID],RawOfficer[AbilityID],RawOfficer[AbilityType])</f>
        <v>CM</v>
      </c>
      <c r="E48" s="516" t="str">
        <f t="array" ref="E48">XLOOKUP(LCARS_Off[AbilityID],RawOfficer[AbilityID],RawOfficer[Tag_PvPinSpace])</f>
        <v>➖</v>
      </c>
      <c r="F48" s="516" t="str">
        <f t="array" ref="F48">XLOOKUP(LCARS_Off[AbilityID],RawOfficer[AbilityID],RawOfficer[Tag_PvPStation])</f>
        <v>➖</v>
      </c>
      <c r="G48" s="516" t="str">
        <f t="array" ref="G48">XLOOKUP(LCARS_Off[AbilityID],RawOfficer[AbilityID],RawOfficer[Tag_NonArmadaHostiles])</f>
        <v>➖</v>
      </c>
      <c r="H48" s="516" t="str">
        <f t="array" ref="H48">XLOOKUP(LCARS_Off[AbilityID],RawOfficer[AbilityID],RawOfficer[Tag_WaveDefense])</f>
        <v>➖</v>
      </c>
      <c r="I48" s="516" t="str">
        <f t="array" ref="I48">XLOOKUP(LCARS_Off[AbilityID],RawOfficer[AbilityID],RawOfficer[Tag_QTrial])</f>
        <v>➖</v>
      </c>
      <c r="J48" s="516" t="str">
        <f t="array" ref="J48">XLOOKUP(LCARS_Off[AbilityID],RawOfficer[AbilityID],RawOfficer[Tag_MissionBosses])</f>
        <v>➖</v>
      </c>
      <c r="K48" s="516" t="str">
        <f t="array" ref="K48">XLOOKUP(LCARS_Off[AbilityID],RawOfficer[AbilityID],RawOfficer[Tag_GroupArmadas])</f>
        <v>➖</v>
      </c>
      <c r="L48" s="516" t="str">
        <f t="array" ref="L48">XLOOKUP(LCARS_Off[AbilityID],RawOfficer[AbilityID],RawOfficer[Tag_SoloArmadas])</f>
        <v>➖</v>
      </c>
      <c r="M48" s="516" t="str">
        <f t="array" ref="M48">XLOOKUP(LCARS_Off[AbilityID],RawOfficer[AbilityID],RawOfficer[Tag_InvadingEntities])</f>
        <v>➖</v>
      </c>
      <c r="N48" s="516" t="str">
        <f t="array" ref="N48">XLOOKUP(LCARS_Off[AbilityID],RawOfficer[AbilityID],RawOfficer[Tag_Assaults])</f>
        <v>➖</v>
      </c>
      <c r="O48" s="516" t="str">
        <f t="array" ref="O48">XLOOKUP(LCARS_Off[AbilityID],RawOfficer[AbilityID],RawOfficer[Tag_OutpostArmadas])</f>
        <v>➖</v>
      </c>
      <c r="P48" s="516" t="str">
        <f t="array" ref="P48">XLOOKUP(LCARS_Off[AbilityID],RawOfficer[AbilityID],RawOfficer[Tag_OutpostRetaliators])</f>
        <v>➖</v>
      </c>
      <c r="Q48" s="517" t="str">
        <f t="array" ref="Q48">XLOOKUP(LCARS_Off[AbilityID],RawOfficer[AbilityID],RawOfficer[Conditional_Reason])</f>
        <v/>
      </c>
      <c r="R48" s="518" t="str">
        <f t="array" ref="R48">XLOOKUP(LCARS_Off[AbilityID],RawOfficer[AbilityID],RawOfficer[Tag_Loot])</f>
        <v>➖</v>
      </c>
      <c r="S48" s="516" t="str">
        <f t="array" ref="S48">XLOOKUP(LCARS_Off[AbilityID],RawOfficer[AbilityID],RawOfficer[Tag_Utility])</f>
        <v>✅</v>
      </c>
      <c r="T48" s="429" t="str">
        <f t="array" ref="T48">XLOOKUP(LCARS_Off[AbilityID],RawOfficer[AbilityID],RawOfficer[OfficerSynergy])</f>
        <v>SURVEYORS &amp; MINERS</v>
      </c>
      <c r="U48" s="519" t="str">
        <f t="array" ref="U48">XLOOKUP(LCARS_Off[AbilityID],RawOfficer[AbilityID],RawOfficer[AbilityModifier])</f>
        <v>MiningRate</v>
      </c>
      <c r="V48" s="519" t="str">
        <f t="array" ref="V48">XLOOKUP(LCARS_Off[AbilityID],RawOfficer[AbilityID],RawOfficer[AbilityAttributes])</f>
        <v>resources=[1908242242, 84292608, 802509572, 2905009151, 3842158911, 1586478890]</v>
      </c>
      <c r="W48" s="520" t="str">
        <f t="array" ref="W48">XLOOKUP(LCARS_Off[AbilityID],RawOfficer[AbilityID],RawOfficer[AbilityConditions])</f>
        <v/>
      </c>
      <c r="X48" s="519" t="str">
        <f t="array" ref="X48">XLOOKUP(LCARS_Off[AbilityID],RawOfficer[AbilityID],RawOfficer[AbilityTrigger])</f>
        <v>ShipLaunched</v>
      </c>
      <c r="Y48" s="519" t="str">
        <f t="array" ref="Y48">XLOOKUP(LCARS_Off[AbilityID],RawOfficer[AbilityID],RawOfficer[AbilityTarget])</f>
        <v>SelfShip</v>
      </c>
      <c r="Z48" s="519" t="str">
        <f t="array" ref="Z48">XLOOKUP(LCARS_Off[AbilityID],RawOfficer[AbilityID],RawOfficer[AbilityOperation])</f>
        <v>MultiplyAdd</v>
      </c>
      <c r="AA48" s="521" t="str">
        <f t="array" ref="AA48">XLOOKUP(LCARS_Off[AbilityID],RawOfficer[AbilityID],RawOfficer[AbilityDescription])</f>
        <v>Stonn increases the Mining Rate of the ship by X when mining Ore.</v>
      </c>
      <c r="AB48" s="429" t="b">
        <v>0</v>
      </c>
      <c r="AC48" s="522" t="str">
        <f t="array" ref="AC48">XLOOKUP(LCARS_Off[AbilityID],RawOfficer[AbilityID],RawOfficer[AbilityDescriptionShort])</f>
        <v>+X to Ore mining rate</v>
      </c>
      <c r="AD48" s="523"/>
      <c r="AE48" s="524"/>
      <c r="AF48" s="524"/>
      <c r="AG48" s="525" t="str">
        <f t="array" ref="AG48">XLOOKUP(LCARS_Off[AbilityID],RawOfficer[AbilityID],RawOfficer[AbilityChances])</f>
        <v>1.0, 1.0, 1.0</v>
      </c>
      <c r="AH48" s="525" t="str">
        <f t="array" ref="AH48">XLOOKUP(LCARS_Off[AbilityID],RawOfficer[AbilityID],RawOfficer[AbilityValues])</f>
        <v>0.4, 0.2, 0.3</v>
      </c>
      <c r="AI48" s="428" t="b">
        <f t="array" ref="AI48">XLOOKUP(LCARS_Off[AbilityID],RawOfficer[AbilityID],RawOfficer[AbilityHasChance])</f>
        <v>0</v>
      </c>
      <c r="AJ48" s="428" t="b">
        <f t="array" ref="AJ48">XLOOKUP(LCARS_Off[AbilityID],RawOfficer[AbilityID],RawOfficer[AbilityShowPercentage])</f>
        <v>1</v>
      </c>
      <c r="AK48" s="429">
        <f t="array" ref="AK48">XLOOKUP(LCARS_Off[AbilityID],RawOfficer[AbilityID],RawOfficer[OfficerArt])</f>
        <v>50</v>
      </c>
      <c r="AL48" s="430">
        <v>2.656033988E9</v>
      </c>
      <c r="AM48" s="430">
        <f t="array" ref="AM48">XLOOKUP(LCARS_Off[AbilityID],RawOfficer[AbilityID],RawOfficer[Default Order])</f>
        <v>45</v>
      </c>
    </row>
    <row r="49">
      <c r="A49" s="429" t="str">
        <f t="array" ref="A49">LEFT(XLOOKUP(LCARS_Off[AbilityID],RawOfficer[AbilityID],RawOfficer[OfficerRarity]), 1)</f>
        <v>R</v>
      </c>
      <c r="B49" s="429"/>
      <c r="C49" s="514" t="str">
        <f t="array" ref="C49">HYPERLINK("https://stfc.space/officers/" &amp; XLOOKUP(LCARS_Off[AbilityID],RawOfficer[AbilityID],RawOfficer[OfficerId]), XLOOKUP(LCARS_Off[AbilityID],RawOfficer[AbilityID],RawOfficer[OfficerName]))</f>
        <v>STONN</v>
      </c>
      <c r="D49" s="515" t="str">
        <f t="array" ref="D49">XLOOKUP(LCARS_Off[AbilityID],RawOfficer[AbilityID],RawOfficer[AbilityType])</f>
        <v>OA</v>
      </c>
      <c r="E49" s="516" t="str">
        <f t="array" ref="E49">XLOOKUP(LCARS_Off[AbilityID],RawOfficer[AbilityID],RawOfficer[Tag_PvPinSpace])</f>
        <v>➖</v>
      </c>
      <c r="F49" s="516" t="str">
        <f t="array" ref="F49">XLOOKUP(LCARS_Off[AbilityID],RawOfficer[AbilityID],RawOfficer[Tag_PvPStation])</f>
        <v>➖</v>
      </c>
      <c r="G49" s="516" t="str">
        <f t="array" ref="G49">XLOOKUP(LCARS_Off[AbilityID],RawOfficer[AbilityID],RawOfficer[Tag_NonArmadaHostiles])</f>
        <v>➖</v>
      </c>
      <c r="H49" s="516" t="str">
        <f t="array" ref="H49">XLOOKUP(LCARS_Off[AbilityID],RawOfficer[AbilityID],RawOfficer[Tag_WaveDefense])</f>
        <v>➖</v>
      </c>
      <c r="I49" s="516" t="str">
        <f t="array" ref="I49">XLOOKUP(LCARS_Off[AbilityID],RawOfficer[AbilityID],RawOfficer[Tag_QTrial])</f>
        <v>➖</v>
      </c>
      <c r="J49" s="516" t="str">
        <f t="array" ref="J49">XLOOKUP(LCARS_Off[AbilityID],RawOfficer[AbilityID],RawOfficer[Tag_MissionBosses])</f>
        <v>➖</v>
      </c>
      <c r="K49" s="516" t="str">
        <f t="array" ref="K49">XLOOKUP(LCARS_Off[AbilityID],RawOfficer[AbilityID],RawOfficer[Tag_GroupArmadas])</f>
        <v>➖</v>
      </c>
      <c r="L49" s="516" t="str">
        <f t="array" ref="L49">XLOOKUP(LCARS_Off[AbilityID],RawOfficer[AbilityID],RawOfficer[Tag_SoloArmadas])</f>
        <v>➖</v>
      </c>
      <c r="M49" s="516" t="str">
        <f t="array" ref="M49">XLOOKUP(LCARS_Off[AbilityID],RawOfficer[AbilityID],RawOfficer[Tag_InvadingEntities])</f>
        <v>➖</v>
      </c>
      <c r="N49" s="516" t="str">
        <f t="array" ref="N49">XLOOKUP(LCARS_Off[AbilityID],RawOfficer[AbilityID],RawOfficer[Tag_Assaults])</f>
        <v>➖</v>
      </c>
      <c r="O49" s="516" t="str">
        <f t="array" ref="O49">XLOOKUP(LCARS_Off[AbilityID],RawOfficer[AbilityID],RawOfficer[Tag_OutpostArmadas])</f>
        <v>➖</v>
      </c>
      <c r="P49" s="516" t="str">
        <f t="array" ref="P49">XLOOKUP(LCARS_Off[AbilityID],RawOfficer[AbilityID],RawOfficer[Tag_OutpostRetaliators])</f>
        <v>➖</v>
      </c>
      <c r="Q49" s="517" t="str">
        <f t="array" ref="Q49">XLOOKUP(LCARS_Off[AbilityID],RawOfficer[AbilityID],RawOfficer[Conditional_Reason])</f>
        <v/>
      </c>
      <c r="R49" s="518" t="str">
        <f t="array" ref="R49">XLOOKUP(LCARS_Off[AbilityID],RawOfficer[AbilityID],RawOfficer[Tag_Loot])</f>
        <v>➖</v>
      </c>
      <c r="S49" s="516" t="str">
        <f t="array" ref="S49">XLOOKUP(LCARS_Off[AbilityID],RawOfficer[AbilityID],RawOfficer[Tag_Utility])</f>
        <v>✅</v>
      </c>
      <c r="T49" s="429" t="str">
        <f t="array" ref="T49">XLOOKUP(LCARS_Off[AbilityID],RawOfficer[AbilityID],RawOfficer[OfficerSynergy])</f>
        <v>SURVEYORS &amp; MINERS</v>
      </c>
      <c r="U49" s="519" t="str">
        <f t="array" ref="U49">XLOOKUP(LCARS_Off[AbilityID],RawOfficer[AbilityID],RawOfficer[AbilityModifier])</f>
        <v>CargoCapacity</v>
      </c>
      <c r="V49" s="519" t="str">
        <f t="array" ref="V49">XLOOKUP(LCARS_Off[AbilityID],RawOfficer[AbilityID],RawOfficer[AbilityAttributes])</f>
        <v/>
      </c>
      <c r="W49" s="520" t="str">
        <f t="array" ref="W49">XLOOKUP(LCARS_Off[AbilityID],RawOfficer[AbilityID],RawOfficer[AbilityConditions])</f>
        <v/>
      </c>
      <c r="X49" s="519" t="str">
        <f t="array" ref="X49">XLOOKUP(LCARS_Off[AbilityID],RawOfficer[AbilityID],RawOfficer[AbilityTrigger])</f>
        <v>ShipLaunched</v>
      </c>
      <c r="Y49" s="519" t="str">
        <f t="array" ref="Y49">XLOOKUP(LCARS_Off[AbilityID],RawOfficer[AbilityID],RawOfficer[AbilityTarget])</f>
        <v>SelfShip</v>
      </c>
      <c r="Z49" s="519" t="str">
        <f t="array" ref="Z49">XLOOKUP(LCARS_Off[AbilityID],RawOfficer[AbilityID],RawOfficer[AbilityOperation])</f>
        <v>MultiplyAdd</v>
      </c>
      <c r="AA49" s="521" t="str">
        <f t="array" ref="AA49">XLOOKUP(LCARS_Off[AbilityID],RawOfficer[AbilityID],RawOfficer[AbilityDescription])</f>
        <v>Stonn increases the Cargo size of the ship by X.</v>
      </c>
      <c r="AB49" s="429" t="b">
        <v>0</v>
      </c>
      <c r="AC49" s="522" t="str">
        <f t="array" ref="AC49">XLOOKUP(LCARS_Off[AbilityID],RawOfficer[AbilityID],RawOfficer[AbilityDescriptionShort])</f>
        <v>+X to Cargo size</v>
      </c>
      <c r="AD49" s="523"/>
      <c r="AE49" s="524"/>
      <c r="AF49" s="524"/>
      <c r="AG49" s="525" t="str">
        <f t="array" ref="AG49">XLOOKUP(LCARS_Off[AbilityID],RawOfficer[AbilityID],RawOfficer[AbilityChances])</f>
        <v>1.0, 1.0, 1.0, 1.0, 1.0</v>
      </c>
      <c r="AH49" s="525" t="str">
        <f t="array" ref="AH49">XLOOKUP(LCARS_Off[AbilityID],RawOfficer[AbilityID],RawOfficer[AbilityValues])</f>
        <v>0.2, 0.25, 0.3, 0.35, 0.4</v>
      </c>
      <c r="AI49" s="428" t="b">
        <f t="array" ref="AI49">XLOOKUP(LCARS_Off[AbilityID],RawOfficer[AbilityID],RawOfficer[AbilityHasChance])</f>
        <v>0</v>
      </c>
      <c r="AJ49" s="428" t="b">
        <f t="array" ref="AJ49">XLOOKUP(LCARS_Off[AbilityID],RawOfficer[AbilityID],RawOfficer[AbilityShowPercentage])</f>
        <v>1</v>
      </c>
      <c r="AK49" s="429">
        <f t="array" ref="AK49">XLOOKUP(LCARS_Off[AbilityID],RawOfficer[AbilityID],RawOfficer[OfficerArt])</f>
        <v>50</v>
      </c>
      <c r="AL49" s="430">
        <v>3.963393918E9</v>
      </c>
      <c r="AM49" s="430">
        <f t="array" ref="AM49">XLOOKUP(LCARS_Off[AbilityID],RawOfficer[AbilityID],RawOfficer[Default Order])</f>
        <v>46</v>
      </c>
    </row>
    <row r="50">
      <c r="A50" s="429" t="str">
        <f t="array" ref="A50">LEFT(XLOOKUP(LCARS_Off[AbilityID],RawOfficer[AbilityID],RawOfficer[OfficerRarity]), 1)</f>
        <v>R</v>
      </c>
      <c r="B50" s="429"/>
      <c r="C50" s="514" t="str">
        <f t="array" ref="C50">HYPERLINK("https://stfc.space/officers/" &amp; XLOOKUP(LCARS_Off[AbilityID],RawOfficer[AbilityID],RawOfficer[OfficerId]), XLOOKUP(LCARS_Off[AbilityID],RawOfficer[AbilityID],RawOfficer[OfficerName]))</f>
        <v>BAROT</v>
      </c>
      <c r="D50" s="515" t="str">
        <f t="array" ref="D50">XLOOKUP(LCARS_Off[AbilityID],RawOfficer[AbilityID],RawOfficer[AbilityType])</f>
        <v>CM</v>
      </c>
      <c r="E50" s="516" t="str">
        <f t="array" ref="E50">XLOOKUP(LCARS_Off[AbilityID],RawOfficer[AbilityID],RawOfficer[Tag_PvPinSpace])</f>
        <v>➖</v>
      </c>
      <c r="F50" s="516" t="str">
        <f t="array" ref="F50">XLOOKUP(LCARS_Off[AbilityID],RawOfficer[AbilityID],RawOfficer[Tag_PvPStation])</f>
        <v>➖</v>
      </c>
      <c r="G50" s="516" t="str">
        <f t="array" ref="G50">XLOOKUP(LCARS_Off[AbilityID],RawOfficer[AbilityID],RawOfficer[Tag_NonArmadaHostiles])</f>
        <v>➖</v>
      </c>
      <c r="H50" s="516" t="str">
        <f t="array" ref="H50">XLOOKUP(LCARS_Off[AbilityID],RawOfficer[AbilityID],RawOfficer[Tag_WaveDefense])</f>
        <v>➖</v>
      </c>
      <c r="I50" s="516" t="str">
        <f t="array" ref="I50">XLOOKUP(LCARS_Off[AbilityID],RawOfficer[AbilityID],RawOfficer[Tag_QTrial])</f>
        <v>➖</v>
      </c>
      <c r="J50" s="516" t="str">
        <f t="array" ref="J50">XLOOKUP(LCARS_Off[AbilityID],RawOfficer[AbilityID],RawOfficer[Tag_MissionBosses])</f>
        <v>➖</v>
      </c>
      <c r="K50" s="516" t="str">
        <f t="array" ref="K50">XLOOKUP(LCARS_Off[AbilityID],RawOfficer[AbilityID],RawOfficer[Tag_GroupArmadas])</f>
        <v>➖</v>
      </c>
      <c r="L50" s="516" t="str">
        <f t="array" ref="L50">XLOOKUP(LCARS_Off[AbilityID],RawOfficer[AbilityID],RawOfficer[Tag_SoloArmadas])</f>
        <v>➖</v>
      </c>
      <c r="M50" s="516" t="str">
        <f t="array" ref="M50">XLOOKUP(LCARS_Off[AbilityID],RawOfficer[AbilityID],RawOfficer[Tag_InvadingEntities])</f>
        <v>➖</v>
      </c>
      <c r="N50" s="516" t="str">
        <f t="array" ref="N50">XLOOKUP(LCARS_Off[AbilityID],RawOfficer[AbilityID],RawOfficer[Tag_Assaults])</f>
        <v>➖</v>
      </c>
      <c r="O50" s="516" t="str">
        <f t="array" ref="O50">XLOOKUP(LCARS_Off[AbilityID],RawOfficer[AbilityID],RawOfficer[Tag_OutpostArmadas])</f>
        <v>➖</v>
      </c>
      <c r="P50" s="516" t="str">
        <f t="array" ref="P50">XLOOKUP(LCARS_Off[AbilityID],RawOfficer[AbilityID],RawOfficer[Tag_OutpostRetaliators])</f>
        <v>➖</v>
      </c>
      <c r="Q50" s="517" t="str">
        <f t="array" ref="Q50">XLOOKUP(LCARS_Off[AbilityID],RawOfficer[AbilityID],RawOfficer[Conditional_Reason])</f>
        <v/>
      </c>
      <c r="R50" s="518" t="str">
        <f t="array" ref="R50">XLOOKUP(LCARS_Off[AbilityID],RawOfficer[AbilityID],RawOfficer[Tag_Loot])</f>
        <v>➖</v>
      </c>
      <c r="S50" s="516" t="str">
        <f t="array" ref="S50">XLOOKUP(LCARS_Off[AbilityID],RawOfficer[AbilityID],RawOfficer[Tag_Utility])</f>
        <v>✅</v>
      </c>
      <c r="T50" s="429" t="str">
        <f t="array" ref="T50">XLOOKUP(LCARS_Off[AbilityID],RawOfficer[AbilityID],RawOfficer[OfficerSynergy])</f>
        <v>SURVEYORS &amp; MINERS</v>
      </c>
      <c r="U50" s="519" t="str">
        <f t="array" ref="U50">XLOOKUP(LCARS_Off[AbilityID],RawOfficer[AbilityID],RawOfficer[AbilityModifier])</f>
        <v>MiningRate</v>
      </c>
      <c r="V50" s="519" t="str">
        <f t="array" ref="V50">XLOOKUP(LCARS_Off[AbilityID],RawOfficer[AbilityID],RawOfficer[AbilityAttributes])</f>
        <v>resources=[1371898528, 680796905, 3735331456, 3598797204, 3739531165, 2285412015]</v>
      </c>
      <c r="W50" s="520" t="str">
        <f t="array" ref="W50">XLOOKUP(LCARS_Off[AbilityID],RawOfficer[AbilityID],RawOfficer[AbilityConditions])</f>
        <v/>
      </c>
      <c r="X50" s="519" t="str">
        <f t="array" ref="X50">XLOOKUP(LCARS_Off[AbilityID],RawOfficer[AbilityID],RawOfficer[AbilityTrigger])</f>
        <v>ShipLaunched</v>
      </c>
      <c r="Y50" s="519" t="str">
        <f t="array" ref="Y50">XLOOKUP(LCARS_Off[AbilityID],RawOfficer[AbilityID],RawOfficer[AbilityTarget])</f>
        <v>SelfShip</v>
      </c>
      <c r="Z50" s="519" t="str">
        <f t="array" ref="Z50">XLOOKUP(LCARS_Off[AbilityID],RawOfficer[AbilityID],RawOfficer[AbilityOperation])</f>
        <v>MultiplyAdd</v>
      </c>
      <c r="AA50" s="521" t="str">
        <f t="array" ref="AA50">XLOOKUP(LCARS_Off[AbilityID],RawOfficer[AbilityID],RawOfficer[AbilityDescription])</f>
        <v>Barot increases the rate of Crystal Mining by X.</v>
      </c>
      <c r="AB50" s="429" t="b">
        <v>0</v>
      </c>
      <c r="AC50" s="522" t="str">
        <f t="array" ref="AC50">XLOOKUP(LCARS_Off[AbilityID],RawOfficer[AbilityID],RawOfficer[AbilityDescriptionShort])</f>
        <v>+X to Crystal Mining rate</v>
      </c>
      <c r="AD50" s="523"/>
      <c r="AE50" s="524"/>
      <c r="AF50" s="524"/>
      <c r="AG50" s="525" t="str">
        <f t="array" ref="AG50">XLOOKUP(LCARS_Off[AbilityID],RawOfficer[AbilityID],RawOfficer[AbilityChances])</f>
        <v>1.0, 1.0, 1.0</v>
      </c>
      <c r="AH50" s="525" t="str">
        <f t="array" ref="AH50">XLOOKUP(LCARS_Off[AbilityID],RawOfficer[AbilityID],RawOfficer[AbilityValues])</f>
        <v>0.4, 0.2, 0.3</v>
      </c>
      <c r="AI50" s="428" t="b">
        <f t="array" ref="AI50">XLOOKUP(LCARS_Off[AbilityID],RawOfficer[AbilityID],RawOfficer[AbilityHasChance])</f>
        <v>0</v>
      </c>
      <c r="AJ50" s="428" t="b">
        <f t="array" ref="AJ50">XLOOKUP(LCARS_Off[AbilityID],RawOfficer[AbilityID],RawOfficer[AbilityShowPercentage])</f>
        <v>1</v>
      </c>
      <c r="AK50" s="429">
        <f t="array" ref="AK50">XLOOKUP(LCARS_Off[AbilityID],RawOfficer[AbilityID],RawOfficer[OfficerArt])</f>
        <v>89</v>
      </c>
      <c r="AL50" s="430">
        <v>7.03289562E8</v>
      </c>
      <c r="AM50" s="430">
        <f t="array" ref="AM50">XLOOKUP(LCARS_Off[AbilityID],RawOfficer[AbilityID],RawOfficer[Default Order])</f>
        <v>47</v>
      </c>
    </row>
    <row r="51">
      <c r="A51" s="429" t="str">
        <f t="array" ref="A51">LEFT(XLOOKUP(LCARS_Off[AbilityID],RawOfficer[AbilityID],RawOfficer[OfficerRarity]), 1)</f>
        <v>R</v>
      </c>
      <c r="B51" s="429"/>
      <c r="C51" s="514" t="str">
        <f t="array" ref="C51">HYPERLINK("https://stfc.space/officers/" &amp; XLOOKUP(LCARS_Off[AbilityID],RawOfficer[AbilityID],RawOfficer[OfficerId]), XLOOKUP(LCARS_Off[AbilityID],RawOfficer[AbilityID],RawOfficer[OfficerName]))</f>
        <v>BAROT</v>
      </c>
      <c r="D51" s="515" t="str">
        <f t="array" ref="D51">XLOOKUP(LCARS_Off[AbilityID],RawOfficer[AbilityID],RawOfficer[AbilityType])</f>
        <v>OA</v>
      </c>
      <c r="E51" s="516" t="str">
        <f t="array" ref="E51">XLOOKUP(LCARS_Off[AbilityID],RawOfficer[AbilityID],RawOfficer[Tag_PvPinSpace])</f>
        <v>✴️</v>
      </c>
      <c r="F51" s="516" t="str">
        <f t="array" ref="F51">XLOOKUP(LCARS_Off[AbilityID],RawOfficer[AbilityID],RawOfficer[Tag_PvPStation])</f>
        <v>➖</v>
      </c>
      <c r="G51" s="516" t="str">
        <f t="array" ref="G51">XLOOKUP(LCARS_Off[AbilityID],RawOfficer[AbilityID],RawOfficer[Tag_NonArmadaHostiles])</f>
        <v>➖</v>
      </c>
      <c r="H51" s="516" t="str">
        <f t="array" ref="H51">XLOOKUP(LCARS_Off[AbilityID],RawOfficer[AbilityID],RawOfficer[Tag_WaveDefense])</f>
        <v>➖</v>
      </c>
      <c r="I51" s="516" t="str">
        <f t="array" ref="I51">XLOOKUP(LCARS_Off[AbilityID],RawOfficer[AbilityID],RawOfficer[Tag_QTrial])</f>
        <v>➖</v>
      </c>
      <c r="J51" s="516" t="str">
        <f t="array" ref="J51">XLOOKUP(LCARS_Off[AbilityID],RawOfficer[AbilityID],RawOfficer[Tag_MissionBosses])</f>
        <v>➖</v>
      </c>
      <c r="K51" s="516" t="str">
        <f t="array" ref="K51">XLOOKUP(LCARS_Off[AbilityID],RawOfficer[AbilityID],RawOfficer[Tag_GroupArmadas])</f>
        <v>➖</v>
      </c>
      <c r="L51" s="516" t="str">
        <f t="array" ref="L51">XLOOKUP(LCARS_Off[AbilityID],RawOfficer[AbilityID],RawOfficer[Tag_SoloArmadas])</f>
        <v>➖</v>
      </c>
      <c r="M51" s="516" t="str">
        <f t="array" ref="M51">XLOOKUP(LCARS_Off[AbilityID],RawOfficer[AbilityID],RawOfficer[Tag_InvadingEntities])</f>
        <v>➖</v>
      </c>
      <c r="N51" s="516" t="str">
        <f t="array" ref="N51">XLOOKUP(LCARS_Off[AbilityID],RawOfficer[AbilityID],RawOfficer[Tag_Assaults])</f>
        <v>➖</v>
      </c>
      <c r="O51" s="516" t="str">
        <f t="array" ref="O51">XLOOKUP(LCARS_Off[AbilityID],RawOfficer[AbilityID],RawOfficer[Tag_OutpostArmadas])</f>
        <v>➖</v>
      </c>
      <c r="P51" s="516" t="str">
        <f t="array" ref="P51">XLOOKUP(LCARS_Off[AbilityID],RawOfficer[AbilityID],RawOfficer[Tag_OutpostRetaliators])</f>
        <v>➖</v>
      </c>
      <c r="Q51" s="517" t="str">
        <f t="array" ref="Q51">XLOOKUP(LCARS_Off[AbilityID],RawOfficer[AbilityID],RawOfficer[Conditional_Reason])</f>
        <v>when mining</v>
      </c>
      <c r="R51" s="518" t="str">
        <f t="array" ref="R51">XLOOKUP(LCARS_Off[AbilityID],RawOfficer[AbilityID],RawOfficer[Tag_Loot])</f>
        <v>➖</v>
      </c>
      <c r="S51" s="516" t="str">
        <f t="array" ref="S51">XLOOKUP(LCARS_Off[AbilityID],RawOfficer[AbilityID],RawOfficer[Tag_Utility])</f>
        <v>➖</v>
      </c>
      <c r="T51" s="429" t="str">
        <f t="array" ref="T51">XLOOKUP(LCARS_Off[AbilityID],RawOfficer[AbilityID],RawOfficer[OfficerSynergy])</f>
        <v>SURVEYORS &amp; MINERS</v>
      </c>
      <c r="U51" s="519" t="str">
        <f t="array" ref="U51">XLOOKUP(LCARS_Off[AbilityID],RawOfficer[AbilityID],RawOfficer[AbilityModifier])</f>
        <v>HullHPRepair</v>
      </c>
      <c r="V51" s="519" t="str">
        <f t="array" ref="V51">XLOOKUP(LCARS_Off[AbilityID],RawOfficer[AbilityID],RawOfficer[AbilityAttributes])</f>
        <v/>
      </c>
      <c r="W51" s="520" t="str">
        <f t="array" ref="W51">XLOOKUP(LCARS_Off[AbilityID],RawOfficer[AbilityID],RawOfficer[AbilityConditions])</f>
        <v>SelfMining, SelfDefending</v>
      </c>
      <c r="X51" s="519" t="str">
        <f t="array" ref="X51">XLOOKUP(LCARS_Off[AbilityID],RawOfficer[AbilityID],RawOfficer[AbilityTrigger])</f>
        <v>CombatStart</v>
      </c>
      <c r="Y51" s="519" t="str">
        <f t="array" ref="Y51">XLOOKUP(LCARS_Off[AbilityID],RawOfficer[AbilityID],RawOfficer[AbilityTarget])</f>
        <v>EnemyShip</v>
      </c>
      <c r="Z51" s="519" t="str">
        <f t="array" ref="Z51">XLOOKUP(LCARS_Off[AbilityID],RawOfficer[AbilityID],RawOfficer[AbilityOperation])</f>
        <v>MultiplySub</v>
      </c>
      <c r="AA51" s="521" t="str">
        <f t="array" ref="AA51">XLOOKUP(LCARS_Off[AbilityID],RawOfficer[AbilityID],RawOfficer[AbilityDescription])</f>
        <v>When the ship becomes attacked while mining, at the beginning of combat, Barot decreases the opponent's Hull Health by X.</v>
      </c>
      <c r="AB51" s="429" t="b">
        <v>1</v>
      </c>
      <c r="AC51" s="522" t="str">
        <f t="array" ref="AC51">XLOOKUP(LCARS_Off[AbilityID],RawOfficer[AbilityID],RawOfficer[AbilityDescriptionShort])</f>
        <v>-X to the opponent's Hull Health at the start of combat if attacked while mining</v>
      </c>
      <c r="AD51" s="523"/>
      <c r="AE51" s="521" t="s">
        <v>563</v>
      </c>
      <c r="AF51" s="524"/>
      <c r="AG51" s="525" t="str">
        <f t="array" ref="AG51">XLOOKUP(LCARS_Off[AbilityID],RawOfficer[AbilityID],RawOfficer[AbilityChances])</f>
        <v>1.0, 1.0, 1.0, 1.0, 1.0</v>
      </c>
      <c r="AH51" s="525" t="str">
        <f t="array" ref="AH51">XLOOKUP(LCARS_Off[AbilityID],RawOfficer[AbilityID],RawOfficer[AbilityValues])</f>
        <v>0.1, 0.15, 0.2, 0.25, 0.3</v>
      </c>
      <c r="AI51" s="428" t="b">
        <f t="array" ref="AI51">XLOOKUP(LCARS_Off[AbilityID],RawOfficer[AbilityID],RawOfficer[AbilityHasChance])</f>
        <v>0</v>
      </c>
      <c r="AJ51" s="428" t="b">
        <f t="array" ref="AJ51">XLOOKUP(LCARS_Off[AbilityID],RawOfficer[AbilityID],RawOfficer[AbilityShowPercentage])</f>
        <v>1</v>
      </c>
      <c r="AK51" s="429">
        <f t="array" ref="AK51">XLOOKUP(LCARS_Off[AbilityID],RawOfficer[AbilityID],RawOfficer[OfficerArt])</f>
        <v>89</v>
      </c>
      <c r="AL51" s="430">
        <v>2.398413031E9</v>
      </c>
      <c r="AM51" s="430">
        <f t="array" ref="AM51">XLOOKUP(LCARS_Off[AbilityID],RawOfficer[AbilityID],RawOfficer[Default Order])</f>
        <v>48</v>
      </c>
    </row>
    <row r="52">
      <c r="A52" s="429" t="str">
        <f t="array" ref="A52">LEFT(XLOOKUP(LCARS_Off[AbilityID],RawOfficer[AbilityID],RawOfficer[OfficerRarity]), 1)</f>
        <v>C</v>
      </c>
      <c r="B52" s="429"/>
      <c r="C52" s="514" t="str">
        <f t="array" ref="C52">HYPERLINK("https://stfc.space/officers/" &amp; XLOOKUP(LCARS_Off[AbilityID],RawOfficer[AbilityID],RawOfficer[OfficerId]), XLOOKUP(LCARS_Off[AbilityID],RawOfficer[AbilityID],RawOfficer[OfficerName]))</f>
        <v>DOMITIA</v>
      </c>
      <c r="D52" s="515" t="str">
        <f t="array" ref="D52">XLOOKUP(LCARS_Off[AbilityID],RawOfficer[AbilityID],RawOfficer[AbilityType])</f>
        <v>CM</v>
      </c>
      <c r="E52" s="516" t="str">
        <f t="array" ref="E52">XLOOKUP(LCARS_Off[AbilityID],RawOfficer[AbilityID],RawOfficer[Tag_PvPinSpace])</f>
        <v>➖</v>
      </c>
      <c r="F52" s="516" t="str">
        <f t="array" ref="F52">XLOOKUP(LCARS_Off[AbilityID],RawOfficer[AbilityID],RawOfficer[Tag_PvPStation])</f>
        <v>➖</v>
      </c>
      <c r="G52" s="516" t="str">
        <f t="array" ref="G52">XLOOKUP(LCARS_Off[AbilityID],RawOfficer[AbilityID],RawOfficer[Tag_NonArmadaHostiles])</f>
        <v>➖</v>
      </c>
      <c r="H52" s="516" t="str">
        <f t="array" ref="H52">XLOOKUP(LCARS_Off[AbilityID],RawOfficer[AbilityID],RawOfficer[Tag_WaveDefense])</f>
        <v>➖</v>
      </c>
      <c r="I52" s="516" t="str">
        <f t="array" ref="I52">XLOOKUP(LCARS_Off[AbilityID],RawOfficer[AbilityID],RawOfficer[Tag_QTrial])</f>
        <v>➖</v>
      </c>
      <c r="J52" s="516" t="str">
        <f t="array" ref="J52">XLOOKUP(LCARS_Off[AbilityID],RawOfficer[AbilityID],RawOfficer[Tag_MissionBosses])</f>
        <v>➖</v>
      </c>
      <c r="K52" s="516" t="str">
        <f t="array" ref="K52">XLOOKUP(LCARS_Off[AbilityID],RawOfficer[AbilityID],RawOfficer[Tag_GroupArmadas])</f>
        <v>➖</v>
      </c>
      <c r="L52" s="516" t="str">
        <f t="array" ref="L52">XLOOKUP(LCARS_Off[AbilityID],RawOfficer[AbilityID],RawOfficer[Tag_SoloArmadas])</f>
        <v>➖</v>
      </c>
      <c r="M52" s="516" t="str">
        <f t="array" ref="M52">XLOOKUP(LCARS_Off[AbilityID],RawOfficer[AbilityID],RawOfficer[Tag_InvadingEntities])</f>
        <v>➖</v>
      </c>
      <c r="N52" s="516" t="str">
        <f t="array" ref="N52">XLOOKUP(LCARS_Off[AbilityID],RawOfficer[AbilityID],RawOfficer[Tag_Assaults])</f>
        <v>➖</v>
      </c>
      <c r="O52" s="516" t="str">
        <f t="array" ref="O52">XLOOKUP(LCARS_Off[AbilityID],RawOfficer[AbilityID],RawOfficer[Tag_OutpostArmadas])</f>
        <v>➖</v>
      </c>
      <c r="P52" s="516" t="str">
        <f t="array" ref="P52">XLOOKUP(LCARS_Off[AbilityID],RawOfficer[AbilityID],RawOfficer[Tag_OutpostRetaliators])</f>
        <v>➖</v>
      </c>
      <c r="Q52" s="517" t="str">
        <f t="array" ref="Q52">XLOOKUP(LCARS_Off[AbilityID],RawOfficer[AbilityID],RawOfficer[Conditional_Reason])</f>
        <v/>
      </c>
      <c r="R52" s="518" t="str">
        <f t="array" ref="R52">XLOOKUP(LCARS_Off[AbilityID],RawOfficer[AbilityID],RawOfficer[Tag_Loot])</f>
        <v>➖</v>
      </c>
      <c r="S52" s="516" t="str">
        <f t="array" ref="S52">XLOOKUP(LCARS_Off[AbilityID],RawOfficer[AbilityID],RawOfficer[Tag_Utility])</f>
        <v>✅</v>
      </c>
      <c r="T52" s="429" t="str">
        <f t="array" ref="T52">XLOOKUP(LCARS_Off[AbilityID],RawOfficer[AbilityID],RawOfficer[OfficerSynergy])</f>
        <v>SURVEYORS &amp; MINERS</v>
      </c>
      <c r="U52" s="519" t="str">
        <f t="array" ref="U52">XLOOKUP(LCARS_Off[AbilityID],RawOfficer[AbilityID],RawOfficer[AbilityModifier])</f>
        <v>MiningRate</v>
      </c>
      <c r="V52" s="519" t="str">
        <f t="array" ref="V52">XLOOKUP(LCARS_Off[AbilityID],RawOfficer[AbilityID],RawOfficer[AbilityAttributes])</f>
        <v>resources=[2614028847, 733419347]</v>
      </c>
      <c r="W52" s="520" t="str">
        <f t="array" ref="W52">XLOOKUP(LCARS_Off[AbilityID],RawOfficer[AbilityID],RawOfficer[AbilityConditions])</f>
        <v/>
      </c>
      <c r="X52" s="519" t="str">
        <f t="array" ref="X52">XLOOKUP(LCARS_Off[AbilityID],RawOfficer[AbilityID],RawOfficer[AbilityTrigger])</f>
        <v>ShipLaunched</v>
      </c>
      <c r="Y52" s="519" t="str">
        <f t="array" ref="Y52">XLOOKUP(LCARS_Off[AbilityID],RawOfficer[AbilityID],RawOfficer[AbilityTarget])</f>
        <v>SelfShip</v>
      </c>
      <c r="Z52" s="519" t="str">
        <f t="array" ref="Z52">XLOOKUP(LCARS_Off[AbilityID],RawOfficer[AbilityID],RawOfficer[AbilityOperation])</f>
        <v>MultiplyAdd</v>
      </c>
      <c r="AA52" s="521" t="str">
        <f t="array" ref="AA52">XLOOKUP(LCARS_Off[AbilityID],RawOfficer[AbilityID],RawOfficer[AbilityDescription])</f>
        <v>Domitia increases the Mining Rate of the ship by X when mining Dilithium.</v>
      </c>
      <c r="AB52" s="429" t="b">
        <v>0</v>
      </c>
      <c r="AC52" s="522" t="str">
        <f t="array" ref="AC52">XLOOKUP(LCARS_Off[AbilityID],RawOfficer[AbilityID],RawOfficer[AbilityDescriptionShort])</f>
        <v>+X to Dilithium mining rate</v>
      </c>
      <c r="AD52" s="523"/>
      <c r="AE52" s="524"/>
      <c r="AF52" s="524"/>
      <c r="AG52" s="525" t="str">
        <f t="array" ref="AG52">XLOOKUP(LCARS_Off[AbilityID],RawOfficer[AbilityID],RawOfficer[AbilityChances])</f>
        <v>1.0, 1.0, 1.0</v>
      </c>
      <c r="AH52" s="525" t="str">
        <f t="array" ref="AH52">XLOOKUP(LCARS_Off[AbilityID],RawOfficer[AbilityID],RawOfficer[AbilityValues])</f>
        <v>0.4, 0.2, 0.3</v>
      </c>
      <c r="AI52" s="428" t="b">
        <f t="array" ref="AI52">XLOOKUP(LCARS_Off[AbilityID],RawOfficer[AbilityID],RawOfficer[AbilityHasChance])</f>
        <v>0</v>
      </c>
      <c r="AJ52" s="428" t="b">
        <f t="array" ref="AJ52">XLOOKUP(LCARS_Off[AbilityID],RawOfficer[AbilityID],RawOfficer[AbilityShowPercentage])</f>
        <v>1</v>
      </c>
      <c r="AK52" s="429">
        <f t="array" ref="AK52">XLOOKUP(LCARS_Off[AbilityID],RawOfficer[AbilityID],RawOfficer[OfficerArt])</f>
        <v>51</v>
      </c>
      <c r="AL52" s="430">
        <v>2.591028018E9</v>
      </c>
      <c r="AM52" s="430">
        <f t="array" ref="AM52">XLOOKUP(LCARS_Off[AbilityID],RawOfficer[AbilityID],RawOfficer[Default Order])</f>
        <v>49</v>
      </c>
    </row>
    <row r="53">
      <c r="A53" s="429" t="str">
        <f t="array" ref="A53">LEFT(XLOOKUP(LCARS_Off[AbilityID],RawOfficer[AbilityID],RawOfficer[OfficerRarity]), 1)</f>
        <v>C</v>
      </c>
      <c r="B53" s="429"/>
      <c r="C53" s="514" t="str">
        <f t="array" ref="C53">HYPERLINK("https://stfc.space/officers/" &amp; XLOOKUP(LCARS_Off[AbilityID],RawOfficer[AbilityID],RawOfficer[OfficerId]), XLOOKUP(LCARS_Off[AbilityID],RawOfficer[AbilityID],RawOfficer[OfficerName]))</f>
        <v>DOMITIA</v>
      </c>
      <c r="D53" s="515" t="str">
        <f t="array" ref="D53">XLOOKUP(LCARS_Off[AbilityID],RawOfficer[AbilityID],RawOfficer[AbilityType])</f>
        <v>OA</v>
      </c>
      <c r="E53" s="516" t="str">
        <f t="array" ref="E53">XLOOKUP(LCARS_Off[AbilityID],RawOfficer[AbilityID],RawOfficer[Tag_PvPinSpace])</f>
        <v>➖</v>
      </c>
      <c r="F53" s="516" t="str">
        <f t="array" ref="F53">XLOOKUP(LCARS_Off[AbilityID],RawOfficer[AbilityID],RawOfficer[Tag_PvPStation])</f>
        <v>➖</v>
      </c>
      <c r="G53" s="516" t="str">
        <f t="array" ref="G53">XLOOKUP(LCARS_Off[AbilityID],RawOfficer[AbilityID],RawOfficer[Tag_NonArmadaHostiles])</f>
        <v>➖</v>
      </c>
      <c r="H53" s="516" t="str">
        <f t="array" ref="H53">XLOOKUP(LCARS_Off[AbilityID],RawOfficer[AbilityID],RawOfficer[Tag_WaveDefense])</f>
        <v>➖</v>
      </c>
      <c r="I53" s="516" t="str">
        <f t="array" ref="I53">XLOOKUP(LCARS_Off[AbilityID],RawOfficer[AbilityID],RawOfficer[Tag_QTrial])</f>
        <v>➖</v>
      </c>
      <c r="J53" s="516" t="str">
        <f t="array" ref="J53">XLOOKUP(LCARS_Off[AbilityID],RawOfficer[AbilityID],RawOfficer[Tag_MissionBosses])</f>
        <v>➖</v>
      </c>
      <c r="K53" s="516" t="str">
        <f t="array" ref="K53">XLOOKUP(LCARS_Off[AbilityID],RawOfficer[AbilityID],RawOfficer[Tag_GroupArmadas])</f>
        <v>➖</v>
      </c>
      <c r="L53" s="516" t="str">
        <f t="array" ref="L53">XLOOKUP(LCARS_Off[AbilityID],RawOfficer[AbilityID],RawOfficer[Tag_SoloArmadas])</f>
        <v>➖</v>
      </c>
      <c r="M53" s="516" t="str">
        <f t="array" ref="M53">XLOOKUP(LCARS_Off[AbilityID],RawOfficer[AbilityID],RawOfficer[Tag_InvadingEntities])</f>
        <v>➖</v>
      </c>
      <c r="N53" s="516" t="str">
        <f t="array" ref="N53">XLOOKUP(LCARS_Off[AbilityID],RawOfficer[AbilityID],RawOfficer[Tag_Assaults])</f>
        <v>➖</v>
      </c>
      <c r="O53" s="516" t="str">
        <f t="array" ref="O53">XLOOKUP(LCARS_Off[AbilityID],RawOfficer[AbilityID],RawOfficer[Tag_OutpostArmadas])</f>
        <v>➖</v>
      </c>
      <c r="P53" s="516" t="str">
        <f t="array" ref="P53">XLOOKUP(LCARS_Off[AbilityID],RawOfficer[AbilityID],RawOfficer[Tag_OutpostRetaliators])</f>
        <v>➖</v>
      </c>
      <c r="Q53" s="517" t="str">
        <f t="array" ref="Q53">XLOOKUP(LCARS_Off[AbilityID],RawOfficer[AbilityID],RawOfficer[Conditional_Reason])</f>
        <v/>
      </c>
      <c r="R53" s="518" t="str">
        <f t="array" ref="R53">XLOOKUP(LCARS_Off[AbilityID],RawOfficer[AbilityID],RawOfficer[Tag_Loot])</f>
        <v>➖</v>
      </c>
      <c r="S53" s="516" t="str">
        <f t="array" ref="S53">XLOOKUP(LCARS_Off[AbilityID],RawOfficer[AbilityID],RawOfficer[Tag_Utility])</f>
        <v>✅</v>
      </c>
      <c r="T53" s="429" t="str">
        <f t="array" ref="T53">XLOOKUP(LCARS_Off[AbilityID],RawOfficer[AbilityID],RawOfficer[OfficerSynergy])</f>
        <v>SURVEYORS &amp; MINERS</v>
      </c>
      <c r="U53" s="519" t="str">
        <f t="array" ref="U53">XLOOKUP(LCARS_Off[AbilityID],RawOfficer[AbilityID],RawOfficer[AbilityModifier])</f>
        <v>WarpSpeed</v>
      </c>
      <c r="V53" s="519" t="str">
        <f t="array" ref="V53">XLOOKUP(LCARS_Off[AbilityID],RawOfficer[AbilityID],RawOfficer[AbilityAttributes])</f>
        <v/>
      </c>
      <c r="W53" s="520" t="str">
        <f t="array" ref="W53">XLOOKUP(LCARS_Off[AbilityID],RawOfficer[AbilityID],RawOfficer[AbilityConditions])</f>
        <v>CargoFull</v>
      </c>
      <c r="X53" s="519" t="str">
        <f t="array" ref="X53">XLOOKUP(LCARS_Off[AbilityID],RawOfficer[AbilityID],RawOfficer[AbilityTrigger])</f>
        <v>ShipLaunched</v>
      </c>
      <c r="Y53" s="519" t="str">
        <f t="array" ref="Y53">XLOOKUP(LCARS_Off[AbilityID],RawOfficer[AbilityID],RawOfficer[AbilityTarget])</f>
        <v>SelfShip</v>
      </c>
      <c r="Z53" s="519" t="str">
        <f t="array" ref="Z53">XLOOKUP(LCARS_Off[AbilityID],RawOfficer[AbilityID],RawOfficer[AbilityOperation])</f>
        <v>MultiplyAdd</v>
      </c>
      <c r="AA53" s="521" t="str">
        <f t="array" ref="AA53">XLOOKUP(LCARS_Off[AbilityID],RawOfficer[AbilityID],RawOfficer[AbilityDescription])</f>
        <v>As long as the Cargo of the ship is full, Domitia increases its Warp speed by X.</v>
      </c>
      <c r="AB53" s="429" t="b">
        <v>0</v>
      </c>
      <c r="AC53" s="522" t="str">
        <f t="array" ref="AC53">XLOOKUP(LCARS_Off[AbilityID],RawOfficer[AbilityID],RawOfficer[AbilityDescriptionShort])</f>
        <v>+X to Warp speed when the Cargo is full</v>
      </c>
      <c r="AD53" s="523"/>
      <c r="AE53" s="524"/>
      <c r="AF53" s="524"/>
      <c r="AG53" s="525" t="str">
        <f t="array" ref="AG53">XLOOKUP(LCARS_Off[AbilityID],RawOfficer[AbilityID],RawOfficer[AbilityChances])</f>
        <v>1.0, 1.0, 1.0, 1.0, 1.0</v>
      </c>
      <c r="AH53" s="525" t="str">
        <f t="array" ref="AH53">XLOOKUP(LCARS_Off[AbilityID],RawOfficer[AbilityID],RawOfficer[AbilityValues])</f>
        <v>0.25, 0.5, 0.75, 1.0, 1.3</v>
      </c>
      <c r="AI53" s="428" t="b">
        <f t="array" ref="AI53">XLOOKUP(LCARS_Off[AbilityID],RawOfficer[AbilityID],RawOfficer[AbilityHasChance])</f>
        <v>0</v>
      </c>
      <c r="AJ53" s="428" t="b">
        <f t="array" ref="AJ53">XLOOKUP(LCARS_Off[AbilityID],RawOfficer[AbilityID],RawOfficer[AbilityShowPercentage])</f>
        <v>1</v>
      </c>
      <c r="AK53" s="429">
        <f t="array" ref="AK53">XLOOKUP(LCARS_Off[AbilityID],RawOfficer[AbilityID],RawOfficer[OfficerArt])</f>
        <v>51</v>
      </c>
      <c r="AL53" s="430">
        <v>2.68749517E9</v>
      </c>
      <c r="AM53" s="430">
        <f t="array" ref="AM53">XLOOKUP(LCARS_Off[AbilityID],RawOfficer[AbilityID],RawOfficer[Default Order])</f>
        <v>50</v>
      </c>
    </row>
    <row r="54">
      <c r="A54" s="429" t="str">
        <f t="array" ref="A54">LEFT(XLOOKUP(LCARS_Off[AbilityID],RawOfficer[AbilityID],RawOfficer[OfficerRarity]), 1)</f>
        <v>C</v>
      </c>
      <c r="B54" s="429"/>
      <c r="C54" s="514" t="str">
        <f t="array" ref="C54">HYPERLINK("https://stfc.space/officers/" &amp; XLOOKUP(LCARS_Off[AbilityID],RawOfficer[AbilityID],RawOfficer[OfficerId]), XLOOKUP(LCARS_Off[AbilityID],RawOfficer[AbilityID],RawOfficer[OfficerName]))</f>
        <v>K'BISCH</v>
      </c>
      <c r="D54" s="515" t="str">
        <f t="array" ref="D54">XLOOKUP(LCARS_Off[AbilityID],RawOfficer[AbilityID],RawOfficer[AbilityType])</f>
        <v>CM</v>
      </c>
      <c r="E54" s="516" t="str">
        <f t="array" ref="E54">XLOOKUP(LCARS_Off[AbilityID],RawOfficer[AbilityID],RawOfficer[Tag_PvPinSpace])</f>
        <v>➖</v>
      </c>
      <c r="F54" s="516" t="str">
        <f t="array" ref="F54">XLOOKUP(LCARS_Off[AbilityID],RawOfficer[AbilityID],RawOfficer[Tag_PvPStation])</f>
        <v>➖</v>
      </c>
      <c r="G54" s="516" t="str">
        <f t="array" ref="G54">XLOOKUP(LCARS_Off[AbilityID],RawOfficer[AbilityID],RawOfficer[Tag_NonArmadaHostiles])</f>
        <v>➖</v>
      </c>
      <c r="H54" s="516" t="str">
        <f t="array" ref="H54">XLOOKUP(LCARS_Off[AbilityID],RawOfficer[AbilityID],RawOfficer[Tag_WaveDefense])</f>
        <v>➖</v>
      </c>
      <c r="I54" s="516" t="str">
        <f t="array" ref="I54">XLOOKUP(LCARS_Off[AbilityID],RawOfficer[AbilityID],RawOfficer[Tag_QTrial])</f>
        <v>➖</v>
      </c>
      <c r="J54" s="516" t="str">
        <f t="array" ref="J54">XLOOKUP(LCARS_Off[AbilityID],RawOfficer[AbilityID],RawOfficer[Tag_MissionBosses])</f>
        <v>➖</v>
      </c>
      <c r="K54" s="516" t="str">
        <f t="array" ref="K54">XLOOKUP(LCARS_Off[AbilityID],RawOfficer[AbilityID],RawOfficer[Tag_GroupArmadas])</f>
        <v>➖</v>
      </c>
      <c r="L54" s="516" t="str">
        <f t="array" ref="L54">XLOOKUP(LCARS_Off[AbilityID],RawOfficer[AbilityID],RawOfficer[Tag_SoloArmadas])</f>
        <v>➖</v>
      </c>
      <c r="M54" s="516" t="str">
        <f t="array" ref="M54">XLOOKUP(LCARS_Off[AbilityID],RawOfficer[AbilityID],RawOfficer[Tag_InvadingEntities])</f>
        <v>➖</v>
      </c>
      <c r="N54" s="516" t="str">
        <f t="array" ref="N54">XLOOKUP(LCARS_Off[AbilityID],RawOfficer[AbilityID],RawOfficer[Tag_Assaults])</f>
        <v>➖</v>
      </c>
      <c r="O54" s="516" t="str">
        <f t="array" ref="O54">XLOOKUP(LCARS_Off[AbilityID],RawOfficer[AbilityID],RawOfficer[Tag_OutpostArmadas])</f>
        <v>➖</v>
      </c>
      <c r="P54" s="516" t="str">
        <f t="array" ref="P54">XLOOKUP(LCARS_Off[AbilityID],RawOfficer[AbilityID],RawOfficer[Tag_OutpostRetaliators])</f>
        <v>➖</v>
      </c>
      <c r="Q54" s="517" t="str">
        <f t="array" ref="Q54">XLOOKUP(LCARS_Off[AbilityID],RawOfficer[AbilityID],RawOfficer[Conditional_Reason])</f>
        <v/>
      </c>
      <c r="R54" s="518" t="str">
        <f t="array" ref="R54">XLOOKUP(LCARS_Off[AbilityID],RawOfficer[AbilityID],RawOfficer[Tag_Loot])</f>
        <v>➖</v>
      </c>
      <c r="S54" s="516" t="str">
        <f t="array" ref="S54">XLOOKUP(LCARS_Off[AbilityID],RawOfficer[AbilityID],RawOfficer[Tag_Utility])</f>
        <v>✅</v>
      </c>
      <c r="T54" s="429" t="str">
        <f t="array" ref="T54">XLOOKUP(LCARS_Off[AbilityID],RawOfficer[AbilityID],RawOfficer[OfficerSynergy])</f>
        <v>SURVEYORS &amp; MINERS</v>
      </c>
      <c r="U54" s="519" t="str">
        <f t="array" ref="U54">XLOOKUP(LCARS_Off[AbilityID],RawOfficer[AbilityID],RawOfficer[AbilityModifier])</f>
        <v>MiningRate</v>
      </c>
      <c r="V54" s="519" t="str">
        <f t="array" ref="V54">XLOOKUP(LCARS_Off[AbilityID],RawOfficer[AbilityID],RawOfficer[AbilityAttributes])</f>
        <v>resources=[743985951, 1734940706, 580616659]</v>
      </c>
      <c r="W54" s="520" t="str">
        <f t="array" ref="W54">XLOOKUP(LCARS_Off[AbilityID],RawOfficer[AbilityID],RawOfficer[AbilityConditions])</f>
        <v/>
      </c>
      <c r="X54" s="519" t="str">
        <f t="array" ref="X54">XLOOKUP(LCARS_Off[AbilityID],RawOfficer[AbilityID],RawOfficer[AbilityTrigger])</f>
        <v>ShipLaunched</v>
      </c>
      <c r="Y54" s="519" t="str">
        <f t="array" ref="Y54">XLOOKUP(LCARS_Off[AbilityID],RawOfficer[AbilityID],RawOfficer[AbilityTarget])</f>
        <v>SelfShip</v>
      </c>
      <c r="Z54" s="519" t="str">
        <f t="array" ref="Z54">XLOOKUP(LCARS_Off[AbilityID],RawOfficer[AbilityID],RawOfficer[AbilityOperation])</f>
        <v>MultiplyAdd</v>
      </c>
      <c r="AA54" s="521" t="str">
        <f t="array" ref="AA54">XLOOKUP(LCARS_Off[AbilityID],RawOfficer[AbilityID],RawOfficer[AbilityDescription])</f>
        <v>K'Bisch increases the Mining Rate of the ship by X when mining Tritanium.</v>
      </c>
      <c r="AB54" s="429" t="b">
        <v>0</v>
      </c>
      <c r="AC54" s="522" t="str">
        <f t="array" ref="AC54">XLOOKUP(LCARS_Off[AbilityID],RawOfficer[AbilityID],RawOfficer[AbilityDescriptionShort])</f>
        <v>+X to Tritanium mining rate</v>
      </c>
      <c r="AD54" s="523"/>
      <c r="AE54" s="524"/>
      <c r="AF54" s="524"/>
      <c r="AG54" s="525" t="str">
        <f t="array" ref="AG54">XLOOKUP(LCARS_Off[AbilityID],RawOfficer[AbilityID],RawOfficer[AbilityChances])</f>
        <v>1.0, 1.0, 1.0</v>
      </c>
      <c r="AH54" s="525" t="str">
        <f t="array" ref="AH54">XLOOKUP(LCARS_Off[AbilityID],RawOfficer[AbilityID],RawOfficer[AbilityValues])</f>
        <v>0.4, 0.2, 0.3</v>
      </c>
      <c r="AI54" s="428" t="b">
        <f t="array" ref="AI54">XLOOKUP(LCARS_Off[AbilityID],RawOfficer[AbilityID],RawOfficer[AbilityHasChance])</f>
        <v>0</v>
      </c>
      <c r="AJ54" s="428" t="b">
        <f t="array" ref="AJ54">XLOOKUP(LCARS_Off[AbilityID],RawOfficer[AbilityID],RawOfficer[AbilityShowPercentage])</f>
        <v>1</v>
      </c>
      <c r="AK54" s="429">
        <f t="array" ref="AK54">XLOOKUP(LCARS_Off[AbilityID],RawOfficer[AbilityID],RawOfficer[OfficerArt])</f>
        <v>52</v>
      </c>
      <c r="AL54" s="430">
        <v>7.62142944E8</v>
      </c>
      <c r="AM54" s="430">
        <f t="array" ref="AM54">XLOOKUP(LCARS_Off[AbilityID],RawOfficer[AbilityID],RawOfficer[Default Order])</f>
        <v>51</v>
      </c>
    </row>
    <row r="55">
      <c r="A55" s="429" t="str">
        <f t="array" ref="A55">LEFT(XLOOKUP(LCARS_Off[AbilityID],RawOfficer[AbilityID],RawOfficer[OfficerRarity]), 1)</f>
        <v>C</v>
      </c>
      <c r="B55" s="429"/>
      <c r="C55" s="514" t="str">
        <f t="array" ref="C55">HYPERLINK("https://stfc.space/officers/" &amp; XLOOKUP(LCARS_Off[AbilityID],RawOfficer[AbilityID],RawOfficer[OfficerId]), XLOOKUP(LCARS_Off[AbilityID],RawOfficer[AbilityID],RawOfficer[OfficerName]))</f>
        <v>K'BISCH</v>
      </c>
      <c r="D55" s="515" t="str">
        <f t="array" ref="D55">XLOOKUP(LCARS_Off[AbilityID],RawOfficer[AbilityID],RawOfficer[AbilityType])</f>
        <v>OA</v>
      </c>
      <c r="E55" s="516" t="str">
        <f t="array" ref="E55">XLOOKUP(LCARS_Off[AbilityID],RawOfficer[AbilityID],RawOfficer[Tag_PvPinSpace])</f>
        <v>✴️</v>
      </c>
      <c r="F55" s="516" t="str">
        <f t="array" ref="F55">XLOOKUP(LCARS_Off[AbilityID],RawOfficer[AbilityID],RawOfficer[Tag_PvPStation])</f>
        <v>➖</v>
      </c>
      <c r="G55" s="516" t="str">
        <f t="array" ref="G55">XLOOKUP(LCARS_Off[AbilityID],RawOfficer[AbilityID],RawOfficer[Tag_NonArmadaHostiles])</f>
        <v>➖</v>
      </c>
      <c r="H55" s="516" t="str">
        <f t="array" ref="H55">XLOOKUP(LCARS_Off[AbilityID],RawOfficer[AbilityID],RawOfficer[Tag_WaveDefense])</f>
        <v>➖</v>
      </c>
      <c r="I55" s="516" t="str">
        <f t="array" ref="I55">XLOOKUP(LCARS_Off[AbilityID],RawOfficer[AbilityID],RawOfficer[Tag_QTrial])</f>
        <v>➖</v>
      </c>
      <c r="J55" s="516" t="str">
        <f t="array" ref="J55">XLOOKUP(LCARS_Off[AbilityID],RawOfficer[AbilityID],RawOfficer[Tag_MissionBosses])</f>
        <v>➖</v>
      </c>
      <c r="K55" s="516" t="str">
        <f t="array" ref="K55">XLOOKUP(LCARS_Off[AbilityID],RawOfficer[AbilityID],RawOfficer[Tag_GroupArmadas])</f>
        <v>➖</v>
      </c>
      <c r="L55" s="516" t="str">
        <f t="array" ref="L55">XLOOKUP(LCARS_Off[AbilityID],RawOfficer[AbilityID],RawOfficer[Tag_SoloArmadas])</f>
        <v>➖</v>
      </c>
      <c r="M55" s="516" t="str">
        <f t="array" ref="M55">XLOOKUP(LCARS_Off[AbilityID],RawOfficer[AbilityID],RawOfficer[Tag_InvadingEntities])</f>
        <v>➖</v>
      </c>
      <c r="N55" s="516" t="str">
        <f t="array" ref="N55">XLOOKUP(LCARS_Off[AbilityID],RawOfficer[AbilityID],RawOfficer[Tag_Assaults])</f>
        <v>➖</v>
      </c>
      <c r="O55" s="516" t="str">
        <f t="array" ref="O55">XLOOKUP(LCARS_Off[AbilityID],RawOfficer[AbilityID],RawOfficer[Tag_OutpostArmadas])</f>
        <v>➖</v>
      </c>
      <c r="P55" s="516" t="str">
        <f t="array" ref="P55">XLOOKUP(LCARS_Off[AbilityID],RawOfficer[AbilityID],RawOfficer[Tag_OutpostRetaliators])</f>
        <v>➖</v>
      </c>
      <c r="Q55" s="517" t="str">
        <f t="array" ref="Q55">XLOOKUP(LCARS_Off[AbilityID],RawOfficer[AbilityID],RawOfficer[Conditional_Reason])</f>
        <v>docked on a node, on a Mining Node</v>
      </c>
      <c r="R55" s="518" t="str">
        <f t="array" ref="R55">XLOOKUP(LCARS_Off[AbilityID],RawOfficer[AbilityID],RawOfficer[Tag_Loot])</f>
        <v>➖</v>
      </c>
      <c r="S55" s="516" t="str">
        <f t="array" ref="S55">XLOOKUP(LCARS_Off[AbilityID],RawOfficer[AbilityID],RawOfficer[Tag_Utility])</f>
        <v>➖</v>
      </c>
      <c r="T55" s="429" t="str">
        <f t="array" ref="T55">XLOOKUP(LCARS_Off[AbilityID],RawOfficer[AbilityID],RawOfficer[OfficerSynergy])</f>
        <v>SURVEYORS &amp; MINERS</v>
      </c>
      <c r="U55" s="519" t="str">
        <f t="array" ref="U55">XLOOKUP(LCARS_Off[AbilityID],RawOfficer[AbilityID],RawOfficer[AbilityModifier])</f>
        <v>AllDamage</v>
      </c>
      <c r="V55" s="519" t="str">
        <f t="array" ref="V55">XLOOKUP(LCARS_Off[AbilityID],RawOfficer[AbilityID],RawOfficer[AbilityAttributes])</f>
        <v>battle_types=[4], game_context=mining_node</v>
      </c>
      <c r="W55" s="520" t="str">
        <f t="array" ref="W55">XLOOKUP(LCARS_Off[AbilityID],RawOfficer[AbilityID],RawOfficer[AbilityConditions])</f>
        <v>CombatBattleType, CombatGameContext, SelfDefending</v>
      </c>
      <c r="X55" s="519" t="str">
        <f t="array" ref="X55">XLOOKUP(LCARS_Off[AbilityID],RawOfficer[AbilityID],RawOfficer[AbilityTrigger])</f>
        <v>CombatStart</v>
      </c>
      <c r="Y55" s="519" t="str">
        <f t="array" ref="Y55">XLOOKUP(LCARS_Off[AbilityID],RawOfficer[AbilityID],RawOfficer[AbilityTarget])</f>
        <v>EnemyShip</v>
      </c>
      <c r="Z55" s="519" t="str">
        <f t="array" ref="Z55">XLOOKUP(LCARS_Off[AbilityID],RawOfficer[AbilityID],RawOfficer[AbilityOperation])</f>
        <v>MultiplySub</v>
      </c>
      <c r="AA55" s="521" t="str">
        <f t="array" ref="AA55">XLOOKUP(LCARS_Off[AbilityID],RawOfficer[AbilityID],RawOfficer[AbilityDescription])</f>
        <v>As long as the ship is mining, K'Bisch reduces the damage dealt by attacking opponents by X.</v>
      </c>
      <c r="AB55" s="429" t="b">
        <v>0</v>
      </c>
      <c r="AC55" s="522" t="str">
        <f t="array" ref="AC55">XLOOKUP(LCARS_Off[AbilityID],RawOfficer[AbilityID],RawOfficer[AbilityDescriptionShort])</f>
        <v>-X to Damage taken when mining</v>
      </c>
      <c r="AD55" s="523"/>
      <c r="AE55" s="524"/>
      <c r="AF55" s="524"/>
      <c r="AG55" s="525" t="str">
        <f t="array" ref="AG55">XLOOKUP(LCARS_Off[AbilityID],RawOfficer[AbilityID],RawOfficer[AbilityChances])</f>
        <v>1.0, 1.0, 1.0, 1.0, 1.0</v>
      </c>
      <c r="AH55" s="525" t="str">
        <f t="array" ref="AH55">XLOOKUP(LCARS_Off[AbilityID],RawOfficer[AbilityID],RawOfficer[AbilityValues])</f>
        <v>0.1, 0.12, 0.14, 0.16, 0.2</v>
      </c>
      <c r="AI55" s="428" t="b">
        <f t="array" ref="AI55">XLOOKUP(LCARS_Off[AbilityID],RawOfficer[AbilityID],RawOfficer[AbilityHasChance])</f>
        <v>0</v>
      </c>
      <c r="AJ55" s="428" t="b">
        <f t="array" ref="AJ55">XLOOKUP(LCARS_Off[AbilityID],RawOfficer[AbilityID],RawOfficer[AbilityShowPercentage])</f>
        <v>1</v>
      </c>
      <c r="AK55" s="429">
        <f t="array" ref="AK55">XLOOKUP(LCARS_Off[AbilityID],RawOfficer[AbilityID],RawOfficer[OfficerArt])</f>
        <v>52</v>
      </c>
      <c r="AL55" s="430">
        <v>2.133714071E9</v>
      </c>
      <c r="AM55" s="430">
        <f t="array" ref="AM55">XLOOKUP(LCARS_Off[AbilityID],RawOfficer[AbilityID],RawOfficer[Default Order])</f>
        <v>52</v>
      </c>
    </row>
    <row r="56">
      <c r="A56" s="429" t="str">
        <f t="array" ref="A56">LEFT(XLOOKUP(LCARS_Off[AbilityID],RawOfficer[AbilityID],RawOfficer[OfficerRarity]), 1)</f>
        <v>C</v>
      </c>
      <c r="B56" s="429"/>
      <c r="C56" s="514" t="str">
        <f t="array" ref="C56">HYPERLINK("https://stfc.space/officers/" &amp; XLOOKUP(LCARS_Off[AbilityID],RawOfficer[AbilityID],RawOfficer[OfficerId]), XLOOKUP(LCARS_Off[AbilityID],RawOfficer[AbilityID],RawOfficer[OfficerName]))</f>
        <v>HELVIA</v>
      </c>
      <c r="D56" s="515" t="str">
        <f t="array" ref="D56">XLOOKUP(LCARS_Off[AbilityID],RawOfficer[AbilityID],RawOfficer[AbilityType])</f>
        <v>CM</v>
      </c>
      <c r="E56" s="516" t="str">
        <f t="array" ref="E56">XLOOKUP(LCARS_Off[AbilityID],RawOfficer[AbilityID],RawOfficer[Tag_PvPinSpace])</f>
        <v>➖</v>
      </c>
      <c r="F56" s="516" t="str">
        <f t="array" ref="F56">XLOOKUP(LCARS_Off[AbilityID],RawOfficer[AbilityID],RawOfficer[Tag_PvPStation])</f>
        <v>➖</v>
      </c>
      <c r="G56" s="516" t="str">
        <f t="array" ref="G56">XLOOKUP(LCARS_Off[AbilityID],RawOfficer[AbilityID],RawOfficer[Tag_NonArmadaHostiles])</f>
        <v>➖</v>
      </c>
      <c r="H56" s="516" t="str">
        <f t="array" ref="H56">XLOOKUP(LCARS_Off[AbilityID],RawOfficer[AbilityID],RawOfficer[Tag_WaveDefense])</f>
        <v>➖</v>
      </c>
      <c r="I56" s="516" t="str">
        <f t="array" ref="I56">XLOOKUP(LCARS_Off[AbilityID],RawOfficer[AbilityID],RawOfficer[Tag_QTrial])</f>
        <v>➖</v>
      </c>
      <c r="J56" s="516" t="str">
        <f t="array" ref="J56">XLOOKUP(LCARS_Off[AbilityID],RawOfficer[AbilityID],RawOfficer[Tag_MissionBosses])</f>
        <v>➖</v>
      </c>
      <c r="K56" s="516" t="str">
        <f t="array" ref="K56">XLOOKUP(LCARS_Off[AbilityID],RawOfficer[AbilityID],RawOfficer[Tag_GroupArmadas])</f>
        <v>➖</v>
      </c>
      <c r="L56" s="516" t="str">
        <f t="array" ref="L56">XLOOKUP(LCARS_Off[AbilityID],RawOfficer[AbilityID],RawOfficer[Tag_SoloArmadas])</f>
        <v>➖</v>
      </c>
      <c r="M56" s="516" t="str">
        <f t="array" ref="M56">XLOOKUP(LCARS_Off[AbilityID],RawOfficer[AbilityID],RawOfficer[Tag_InvadingEntities])</f>
        <v>➖</v>
      </c>
      <c r="N56" s="516" t="str">
        <f t="array" ref="N56">XLOOKUP(LCARS_Off[AbilityID],RawOfficer[AbilityID],RawOfficer[Tag_Assaults])</f>
        <v>➖</v>
      </c>
      <c r="O56" s="516" t="str">
        <f t="array" ref="O56">XLOOKUP(LCARS_Off[AbilityID],RawOfficer[AbilityID],RawOfficer[Tag_OutpostArmadas])</f>
        <v>➖</v>
      </c>
      <c r="P56" s="516" t="str">
        <f t="array" ref="P56">XLOOKUP(LCARS_Off[AbilityID],RawOfficer[AbilityID],RawOfficer[Tag_OutpostRetaliators])</f>
        <v>➖</v>
      </c>
      <c r="Q56" s="517" t="str">
        <f t="array" ref="Q56">XLOOKUP(LCARS_Off[AbilityID],RawOfficer[AbilityID],RawOfficer[Conditional_Reason])</f>
        <v/>
      </c>
      <c r="R56" s="518" t="str">
        <f t="array" ref="R56">XLOOKUP(LCARS_Off[AbilityID],RawOfficer[AbilityID],RawOfficer[Tag_Loot])</f>
        <v>➖</v>
      </c>
      <c r="S56" s="516" t="str">
        <f t="array" ref="S56">XLOOKUP(LCARS_Off[AbilityID],RawOfficer[AbilityID],RawOfficer[Tag_Utility])</f>
        <v>✅</v>
      </c>
      <c r="T56" s="429" t="str">
        <f t="array" ref="T56">XLOOKUP(LCARS_Off[AbilityID],RawOfficer[AbilityID],RawOfficer[OfficerSynergy])</f>
        <v>SURVEYORS &amp; MINERS</v>
      </c>
      <c r="U56" s="519" t="str">
        <f t="array" ref="U56">XLOOKUP(LCARS_Off[AbilityID],RawOfficer[AbilityID],RawOfficer[AbilityModifier])</f>
        <v>MiningRate</v>
      </c>
      <c r="V56" s="519" t="str">
        <f t="array" ref="V56">XLOOKUP(LCARS_Off[AbilityID],RawOfficer[AbilityID],RawOfficer[AbilityAttributes])</f>
        <v>resources=[2325683920, 4275314946, 999782265]</v>
      </c>
      <c r="W56" s="520" t="str">
        <f t="array" ref="W56">XLOOKUP(LCARS_Off[AbilityID],RawOfficer[AbilityID],RawOfficer[AbilityConditions])</f>
        <v/>
      </c>
      <c r="X56" s="519" t="str">
        <f t="array" ref="X56">XLOOKUP(LCARS_Off[AbilityID],RawOfficer[AbilityID],RawOfficer[AbilityTrigger])</f>
        <v>ShipLaunched</v>
      </c>
      <c r="Y56" s="519" t="str">
        <f t="array" ref="Y56">XLOOKUP(LCARS_Off[AbilityID],RawOfficer[AbilityID],RawOfficer[AbilityTarget])</f>
        <v>SelfShip</v>
      </c>
      <c r="Z56" s="519" t="str">
        <f t="array" ref="Z56">XLOOKUP(LCARS_Off[AbilityID],RawOfficer[AbilityID],RawOfficer[AbilityOperation])</f>
        <v>MultiplyAdd</v>
      </c>
      <c r="AA56" s="521" t="str">
        <f t="array" ref="AA56">XLOOKUP(LCARS_Off[AbilityID],RawOfficer[AbilityID],RawOfficer[AbilityDescription])</f>
        <v>Helvia increases the Mining Rate of the ship by X when mining Parsteel.</v>
      </c>
      <c r="AB56" s="429" t="b">
        <v>0</v>
      </c>
      <c r="AC56" s="522" t="str">
        <f t="array" ref="AC56">XLOOKUP(LCARS_Off[AbilityID],RawOfficer[AbilityID],RawOfficer[AbilityDescriptionShort])</f>
        <v>+X to Parsteel mining rate</v>
      </c>
      <c r="AD56" s="523"/>
      <c r="AE56" s="524"/>
      <c r="AF56" s="524"/>
      <c r="AG56" s="525" t="str">
        <f t="array" ref="AG56">XLOOKUP(LCARS_Off[AbilityID],RawOfficer[AbilityID],RawOfficer[AbilityChances])</f>
        <v>1.0, 1.0, 1.0</v>
      </c>
      <c r="AH56" s="525" t="str">
        <f t="array" ref="AH56">XLOOKUP(LCARS_Off[AbilityID],RawOfficer[AbilityID],RawOfficer[AbilityValues])</f>
        <v>0.4, 0.2, 0.3</v>
      </c>
      <c r="AI56" s="428" t="b">
        <f t="array" ref="AI56">XLOOKUP(LCARS_Off[AbilityID],RawOfficer[AbilityID],RawOfficer[AbilityHasChance])</f>
        <v>0</v>
      </c>
      <c r="AJ56" s="428" t="b">
        <f t="array" ref="AJ56">XLOOKUP(LCARS_Off[AbilityID],RawOfficer[AbilityID],RawOfficer[AbilityShowPercentage])</f>
        <v>1</v>
      </c>
      <c r="AK56" s="429">
        <f t="array" ref="AK56">XLOOKUP(LCARS_Off[AbilityID],RawOfficer[AbilityID],RawOfficer[OfficerArt])</f>
        <v>53</v>
      </c>
      <c r="AL56" s="430">
        <v>7.744017E8</v>
      </c>
      <c r="AM56" s="430">
        <f t="array" ref="AM56">XLOOKUP(LCARS_Off[AbilityID],RawOfficer[AbilityID],RawOfficer[Default Order])</f>
        <v>53</v>
      </c>
    </row>
    <row r="57">
      <c r="A57" s="429" t="str">
        <f t="array" ref="A57">LEFT(XLOOKUP(LCARS_Off[AbilityID],RawOfficer[AbilityID],RawOfficer[OfficerRarity]), 1)</f>
        <v>C</v>
      </c>
      <c r="B57" s="429"/>
      <c r="C57" s="514" t="str">
        <f t="array" ref="C57">HYPERLINK("https://stfc.space/officers/" &amp; XLOOKUP(LCARS_Off[AbilityID],RawOfficer[AbilityID],RawOfficer[OfficerId]), XLOOKUP(LCARS_Off[AbilityID],RawOfficer[AbilityID],RawOfficer[OfficerName]))</f>
        <v>HELVIA</v>
      </c>
      <c r="D57" s="515" t="str">
        <f t="array" ref="D57">XLOOKUP(LCARS_Off[AbilityID],RawOfficer[AbilityID],RawOfficer[AbilityType])</f>
        <v>OA</v>
      </c>
      <c r="E57" s="516" t="str">
        <f t="array" ref="E57">XLOOKUP(LCARS_Off[AbilityID],RawOfficer[AbilityID],RawOfficer[Tag_PvPinSpace])</f>
        <v>➖</v>
      </c>
      <c r="F57" s="516" t="str">
        <f t="array" ref="F57">XLOOKUP(LCARS_Off[AbilityID],RawOfficer[AbilityID],RawOfficer[Tag_PvPStation])</f>
        <v>➖</v>
      </c>
      <c r="G57" s="516" t="str">
        <f t="array" ref="G57">XLOOKUP(LCARS_Off[AbilityID],RawOfficer[AbilityID],RawOfficer[Tag_NonArmadaHostiles])</f>
        <v>➖</v>
      </c>
      <c r="H57" s="516" t="str">
        <f t="array" ref="H57">XLOOKUP(LCARS_Off[AbilityID],RawOfficer[AbilityID],RawOfficer[Tag_WaveDefense])</f>
        <v>➖</v>
      </c>
      <c r="I57" s="516" t="str">
        <f t="array" ref="I57">XLOOKUP(LCARS_Off[AbilityID],RawOfficer[AbilityID],RawOfficer[Tag_QTrial])</f>
        <v>➖</v>
      </c>
      <c r="J57" s="516" t="str">
        <f t="array" ref="J57">XLOOKUP(LCARS_Off[AbilityID],RawOfficer[AbilityID],RawOfficer[Tag_MissionBosses])</f>
        <v>➖</v>
      </c>
      <c r="K57" s="516" t="str">
        <f t="array" ref="K57">XLOOKUP(LCARS_Off[AbilityID],RawOfficer[AbilityID],RawOfficer[Tag_GroupArmadas])</f>
        <v>➖</v>
      </c>
      <c r="L57" s="516" t="str">
        <f t="array" ref="L57">XLOOKUP(LCARS_Off[AbilityID],RawOfficer[AbilityID],RawOfficer[Tag_SoloArmadas])</f>
        <v>➖</v>
      </c>
      <c r="M57" s="516" t="str">
        <f t="array" ref="M57">XLOOKUP(LCARS_Off[AbilityID],RawOfficer[AbilityID],RawOfficer[Tag_InvadingEntities])</f>
        <v>➖</v>
      </c>
      <c r="N57" s="516" t="str">
        <f t="array" ref="N57">XLOOKUP(LCARS_Off[AbilityID],RawOfficer[AbilityID],RawOfficer[Tag_Assaults])</f>
        <v>➖</v>
      </c>
      <c r="O57" s="516" t="str">
        <f t="array" ref="O57">XLOOKUP(LCARS_Off[AbilityID],RawOfficer[AbilityID],RawOfficer[Tag_OutpostArmadas])</f>
        <v>➖</v>
      </c>
      <c r="P57" s="516" t="str">
        <f t="array" ref="P57">XLOOKUP(LCARS_Off[AbilityID],RawOfficer[AbilityID],RawOfficer[Tag_OutpostRetaliators])</f>
        <v>➖</v>
      </c>
      <c r="Q57" s="517" t="str">
        <f t="array" ref="Q57">XLOOKUP(LCARS_Off[AbilityID],RawOfficer[AbilityID],RawOfficer[Conditional_Reason])</f>
        <v/>
      </c>
      <c r="R57" s="518" t="str">
        <f t="array" ref="R57">XLOOKUP(LCARS_Off[AbilityID],RawOfficer[AbilityID],RawOfficer[Tag_Loot])</f>
        <v>➖</v>
      </c>
      <c r="S57" s="516" t="str">
        <f t="array" ref="S57">XLOOKUP(LCARS_Off[AbilityID],RawOfficer[AbilityID],RawOfficer[Tag_Utility])</f>
        <v>✅</v>
      </c>
      <c r="T57" s="429" t="str">
        <f t="array" ref="T57">XLOOKUP(LCARS_Off[AbilityID],RawOfficer[AbilityID],RawOfficer[OfficerSynergy])</f>
        <v>SURVEYORS &amp; MINERS</v>
      </c>
      <c r="U57" s="519" t="str">
        <f t="array" ref="U57">XLOOKUP(LCARS_Off[AbilityID],RawOfficer[AbilityID],RawOfficer[AbilityModifier])</f>
        <v>WarpSpeed</v>
      </c>
      <c r="V57" s="519" t="str">
        <f t="array" ref="V57">XLOOKUP(LCARS_Off[AbilityID],RawOfficer[AbilityID],RawOfficer[AbilityAttributes])</f>
        <v/>
      </c>
      <c r="W57" s="520" t="str">
        <f t="array" ref="W57">XLOOKUP(LCARS_Off[AbilityID],RawOfficer[AbilityID],RawOfficer[AbilityConditions])</f>
        <v>CargoEmpty</v>
      </c>
      <c r="X57" s="519" t="str">
        <f t="array" ref="X57">XLOOKUP(LCARS_Off[AbilityID],RawOfficer[AbilityID],RawOfficer[AbilityTrigger])</f>
        <v>ShipLaunched</v>
      </c>
      <c r="Y57" s="519" t="str">
        <f t="array" ref="Y57">XLOOKUP(LCARS_Off[AbilityID],RawOfficer[AbilityID],RawOfficer[AbilityTarget])</f>
        <v>SelfShip</v>
      </c>
      <c r="Z57" s="519" t="str">
        <f t="array" ref="Z57">XLOOKUP(LCARS_Off[AbilityID],RawOfficer[AbilityID],RawOfficer[AbilityOperation])</f>
        <v>MultiplyAdd</v>
      </c>
      <c r="AA57" s="521" t="str">
        <f t="array" ref="AA57">XLOOKUP(LCARS_Off[AbilityID],RawOfficer[AbilityID],RawOfficer[AbilityDescription])</f>
        <v>As long as the Cargo of the ship is empty, Helvia increases its Warp speed by X.</v>
      </c>
      <c r="AB57" s="429" t="b">
        <v>0</v>
      </c>
      <c r="AC57" s="522" t="str">
        <f t="array" ref="AC57">XLOOKUP(LCARS_Off[AbilityID],RawOfficer[AbilityID],RawOfficer[AbilityDescriptionShort])</f>
        <v>+X to Warp speed when the Cargo is empty</v>
      </c>
      <c r="AD57" s="523"/>
      <c r="AE57" s="524"/>
      <c r="AF57" s="524"/>
      <c r="AG57" s="525" t="str">
        <f t="array" ref="AG57">XLOOKUP(LCARS_Off[AbilityID],RawOfficer[AbilityID],RawOfficer[AbilityChances])</f>
        <v>1.0, 1.0, 1.0, 1.0, 1.0</v>
      </c>
      <c r="AH57" s="525" t="str">
        <f t="array" ref="AH57">XLOOKUP(LCARS_Off[AbilityID],RawOfficer[AbilityID],RawOfficer[AbilityValues])</f>
        <v>0.25, 0.5, 0.75, 1.0, 1.25</v>
      </c>
      <c r="AI57" s="428" t="b">
        <f t="array" ref="AI57">XLOOKUP(LCARS_Off[AbilityID],RawOfficer[AbilityID],RawOfficer[AbilityHasChance])</f>
        <v>0</v>
      </c>
      <c r="AJ57" s="428" t="b">
        <f t="array" ref="AJ57">XLOOKUP(LCARS_Off[AbilityID],RawOfficer[AbilityID],RawOfficer[AbilityShowPercentage])</f>
        <v>1</v>
      </c>
      <c r="AK57" s="429">
        <f t="array" ref="AK57">XLOOKUP(LCARS_Off[AbilityID],RawOfficer[AbilityID],RawOfficer[OfficerArt])</f>
        <v>53</v>
      </c>
      <c r="AL57" s="430">
        <v>2.541405785E9</v>
      </c>
      <c r="AM57" s="430">
        <f t="array" ref="AM57">XLOOKUP(LCARS_Off[AbilityID],RawOfficer[AbilityID],RawOfficer[Default Order])</f>
        <v>54</v>
      </c>
    </row>
    <row r="58">
      <c r="A58" s="429" t="str">
        <f t="array" ref="A58">LEFT(XLOOKUP(LCARS_Off[AbilityID],RawOfficer[AbilityID],RawOfficer[OfficerRarity]), 1)</f>
        <v>U</v>
      </c>
      <c r="B58" s="429"/>
      <c r="C58" s="514" t="str">
        <f t="array" ref="C58">HYPERLINK("https://stfc.space/officers/" &amp; XLOOKUP(LCARS_Off[AbilityID],RawOfficer[AbilityID],RawOfficer[OfficerId]), XLOOKUP(LCARS_Off[AbilityID],RawOfficer[AbilityID],RawOfficer[OfficerName]))</f>
        <v>GONZALES</v>
      </c>
      <c r="D58" s="515" t="str">
        <f t="array" ref="D58">XLOOKUP(LCARS_Off[AbilityID],RawOfficer[AbilityID],RawOfficer[AbilityType])</f>
        <v>CM</v>
      </c>
      <c r="E58" s="516" t="str">
        <f t="array" ref="E58">XLOOKUP(LCARS_Off[AbilityID],RawOfficer[AbilityID],RawOfficer[Tag_PvPinSpace])</f>
        <v>➖</v>
      </c>
      <c r="F58" s="516" t="str">
        <f t="array" ref="F58">XLOOKUP(LCARS_Off[AbilityID],RawOfficer[AbilityID],RawOfficer[Tag_PvPStation])</f>
        <v>➖</v>
      </c>
      <c r="G58" s="516" t="str">
        <f t="array" ref="G58">XLOOKUP(LCARS_Off[AbilityID],RawOfficer[AbilityID],RawOfficer[Tag_NonArmadaHostiles])</f>
        <v>✅</v>
      </c>
      <c r="H58" s="516" t="str">
        <f t="array" ref="H58">XLOOKUP(LCARS_Off[AbilityID],RawOfficer[AbilityID],RawOfficer[Tag_WaveDefense])</f>
        <v>✅</v>
      </c>
      <c r="I58" s="516" t="str">
        <f t="array" ref="I58">XLOOKUP(LCARS_Off[AbilityID],RawOfficer[AbilityID],RawOfficer[Tag_QTrial])</f>
        <v>✅</v>
      </c>
      <c r="J58" s="516" t="str">
        <f t="array" ref="J58">XLOOKUP(LCARS_Off[AbilityID],RawOfficer[AbilityID],RawOfficer[Tag_MissionBosses])</f>
        <v>➖</v>
      </c>
      <c r="K58" s="516" t="str">
        <f t="array" ref="K58">XLOOKUP(LCARS_Off[AbilityID],RawOfficer[AbilityID],RawOfficer[Tag_GroupArmadas])</f>
        <v>✅</v>
      </c>
      <c r="L58" s="516" t="str">
        <f t="array" ref="L58">XLOOKUP(LCARS_Off[AbilityID],RawOfficer[AbilityID],RawOfficer[Tag_SoloArmadas])</f>
        <v>✅</v>
      </c>
      <c r="M58" s="516" t="str">
        <f t="array" ref="M58">XLOOKUP(LCARS_Off[AbilityID],RawOfficer[AbilityID],RawOfficer[Tag_InvadingEntities])</f>
        <v>✅</v>
      </c>
      <c r="N58" s="516" t="str">
        <f t="array" ref="N58">XLOOKUP(LCARS_Off[AbilityID],RawOfficer[AbilityID],RawOfficer[Tag_Assaults])</f>
        <v>➖</v>
      </c>
      <c r="O58" s="516" t="str">
        <f t="array" ref="O58">XLOOKUP(LCARS_Off[AbilityID],RawOfficer[AbilityID],RawOfficer[Tag_OutpostArmadas])</f>
        <v>➖</v>
      </c>
      <c r="P58" s="516" t="str">
        <f t="array" ref="P58">XLOOKUP(LCARS_Off[AbilityID],RawOfficer[AbilityID],RawOfficer[Tag_OutpostRetaliators])</f>
        <v>➖</v>
      </c>
      <c r="Q58" s="517" t="str">
        <f t="array" ref="Q58">XLOOKUP(LCARS_Off[AbilityID],RawOfficer[AbilityID],RawOfficer[Conditional_Reason])</f>
        <v/>
      </c>
      <c r="R58" s="518" t="str">
        <f t="array" ref="R58">XLOOKUP(LCARS_Off[AbilityID],RawOfficer[AbilityID],RawOfficer[Tag_Loot])</f>
        <v>➖</v>
      </c>
      <c r="S58" s="516" t="str">
        <f t="array" ref="S58">XLOOKUP(LCARS_Off[AbilityID],RawOfficer[AbilityID],RawOfficer[Tag_Utility])</f>
        <v>➖</v>
      </c>
      <c r="T58" s="429" t="str">
        <f t="array" ref="T58">XLOOKUP(LCARS_Off[AbilityID],RawOfficer[AbilityID],RawOfficer[OfficerSynergy])</f>
        <v>STARFLEET ACADEMY</v>
      </c>
      <c r="U58" s="519" t="str">
        <f t="array" ref="U58">XLOOKUP(LCARS_Off[AbilityID],RawOfficer[AbilityID],RawOfficer[AbilityModifier])</f>
        <v>CritChance</v>
      </c>
      <c r="V58" s="519" t="str">
        <f t="array" ref="V58">XLOOKUP(LCARS_Off[AbilityID],RawOfficer[AbilityID],RawOfficer[AbilityAttributes])</f>
        <v/>
      </c>
      <c r="W58" s="520" t="str">
        <f t="array" ref="W58">XLOOKUP(LCARS_Off[AbilityID],RawOfficer[AbilityID],RawOfficer[AbilityConditions])</f>
        <v>EnemyHostile</v>
      </c>
      <c r="X58" s="519" t="str">
        <f t="array" ref="X58">XLOOKUP(LCARS_Off[AbilityID],RawOfficer[AbilityID],RawOfficer[AbilityTrigger])</f>
        <v>CombatStart</v>
      </c>
      <c r="Y58" s="519" t="str">
        <f t="array" ref="Y58">XLOOKUP(LCARS_Off[AbilityID],RawOfficer[AbilityID],RawOfficer[AbilityTarget])</f>
        <v>SelfShip</v>
      </c>
      <c r="Z58" s="519" t="str">
        <f t="array" ref="Z58">XLOOKUP(LCARS_Off[AbilityID],RawOfficer[AbilityID],RawOfficer[AbilityOperation])</f>
        <v>Add</v>
      </c>
      <c r="AA58" s="521" t="str">
        <f t="array" ref="AA58">XLOOKUP(LCARS_Off[AbilityID],RawOfficer[AbilityID],RawOfficer[AbilityDescription])</f>
        <v>If the opponent is a Hostile, Gonzales increases the chances of dealing a Critical Hit by X.</v>
      </c>
      <c r="AB58" s="429" t="b">
        <v>0</v>
      </c>
      <c r="AC58" s="522" t="str">
        <f t="array" ref="AC58">XLOOKUP(LCARS_Off[AbilityID],RawOfficer[AbilityID],RawOfficer[AbilityDescriptionShort])</f>
        <v>+X to Critical chance against Hostiles</v>
      </c>
      <c r="AD58" s="523"/>
      <c r="AE58" s="524"/>
      <c r="AF58" s="524"/>
      <c r="AG58" s="525" t="str">
        <f t="array" ref="AG58">XLOOKUP(LCARS_Off[AbilityID],RawOfficer[AbilityID],RawOfficer[AbilityChances])</f>
        <v>1.0, 1.0, 1.0</v>
      </c>
      <c r="AH58" s="525" t="str">
        <f t="array" ref="AH58">XLOOKUP(LCARS_Off[AbilityID],RawOfficer[AbilityID],RawOfficer[AbilityValues])</f>
        <v>0.08, 0.01, 0.02</v>
      </c>
      <c r="AI58" s="428" t="b">
        <f t="array" ref="AI58">XLOOKUP(LCARS_Off[AbilityID],RawOfficer[AbilityID],RawOfficer[AbilityHasChance])</f>
        <v>0</v>
      </c>
      <c r="AJ58" s="428" t="b">
        <f t="array" ref="AJ58">XLOOKUP(LCARS_Off[AbilityID],RawOfficer[AbilityID],RawOfficer[AbilityShowPercentage])</f>
        <v>1</v>
      </c>
      <c r="AK58" s="429">
        <f t="array" ref="AK58">XLOOKUP(LCARS_Off[AbilityID],RawOfficer[AbilityID],RawOfficer[OfficerArt])</f>
        <v>70</v>
      </c>
      <c r="AL58" s="430">
        <v>2.126712571E9</v>
      </c>
      <c r="AM58" s="430">
        <f t="array" ref="AM58">XLOOKUP(LCARS_Off[AbilityID],RawOfficer[AbilityID],RawOfficer[Default Order])</f>
        <v>55</v>
      </c>
    </row>
    <row r="59">
      <c r="A59" s="429" t="str">
        <f t="array" ref="A59">LEFT(XLOOKUP(LCARS_Off[AbilityID],RawOfficer[AbilityID],RawOfficer[OfficerRarity]), 1)</f>
        <v>U</v>
      </c>
      <c r="B59" s="429"/>
      <c r="C59" s="514" t="str">
        <f t="array" ref="C59">HYPERLINK("https://stfc.space/officers/" &amp; XLOOKUP(LCARS_Off[AbilityID],RawOfficer[AbilityID],RawOfficer[OfficerId]), XLOOKUP(LCARS_Off[AbilityID],RawOfficer[AbilityID],RawOfficer[OfficerName]))</f>
        <v>GONZALES</v>
      </c>
      <c r="D59" s="515" t="str">
        <f t="array" ref="D59">XLOOKUP(LCARS_Off[AbilityID],RawOfficer[AbilityID],RawOfficer[AbilityType])</f>
        <v>OA</v>
      </c>
      <c r="E59" s="516" t="str">
        <f t="array" ref="E59">XLOOKUP(LCARS_Off[AbilityID],RawOfficer[AbilityID],RawOfficer[Tag_PvPinSpace])</f>
        <v>➖</v>
      </c>
      <c r="F59" s="516" t="str">
        <f t="array" ref="F59">XLOOKUP(LCARS_Off[AbilityID],RawOfficer[AbilityID],RawOfficer[Tag_PvPStation])</f>
        <v>➖</v>
      </c>
      <c r="G59" s="516" t="str">
        <f t="array" ref="G59">XLOOKUP(LCARS_Off[AbilityID],RawOfficer[AbilityID],RawOfficer[Tag_NonArmadaHostiles])</f>
        <v>✅</v>
      </c>
      <c r="H59" s="516" t="str">
        <f t="array" ref="H59">XLOOKUP(LCARS_Off[AbilityID],RawOfficer[AbilityID],RawOfficer[Tag_WaveDefense])</f>
        <v>✅</v>
      </c>
      <c r="I59" s="516" t="str">
        <f t="array" ref="I59">XLOOKUP(LCARS_Off[AbilityID],RawOfficer[AbilityID],RawOfficer[Tag_QTrial])</f>
        <v>✅</v>
      </c>
      <c r="J59" s="516" t="str">
        <f t="array" ref="J59">XLOOKUP(LCARS_Off[AbilityID],RawOfficer[AbilityID],RawOfficer[Tag_MissionBosses])</f>
        <v>➖</v>
      </c>
      <c r="K59" s="516" t="str">
        <f t="array" ref="K59">XLOOKUP(LCARS_Off[AbilityID],RawOfficer[AbilityID],RawOfficer[Tag_GroupArmadas])</f>
        <v>✅</v>
      </c>
      <c r="L59" s="516" t="str">
        <f t="array" ref="L59">XLOOKUP(LCARS_Off[AbilityID],RawOfficer[AbilityID],RawOfficer[Tag_SoloArmadas])</f>
        <v>✅</v>
      </c>
      <c r="M59" s="516" t="str">
        <f t="array" ref="M59">XLOOKUP(LCARS_Off[AbilityID],RawOfficer[AbilityID],RawOfficer[Tag_InvadingEntities])</f>
        <v>✅</v>
      </c>
      <c r="N59" s="516" t="str">
        <f t="array" ref="N59">XLOOKUP(LCARS_Off[AbilityID],RawOfficer[AbilityID],RawOfficer[Tag_Assaults])</f>
        <v>➖</v>
      </c>
      <c r="O59" s="516" t="str">
        <f t="array" ref="O59">XLOOKUP(LCARS_Off[AbilityID],RawOfficer[AbilityID],RawOfficer[Tag_OutpostArmadas])</f>
        <v>➖</v>
      </c>
      <c r="P59" s="516" t="str">
        <f t="array" ref="P59">XLOOKUP(LCARS_Off[AbilityID],RawOfficer[AbilityID],RawOfficer[Tag_OutpostRetaliators])</f>
        <v>➖</v>
      </c>
      <c r="Q59" s="517" t="str">
        <f t="array" ref="Q59">XLOOKUP(LCARS_Off[AbilityID],RawOfficer[AbilityID],RawOfficer[Conditional_Reason])</f>
        <v/>
      </c>
      <c r="R59" s="518" t="str">
        <f t="array" ref="R59">XLOOKUP(LCARS_Off[AbilityID],RawOfficer[AbilityID],RawOfficer[Tag_Loot])</f>
        <v>➖</v>
      </c>
      <c r="S59" s="516" t="str">
        <f t="array" ref="S59">XLOOKUP(LCARS_Off[AbilityID],RawOfficer[AbilityID],RawOfficer[Tag_Utility])</f>
        <v>➖</v>
      </c>
      <c r="T59" s="429" t="str">
        <f t="array" ref="T59">XLOOKUP(LCARS_Off[AbilityID],RawOfficer[AbilityID],RawOfficer[OfficerSynergy])</f>
        <v>STARFLEET ACADEMY</v>
      </c>
      <c r="U59" s="519" t="str">
        <f t="array" ref="U59">XLOOKUP(LCARS_Off[AbilityID],RawOfficer[AbilityID],RawOfficer[AbilityModifier])</f>
        <v>CritDamage</v>
      </c>
      <c r="V59" s="519" t="str">
        <f t="array" ref="V59">XLOOKUP(LCARS_Off[AbilityID],RawOfficer[AbilityID],RawOfficer[AbilityAttributes])</f>
        <v/>
      </c>
      <c r="W59" s="520" t="str">
        <f t="array" ref="W59">XLOOKUP(LCARS_Off[AbilityID],RawOfficer[AbilityID],RawOfficer[AbilityConditions])</f>
        <v>EnemyHostile</v>
      </c>
      <c r="X59" s="519" t="str">
        <f t="array" ref="X59">XLOOKUP(LCARS_Off[AbilityID],RawOfficer[AbilityID],RawOfficer[AbilityTrigger])</f>
        <v>CombatStart</v>
      </c>
      <c r="Y59" s="519" t="str">
        <f t="array" ref="Y59">XLOOKUP(LCARS_Off[AbilityID],RawOfficer[AbilityID],RawOfficer[AbilityTarget])</f>
        <v>SelfShip</v>
      </c>
      <c r="Z59" s="519" t="str">
        <f t="array" ref="Z59">XLOOKUP(LCARS_Off[AbilityID],RawOfficer[AbilityID],RawOfficer[AbilityOperation])</f>
        <v>Add</v>
      </c>
      <c r="AA59" s="521" t="str">
        <f t="array" ref="AA59">XLOOKUP(LCARS_Off[AbilityID],RawOfficer[AbilityID],RawOfficer[AbilityDescription])</f>
        <v>If the opponent is a Hostile, Gonzales increases the damage of Critical Hits by X.</v>
      </c>
      <c r="AB59" s="429" t="b">
        <v>0</v>
      </c>
      <c r="AC59" s="522" t="str">
        <f t="array" ref="AC59">XLOOKUP(LCARS_Off[AbilityID],RawOfficer[AbilityID],RawOfficer[AbilityDescriptionShort])</f>
        <v>+X to Critical Hit Damage against Hostiles</v>
      </c>
      <c r="AD59" s="523"/>
      <c r="AE59" s="524"/>
      <c r="AF59" s="524"/>
      <c r="AG59" s="525" t="str">
        <f t="array" ref="AG59">XLOOKUP(LCARS_Off[AbilityID],RawOfficer[AbilityID],RawOfficer[AbilityChances])</f>
        <v>1.0, 1.0, 1.0, 1.0, 1.0</v>
      </c>
      <c r="AH59" s="525" t="str">
        <f t="array" ref="AH59">XLOOKUP(LCARS_Off[AbilityID],RawOfficer[AbilityID],RawOfficer[AbilityValues])</f>
        <v>0.05, 0.1, 0.15, 0.2, 0.3</v>
      </c>
      <c r="AI59" s="428" t="b">
        <f t="array" ref="AI59">XLOOKUP(LCARS_Off[AbilityID],RawOfficer[AbilityID],RawOfficer[AbilityHasChance])</f>
        <v>0</v>
      </c>
      <c r="AJ59" s="428" t="b">
        <f t="array" ref="AJ59">XLOOKUP(LCARS_Off[AbilityID],RawOfficer[AbilityID],RawOfficer[AbilityShowPercentage])</f>
        <v>1</v>
      </c>
      <c r="AK59" s="429">
        <f t="array" ref="AK59">XLOOKUP(LCARS_Off[AbilityID],RawOfficer[AbilityID],RawOfficer[OfficerArt])</f>
        <v>70</v>
      </c>
      <c r="AL59" s="430">
        <v>3.59740833E9</v>
      </c>
      <c r="AM59" s="430">
        <f t="array" ref="AM59">XLOOKUP(LCARS_Off[AbilityID],RawOfficer[AbilityID],RawOfficer[Default Order])</f>
        <v>56</v>
      </c>
    </row>
    <row r="60">
      <c r="A60" s="429" t="str">
        <f t="array" ref="A60">LEFT(XLOOKUP(LCARS_Off[AbilityID],RawOfficer[AbilityID],RawOfficer[OfficerRarity]), 1)</f>
        <v>U</v>
      </c>
      <c r="B60" s="429"/>
      <c r="C60" s="514" t="str">
        <f t="array" ref="C60">HYPERLINK("https://stfc.space/officers/" &amp; XLOOKUP(LCARS_Off[AbilityID],RawOfficer[AbilityID],RawOfficer[OfficerId]), XLOOKUP(LCARS_Off[AbilityID],RawOfficer[AbilityID],RawOfficer[OfficerName]))</f>
        <v>CHEN</v>
      </c>
      <c r="D60" s="515" t="str">
        <f t="array" ref="D60">XLOOKUP(LCARS_Off[AbilityID],RawOfficer[AbilityID],RawOfficer[AbilityType])</f>
        <v>CM</v>
      </c>
      <c r="E60" s="516" t="str">
        <f t="array" ref="E60">XLOOKUP(LCARS_Off[AbilityID],RawOfficer[AbilityID],RawOfficer[Tag_PvPinSpace])</f>
        <v>➖</v>
      </c>
      <c r="F60" s="516" t="str">
        <f t="array" ref="F60">XLOOKUP(LCARS_Off[AbilityID],RawOfficer[AbilityID],RawOfficer[Tag_PvPStation])</f>
        <v>➖</v>
      </c>
      <c r="G60" s="516" t="str">
        <f t="array" ref="G60">XLOOKUP(LCARS_Off[AbilityID],RawOfficer[AbilityID],RawOfficer[Tag_NonArmadaHostiles])</f>
        <v>✴️</v>
      </c>
      <c r="H60" s="516" t="str">
        <f t="array" ref="H60">XLOOKUP(LCARS_Off[AbilityID],RawOfficer[AbilityID],RawOfficer[Tag_WaveDefense])</f>
        <v>✴️</v>
      </c>
      <c r="I60" s="516" t="str">
        <f t="array" ref="I60">XLOOKUP(LCARS_Off[AbilityID],RawOfficer[AbilityID],RawOfficer[Tag_QTrial])</f>
        <v>✴️</v>
      </c>
      <c r="J60" s="516" t="str">
        <f t="array" ref="J60">XLOOKUP(LCARS_Off[AbilityID],RawOfficer[AbilityID],RawOfficer[Tag_MissionBosses])</f>
        <v>➖</v>
      </c>
      <c r="K60" s="516" t="str">
        <f t="array" ref="K60">XLOOKUP(LCARS_Off[AbilityID],RawOfficer[AbilityID],RawOfficer[Tag_GroupArmadas])</f>
        <v>✴️</v>
      </c>
      <c r="L60" s="516" t="str">
        <f t="array" ref="L60">XLOOKUP(LCARS_Off[AbilityID],RawOfficer[AbilityID],RawOfficer[Tag_SoloArmadas])</f>
        <v>✴️</v>
      </c>
      <c r="M60" s="516" t="str">
        <f t="array" ref="M60">XLOOKUP(LCARS_Off[AbilityID],RawOfficer[AbilityID],RawOfficer[Tag_InvadingEntities])</f>
        <v>✴️</v>
      </c>
      <c r="N60" s="516" t="str">
        <f t="array" ref="N60">XLOOKUP(LCARS_Off[AbilityID],RawOfficer[AbilityID],RawOfficer[Tag_Assaults])</f>
        <v>➖</v>
      </c>
      <c r="O60" s="516" t="str">
        <f t="array" ref="O60">XLOOKUP(LCARS_Off[AbilityID],RawOfficer[AbilityID],RawOfficer[Tag_OutpostArmadas])</f>
        <v>➖</v>
      </c>
      <c r="P60" s="516" t="str">
        <f t="array" ref="P60">XLOOKUP(LCARS_Off[AbilityID],RawOfficer[AbilityID],RawOfficer[Tag_OutpostRetaliators])</f>
        <v>➖</v>
      </c>
      <c r="Q60" s="517" t="str">
        <f t="array" ref="Q60">XLOOKUP(LCARS_Off[AbilityID],RawOfficer[AbilityID],RawOfficer[Conditional_Reason])</f>
        <v>target level 51 or under</v>
      </c>
      <c r="R60" s="518" t="str">
        <f t="array" ref="R60">XLOOKUP(LCARS_Off[AbilityID],RawOfficer[AbilityID],RawOfficer[Tag_Loot])</f>
        <v>➖</v>
      </c>
      <c r="S60" s="516" t="str">
        <f t="array" ref="S60">XLOOKUP(LCARS_Off[AbilityID],RawOfficer[AbilityID],RawOfficer[Tag_Utility])</f>
        <v>➖</v>
      </c>
      <c r="T60" s="429" t="str">
        <f t="array" ref="T60">XLOOKUP(LCARS_Off[AbilityID],RawOfficer[AbilityID],RawOfficer[OfficerSynergy])</f>
        <v>STARFLEET ACADEMY</v>
      </c>
      <c r="U60" s="519" t="str">
        <f t="array" ref="U60">XLOOKUP(LCARS_Off[AbilityID],RawOfficer[AbilityID],RawOfficer[AbilityModifier])</f>
        <v>AllDefenses</v>
      </c>
      <c r="V60" s="519" t="str">
        <f t="array" ref="V60">XLOOKUP(LCARS_Off[AbilityID],RawOfficer[AbilityID],RawOfficer[AbilityAttributes])</f>
        <v>max_level=51</v>
      </c>
      <c r="W60" s="520" t="str">
        <f t="array" ref="W60">XLOOKUP(LCARS_Off[AbilityID],RawOfficer[AbilityID],RawOfficer[AbilityConditions])</f>
        <v>TargetMaxLevel, EnemyHostile</v>
      </c>
      <c r="X60" s="519" t="str">
        <f t="array" ref="X60">XLOOKUP(LCARS_Off[AbilityID],RawOfficer[AbilityID],RawOfficer[AbilityTrigger])</f>
        <v>CombatStart</v>
      </c>
      <c r="Y60" s="519" t="str">
        <f t="array" ref="Y60">XLOOKUP(LCARS_Off[AbilityID],RawOfficer[AbilityID],RawOfficer[AbilityTarget])</f>
        <v>SelfShip</v>
      </c>
      <c r="Z60" s="519" t="str">
        <f t="array" ref="Z60">XLOOKUP(LCARS_Off[AbilityID],RawOfficer[AbilityID],RawOfficer[AbilityOperation])</f>
        <v>MultiplyAdd</v>
      </c>
      <c r="AA60" s="521" t="str">
        <f t="array" ref="AA60">XLOOKUP(LCARS_Off[AbilityID],RawOfficer[AbilityID],RawOfficer[AbilityDescription])</f>
        <v>Chen increases the Dodge, Shield Deflection and Armor of the ship by X against Hostiles. Works against Hostiles of level 51 and under.</v>
      </c>
      <c r="AB60" s="429" t="b">
        <v>0</v>
      </c>
      <c r="AC60" s="522" t="str">
        <f t="array" ref="AC60">XLOOKUP(LCARS_Off[AbilityID],RawOfficer[AbilityID],RawOfficer[AbilityDescriptionShort])</f>
        <v>+X to the Dodge, Shield Deflection and Armor of the ship against Hostiles</v>
      </c>
      <c r="AD60" s="523"/>
      <c r="AE60" s="524"/>
      <c r="AF60" s="524"/>
      <c r="AG60" s="525" t="str">
        <f t="array" ref="AG60">XLOOKUP(LCARS_Off[AbilityID],RawOfficer[AbilityID],RawOfficer[AbilityChances])</f>
        <v>1.0, 1.0, 1.0</v>
      </c>
      <c r="AH60" s="525" t="str">
        <f t="array" ref="AH60">XLOOKUP(LCARS_Off[AbilityID],RawOfficer[AbilityID],RawOfficer[AbilityValues])</f>
        <v>0.2, 0.1, 0.15</v>
      </c>
      <c r="AI60" s="428" t="b">
        <f t="array" ref="AI60">XLOOKUP(LCARS_Off[AbilityID],RawOfficer[AbilityID],RawOfficer[AbilityHasChance])</f>
        <v>0</v>
      </c>
      <c r="AJ60" s="428" t="b">
        <f t="array" ref="AJ60">XLOOKUP(LCARS_Off[AbilityID],RawOfficer[AbilityID],RawOfficer[AbilityShowPercentage])</f>
        <v>1</v>
      </c>
      <c r="AK60" s="429">
        <f t="array" ref="AK60">XLOOKUP(LCARS_Off[AbilityID],RawOfficer[AbilityID],RawOfficer[OfficerArt])</f>
        <v>71</v>
      </c>
      <c r="AL60" s="430">
        <v>4.019544321E9</v>
      </c>
      <c r="AM60" s="430">
        <f t="array" ref="AM60">XLOOKUP(LCARS_Off[AbilityID],RawOfficer[AbilityID],RawOfficer[Default Order])</f>
        <v>57</v>
      </c>
    </row>
    <row r="61">
      <c r="A61" s="429" t="str">
        <f t="array" ref="A61">LEFT(XLOOKUP(LCARS_Off[AbilityID],RawOfficer[AbilityID],RawOfficer[OfficerRarity]), 1)</f>
        <v>U</v>
      </c>
      <c r="B61" s="429"/>
      <c r="C61" s="514" t="str">
        <f t="array" ref="C61">HYPERLINK("https://stfc.space/officers/" &amp; XLOOKUP(LCARS_Off[AbilityID],RawOfficer[AbilityID],RawOfficer[OfficerId]), XLOOKUP(LCARS_Off[AbilityID],RawOfficer[AbilityID],RawOfficer[OfficerName]))</f>
        <v>CHEN</v>
      </c>
      <c r="D61" s="515" t="str">
        <f t="array" ref="D61">XLOOKUP(LCARS_Off[AbilityID],RawOfficer[AbilityID],RawOfficer[AbilityType])</f>
        <v>OA</v>
      </c>
      <c r="E61" s="516" t="str">
        <f t="array" ref="E61">XLOOKUP(LCARS_Off[AbilityID],RawOfficer[AbilityID],RawOfficer[Tag_PvPinSpace])</f>
        <v>➖</v>
      </c>
      <c r="F61" s="516" t="str">
        <f t="array" ref="F61">XLOOKUP(LCARS_Off[AbilityID],RawOfficer[AbilityID],RawOfficer[Tag_PvPStation])</f>
        <v>➖</v>
      </c>
      <c r="G61" s="516" t="str">
        <f t="array" ref="G61">XLOOKUP(LCARS_Off[AbilityID],RawOfficer[AbilityID],RawOfficer[Tag_NonArmadaHostiles])</f>
        <v>✴️</v>
      </c>
      <c r="H61" s="516" t="str">
        <f t="array" ref="H61">XLOOKUP(LCARS_Off[AbilityID],RawOfficer[AbilityID],RawOfficer[Tag_WaveDefense])</f>
        <v>✴️</v>
      </c>
      <c r="I61" s="516" t="str">
        <f t="array" ref="I61">XLOOKUP(LCARS_Off[AbilityID],RawOfficer[AbilityID],RawOfficer[Tag_QTrial])</f>
        <v>✴️</v>
      </c>
      <c r="J61" s="516" t="str">
        <f t="array" ref="J61">XLOOKUP(LCARS_Off[AbilityID],RawOfficer[AbilityID],RawOfficer[Tag_MissionBosses])</f>
        <v>➖</v>
      </c>
      <c r="K61" s="516" t="str">
        <f t="array" ref="K61">XLOOKUP(LCARS_Off[AbilityID],RawOfficer[AbilityID],RawOfficer[Tag_GroupArmadas])</f>
        <v>➖</v>
      </c>
      <c r="L61" s="516" t="str">
        <f t="array" ref="L61">XLOOKUP(LCARS_Off[AbilityID],RawOfficer[AbilityID],RawOfficer[Tag_SoloArmadas])</f>
        <v>➖</v>
      </c>
      <c r="M61" s="516" t="str">
        <f t="array" ref="M61">XLOOKUP(LCARS_Off[AbilityID],RawOfficer[AbilityID],RawOfficer[Tag_InvadingEntities])</f>
        <v>➖</v>
      </c>
      <c r="N61" s="516" t="str">
        <f t="array" ref="N61">XLOOKUP(LCARS_Off[AbilityID],RawOfficer[AbilityID],RawOfficer[Tag_Assaults])</f>
        <v>➖</v>
      </c>
      <c r="O61" s="516" t="str">
        <f t="array" ref="O61">XLOOKUP(LCARS_Off[AbilityID],RawOfficer[AbilityID],RawOfficer[Tag_OutpostArmadas])</f>
        <v>➖</v>
      </c>
      <c r="P61" s="516" t="str">
        <f t="array" ref="P61">XLOOKUP(LCARS_Off[AbilityID],RawOfficer[AbilityID],RawOfficer[Tag_OutpostRetaliators])</f>
        <v>➖</v>
      </c>
      <c r="Q61" s="517" t="str">
        <f t="array" ref="Q61">XLOOKUP(LCARS_Off[AbilityID],RawOfficer[AbilityID],RawOfficer[Conditional_Reason])</f>
        <v>TargetMaxLevel, ModuleEnergy</v>
      </c>
      <c r="R61" s="518" t="str">
        <f t="array" ref="R61">XLOOKUP(LCARS_Off[AbilityID],RawOfficer[AbilityID],RawOfficer[Tag_Loot])</f>
        <v>➖</v>
      </c>
      <c r="S61" s="516" t="str">
        <f t="array" ref="S61">XLOOKUP(LCARS_Off[AbilityID],RawOfficer[AbilityID],RawOfficer[Tag_Utility])</f>
        <v>➖</v>
      </c>
      <c r="T61" s="429" t="str">
        <f t="array" ref="T61">XLOOKUP(LCARS_Off[AbilityID],RawOfficer[AbilityID],RawOfficer[OfficerSynergy])</f>
        <v>STARFLEET ACADEMY</v>
      </c>
      <c r="U61" s="519" t="str">
        <f t="array" ref="U61">XLOOKUP(LCARS_Off[AbilityID],RawOfficer[AbilityID],RawOfficer[AbilityModifier])</f>
        <v>AllDamage</v>
      </c>
      <c r="V61" s="519" t="str">
        <f t="array" ref="V61">XLOOKUP(LCARS_Off[AbilityID],RawOfficer[AbilityID],RawOfficer[AbilityAttributes])</f>
        <v>max_level=51</v>
      </c>
      <c r="W61" s="520" t="str">
        <f t="array" ref="W61">XLOOKUP(LCARS_Off[AbilityID],RawOfficer[AbilityID],RawOfficer[AbilityConditions])</f>
        <v>TargetMaxLevel, EnemyHostile, TargetNotArmada, ModuleEnergy</v>
      </c>
      <c r="X61" s="519" t="str">
        <f t="array" ref="X61">XLOOKUP(LCARS_Off[AbilityID],RawOfficer[AbilityID],RawOfficer[AbilityTrigger])</f>
        <v>CombatStart</v>
      </c>
      <c r="Y61" s="519" t="str">
        <f t="array" ref="Y61">XLOOKUP(LCARS_Off[AbilityID],RawOfficer[AbilityID],RawOfficer[AbilityTarget])</f>
        <v>EnemyShip</v>
      </c>
      <c r="Z61" s="519" t="str">
        <f t="array" ref="Z61">XLOOKUP(LCARS_Off[AbilityID],RawOfficer[AbilityID],RawOfficer[AbilityOperation])</f>
        <v>MultiplySub</v>
      </c>
      <c r="AA61" s="521" t="str">
        <f t="array" ref="AA61">XLOOKUP(LCARS_Off[AbilityID],RawOfficer[AbilityID],RawOfficer[AbilityDescription])</f>
        <v>If the opponent is a Hostile, Chen decreases the damage done by its Energy Weapons by X. Works against Hostiles of level 51 and under.</v>
      </c>
      <c r="AB61" s="429" t="b">
        <v>0</v>
      </c>
      <c r="AC61" s="522" t="str">
        <f t="array" ref="AC61">XLOOKUP(LCARS_Off[AbilityID],RawOfficer[AbilityID],RawOfficer[AbilityDescriptionShort])</f>
        <v>-X To energy damage dealt by enemy Hostiles</v>
      </c>
      <c r="AD61" s="523"/>
      <c r="AE61" s="524"/>
      <c r="AF61" s="524"/>
      <c r="AG61" s="525" t="str">
        <f t="array" ref="AG61">XLOOKUP(LCARS_Off[AbilityID],RawOfficer[AbilityID],RawOfficer[AbilityChances])</f>
        <v>1.0, 1.0, 1.0, 1.0, 1.0</v>
      </c>
      <c r="AH61" s="525" t="str">
        <f t="array" ref="AH61">XLOOKUP(LCARS_Off[AbilityID],RawOfficer[AbilityID],RawOfficer[AbilityValues])</f>
        <v>0.1, 0.15, 0.2, 0.25, 0.3</v>
      </c>
      <c r="AI61" s="428" t="b">
        <f t="array" ref="AI61">XLOOKUP(LCARS_Off[AbilityID],RawOfficer[AbilityID],RawOfficer[AbilityHasChance])</f>
        <v>0</v>
      </c>
      <c r="AJ61" s="428" t="b">
        <f t="array" ref="AJ61">XLOOKUP(LCARS_Off[AbilityID],RawOfficer[AbilityID],RawOfficer[AbilityShowPercentage])</f>
        <v>1</v>
      </c>
      <c r="AK61" s="429">
        <f t="array" ref="AK61">XLOOKUP(LCARS_Off[AbilityID],RawOfficer[AbilityID],RawOfficer[OfficerArt])</f>
        <v>71</v>
      </c>
      <c r="AL61" s="430">
        <v>4.155292475E9</v>
      </c>
      <c r="AM61" s="430">
        <f t="array" ref="AM61">XLOOKUP(LCARS_Off[AbilityID],RawOfficer[AbilityID],RawOfficer[Default Order])</f>
        <v>58</v>
      </c>
    </row>
    <row r="62">
      <c r="A62" s="429" t="str">
        <f t="array" ref="A62">LEFT(XLOOKUP(LCARS_Off[AbilityID],RawOfficer[AbilityID],RawOfficer[OfficerRarity]), 1)</f>
        <v>C</v>
      </c>
      <c r="B62" s="429"/>
      <c r="C62" s="514" t="str">
        <f t="array" ref="C62">HYPERLINK("https://stfc.space/officers/" &amp; XLOOKUP(LCARS_Off[AbilityID],RawOfficer[AbilityID],RawOfficer[OfficerId]), XLOOKUP(LCARS_Off[AbilityID],RawOfficer[AbilityID],RawOfficer[OfficerName]))</f>
        <v>GAILA</v>
      </c>
      <c r="D62" s="515" t="str">
        <f t="array" ref="D62">XLOOKUP(LCARS_Off[AbilityID],RawOfficer[AbilityID],RawOfficer[AbilityType])</f>
        <v>CM</v>
      </c>
      <c r="E62" s="516" t="str">
        <f t="array" ref="E62">XLOOKUP(LCARS_Off[AbilityID],RawOfficer[AbilityID],RawOfficer[Tag_PvPinSpace])</f>
        <v>✅</v>
      </c>
      <c r="F62" s="516" t="str">
        <f t="array" ref="F62">XLOOKUP(LCARS_Off[AbilityID],RawOfficer[AbilityID],RawOfficer[Tag_PvPStation])</f>
        <v>✅</v>
      </c>
      <c r="G62" s="516" t="str">
        <f t="array" ref="G62">XLOOKUP(LCARS_Off[AbilityID],RawOfficer[AbilityID],RawOfficer[Tag_NonArmadaHostiles])</f>
        <v>✅</v>
      </c>
      <c r="H62" s="516" t="str">
        <f t="array" ref="H62">XLOOKUP(LCARS_Off[AbilityID],RawOfficer[AbilityID],RawOfficer[Tag_WaveDefense])</f>
        <v>✅</v>
      </c>
      <c r="I62" s="516" t="str">
        <f t="array" ref="I62">XLOOKUP(LCARS_Off[AbilityID],RawOfficer[AbilityID],RawOfficer[Tag_QTrial])</f>
        <v>✅</v>
      </c>
      <c r="J62" s="516" t="str">
        <f t="array" ref="J62">XLOOKUP(LCARS_Off[AbilityID],RawOfficer[AbilityID],RawOfficer[Tag_MissionBosses])</f>
        <v>✅</v>
      </c>
      <c r="K62" s="516" t="str">
        <f t="array" ref="K62">XLOOKUP(LCARS_Off[AbilityID],RawOfficer[AbilityID],RawOfficer[Tag_GroupArmadas])</f>
        <v>✅</v>
      </c>
      <c r="L62" s="516" t="str">
        <f t="array" ref="L62">XLOOKUP(LCARS_Off[AbilityID],RawOfficer[AbilityID],RawOfficer[Tag_SoloArmadas])</f>
        <v>✅</v>
      </c>
      <c r="M62" s="516" t="str">
        <f t="array" ref="M62">XLOOKUP(LCARS_Off[AbilityID],RawOfficer[AbilityID],RawOfficer[Tag_InvadingEntities])</f>
        <v>✅</v>
      </c>
      <c r="N62" s="516" t="str">
        <f t="array" ref="N62">XLOOKUP(LCARS_Off[AbilityID],RawOfficer[AbilityID],RawOfficer[Tag_Assaults])</f>
        <v>✅</v>
      </c>
      <c r="O62" s="516" t="str">
        <f t="array" ref="O62">XLOOKUP(LCARS_Off[AbilityID],RawOfficer[AbilityID],RawOfficer[Tag_OutpostArmadas])</f>
        <v>✅</v>
      </c>
      <c r="P62" s="516" t="str">
        <f t="array" ref="P62">XLOOKUP(LCARS_Off[AbilityID],RawOfficer[AbilityID],RawOfficer[Tag_OutpostRetaliators])</f>
        <v>✅</v>
      </c>
      <c r="Q62" s="517" t="str">
        <f t="array" ref="Q62">XLOOKUP(LCARS_Off[AbilityID],RawOfficer[AbilityID],RawOfficer[Conditional_Reason])</f>
        <v/>
      </c>
      <c r="R62" s="518" t="str">
        <f t="array" ref="R62">XLOOKUP(LCARS_Off[AbilityID],RawOfficer[AbilityID],RawOfficer[Tag_Loot])</f>
        <v>➖</v>
      </c>
      <c r="S62" s="516" t="str">
        <f t="array" ref="S62">XLOOKUP(LCARS_Off[AbilityID],RawOfficer[AbilityID],RawOfficer[Tag_Utility])</f>
        <v>➖</v>
      </c>
      <c r="T62" s="429" t="str">
        <f t="array" ref="T62">XLOOKUP(LCARS_Off[AbilityID],RawOfficer[AbilityID],RawOfficer[OfficerSynergy])</f>
        <v>STARFLEET ACADEMY</v>
      </c>
      <c r="U62" s="519" t="str">
        <f t="array" ref="U62">XLOOKUP(LCARS_Off[AbilityID],RawOfficer[AbilityID],RawOfficer[AbilityModifier])</f>
        <v>CombatParsteelReward</v>
      </c>
      <c r="V62" s="519" t="str">
        <f t="array" ref="V62">XLOOKUP(LCARS_Off[AbilityID],RawOfficer[AbilityID],RawOfficer[AbilityAttributes])</f>
        <v/>
      </c>
      <c r="W62" s="520" t="str">
        <f t="array" ref="W62">XLOOKUP(LCARS_Off[AbilityID],RawOfficer[AbilityID],RawOfficer[AbilityConditions])</f>
        <v/>
      </c>
      <c r="X62" s="519" t="str">
        <f t="array" ref="X62">XLOOKUP(LCARS_Off[AbilityID],RawOfficer[AbilityID],RawOfficer[AbilityTrigger])</f>
        <v>ShipLaunched</v>
      </c>
      <c r="Y62" s="519" t="str">
        <f t="array" ref="Y62">XLOOKUP(LCARS_Off[AbilityID],RawOfficer[AbilityID],RawOfficer[AbilityTarget])</f>
        <v>SelfShip</v>
      </c>
      <c r="Z62" s="519" t="str">
        <f t="array" ref="Z62">XLOOKUP(LCARS_Off[AbilityID],RawOfficer[AbilityID],RawOfficer[AbilityOperation])</f>
        <v>MultiplyAdd</v>
      </c>
      <c r="AA62" s="521" t="str">
        <f t="array" ref="AA62">XLOOKUP(LCARS_Off[AbilityID],RawOfficer[AbilityID],RawOfficer[AbilityDescription])</f>
        <v>Gaila increases the Parsteel rewards for defeating a Hostile by X.</v>
      </c>
      <c r="AB62" s="429" t="b">
        <v>0</v>
      </c>
      <c r="AC62" s="522" t="str">
        <f t="array" ref="AC62">XLOOKUP(LCARS_Off[AbilityID],RawOfficer[AbilityID],RawOfficer[AbilityDescriptionShort])</f>
        <v>+X to Parsteel rewards from Hostiles</v>
      </c>
      <c r="AD62" s="523"/>
      <c r="AE62" s="524"/>
      <c r="AF62" s="524"/>
      <c r="AG62" s="525" t="str">
        <f t="array" ref="AG62">XLOOKUP(LCARS_Off[AbilityID],RawOfficer[AbilityID],RawOfficer[AbilityChances])</f>
        <v>1.0, 1.0, 1.0</v>
      </c>
      <c r="AH62" s="525" t="str">
        <f t="array" ref="AH62">XLOOKUP(LCARS_Off[AbilityID],RawOfficer[AbilityID],RawOfficer[AbilityValues])</f>
        <v>0.25, 0.05, 0.1</v>
      </c>
      <c r="AI62" s="428" t="b">
        <f t="array" ref="AI62">XLOOKUP(LCARS_Off[AbilityID],RawOfficer[AbilityID],RawOfficer[AbilityHasChance])</f>
        <v>0</v>
      </c>
      <c r="AJ62" s="428" t="b">
        <f t="array" ref="AJ62">XLOOKUP(LCARS_Off[AbilityID],RawOfficer[AbilityID],RawOfficer[AbilityShowPercentage])</f>
        <v>1</v>
      </c>
      <c r="AK62" s="429">
        <f t="array" ref="AK62">XLOOKUP(LCARS_Off[AbilityID],RawOfficer[AbilityID],RawOfficer[OfficerArt])</f>
        <v>72</v>
      </c>
      <c r="AL62" s="430">
        <v>2.055328539E9</v>
      </c>
      <c r="AM62" s="430">
        <f t="array" ref="AM62">XLOOKUP(LCARS_Off[AbilityID],RawOfficer[AbilityID],RawOfficer[Default Order])</f>
        <v>59</v>
      </c>
    </row>
    <row r="63">
      <c r="A63" s="429" t="str">
        <f t="array" ref="A63">LEFT(XLOOKUP(LCARS_Off[AbilityID],RawOfficer[AbilityID],RawOfficer[OfficerRarity]), 1)</f>
        <v>C</v>
      </c>
      <c r="B63" s="429"/>
      <c r="C63" s="514" t="str">
        <f t="array" ref="C63">HYPERLINK("https://stfc.space/officers/" &amp; XLOOKUP(LCARS_Off[AbilityID],RawOfficer[AbilityID],RawOfficer[OfficerId]), XLOOKUP(LCARS_Off[AbilityID],RawOfficer[AbilityID],RawOfficer[OfficerName]))</f>
        <v>GAILA</v>
      </c>
      <c r="D63" s="515" t="str">
        <f t="array" ref="D63">XLOOKUP(LCARS_Off[AbilityID],RawOfficer[AbilityID],RawOfficer[AbilityType])</f>
        <v>OA</v>
      </c>
      <c r="E63" s="516" t="str">
        <f t="array" ref="E63">XLOOKUP(LCARS_Off[AbilityID],RawOfficer[AbilityID],RawOfficer[Tag_PvPinSpace])</f>
        <v>➖</v>
      </c>
      <c r="F63" s="516" t="str">
        <f t="array" ref="F63">XLOOKUP(LCARS_Off[AbilityID],RawOfficer[AbilityID],RawOfficer[Tag_PvPStation])</f>
        <v>➖</v>
      </c>
      <c r="G63" s="516" t="str">
        <f t="array" ref="G63">XLOOKUP(LCARS_Off[AbilityID],RawOfficer[AbilityID],RawOfficer[Tag_NonArmadaHostiles])</f>
        <v>✴️</v>
      </c>
      <c r="H63" s="516" t="str">
        <f t="array" ref="H63">XLOOKUP(LCARS_Off[AbilityID],RawOfficer[AbilityID],RawOfficer[Tag_WaveDefense])</f>
        <v>✴️</v>
      </c>
      <c r="I63" s="516" t="str">
        <f t="array" ref="I63">XLOOKUP(LCARS_Off[AbilityID],RawOfficer[AbilityID],RawOfficer[Tag_QTrial])</f>
        <v>✴️</v>
      </c>
      <c r="J63" s="516" t="str">
        <f t="array" ref="J63">XLOOKUP(LCARS_Off[AbilityID],RawOfficer[AbilityID],RawOfficer[Tag_MissionBosses])</f>
        <v>➖</v>
      </c>
      <c r="K63" s="516" t="str">
        <f t="array" ref="K63">XLOOKUP(LCARS_Off[AbilityID],RawOfficer[AbilityID],RawOfficer[Tag_GroupArmadas])</f>
        <v>✴️</v>
      </c>
      <c r="L63" s="516" t="str">
        <f t="array" ref="L63">XLOOKUP(LCARS_Off[AbilityID],RawOfficer[AbilityID],RawOfficer[Tag_SoloArmadas])</f>
        <v>✴️</v>
      </c>
      <c r="M63" s="516" t="str">
        <f t="array" ref="M63">XLOOKUP(LCARS_Off[AbilityID],RawOfficer[AbilityID],RawOfficer[Tag_InvadingEntities])</f>
        <v>✴️</v>
      </c>
      <c r="N63" s="516" t="str">
        <f t="array" ref="N63">XLOOKUP(LCARS_Off[AbilityID],RawOfficer[AbilityID],RawOfficer[Tag_Assaults])</f>
        <v>➖</v>
      </c>
      <c r="O63" s="516" t="str">
        <f t="array" ref="O63">XLOOKUP(LCARS_Off[AbilityID],RawOfficer[AbilityID],RawOfficer[Tag_OutpostArmadas])</f>
        <v>➖</v>
      </c>
      <c r="P63" s="516" t="str">
        <f t="array" ref="P63">XLOOKUP(LCARS_Off[AbilityID],RawOfficer[AbilityID],RawOfficer[Tag_OutpostRetaliators])</f>
        <v>➖</v>
      </c>
      <c r="Q63" s="517" t="str">
        <f t="array" ref="Q63">XLOOKUP(LCARS_Off[AbilityID],RawOfficer[AbilityID],RawOfficer[Conditional_Reason])</f>
        <v>target level 70 or under</v>
      </c>
      <c r="R63" s="518" t="str">
        <f t="array" ref="R63">XLOOKUP(LCARS_Off[AbilityID],RawOfficer[AbilityID],RawOfficer[Tag_Loot])</f>
        <v>➖</v>
      </c>
      <c r="S63" s="516" t="str">
        <f t="array" ref="S63">XLOOKUP(LCARS_Off[AbilityID],RawOfficer[AbilityID],RawOfficer[Tag_Utility])</f>
        <v>➖</v>
      </c>
      <c r="T63" s="429" t="str">
        <f t="array" ref="T63">XLOOKUP(LCARS_Off[AbilityID],RawOfficer[AbilityID],RawOfficer[OfficerSynergy])</f>
        <v>STARFLEET ACADEMY</v>
      </c>
      <c r="U63" s="519" t="str">
        <f t="array" ref="U63">XLOOKUP(LCARS_Off[AbilityID],RawOfficer[AbilityID],RawOfficer[AbilityModifier])</f>
        <v>CritDamage</v>
      </c>
      <c r="V63" s="519" t="str">
        <f t="array" ref="V63">XLOOKUP(LCARS_Off[AbilityID],RawOfficer[AbilityID],RawOfficer[AbilityAttributes])</f>
        <v>max_level=70</v>
      </c>
      <c r="W63" s="520" t="str">
        <f t="array" ref="W63">XLOOKUP(LCARS_Off[AbilityID],RawOfficer[AbilityID],RawOfficer[AbilityConditions])</f>
        <v>TargetMaxLevel, EnemyHostile</v>
      </c>
      <c r="X63" s="519" t="str">
        <f t="array" ref="X63">XLOOKUP(LCARS_Off[AbilityID],RawOfficer[AbilityID],RawOfficer[AbilityTrigger])</f>
        <v>CombatStart</v>
      </c>
      <c r="Y63" s="519" t="str">
        <f t="array" ref="Y63">XLOOKUP(LCARS_Off[AbilityID],RawOfficer[AbilityID],RawOfficer[AbilityTarget])</f>
        <v>EnemyShip</v>
      </c>
      <c r="Z63" s="519" t="str">
        <f t="array" ref="Z63">XLOOKUP(LCARS_Off[AbilityID],RawOfficer[AbilityID],RawOfficer[AbilityOperation])</f>
        <v>Sub</v>
      </c>
      <c r="AA63" s="521" t="str">
        <f t="array" ref="AA63">XLOOKUP(LCARS_Off[AbilityID],RawOfficer[AbilityID],RawOfficer[AbilityDescription])</f>
        <v>If the opponent is a Hostile, Gaila decreases the damage from its Critical Hits by X. Works against Hostiles of level 70 and under.</v>
      </c>
      <c r="AB63" s="429" t="b">
        <v>0</v>
      </c>
      <c r="AC63" s="522" t="str">
        <f t="array" ref="AC63">XLOOKUP(LCARS_Off[AbilityID],RawOfficer[AbilityID],RawOfficer[AbilityDescriptionShort])</f>
        <v>-X to Critical Damage from Hostiles</v>
      </c>
      <c r="AD63" s="523"/>
      <c r="AE63" s="524"/>
      <c r="AF63" s="524"/>
      <c r="AG63" s="525" t="str">
        <f t="array" ref="AG63">XLOOKUP(LCARS_Off[AbilityID],RawOfficer[AbilityID],RawOfficer[AbilityChances])</f>
        <v>1.0, 1.0, 1.0, 1.0, 1.0</v>
      </c>
      <c r="AH63" s="525" t="str">
        <f t="array" ref="AH63">XLOOKUP(LCARS_Off[AbilityID],RawOfficer[AbilityID],RawOfficer[AbilityValues])</f>
        <v>0.1, 0.2, 0.3, 0.4, 0.5</v>
      </c>
      <c r="AI63" s="428" t="b">
        <f t="array" ref="AI63">XLOOKUP(LCARS_Off[AbilityID],RawOfficer[AbilityID],RawOfficer[AbilityHasChance])</f>
        <v>0</v>
      </c>
      <c r="AJ63" s="428" t="b">
        <f t="array" ref="AJ63">XLOOKUP(LCARS_Off[AbilityID],RawOfficer[AbilityID],RawOfficer[AbilityShowPercentage])</f>
        <v>1</v>
      </c>
      <c r="AK63" s="429">
        <f t="array" ref="AK63">XLOOKUP(LCARS_Off[AbilityID],RawOfficer[AbilityID],RawOfficer[OfficerArt])</f>
        <v>72</v>
      </c>
      <c r="AL63" s="430">
        <v>2.166644813E9</v>
      </c>
      <c r="AM63" s="430">
        <f t="array" ref="AM63">XLOOKUP(LCARS_Off[AbilityID],RawOfficer[AbilityID],RawOfficer[Default Order])</f>
        <v>60</v>
      </c>
    </row>
    <row r="64">
      <c r="A64" s="429" t="str">
        <f t="array" ref="A64">LEFT(XLOOKUP(LCARS_Off[AbilityID],RawOfficer[AbilityID],RawOfficer[OfficerRarity]), 1)</f>
        <v>C</v>
      </c>
      <c r="B64" s="429"/>
      <c r="C64" s="514" t="str">
        <f t="array" ref="C64">HYPERLINK("https://stfc.space/officers/" &amp; XLOOKUP(LCARS_Off[AbilityID],RawOfficer[AbilityID],RawOfficer[OfficerId]), XLOOKUP(LCARS_Off[AbilityID],RawOfficer[AbilityID],RawOfficer[OfficerName]))</f>
        <v>SHEV</v>
      </c>
      <c r="D64" s="515" t="str">
        <f t="array" ref="D64">XLOOKUP(LCARS_Off[AbilityID],RawOfficer[AbilityID],RawOfficer[AbilityType])</f>
        <v>CM</v>
      </c>
      <c r="E64" s="516" t="str">
        <f t="array" ref="E64">XLOOKUP(LCARS_Off[AbilityID],RawOfficer[AbilityID],RawOfficer[Tag_PvPinSpace])</f>
        <v>✅</v>
      </c>
      <c r="F64" s="516" t="str">
        <f t="array" ref="F64">XLOOKUP(LCARS_Off[AbilityID],RawOfficer[AbilityID],RawOfficer[Tag_PvPStation])</f>
        <v>✅</v>
      </c>
      <c r="G64" s="516" t="str">
        <f t="array" ref="G64">XLOOKUP(LCARS_Off[AbilityID],RawOfficer[AbilityID],RawOfficer[Tag_NonArmadaHostiles])</f>
        <v>✅</v>
      </c>
      <c r="H64" s="516" t="str">
        <f t="array" ref="H64">XLOOKUP(LCARS_Off[AbilityID],RawOfficer[AbilityID],RawOfficer[Tag_WaveDefense])</f>
        <v>✅</v>
      </c>
      <c r="I64" s="516" t="str">
        <f t="array" ref="I64">XLOOKUP(LCARS_Off[AbilityID],RawOfficer[AbilityID],RawOfficer[Tag_QTrial])</f>
        <v>✅</v>
      </c>
      <c r="J64" s="516" t="str">
        <f t="array" ref="J64">XLOOKUP(LCARS_Off[AbilityID],RawOfficer[AbilityID],RawOfficer[Tag_MissionBosses])</f>
        <v>✅</v>
      </c>
      <c r="K64" s="516" t="str">
        <f t="array" ref="K64">XLOOKUP(LCARS_Off[AbilityID],RawOfficer[AbilityID],RawOfficer[Tag_GroupArmadas])</f>
        <v>✅</v>
      </c>
      <c r="L64" s="516" t="str">
        <f t="array" ref="L64">XLOOKUP(LCARS_Off[AbilityID],RawOfficer[AbilityID],RawOfficer[Tag_SoloArmadas])</f>
        <v>✅</v>
      </c>
      <c r="M64" s="516" t="str">
        <f t="array" ref="M64">XLOOKUP(LCARS_Off[AbilityID],RawOfficer[AbilityID],RawOfficer[Tag_InvadingEntities])</f>
        <v>✅</v>
      </c>
      <c r="N64" s="516" t="str">
        <f t="array" ref="N64">XLOOKUP(LCARS_Off[AbilityID],RawOfficer[AbilityID],RawOfficer[Tag_Assaults])</f>
        <v>✅</v>
      </c>
      <c r="O64" s="516" t="str">
        <f t="array" ref="O64">XLOOKUP(LCARS_Off[AbilityID],RawOfficer[AbilityID],RawOfficer[Tag_OutpostArmadas])</f>
        <v>✅</v>
      </c>
      <c r="P64" s="516" t="str">
        <f t="array" ref="P64">XLOOKUP(LCARS_Off[AbilityID],RawOfficer[AbilityID],RawOfficer[Tag_OutpostRetaliators])</f>
        <v>✅</v>
      </c>
      <c r="Q64" s="517" t="str">
        <f t="array" ref="Q64">XLOOKUP(LCARS_Off[AbilityID],RawOfficer[AbilityID],RawOfficer[Conditional_Reason])</f>
        <v/>
      </c>
      <c r="R64" s="518" t="str">
        <f t="array" ref="R64">XLOOKUP(LCARS_Off[AbilityID],RawOfficer[AbilityID],RawOfficer[Tag_Loot])</f>
        <v>➖</v>
      </c>
      <c r="S64" s="516" t="str">
        <f t="array" ref="S64">XLOOKUP(LCARS_Off[AbilityID],RawOfficer[AbilityID],RawOfficer[Tag_Utility])</f>
        <v>➖</v>
      </c>
      <c r="T64" s="429" t="str">
        <f t="array" ref="T64">XLOOKUP(LCARS_Off[AbilityID],RawOfficer[AbilityID],RawOfficer[OfficerSynergy])</f>
        <v>STARFLEET ACADEMY</v>
      </c>
      <c r="U64" s="519" t="str">
        <f t="array" ref="U64">XLOOKUP(LCARS_Off[AbilityID],RawOfficer[AbilityID],RawOfficer[AbilityModifier])</f>
        <v>CombatTritaniumReward</v>
      </c>
      <c r="V64" s="519" t="str">
        <f t="array" ref="V64">XLOOKUP(LCARS_Off[AbilityID],RawOfficer[AbilityID],RawOfficer[AbilityAttributes])</f>
        <v/>
      </c>
      <c r="W64" s="520" t="str">
        <f t="array" ref="W64">XLOOKUP(LCARS_Off[AbilityID],RawOfficer[AbilityID],RawOfficer[AbilityConditions])</f>
        <v/>
      </c>
      <c r="X64" s="519" t="str">
        <f t="array" ref="X64">XLOOKUP(LCARS_Off[AbilityID],RawOfficer[AbilityID],RawOfficer[AbilityTrigger])</f>
        <v>ShipLaunched</v>
      </c>
      <c r="Y64" s="519" t="str">
        <f t="array" ref="Y64">XLOOKUP(LCARS_Off[AbilityID],RawOfficer[AbilityID],RawOfficer[AbilityTarget])</f>
        <v>SelfShip</v>
      </c>
      <c r="Z64" s="519" t="str">
        <f t="array" ref="Z64">XLOOKUP(LCARS_Off[AbilityID],RawOfficer[AbilityID],RawOfficer[AbilityOperation])</f>
        <v>MultiplyAdd</v>
      </c>
      <c r="AA64" s="521" t="str">
        <f t="array" ref="AA64">XLOOKUP(LCARS_Off[AbilityID],RawOfficer[AbilityID],RawOfficer[AbilityDescription])</f>
        <v>Shev increases the Tritanium rewards for defeating a Hostile by X.</v>
      </c>
      <c r="AB64" s="429" t="b">
        <v>0</v>
      </c>
      <c r="AC64" s="522" t="str">
        <f t="array" ref="AC64">XLOOKUP(LCARS_Off[AbilityID],RawOfficer[AbilityID],RawOfficer[AbilityDescriptionShort])</f>
        <v>+X to Tritanium rewards from Hostiles</v>
      </c>
      <c r="AD64" s="523"/>
      <c r="AE64" s="524"/>
      <c r="AF64" s="524"/>
      <c r="AG64" s="525" t="str">
        <f t="array" ref="AG64">XLOOKUP(LCARS_Off[AbilityID],RawOfficer[AbilityID],RawOfficer[AbilityChances])</f>
        <v>1.0, 1.0, 1.0</v>
      </c>
      <c r="AH64" s="525" t="str">
        <f t="array" ref="AH64">XLOOKUP(LCARS_Off[AbilityID],RawOfficer[AbilityID],RawOfficer[AbilityValues])</f>
        <v>0.25, 0.05, 0.1</v>
      </c>
      <c r="AI64" s="428" t="b">
        <f t="array" ref="AI64">XLOOKUP(LCARS_Off[AbilityID],RawOfficer[AbilityID],RawOfficer[AbilityHasChance])</f>
        <v>0</v>
      </c>
      <c r="AJ64" s="428" t="b">
        <f t="array" ref="AJ64">XLOOKUP(LCARS_Off[AbilityID],RawOfficer[AbilityID],RawOfficer[AbilityShowPercentage])</f>
        <v>1</v>
      </c>
      <c r="AK64" s="429">
        <f t="array" ref="AK64">XLOOKUP(LCARS_Off[AbilityID],RawOfficer[AbilityID],RawOfficer[OfficerArt])</f>
        <v>73</v>
      </c>
      <c r="AL64" s="430">
        <v>2.509864835E9</v>
      </c>
      <c r="AM64" s="430">
        <f t="array" ref="AM64">XLOOKUP(LCARS_Off[AbilityID],RawOfficer[AbilityID],RawOfficer[Default Order])</f>
        <v>61</v>
      </c>
    </row>
    <row r="65">
      <c r="A65" s="429" t="str">
        <f t="array" ref="A65">LEFT(XLOOKUP(LCARS_Off[AbilityID],RawOfficer[AbilityID],RawOfficer[OfficerRarity]), 1)</f>
        <v>C</v>
      </c>
      <c r="B65" s="429"/>
      <c r="C65" s="514" t="str">
        <f t="array" ref="C65">HYPERLINK("https://stfc.space/officers/" &amp; XLOOKUP(LCARS_Off[AbilityID],RawOfficer[AbilityID],RawOfficer[OfficerId]), XLOOKUP(LCARS_Off[AbilityID],RawOfficer[AbilityID],RawOfficer[OfficerName]))</f>
        <v>SHEV</v>
      </c>
      <c r="D65" s="515" t="str">
        <f t="array" ref="D65">XLOOKUP(LCARS_Off[AbilityID],RawOfficer[AbilityID],RawOfficer[AbilityType])</f>
        <v>OA</v>
      </c>
      <c r="E65" s="516" t="str">
        <f t="array" ref="E65">XLOOKUP(LCARS_Off[AbilityID],RawOfficer[AbilityID],RawOfficer[Tag_PvPinSpace])</f>
        <v>➖</v>
      </c>
      <c r="F65" s="516" t="str">
        <f t="array" ref="F65">XLOOKUP(LCARS_Off[AbilityID],RawOfficer[AbilityID],RawOfficer[Tag_PvPStation])</f>
        <v>➖</v>
      </c>
      <c r="G65" s="516" t="str">
        <f t="array" ref="G65">XLOOKUP(LCARS_Off[AbilityID],RawOfficer[AbilityID],RawOfficer[Tag_NonArmadaHostiles])</f>
        <v>✴️</v>
      </c>
      <c r="H65" s="516" t="str">
        <f t="array" ref="H65">XLOOKUP(LCARS_Off[AbilityID],RawOfficer[AbilityID],RawOfficer[Tag_WaveDefense])</f>
        <v>✴️</v>
      </c>
      <c r="I65" s="516" t="str">
        <f t="array" ref="I65">XLOOKUP(LCARS_Off[AbilityID],RawOfficer[AbilityID],RawOfficer[Tag_QTrial])</f>
        <v>✴️</v>
      </c>
      <c r="J65" s="516" t="str">
        <f t="array" ref="J65">XLOOKUP(LCARS_Off[AbilityID],RawOfficer[AbilityID],RawOfficer[Tag_MissionBosses])</f>
        <v>➖</v>
      </c>
      <c r="K65" s="516" t="str">
        <f t="array" ref="K65">XLOOKUP(LCARS_Off[AbilityID],RawOfficer[AbilityID],RawOfficer[Tag_GroupArmadas])</f>
        <v>✴️</v>
      </c>
      <c r="L65" s="516" t="str">
        <f t="array" ref="L65">XLOOKUP(LCARS_Off[AbilityID],RawOfficer[AbilityID],RawOfficer[Tag_SoloArmadas])</f>
        <v>✴️</v>
      </c>
      <c r="M65" s="516" t="str">
        <f t="array" ref="M65">XLOOKUP(LCARS_Off[AbilityID],RawOfficer[AbilityID],RawOfficer[Tag_InvadingEntities])</f>
        <v>✴️</v>
      </c>
      <c r="N65" s="516" t="str">
        <f t="array" ref="N65">XLOOKUP(LCARS_Off[AbilityID],RawOfficer[AbilityID],RawOfficer[Tag_Assaults])</f>
        <v>➖</v>
      </c>
      <c r="O65" s="516" t="str">
        <f t="array" ref="O65">XLOOKUP(LCARS_Off[AbilityID],RawOfficer[AbilityID],RawOfficer[Tag_OutpostArmadas])</f>
        <v>➖</v>
      </c>
      <c r="P65" s="516" t="str">
        <f t="array" ref="P65">XLOOKUP(LCARS_Off[AbilityID],RawOfficer[AbilityID],RawOfficer[Tag_OutpostRetaliators])</f>
        <v>➖</v>
      </c>
      <c r="Q65" s="517" t="str">
        <f t="array" ref="Q65">XLOOKUP(LCARS_Off[AbilityID],RawOfficer[AbilityID],RawOfficer[Conditional_Reason])</f>
        <v>ModuleEnergy</v>
      </c>
      <c r="R65" s="518" t="str">
        <f t="array" ref="R65">XLOOKUP(LCARS_Off[AbilityID],RawOfficer[AbilityID],RawOfficer[Tag_Loot])</f>
        <v>➖</v>
      </c>
      <c r="S65" s="516" t="str">
        <f t="array" ref="S65">XLOOKUP(LCARS_Off[AbilityID],RawOfficer[AbilityID],RawOfficer[Tag_Utility])</f>
        <v>➖</v>
      </c>
      <c r="T65" s="429" t="str">
        <f t="array" ref="T65">XLOOKUP(LCARS_Off[AbilityID],RawOfficer[AbilityID],RawOfficer[OfficerSynergy])</f>
        <v>STARFLEET ACADEMY</v>
      </c>
      <c r="U65" s="519" t="str">
        <f t="array" ref="U65">XLOOKUP(LCARS_Off[AbilityID],RawOfficer[AbilityID],RawOfficer[AbilityModifier])</f>
        <v>AllDamage</v>
      </c>
      <c r="V65" s="519" t="str">
        <f t="array" ref="V65">XLOOKUP(LCARS_Off[AbilityID],RawOfficer[AbilityID],RawOfficer[AbilityAttributes])</f>
        <v/>
      </c>
      <c r="W65" s="520" t="str">
        <f t="array" ref="W65">XLOOKUP(LCARS_Off[AbilityID],RawOfficer[AbilityID],RawOfficer[AbilityConditions])</f>
        <v>EnemyHostile, ModuleEnergy</v>
      </c>
      <c r="X65" s="519" t="str">
        <f t="array" ref="X65">XLOOKUP(LCARS_Off[AbilityID],RawOfficer[AbilityID],RawOfficer[AbilityTrigger])</f>
        <v>CombatStart</v>
      </c>
      <c r="Y65" s="519" t="str">
        <f t="array" ref="Y65">XLOOKUP(LCARS_Off[AbilityID],RawOfficer[AbilityID],RawOfficer[AbilityTarget])</f>
        <v>SelfShip</v>
      </c>
      <c r="Z65" s="519" t="str">
        <f t="array" ref="Z65">XLOOKUP(LCARS_Off[AbilityID],RawOfficer[AbilityID],RawOfficer[AbilityOperation])</f>
        <v>MultiplyAdd</v>
      </c>
      <c r="AA65" s="521" t="str">
        <f t="array" ref="AA65">XLOOKUP(LCARS_Off[AbilityID],RawOfficer[AbilityID],RawOfficer[AbilityDescription])</f>
        <v>If the opponent is a Hostile, Shev increases the damage of the Energy weapons of the ship by X.</v>
      </c>
      <c r="AB65" s="429" t="b">
        <v>0</v>
      </c>
      <c r="AC65" s="522" t="str">
        <f t="array" ref="AC65">XLOOKUP(LCARS_Off[AbilityID],RawOfficer[AbilityID],RawOfficer[AbilityDescriptionShort])</f>
        <v>+X to Energy damage against Hostiles</v>
      </c>
      <c r="AD65" s="523"/>
      <c r="AE65" s="524"/>
      <c r="AF65" s="524"/>
      <c r="AG65" s="525" t="str">
        <f t="array" ref="AG65">XLOOKUP(LCARS_Off[AbilityID],RawOfficer[AbilityID],RawOfficer[AbilityChances])</f>
        <v>1.0, 1.0, 1.0, 1.0, 1.0</v>
      </c>
      <c r="AH65" s="525" t="str">
        <f t="array" ref="AH65">XLOOKUP(LCARS_Off[AbilityID],RawOfficer[AbilityID],RawOfficer[AbilityValues])</f>
        <v>0.05, 0.07, 0.1, 0.15, 0.2</v>
      </c>
      <c r="AI65" s="428" t="b">
        <f t="array" ref="AI65">XLOOKUP(LCARS_Off[AbilityID],RawOfficer[AbilityID],RawOfficer[AbilityHasChance])</f>
        <v>0</v>
      </c>
      <c r="AJ65" s="428" t="b">
        <f t="array" ref="AJ65">XLOOKUP(LCARS_Off[AbilityID],RawOfficer[AbilityID],RawOfficer[AbilityShowPercentage])</f>
        <v>1</v>
      </c>
      <c r="AK65" s="429">
        <f t="array" ref="AK65">XLOOKUP(LCARS_Off[AbilityID],RawOfficer[AbilityID],RawOfficer[OfficerArt])</f>
        <v>73</v>
      </c>
      <c r="AL65" s="430">
        <v>1.009573168E9</v>
      </c>
      <c r="AM65" s="430">
        <f t="array" ref="AM65">XLOOKUP(LCARS_Off[AbilityID],RawOfficer[AbilityID],RawOfficer[Default Order])</f>
        <v>62</v>
      </c>
    </row>
    <row r="66">
      <c r="A66" s="429" t="str">
        <f t="array" ref="A66">LEFT(XLOOKUP(LCARS_Off[AbilityID],RawOfficer[AbilityID],RawOfficer[OfficerRarity]), 1)</f>
        <v>C</v>
      </c>
      <c r="B66" s="429"/>
      <c r="C66" s="514" t="str">
        <f t="array" ref="C66">HYPERLINK("https://stfc.space/officers/" &amp; XLOOKUP(LCARS_Off[AbilityID],RawOfficer[AbilityID],RawOfficer[OfficerId]), XLOOKUP(LCARS_Off[AbilityID],RawOfficer[AbilityID],RawOfficer[OfficerName]))</f>
        <v>T'LAAN</v>
      </c>
      <c r="D66" s="515" t="str">
        <f t="array" ref="D66">XLOOKUP(LCARS_Off[AbilityID],RawOfficer[AbilityID],RawOfficer[AbilityType])</f>
        <v>CM</v>
      </c>
      <c r="E66" s="516" t="str">
        <f t="array" ref="E66">XLOOKUP(LCARS_Off[AbilityID],RawOfficer[AbilityID],RawOfficer[Tag_PvPinSpace])</f>
        <v>➖</v>
      </c>
      <c r="F66" s="516" t="str">
        <f t="array" ref="F66">XLOOKUP(LCARS_Off[AbilityID],RawOfficer[AbilityID],RawOfficer[Tag_PvPStation])</f>
        <v>➖</v>
      </c>
      <c r="G66" s="516" t="str">
        <f t="array" ref="G66">XLOOKUP(LCARS_Off[AbilityID],RawOfficer[AbilityID],RawOfficer[Tag_NonArmadaHostiles])</f>
        <v>➖</v>
      </c>
      <c r="H66" s="516" t="str">
        <f t="array" ref="H66">XLOOKUP(LCARS_Off[AbilityID],RawOfficer[AbilityID],RawOfficer[Tag_WaveDefense])</f>
        <v>➖</v>
      </c>
      <c r="I66" s="516" t="str">
        <f t="array" ref="I66">XLOOKUP(LCARS_Off[AbilityID],RawOfficer[AbilityID],RawOfficer[Tag_QTrial])</f>
        <v>➖</v>
      </c>
      <c r="J66" s="516" t="str">
        <f t="array" ref="J66">XLOOKUP(LCARS_Off[AbilityID],RawOfficer[AbilityID],RawOfficer[Tag_MissionBosses])</f>
        <v>➖</v>
      </c>
      <c r="K66" s="516" t="str">
        <f t="array" ref="K66">XLOOKUP(LCARS_Off[AbilityID],RawOfficer[AbilityID],RawOfficer[Tag_GroupArmadas])</f>
        <v>➖</v>
      </c>
      <c r="L66" s="516" t="str">
        <f t="array" ref="L66">XLOOKUP(LCARS_Off[AbilityID],RawOfficer[AbilityID],RawOfficer[Tag_SoloArmadas])</f>
        <v>➖</v>
      </c>
      <c r="M66" s="516" t="str">
        <f t="array" ref="M66">XLOOKUP(LCARS_Off[AbilityID],RawOfficer[AbilityID],RawOfficer[Tag_InvadingEntities])</f>
        <v>➖</v>
      </c>
      <c r="N66" s="516" t="str">
        <f t="array" ref="N66">XLOOKUP(LCARS_Off[AbilityID],RawOfficer[AbilityID],RawOfficer[Tag_Assaults])</f>
        <v>➖</v>
      </c>
      <c r="O66" s="516" t="str">
        <f t="array" ref="O66">XLOOKUP(LCARS_Off[AbilityID],RawOfficer[AbilityID],RawOfficer[Tag_OutpostArmadas])</f>
        <v>➖</v>
      </c>
      <c r="P66" s="516" t="str">
        <f t="array" ref="P66">XLOOKUP(LCARS_Off[AbilityID],RawOfficer[AbilityID],RawOfficer[Tag_OutpostRetaliators])</f>
        <v>➖</v>
      </c>
      <c r="Q66" s="517" t="str">
        <f t="array" ref="Q66">XLOOKUP(LCARS_Off[AbilityID],RawOfficer[AbilityID],RawOfficer[Conditional_Reason])</f>
        <v/>
      </c>
      <c r="R66" s="518" t="str">
        <f t="array" ref="R66">XLOOKUP(LCARS_Off[AbilityID],RawOfficer[AbilityID],RawOfficer[Tag_Loot])</f>
        <v>➖</v>
      </c>
      <c r="S66" s="516" t="str">
        <f t="array" ref="S66">XLOOKUP(LCARS_Off[AbilityID],RawOfficer[AbilityID],RawOfficer[Tag_Utility])</f>
        <v>✅</v>
      </c>
      <c r="T66" s="429" t="str">
        <f t="array" ref="T66">XLOOKUP(LCARS_Off[AbilityID],RawOfficer[AbilityID],RawOfficer[OfficerSynergy])</f>
        <v>STARFLEET ACADEMY</v>
      </c>
      <c r="U66" s="519" t="str">
        <f t="array" ref="U66">XLOOKUP(LCARS_Off[AbilityID],RawOfficer[AbilityID],RawOfficer[AbilityModifier])</f>
        <v>CombatXPReward</v>
      </c>
      <c r="V66" s="519" t="str">
        <f t="array" ref="V66">XLOOKUP(LCARS_Off[AbilityID],RawOfficer[AbilityID],RawOfficer[AbilityAttributes])</f>
        <v/>
      </c>
      <c r="W66" s="520" t="str">
        <f t="array" ref="W66">XLOOKUP(LCARS_Off[AbilityID],RawOfficer[AbilityID],RawOfficer[AbilityConditions])</f>
        <v/>
      </c>
      <c r="X66" s="519" t="str">
        <f t="array" ref="X66">XLOOKUP(LCARS_Off[AbilityID],RawOfficer[AbilityID],RawOfficer[AbilityTrigger])</f>
        <v>ShipLaunched</v>
      </c>
      <c r="Y66" s="519" t="str">
        <f t="array" ref="Y66">XLOOKUP(LCARS_Off[AbilityID],RawOfficer[AbilityID],RawOfficer[AbilityTarget])</f>
        <v>SelfShip</v>
      </c>
      <c r="Z66" s="519" t="str">
        <f t="array" ref="Z66">XLOOKUP(LCARS_Off[AbilityID],RawOfficer[AbilityID],RawOfficer[AbilityOperation])</f>
        <v>MultiplyAdd</v>
      </c>
      <c r="AA66" s="521" t="str">
        <f t="array" ref="AA66">XLOOKUP(LCARS_Off[AbilityID],RawOfficer[AbilityID],RawOfficer[AbilityDescription])</f>
        <v>T'Laan increases the Ship Experience gained by X.</v>
      </c>
      <c r="AB66" s="429" t="b">
        <v>0</v>
      </c>
      <c r="AC66" s="522" t="str">
        <f t="array" ref="AC66">XLOOKUP(LCARS_Off[AbilityID],RawOfficer[AbilityID],RawOfficer[AbilityDescriptionShort])</f>
        <v>+X more Ship XP from battles</v>
      </c>
      <c r="AD66" s="523"/>
      <c r="AE66" s="524"/>
      <c r="AF66" s="524"/>
      <c r="AG66" s="525" t="str">
        <f t="array" ref="AG66">XLOOKUP(LCARS_Off[AbilityID],RawOfficer[AbilityID],RawOfficer[AbilityChances])</f>
        <v>1.0, 1.0, 1.0</v>
      </c>
      <c r="AH66" s="525" t="str">
        <f t="array" ref="AH66">XLOOKUP(LCARS_Off[AbilityID],RawOfficer[AbilityID],RawOfficer[AbilityValues])</f>
        <v>0.15, 0.03, 0.05</v>
      </c>
      <c r="AI66" s="428" t="b">
        <f t="array" ref="AI66">XLOOKUP(LCARS_Off[AbilityID],RawOfficer[AbilityID],RawOfficer[AbilityHasChance])</f>
        <v>0</v>
      </c>
      <c r="AJ66" s="428" t="b">
        <f t="array" ref="AJ66">XLOOKUP(LCARS_Off[AbilityID],RawOfficer[AbilityID],RawOfficer[AbilityShowPercentage])</f>
        <v>1</v>
      </c>
      <c r="AK66" s="429">
        <f t="array" ref="AK66">XLOOKUP(LCARS_Off[AbilityID],RawOfficer[AbilityID],RawOfficer[OfficerArt])</f>
        <v>74</v>
      </c>
      <c r="AL66" s="430">
        <v>7.46079457E8</v>
      </c>
      <c r="AM66" s="430">
        <f t="array" ref="AM66">XLOOKUP(LCARS_Off[AbilityID],RawOfficer[AbilityID],RawOfficer[Default Order])</f>
        <v>63</v>
      </c>
    </row>
    <row r="67">
      <c r="A67" s="429" t="str">
        <f t="array" ref="A67">LEFT(XLOOKUP(LCARS_Off[AbilityID],RawOfficer[AbilityID],RawOfficer[OfficerRarity]), 1)</f>
        <v>C</v>
      </c>
      <c r="B67" s="429"/>
      <c r="C67" s="514" t="str">
        <f t="array" ref="C67">HYPERLINK("https://stfc.space/officers/" &amp; XLOOKUP(LCARS_Off[AbilityID],RawOfficer[AbilityID],RawOfficer[OfficerId]), XLOOKUP(LCARS_Off[AbilityID],RawOfficer[AbilityID],RawOfficer[OfficerName]))</f>
        <v>T'LAAN</v>
      </c>
      <c r="D67" s="515" t="str">
        <f t="array" ref="D67">XLOOKUP(LCARS_Off[AbilityID],RawOfficer[AbilityID],RawOfficer[AbilityType])</f>
        <v>OA</v>
      </c>
      <c r="E67" s="516" t="str">
        <f t="array" ref="E67">XLOOKUP(LCARS_Off[AbilityID],RawOfficer[AbilityID],RawOfficer[Tag_PvPinSpace])</f>
        <v>➖</v>
      </c>
      <c r="F67" s="516" t="str">
        <f t="array" ref="F67">XLOOKUP(LCARS_Off[AbilityID],RawOfficer[AbilityID],RawOfficer[Tag_PvPStation])</f>
        <v>➖</v>
      </c>
      <c r="G67" s="516" t="str">
        <f t="array" ref="G67">XLOOKUP(LCARS_Off[AbilityID],RawOfficer[AbilityID],RawOfficer[Tag_NonArmadaHostiles])</f>
        <v>✴️</v>
      </c>
      <c r="H67" s="516" t="str">
        <f t="array" ref="H67">XLOOKUP(LCARS_Off[AbilityID],RawOfficer[AbilityID],RawOfficer[Tag_WaveDefense])</f>
        <v>✴️</v>
      </c>
      <c r="I67" s="516" t="str">
        <f t="array" ref="I67">XLOOKUP(LCARS_Off[AbilityID],RawOfficer[AbilityID],RawOfficer[Tag_QTrial])</f>
        <v>✴️</v>
      </c>
      <c r="J67" s="516" t="str">
        <f t="array" ref="J67">XLOOKUP(LCARS_Off[AbilityID],RawOfficer[AbilityID],RawOfficer[Tag_MissionBosses])</f>
        <v>➖</v>
      </c>
      <c r="K67" s="516" t="str">
        <f t="array" ref="K67">XLOOKUP(LCARS_Off[AbilityID],RawOfficer[AbilityID],RawOfficer[Tag_GroupArmadas])</f>
        <v>➖</v>
      </c>
      <c r="L67" s="516" t="str">
        <f t="array" ref="L67">XLOOKUP(LCARS_Off[AbilityID],RawOfficer[AbilityID],RawOfficer[Tag_SoloArmadas])</f>
        <v>➖</v>
      </c>
      <c r="M67" s="516" t="str">
        <f t="array" ref="M67">XLOOKUP(LCARS_Off[AbilityID],RawOfficer[AbilityID],RawOfficer[Tag_InvadingEntities])</f>
        <v>➖</v>
      </c>
      <c r="N67" s="516" t="str">
        <f t="array" ref="N67">XLOOKUP(LCARS_Off[AbilityID],RawOfficer[AbilityID],RawOfficer[Tag_Assaults])</f>
        <v>➖</v>
      </c>
      <c r="O67" s="516" t="str">
        <f t="array" ref="O67">XLOOKUP(LCARS_Off[AbilityID],RawOfficer[AbilityID],RawOfficer[Tag_OutpostArmadas])</f>
        <v>➖</v>
      </c>
      <c r="P67" s="516" t="str">
        <f t="array" ref="P67">XLOOKUP(LCARS_Off[AbilityID],RawOfficer[AbilityID],RawOfficer[Tag_OutpostRetaliators])</f>
        <v>➖</v>
      </c>
      <c r="Q67" s="517" t="str">
        <f t="array" ref="Q67">XLOOKUP(LCARS_Off[AbilityID],RawOfficer[AbilityID],RawOfficer[Conditional_Reason])</f>
        <v>TargetMaxLevel, ModuleKinetic</v>
      </c>
      <c r="R67" s="518" t="str">
        <f t="array" ref="R67">XLOOKUP(LCARS_Off[AbilityID],RawOfficer[AbilityID],RawOfficer[Tag_Loot])</f>
        <v>➖</v>
      </c>
      <c r="S67" s="516" t="str">
        <f t="array" ref="S67">XLOOKUP(LCARS_Off[AbilityID],RawOfficer[AbilityID],RawOfficer[Tag_Utility])</f>
        <v>➖</v>
      </c>
      <c r="T67" s="429" t="str">
        <f t="array" ref="T67">XLOOKUP(LCARS_Off[AbilityID],RawOfficer[AbilityID],RawOfficer[OfficerSynergy])</f>
        <v>STARFLEET ACADEMY</v>
      </c>
      <c r="U67" s="519" t="str">
        <f t="array" ref="U67">XLOOKUP(LCARS_Off[AbilityID],RawOfficer[AbilityID],RawOfficer[AbilityModifier])</f>
        <v>AllDamage</v>
      </c>
      <c r="V67" s="519" t="str">
        <f t="array" ref="V67">XLOOKUP(LCARS_Off[AbilityID],RawOfficer[AbilityID],RawOfficer[AbilityAttributes])</f>
        <v>max_level=51</v>
      </c>
      <c r="W67" s="520" t="str">
        <f t="array" ref="W67">XLOOKUP(LCARS_Off[AbilityID],RawOfficer[AbilityID],RawOfficer[AbilityConditions])</f>
        <v>ModuleKinetic, TargetMaxLevel, EnemyHostile, TargetNotArmada</v>
      </c>
      <c r="X67" s="519" t="str">
        <f t="array" ref="X67">XLOOKUP(LCARS_Off[AbilityID],RawOfficer[AbilityID],RawOfficer[AbilityTrigger])</f>
        <v>CombatStart</v>
      </c>
      <c r="Y67" s="519" t="str">
        <f t="array" ref="Y67">XLOOKUP(LCARS_Off[AbilityID],RawOfficer[AbilityID],RawOfficer[AbilityTarget])</f>
        <v>EnemyShip</v>
      </c>
      <c r="Z67" s="519" t="str">
        <f t="array" ref="Z67">XLOOKUP(LCARS_Off[AbilityID],RawOfficer[AbilityID],RawOfficer[AbilityOperation])</f>
        <v>MultiplySub</v>
      </c>
      <c r="AA67" s="521" t="str">
        <f t="array" ref="AA67">XLOOKUP(LCARS_Off[AbilityID],RawOfficer[AbilityID],RawOfficer[AbilityDescription])</f>
        <v>If the opponent is a Hostile, T'Laan decreases the Damage done by its Kinetic Weapons by X. Works against Hostiles of level 51 and under.</v>
      </c>
      <c r="AB67" s="429" t="b">
        <v>0</v>
      </c>
      <c r="AC67" s="522" t="str">
        <f t="array" ref="AC67">XLOOKUP(LCARS_Off[AbilityID],RawOfficer[AbilityID],RawOfficer[AbilityDescriptionShort])</f>
        <v>-X to Kinetic Damage dealt by enemy Hostiles</v>
      </c>
      <c r="AD67" s="523"/>
      <c r="AE67" s="524"/>
      <c r="AF67" s="524"/>
      <c r="AG67" s="525" t="str">
        <f t="array" ref="AG67">XLOOKUP(LCARS_Off[AbilityID],RawOfficer[AbilityID],RawOfficer[AbilityChances])</f>
        <v>1.0, 1.0, 1.0, 1.0, 1.0</v>
      </c>
      <c r="AH67" s="525" t="str">
        <f t="array" ref="AH67">XLOOKUP(LCARS_Off[AbilityID],RawOfficer[AbilityID],RawOfficer[AbilityValues])</f>
        <v>0.05, 0.07, 0.1, 0.15, 0.2</v>
      </c>
      <c r="AI67" s="428" t="b">
        <f t="array" ref="AI67">XLOOKUP(LCARS_Off[AbilityID],RawOfficer[AbilityID],RawOfficer[AbilityHasChance])</f>
        <v>0</v>
      </c>
      <c r="AJ67" s="428" t="b">
        <f t="array" ref="AJ67">XLOOKUP(LCARS_Off[AbilityID],RawOfficer[AbilityID],RawOfficer[AbilityShowPercentage])</f>
        <v>1</v>
      </c>
      <c r="AK67" s="429">
        <f t="array" ref="AK67">XLOOKUP(LCARS_Off[AbilityID],RawOfficer[AbilityID],RawOfficer[OfficerArt])</f>
        <v>74</v>
      </c>
      <c r="AL67" s="430">
        <v>2.109540283E9</v>
      </c>
      <c r="AM67" s="430">
        <f t="array" ref="AM67">XLOOKUP(LCARS_Off[AbilityID],RawOfficer[AbilityID],RawOfficer[Default Order])</f>
        <v>64</v>
      </c>
    </row>
    <row r="68">
      <c r="A68" s="429" t="str">
        <f t="array" ref="A68">LEFT(XLOOKUP(LCARS_Off[AbilityID],RawOfficer[AbilityID],RawOfficer[OfficerRarity]), 1)</f>
        <v>C</v>
      </c>
      <c r="B68" s="429"/>
      <c r="C68" s="514" t="str">
        <f t="array" ref="C68">HYPERLINK("https://stfc.space/officers/" &amp; XLOOKUP(LCARS_Off[AbilityID],RawOfficer[AbilityID],RawOfficer[OfficerId]), XLOOKUP(LCARS_Off[AbilityID],RawOfficer[AbilityID],RawOfficer[OfficerName]))</f>
        <v>VEL</v>
      </c>
      <c r="D68" s="515" t="str">
        <f t="array" ref="D68">XLOOKUP(LCARS_Off[AbilityID],RawOfficer[AbilityID],RawOfficer[AbilityType])</f>
        <v>CM</v>
      </c>
      <c r="E68" s="516" t="str">
        <f t="array" ref="E68">XLOOKUP(LCARS_Off[AbilityID],RawOfficer[AbilityID],RawOfficer[Tag_PvPinSpace])</f>
        <v>✅</v>
      </c>
      <c r="F68" s="516" t="str">
        <f t="array" ref="F68">XLOOKUP(LCARS_Off[AbilityID],RawOfficer[AbilityID],RawOfficer[Tag_PvPStation])</f>
        <v>✅</v>
      </c>
      <c r="G68" s="516" t="str">
        <f t="array" ref="G68">XLOOKUP(LCARS_Off[AbilityID],RawOfficer[AbilityID],RawOfficer[Tag_NonArmadaHostiles])</f>
        <v>✅</v>
      </c>
      <c r="H68" s="516" t="str">
        <f t="array" ref="H68">XLOOKUP(LCARS_Off[AbilityID],RawOfficer[AbilityID],RawOfficer[Tag_WaveDefense])</f>
        <v>✅</v>
      </c>
      <c r="I68" s="516" t="str">
        <f t="array" ref="I68">XLOOKUP(LCARS_Off[AbilityID],RawOfficer[AbilityID],RawOfficer[Tag_QTrial])</f>
        <v>✅</v>
      </c>
      <c r="J68" s="516" t="str">
        <f t="array" ref="J68">XLOOKUP(LCARS_Off[AbilityID],RawOfficer[AbilityID],RawOfficer[Tag_MissionBosses])</f>
        <v>✅</v>
      </c>
      <c r="K68" s="516" t="str">
        <f t="array" ref="K68">XLOOKUP(LCARS_Off[AbilityID],RawOfficer[AbilityID],RawOfficer[Tag_GroupArmadas])</f>
        <v>✅</v>
      </c>
      <c r="L68" s="516" t="str">
        <f t="array" ref="L68">XLOOKUP(LCARS_Off[AbilityID],RawOfficer[AbilityID],RawOfficer[Tag_SoloArmadas])</f>
        <v>✅</v>
      </c>
      <c r="M68" s="516" t="str">
        <f t="array" ref="M68">XLOOKUP(LCARS_Off[AbilityID],RawOfficer[AbilityID],RawOfficer[Tag_InvadingEntities])</f>
        <v>✅</v>
      </c>
      <c r="N68" s="516" t="str">
        <f t="array" ref="N68">XLOOKUP(LCARS_Off[AbilityID],RawOfficer[AbilityID],RawOfficer[Tag_Assaults])</f>
        <v>✅</v>
      </c>
      <c r="O68" s="516" t="str">
        <f t="array" ref="O68">XLOOKUP(LCARS_Off[AbilityID],RawOfficer[AbilityID],RawOfficer[Tag_OutpostArmadas])</f>
        <v>✅</v>
      </c>
      <c r="P68" s="516" t="str">
        <f t="array" ref="P68">XLOOKUP(LCARS_Off[AbilityID],RawOfficer[AbilityID],RawOfficer[Tag_OutpostRetaliators])</f>
        <v>✅</v>
      </c>
      <c r="Q68" s="517" t="str">
        <f t="array" ref="Q68">XLOOKUP(LCARS_Off[AbilityID],RawOfficer[AbilityID],RawOfficer[Conditional_Reason])</f>
        <v/>
      </c>
      <c r="R68" s="518" t="str">
        <f t="array" ref="R68">XLOOKUP(LCARS_Off[AbilityID],RawOfficer[AbilityID],RawOfficer[Tag_Loot])</f>
        <v>➖</v>
      </c>
      <c r="S68" s="516" t="str">
        <f t="array" ref="S68">XLOOKUP(LCARS_Off[AbilityID],RawOfficer[AbilityID],RawOfficer[Tag_Utility])</f>
        <v>➖</v>
      </c>
      <c r="T68" s="429" t="str">
        <f t="array" ref="T68">XLOOKUP(LCARS_Off[AbilityID],RawOfficer[AbilityID],RawOfficer[OfficerSynergy])</f>
        <v>STARFLEET ACADEMY</v>
      </c>
      <c r="U68" s="519" t="str">
        <f t="array" ref="U68">XLOOKUP(LCARS_Off[AbilityID],RawOfficer[AbilityID],RawOfficer[AbilityModifier])</f>
        <v>CombatDilithiumReward</v>
      </c>
      <c r="V68" s="519" t="str">
        <f t="array" ref="V68">XLOOKUP(LCARS_Off[AbilityID],RawOfficer[AbilityID],RawOfficer[AbilityAttributes])</f>
        <v/>
      </c>
      <c r="W68" s="520" t="str">
        <f t="array" ref="W68">XLOOKUP(LCARS_Off[AbilityID],RawOfficer[AbilityID],RawOfficer[AbilityConditions])</f>
        <v/>
      </c>
      <c r="X68" s="519" t="str">
        <f t="array" ref="X68">XLOOKUP(LCARS_Off[AbilityID],RawOfficer[AbilityID],RawOfficer[AbilityTrigger])</f>
        <v>ShipLaunched</v>
      </c>
      <c r="Y68" s="519" t="str">
        <f t="array" ref="Y68">XLOOKUP(LCARS_Off[AbilityID],RawOfficer[AbilityID],RawOfficer[AbilityTarget])</f>
        <v>SelfShip</v>
      </c>
      <c r="Z68" s="519" t="str">
        <f t="array" ref="Z68">XLOOKUP(LCARS_Off[AbilityID],RawOfficer[AbilityID],RawOfficer[AbilityOperation])</f>
        <v>MultiplyAdd</v>
      </c>
      <c r="AA68" s="521" t="str">
        <f t="array" ref="AA68">XLOOKUP(LCARS_Off[AbilityID],RawOfficer[AbilityID],RawOfficer[AbilityDescription])</f>
        <v>Vel increases the Dilithium rewards for defeating a Hostile by X.</v>
      </c>
      <c r="AB68" s="429" t="b">
        <v>0</v>
      </c>
      <c r="AC68" s="522" t="str">
        <f t="array" ref="AC68">XLOOKUP(LCARS_Off[AbilityID],RawOfficer[AbilityID],RawOfficer[AbilityDescriptionShort])</f>
        <v>+X to Dilithium rewards from Hostiles</v>
      </c>
      <c r="AD68" s="523"/>
      <c r="AE68" s="524"/>
      <c r="AF68" s="524"/>
      <c r="AG68" s="525" t="str">
        <f t="array" ref="AG68">XLOOKUP(LCARS_Off[AbilityID],RawOfficer[AbilityID],RawOfficer[AbilityChances])</f>
        <v>1.0, 1.0, 1.0</v>
      </c>
      <c r="AH68" s="525" t="str">
        <f t="array" ref="AH68">XLOOKUP(LCARS_Off[AbilityID],RawOfficer[AbilityID],RawOfficer[AbilityValues])</f>
        <v>0.25, 0.05, 0.1</v>
      </c>
      <c r="AI68" s="428" t="b">
        <f t="array" ref="AI68">XLOOKUP(LCARS_Off[AbilityID],RawOfficer[AbilityID],RawOfficer[AbilityHasChance])</f>
        <v>0</v>
      </c>
      <c r="AJ68" s="428" t="b">
        <f t="array" ref="AJ68">XLOOKUP(LCARS_Off[AbilityID],RawOfficer[AbilityID],RawOfficer[AbilityShowPercentage])</f>
        <v>1</v>
      </c>
      <c r="AK68" s="429">
        <f t="array" ref="AK68">XLOOKUP(LCARS_Off[AbilityID],RawOfficer[AbilityID],RawOfficer[OfficerArt])</f>
        <v>75</v>
      </c>
      <c r="AL68" s="430">
        <v>4.09435174E9</v>
      </c>
      <c r="AM68" s="430">
        <f t="array" ref="AM68">XLOOKUP(LCARS_Off[AbilityID],RawOfficer[AbilityID],RawOfficer[Default Order])</f>
        <v>65</v>
      </c>
    </row>
    <row r="69">
      <c r="A69" s="429" t="str">
        <f t="array" ref="A69">LEFT(XLOOKUP(LCARS_Off[AbilityID],RawOfficer[AbilityID],RawOfficer[OfficerRarity]), 1)</f>
        <v>C</v>
      </c>
      <c r="B69" s="429"/>
      <c r="C69" s="514" t="str">
        <f t="array" ref="C69">HYPERLINK("https://stfc.space/officers/" &amp; XLOOKUP(LCARS_Off[AbilityID],RawOfficer[AbilityID],RawOfficer[OfficerId]), XLOOKUP(LCARS_Off[AbilityID],RawOfficer[AbilityID],RawOfficer[OfficerName]))</f>
        <v>VEL</v>
      </c>
      <c r="D69" s="515" t="str">
        <f t="array" ref="D69">XLOOKUP(LCARS_Off[AbilityID],RawOfficer[AbilityID],RawOfficer[AbilityType])</f>
        <v>OA</v>
      </c>
      <c r="E69" s="516" t="str">
        <f t="array" ref="E69">XLOOKUP(LCARS_Off[AbilityID],RawOfficer[AbilityID],RawOfficer[Tag_PvPinSpace])</f>
        <v>➖</v>
      </c>
      <c r="F69" s="516" t="str">
        <f t="array" ref="F69">XLOOKUP(LCARS_Off[AbilityID],RawOfficer[AbilityID],RawOfficer[Tag_PvPStation])</f>
        <v>➖</v>
      </c>
      <c r="G69" s="516" t="str">
        <f t="array" ref="G69">XLOOKUP(LCARS_Off[AbilityID],RawOfficer[AbilityID],RawOfficer[Tag_NonArmadaHostiles])</f>
        <v>✴️</v>
      </c>
      <c r="H69" s="516" t="str">
        <f t="array" ref="H69">XLOOKUP(LCARS_Off[AbilityID],RawOfficer[AbilityID],RawOfficer[Tag_WaveDefense])</f>
        <v>✴️</v>
      </c>
      <c r="I69" s="516" t="str">
        <f t="array" ref="I69">XLOOKUP(LCARS_Off[AbilityID],RawOfficer[AbilityID],RawOfficer[Tag_QTrial])</f>
        <v>✴️</v>
      </c>
      <c r="J69" s="516" t="str">
        <f t="array" ref="J69">XLOOKUP(LCARS_Off[AbilityID],RawOfficer[AbilityID],RawOfficer[Tag_MissionBosses])</f>
        <v>➖</v>
      </c>
      <c r="K69" s="516" t="str">
        <f t="array" ref="K69">XLOOKUP(LCARS_Off[AbilityID],RawOfficer[AbilityID],RawOfficer[Tag_GroupArmadas])</f>
        <v>✴️</v>
      </c>
      <c r="L69" s="516" t="str">
        <f t="array" ref="L69">XLOOKUP(LCARS_Off[AbilityID],RawOfficer[AbilityID],RawOfficer[Tag_SoloArmadas])</f>
        <v>✴️</v>
      </c>
      <c r="M69" s="516" t="str">
        <f t="array" ref="M69">XLOOKUP(LCARS_Off[AbilityID],RawOfficer[AbilityID],RawOfficer[Tag_InvadingEntities])</f>
        <v>✴️</v>
      </c>
      <c r="N69" s="516" t="str">
        <f t="array" ref="N69">XLOOKUP(LCARS_Off[AbilityID],RawOfficer[AbilityID],RawOfficer[Tag_Assaults])</f>
        <v>➖</v>
      </c>
      <c r="O69" s="516" t="str">
        <f t="array" ref="O69">XLOOKUP(LCARS_Off[AbilityID],RawOfficer[AbilityID],RawOfficer[Tag_OutpostArmadas])</f>
        <v>➖</v>
      </c>
      <c r="P69" s="516" t="str">
        <f t="array" ref="P69">XLOOKUP(LCARS_Off[AbilityID],RawOfficer[AbilityID],RawOfficer[Tag_OutpostRetaliators])</f>
        <v>➖</v>
      </c>
      <c r="Q69" s="517" t="str">
        <f t="array" ref="Q69">XLOOKUP(LCARS_Off[AbilityID],RawOfficer[AbilityID],RawOfficer[Conditional_Reason])</f>
        <v>ModuleKinetic</v>
      </c>
      <c r="R69" s="518" t="str">
        <f t="array" ref="R69">XLOOKUP(LCARS_Off[AbilityID],RawOfficer[AbilityID],RawOfficer[Tag_Loot])</f>
        <v>➖</v>
      </c>
      <c r="S69" s="516" t="str">
        <f t="array" ref="S69">XLOOKUP(LCARS_Off[AbilityID],RawOfficer[AbilityID],RawOfficer[Tag_Utility])</f>
        <v>➖</v>
      </c>
      <c r="T69" s="429" t="str">
        <f t="array" ref="T69">XLOOKUP(LCARS_Off[AbilityID],RawOfficer[AbilityID],RawOfficer[OfficerSynergy])</f>
        <v>STARFLEET ACADEMY</v>
      </c>
      <c r="U69" s="519" t="str">
        <f t="array" ref="U69">XLOOKUP(LCARS_Off[AbilityID],RawOfficer[AbilityID],RawOfficer[AbilityModifier])</f>
        <v>AllDamage</v>
      </c>
      <c r="V69" s="519" t="str">
        <f t="array" ref="V69">XLOOKUP(LCARS_Off[AbilityID],RawOfficer[AbilityID],RawOfficer[AbilityAttributes])</f>
        <v/>
      </c>
      <c r="W69" s="520" t="str">
        <f t="array" ref="W69">XLOOKUP(LCARS_Off[AbilityID],RawOfficer[AbilityID],RawOfficer[AbilityConditions])</f>
        <v>ModuleKinetic, EnemyHostile</v>
      </c>
      <c r="X69" s="519" t="str">
        <f t="array" ref="X69">XLOOKUP(LCARS_Off[AbilityID],RawOfficer[AbilityID],RawOfficer[AbilityTrigger])</f>
        <v>CombatStart</v>
      </c>
      <c r="Y69" s="519" t="str">
        <f t="array" ref="Y69">XLOOKUP(LCARS_Off[AbilityID],RawOfficer[AbilityID],RawOfficer[AbilityTarget])</f>
        <v>SelfShip</v>
      </c>
      <c r="Z69" s="519" t="str">
        <f t="array" ref="Z69">XLOOKUP(LCARS_Off[AbilityID],RawOfficer[AbilityID],RawOfficer[AbilityOperation])</f>
        <v>MultiplyAdd</v>
      </c>
      <c r="AA69" s="521" t="str">
        <f t="array" ref="AA69">XLOOKUP(LCARS_Off[AbilityID],RawOfficer[AbilityID],RawOfficer[AbilityDescription])</f>
        <v>If the opponent is a Hostile, Vel increases the damage made by the Kinetic Weapons of the ship by X.</v>
      </c>
      <c r="AB69" s="429" t="b">
        <v>0</v>
      </c>
      <c r="AC69" s="522" t="str">
        <f t="array" ref="AC69">XLOOKUP(LCARS_Off[AbilityID],RawOfficer[AbilityID],RawOfficer[AbilityDescriptionShort])</f>
        <v>+X to Kinetic damage against Hostiles</v>
      </c>
      <c r="AD69" s="523"/>
      <c r="AE69" s="524"/>
      <c r="AF69" s="524"/>
      <c r="AG69" s="525" t="str">
        <f t="array" ref="AG69">XLOOKUP(LCARS_Off[AbilityID],RawOfficer[AbilityID],RawOfficer[AbilityChances])</f>
        <v>1.0, 1.0, 1.0, 1.0, 1.0</v>
      </c>
      <c r="AH69" s="525" t="str">
        <f t="array" ref="AH69">XLOOKUP(LCARS_Off[AbilityID],RawOfficer[AbilityID],RawOfficer[AbilityValues])</f>
        <v>0.05, 0.07, 0.1, 0.15, 0.2</v>
      </c>
      <c r="AI69" s="428" t="b">
        <f t="array" ref="AI69">XLOOKUP(LCARS_Off[AbilityID],RawOfficer[AbilityID],RawOfficer[AbilityHasChance])</f>
        <v>0</v>
      </c>
      <c r="AJ69" s="428" t="b">
        <f t="array" ref="AJ69">XLOOKUP(LCARS_Off[AbilityID],RawOfficer[AbilityID],RawOfficer[AbilityShowPercentage])</f>
        <v>1</v>
      </c>
      <c r="AK69" s="429">
        <f t="array" ref="AK69">XLOOKUP(LCARS_Off[AbilityID],RawOfficer[AbilityID],RawOfficer[OfficerArt])</f>
        <v>75</v>
      </c>
      <c r="AL69" s="430">
        <v>3.26209566E8</v>
      </c>
      <c r="AM69" s="430">
        <f t="array" ref="AM69">XLOOKUP(LCARS_Off[AbilityID],RawOfficer[AbilityID],RawOfficer[Default Order])</f>
        <v>66</v>
      </c>
    </row>
    <row r="70">
      <c r="A70" s="429" t="str">
        <f t="array" ref="A70">LEFT(XLOOKUP(LCARS_Off[AbilityID],RawOfficer[AbilityID],RawOfficer[OfficerRarity]), 1)</f>
        <v>C</v>
      </c>
      <c r="B70" s="429"/>
      <c r="C70" s="514" t="str">
        <f t="array" ref="C70">HYPERLINK("https://stfc.space/officers/" &amp; XLOOKUP(LCARS_Off[AbilityID],RawOfficer[AbilityID],RawOfficer[OfficerId]), XLOOKUP(LCARS_Off[AbilityID],RawOfficer[AbilityID],RawOfficer[OfficerName]))</f>
        <v>M'BENGA</v>
      </c>
      <c r="D70" s="515" t="str">
        <f t="array" ref="D70">XLOOKUP(LCARS_Off[AbilityID],RawOfficer[AbilityID],RawOfficer[AbilityType])</f>
        <v>CM</v>
      </c>
      <c r="E70" s="516" t="str">
        <f t="array" ref="E70">XLOOKUP(LCARS_Off[AbilityID],RawOfficer[AbilityID],RawOfficer[Tag_PvPinSpace])</f>
        <v>➖</v>
      </c>
      <c r="F70" s="516" t="str">
        <f t="array" ref="F70">XLOOKUP(LCARS_Off[AbilityID],RawOfficer[AbilityID],RawOfficer[Tag_PvPStation])</f>
        <v>✅</v>
      </c>
      <c r="G70" s="516" t="str">
        <f t="array" ref="G70">XLOOKUP(LCARS_Off[AbilityID],RawOfficer[AbilityID],RawOfficer[Tag_NonArmadaHostiles])</f>
        <v>➖</v>
      </c>
      <c r="H70" s="516" t="str">
        <f t="array" ref="H70">XLOOKUP(LCARS_Off[AbilityID],RawOfficer[AbilityID],RawOfficer[Tag_WaveDefense])</f>
        <v>➖</v>
      </c>
      <c r="I70" s="516" t="str">
        <f t="array" ref="I70">XLOOKUP(LCARS_Off[AbilityID],RawOfficer[AbilityID],RawOfficer[Tag_QTrial])</f>
        <v>➖</v>
      </c>
      <c r="J70" s="516" t="str">
        <f t="array" ref="J70">XLOOKUP(LCARS_Off[AbilityID],RawOfficer[AbilityID],RawOfficer[Tag_MissionBosses])</f>
        <v>➖</v>
      </c>
      <c r="K70" s="516" t="str">
        <f t="array" ref="K70">XLOOKUP(LCARS_Off[AbilityID],RawOfficer[AbilityID],RawOfficer[Tag_GroupArmadas])</f>
        <v>➖</v>
      </c>
      <c r="L70" s="516" t="str">
        <f t="array" ref="L70">XLOOKUP(LCARS_Off[AbilityID],RawOfficer[AbilityID],RawOfficer[Tag_SoloArmadas])</f>
        <v>➖</v>
      </c>
      <c r="M70" s="516" t="str">
        <f t="array" ref="M70">XLOOKUP(LCARS_Off[AbilityID],RawOfficer[AbilityID],RawOfficer[Tag_InvadingEntities])</f>
        <v>➖</v>
      </c>
      <c r="N70" s="516" t="str">
        <f t="array" ref="N70">XLOOKUP(LCARS_Off[AbilityID],RawOfficer[AbilityID],RawOfficer[Tag_Assaults])</f>
        <v>➖</v>
      </c>
      <c r="O70" s="516" t="str">
        <f t="array" ref="O70">XLOOKUP(LCARS_Off[AbilityID],RawOfficer[AbilityID],RawOfficer[Tag_OutpostArmadas])</f>
        <v>➖</v>
      </c>
      <c r="P70" s="516" t="str">
        <f t="array" ref="P70">XLOOKUP(LCARS_Off[AbilityID],RawOfficer[AbilityID],RawOfficer[Tag_OutpostRetaliators])</f>
        <v>➖</v>
      </c>
      <c r="Q70" s="517" t="str">
        <f t="array" ref="Q70">XLOOKUP(LCARS_Off[AbilityID],RawOfficer[AbilityID],RawOfficer[Conditional_Reason])</f>
        <v/>
      </c>
      <c r="R70" s="518" t="str">
        <f t="array" ref="R70">XLOOKUP(LCARS_Off[AbilityID],RawOfficer[AbilityID],RawOfficer[Tag_Loot])</f>
        <v>➖</v>
      </c>
      <c r="S70" s="516" t="str">
        <f t="array" ref="S70">XLOOKUP(LCARS_Off[AbilityID],RawOfficer[AbilityID],RawOfficer[Tag_Utility])</f>
        <v>➖</v>
      </c>
      <c r="T70" s="429" t="str">
        <f t="array" ref="T70">XLOOKUP(LCARS_Off[AbilityID],RawOfficer[AbilityID],RawOfficer[OfficerSynergy])</f>
        <v>AUXILIARY CONTROLS</v>
      </c>
      <c r="U70" s="519" t="str">
        <f t="array" ref="U70">XLOOKUP(LCARS_Off[AbilityID],RawOfficer[AbilityID],RawOfficer[AbilityModifier])</f>
        <v>AllPiercing</v>
      </c>
      <c r="V70" s="519" t="str">
        <f t="array" ref="V70">XLOOKUP(LCARS_Off[AbilityID],RawOfficer[AbilityID],RawOfficer[AbilityAttributes])</f>
        <v/>
      </c>
      <c r="W70" s="520" t="str">
        <f t="array" ref="W70">XLOOKUP(LCARS_Off[AbilityID],RawOfficer[AbilityID],RawOfficer[AbilityConditions])</f>
        <v>SelfAtStation</v>
      </c>
      <c r="X70" s="519" t="str">
        <f t="array" ref="X70">XLOOKUP(LCARS_Off[AbilityID],RawOfficer[AbilityID],RawOfficer[AbilityTrigger])</f>
        <v>ShipLaunched</v>
      </c>
      <c r="Y70" s="519" t="str">
        <f t="array" ref="Y70">XLOOKUP(LCARS_Off[AbilityID],RawOfficer[AbilityID],RawOfficer[AbilityTarget])</f>
        <v>SelfShip</v>
      </c>
      <c r="Z70" s="519" t="str">
        <f t="array" ref="Z70">XLOOKUP(LCARS_Off[AbilityID],RawOfficer[AbilityID],RawOfficer[AbilityOperation])</f>
        <v>MultiplyAdd</v>
      </c>
      <c r="AA70" s="521" t="str">
        <f t="array" ref="AA70">XLOOKUP(LCARS_Off[AbilityID],RawOfficer[AbilityID],RawOfficer[AbilityDescription])</f>
        <v>When defending the Station, M'Benga increases the Armor Piercing, Shield Piercing and Accuracy of the ship by X.</v>
      </c>
      <c r="AB70" s="429" t="b">
        <v>0</v>
      </c>
      <c r="AC70" s="522" t="str">
        <f t="array" ref="AC70">XLOOKUP(LCARS_Off[AbilityID],RawOfficer[AbilityID],RawOfficer[AbilityDescriptionShort])</f>
        <v>+X to Armor Piercing, Shield Piercing and Accuracy when defending the Station</v>
      </c>
      <c r="AD70" s="523"/>
      <c r="AE70" s="524"/>
      <c r="AF70" s="524"/>
      <c r="AG70" s="525" t="str">
        <f t="array" ref="AG70">XLOOKUP(LCARS_Off[AbilityID],RawOfficer[AbilityID],RawOfficer[AbilityChances])</f>
        <v>1.0, 1.0, 1.0</v>
      </c>
      <c r="AH70" s="525" t="str">
        <f t="array" ref="AH70">XLOOKUP(LCARS_Off[AbilityID],RawOfficer[AbilityID],RawOfficer[AbilityValues])</f>
        <v>0.1, 0.02, 0.05</v>
      </c>
      <c r="AI70" s="428" t="b">
        <f t="array" ref="AI70">XLOOKUP(LCARS_Off[AbilityID],RawOfficer[AbilityID],RawOfficer[AbilityHasChance])</f>
        <v>0</v>
      </c>
      <c r="AJ70" s="428" t="b">
        <f t="array" ref="AJ70">XLOOKUP(LCARS_Off[AbilityID],RawOfficer[AbilityID],RawOfficer[AbilityShowPercentage])</f>
        <v>1</v>
      </c>
      <c r="AK70" s="429">
        <f t="array" ref="AK70">XLOOKUP(LCARS_Off[AbilityID],RawOfficer[AbilityID],RawOfficer[OfficerArt])</f>
        <v>58</v>
      </c>
      <c r="AL70" s="430">
        <v>3.760528359E9</v>
      </c>
      <c r="AM70" s="430">
        <f t="array" ref="AM70">XLOOKUP(LCARS_Off[AbilityID],RawOfficer[AbilityID],RawOfficer[Default Order])</f>
        <v>67</v>
      </c>
    </row>
    <row r="71">
      <c r="A71" s="429" t="str">
        <f t="array" ref="A71">LEFT(XLOOKUP(LCARS_Off[AbilityID],RawOfficer[AbilityID],RawOfficer[OfficerRarity]), 1)</f>
        <v>C</v>
      </c>
      <c r="B71" s="429"/>
      <c r="C71" s="514" t="str">
        <f t="array" ref="C71">HYPERLINK("https://stfc.space/officers/" &amp; XLOOKUP(LCARS_Off[AbilityID],RawOfficer[AbilityID],RawOfficer[OfficerId]), XLOOKUP(LCARS_Off[AbilityID],RawOfficer[AbilityID],RawOfficer[OfficerName]))</f>
        <v>M'BENGA</v>
      </c>
      <c r="D71" s="515" t="str">
        <f t="array" ref="D71">XLOOKUP(LCARS_Off[AbilityID],RawOfficer[AbilityID],RawOfficer[AbilityType])</f>
        <v>OA</v>
      </c>
      <c r="E71" s="516" t="str">
        <f t="array" ref="E71">XLOOKUP(LCARS_Off[AbilityID],RawOfficer[AbilityID],RawOfficer[Tag_PvPinSpace])</f>
        <v>➖</v>
      </c>
      <c r="F71" s="516" t="str">
        <f t="array" ref="F71">XLOOKUP(LCARS_Off[AbilityID],RawOfficer[AbilityID],RawOfficer[Tag_PvPStation])</f>
        <v>✅</v>
      </c>
      <c r="G71" s="516" t="str">
        <f t="array" ref="G71">XLOOKUP(LCARS_Off[AbilityID],RawOfficer[AbilityID],RawOfficer[Tag_NonArmadaHostiles])</f>
        <v>➖</v>
      </c>
      <c r="H71" s="516" t="str">
        <f t="array" ref="H71">XLOOKUP(LCARS_Off[AbilityID],RawOfficer[AbilityID],RawOfficer[Tag_WaveDefense])</f>
        <v>➖</v>
      </c>
      <c r="I71" s="516" t="str">
        <f t="array" ref="I71">XLOOKUP(LCARS_Off[AbilityID],RawOfficer[AbilityID],RawOfficer[Tag_QTrial])</f>
        <v>➖</v>
      </c>
      <c r="J71" s="516" t="str">
        <f t="array" ref="J71">XLOOKUP(LCARS_Off[AbilityID],RawOfficer[AbilityID],RawOfficer[Tag_MissionBosses])</f>
        <v>➖</v>
      </c>
      <c r="K71" s="516" t="str">
        <f t="array" ref="K71">XLOOKUP(LCARS_Off[AbilityID],RawOfficer[AbilityID],RawOfficer[Tag_GroupArmadas])</f>
        <v>➖</v>
      </c>
      <c r="L71" s="516" t="str">
        <f t="array" ref="L71">XLOOKUP(LCARS_Off[AbilityID],RawOfficer[AbilityID],RawOfficer[Tag_SoloArmadas])</f>
        <v>➖</v>
      </c>
      <c r="M71" s="516" t="str">
        <f t="array" ref="M71">XLOOKUP(LCARS_Off[AbilityID],RawOfficer[AbilityID],RawOfficer[Tag_InvadingEntities])</f>
        <v>➖</v>
      </c>
      <c r="N71" s="516" t="str">
        <f t="array" ref="N71">XLOOKUP(LCARS_Off[AbilityID],RawOfficer[AbilityID],RawOfficer[Tag_Assaults])</f>
        <v>➖</v>
      </c>
      <c r="O71" s="516" t="str">
        <f t="array" ref="O71">XLOOKUP(LCARS_Off[AbilityID],RawOfficer[AbilityID],RawOfficer[Tag_OutpostArmadas])</f>
        <v>➖</v>
      </c>
      <c r="P71" s="516" t="str">
        <f t="array" ref="P71">XLOOKUP(LCARS_Off[AbilityID],RawOfficer[AbilityID],RawOfficer[Tag_OutpostRetaliators])</f>
        <v>➖</v>
      </c>
      <c r="Q71" s="517" t="str">
        <f t="array" ref="Q71">XLOOKUP(LCARS_Off[AbilityID],RawOfficer[AbilityID],RawOfficer[Conditional_Reason])</f>
        <v/>
      </c>
      <c r="R71" s="518" t="str">
        <f t="array" ref="R71">XLOOKUP(LCARS_Off[AbilityID],RawOfficer[AbilityID],RawOfficer[Tag_Loot])</f>
        <v>➖</v>
      </c>
      <c r="S71" s="516" t="str">
        <f t="array" ref="S71">XLOOKUP(LCARS_Off[AbilityID],RawOfficer[AbilityID],RawOfficer[Tag_Utility])</f>
        <v>➖</v>
      </c>
      <c r="T71" s="429" t="str">
        <f t="array" ref="T71">XLOOKUP(LCARS_Off[AbilityID],RawOfficer[AbilityID],RawOfficer[OfficerSynergy])</f>
        <v>AUXILIARY CONTROLS</v>
      </c>
      <c r="U71" s="519" t="str">
        <f t="array" ref="U71">XLOOKUP(LCARS_Off[AbilityID],RawOfficer[AbilityID],RawOfficer[AbilityModifier])</f>
        <v>AllDefenses</v>
      </c>
      <c r="V71" s="519" t="str">
        <f t="array" ref="V71">XLOOKUP(LCARS_Off[AbilityID],RawOfficer[AbilityID],RawOfficer[AbilityAttributes])</f>
        <v/>
      </c>
      <c r="W71" s="520" t="str">
        <f t="array" ref="W71">XLOOKUP(LCARS_Off[AbilityID],RawOfficer[AbilityID],RawOfficer[AbilityConditions])</f>
        <v>SelfAtStation</v>
      </c>
      <c r="X71" s="519" t="str">
        <f t="array" ref="X71">XLOOKUP(LCARS_Off[AbilityID],RawOfficer[AbilityID],RawOfficer[AbilityTrigger])</f>
        <v>ShipLaunched</v>
      </c>
      <c r="Y71" s="519" t="str">
        <f t="array" ref="Y71">XLOOKUP(LCARS_Off[AbilityID],RawOfficer[AbilityID],RawOfficer[AbilityTarget])</f>
        <v>SelfShip</v>
      </c>
      <c r="Z71" s="519" t="str">
        <f t="array" ref="Z71">XLOOKUP(LCARS_Off[AbilityID],RawOfficer[AbilityID],RawOfficer[AbilityOperation])</f>
        <v>MultiplyAdd</v>
      </c>
      <c r="AA71" s="521" t="str">
        <f t="array" ref="AA71">XLOOKUP(LCARS_Off[AbilityID],RawOfficer[AbilityID],RawOfficer[AbilityDescription])</f>
        <v>When defending the station, M'Benga increases Dodge, Armor and Shield Deflection by X.</v>
      </c>
      <c r="AB71" s="429" t="b">
        <v>0</v>
      </c>
      <c r="AC71" s="522" t="str">
        <f t="array" ref="AC71">XLOOKUP(LCARS_Off[AbilityID],RawOfficer[AbilityID],RawOfficer[AbilityDescriptionShort])</f>
        <v>+X to Dodge, Armor and Shield when defending the Station</v>
      </c>
      <c r="AD71" s="523"/>
      <c r="AE71" s="524"/>
      <c r="AF71" s="524"/>
      <c r="AG71" s="525" t="str">
        <f t="array" ref="AG71">XLOOKUP(LCARS_Off[AbilityID],RawOfficer[AbilityID],RawOfficer[AbilityChances])</f>
        <v>1.0, 1.0, 1.0, 1.0, 1.0</v>
      </c>
      <c r="AH71" s="525" t="str">
        <f t="array" ref="AH71">XLOOKUP(LCARS_Off[AbilityID],RawOfficer[AbilityID],RawOfficer[AbilityValues])</f>
        <v>0.1, 0.16, 0.22, 0.3, 0.4</v>
      </c>
      <c r="AI71" s="428" t="b">
        <f t="array" ref="AI71">XLOOKUP(LCARS_Off[AbilityID],RawOfficer[AbilityID],RawOfficer[AbilityHasChance])</f>
        <v>0</v>
      </c>
      <c r="AJ71" s="428" t="b">
        <f t="array" ref="AJ71">XLOOKUP(LCARS_Off[AbilityID],RawOfficer[AbilityID],RawOfficer[AbilityShowPercentage])</f>
        <v>1</v>
      </c>
      <c r="AK71" s="429">
        <f t="array" ref="AK71">XLOOKUP(LCARS_Off[AbilityID],RawOfficer[AbilityID],RawOfficer[OfficerArt])</f>
        <v>58</v>
      </c>
      <c r="AL71" s="430">
        <v>6.4409548E7</v>
      </c>
      <c r="AM71" s="430">
        <f t="array" ref="AM71">XLOOKUP(LCARS_Off[AbilityID],RawOfficer[AbilityID],RawOfficer[Default Order])</f>
        <v>68</v>
      </c>
    </row>
    <row r="72">
      <c r="A72" s="429" t="str">
        <f t="array" ref="A72">LEFT(XLOOKUP(LCARS_Off[AbilityID],RawOfficer[AbilityID],RawOfficer[OfficerRarity]), 1)</f>
        <v>R</v>
      </c>
      <c r="B72" s="429"/>
      <c r="C72" s="514" t="str">
        <f t="array" ref="C72">HYPERLINK("https://stfc.space/officers/" &amp; XLOOKUP(LCARS_Off[AbilityID],RawOfficer[AbilityID],RawOfficer[OfficerId]), XLOOKUP(LCARS_Off[AbilityID],RawOfficer[AbilityID],RawOfficer[OfficerName]))</f>
        <v>KURON</v>
      </c>
      <c r="D72" s="515" t="str">
        <f t="array" ref="D72">XLOOKUP(LCARS_Off[AbilityID],RawOfficer[AbilityID],RawOfficer[AbilityType])</f>
        <v>CM</v>
      </c>
      <c r="E72" s="516" t="str">
        <f t="array" ref="E72">XLOOKUP(LCARS_Off[AbilityID],RawOfficer[AbilityID],RawOfficer[Tag_PvPinSpace])</f>
        <v>✴️</v>
      </c>
      <c r="F72" s="516" t="str">
        <f t="array" ref="F72">XLOOKUP(LCARS_Off[AbilityID],RawOfficer[AbilityID],RawOfficer[Tag_PvPStation])</f>
        <v>✴️</v>
      </c>
      <c r="G72" s="516" t="str">
        <f t="array" ref="G72">XLOOKUP(LCARS_Off[AbilityID],RawOfficer[AbilityID],RawOfficer[Tag_NonArmadaHostiles])</f>
        <v>✴️</v>
      </c>
      <c r="H72" s="516" t="str">
        <f t="array" ref="H72">XLOOKUP(LCARS_Off[AbilityID],RawOfficer[AbilityID],RawOfficer[Tag_WaveDefense])</f>
        <v>✴️</v>
      </c>
      <c r="I72" s="516" t="str">
        <f t="array" ref="I72">XLOOKUP(LCARS_Off[AbilityID],RawOfficer[AbilityID],RawOfficer[Tag_QTrial])</f>
        <v>✴️</v>
      </c>
      <c r="J72" s="516" t="str">
        <f t="array" ref="J72">XLOOKUP(LCARS_Off[AbilityID],RawOfficer[AbilityID],RawOfficer[Tag_MissionBosses])</f>
        <v>✴️</v>
      </c>
      <c r="K72" s="516" t="str">
        <f t="array" ref="K72">XLOOKUP(LCARS_Off[AbilityID],RawOfficer[AbilityID],RawOfficer[Tag_GroupArmadas])</f>
        <v>✴️</v>
      </c>
      <c r="L72" s="516" t="str">
        <f t="array" ref="L72">XLOOKUP(LCARS_Off[AbilityID],RawOfficer[AbilityID],RawOfficer[Tag_SoloArmadas])</f>
        <v>✴️</v>
      </c>
      <c r="M72" s="516" t="str">
        <f t="array" ref="M72">XLOOKUP(LCARS_Off[AbilityID],RawOfficer[AbilityID],RawOfficer[Tag_InvadingEntities])</f>
        <v>✴️</v>
      </c>
      <c r="N72" s="516" t="str">
        <f t="array" ref="N72">XLOOKUP(LCARS_Off[AbilityID],RawOfficer[AbilityID],RawOfficer[Tag_Assaults])</f>
        <v>✴️</v>
      </c>
      <c r="O72" s="516" t="str">
        <f t="array" ref="O72">XLOOKUP(LCARS_Off[AbilityID],RawOfficer[AbilityID],RawOfficer[Tag_OutpostArmadas])</f>
        <v>✴️</v>
      </c>
      <c r="P72" s="516" t="str">
        <f t="array" ref="P72">XLOOKUP(LCARS_Off[AbilityID],RawOfficer[AbilityID],RawOfficer[Tag_OutpostRetaliators])</f>
        <v>✴️</v>
      </c>
      <c r="Q72" s="517" t="str">
        <f t="array" ref="Q72">XLOOKUP(LCARS_Off[AbilityID],RawOfficer[AbilityID],RawOfficer[Conditional_Reason])</f>
        <v>ModuleKinetic</v>
      </c>
      <c r="R72" s="518" t="str">
        <f t="array" ref="R72">XLOOKUP(LCARS_Off[AbilityID],RawOfficer[AbilityID],RawOfficer[Tag_Loot])</f>
        <v>➖</v>
      </c>
      <c r="S72" s="516" t="str">
        <f t="array" ref="S72">XLOOKUP(LCARS_Off[AbilityID],RawOfficer[AbilityID],RawOfficer[Tag_Utility])</f>
        <v>➖</v>
      </c>
      <c r="T72" s="429" t="str">
        <f t="array" ref="T72">XLOOKUP(LCARS_Off[AbilityID],RawOfficer[AbilityID],RawOfficer[OfficerSynergy])</f>
        <v>BLOOD &amp; HONOR</v>
      </c>
      <c r="U72" s="519" t="str">
        <f t="array" ref="U72">XLOOKUP(LCARS_Off[AbilityID],RawOfficer[AbilityID],RawOfficer[AbilityModifier])</f>
        <v>AllReloadSpeed</v>
      </c>
      <c r="V72" s="519" t="str">
        <f t="array" ref="V72">XLOOKUP(LCARS_Off[AbilityID],RawOfficer[AbilityID],RawOfficer[AbilityAttributes])</f>
        <v>num_rounds=1</v>
      </c>
      <c r="W72" s="520" t="str">
        <f t="array" ref="W72">XLOOKUP(LCARS_Off[AbilityID],RawOfficer[AbilityID],RawOfficer[AbilityConditions])</f>
        <v>ModuleKinetic</v>
      </c>
      <c r="X72" s="519" t="str">
        <f t="array" ref="X72">XLOOKUP(LCARS_Off[AbilityID],RawOfficer[AbilityID],RawOfficer[AbilityTrigger])</f>
        <v>CombatStart</v>
      </c>
      <c r="Y72" s="519" t="str">
        <f t="array" ref="Y72">XLOOKUP(LCARS_Off[AbilityID],RawOfficer[AbilityID],RawOfficer[AbilityTarget])</f>
        <v>SelfShip</v>
      </c>
      <c r="Z72" s="519" t="str">
        <f t="array" ref="Z72">XLOOKUP(LCARS_Off[AbilityID],RawOfficer[AbilityID],RawOfficer[AbilityOperation])</f>
        <v>Sub</v>
      </c>
      <c r="AA72" s="521" t="str">
        <f t="array" ref="AA72">XLOOKUP(LCARS_Off[AbilityID],RawOfficer[AbilityID],RawOfficer[AbilityDescription])</f>
        <v>Kuron has a X chance to automatically recharge all kinetic weapons on the first turn.</v>
      </c>
      <c r="AB72" s="429" t="b">
        <v>0</v>
      </c>
      <c r="AC72" s="522" t="str">
        <f t="array" ref="AC72">XLOOKUP(LCARS_Off[AbilityID],RawOfficer[AbilityID],RawOfficer[AbilityDescriptionShort])</f>
        <v>X chance to automatically recharge all kinetic weapons on the first turn</v>
      </c>
      <c r="AD72" s="523"/>
      <c r="AE72" s="524"/>
      <c r="AF72" s="524"/>
      <c r="AG72" s="525" t="str">
        <f t="array" ref="AG72">XLOOKUP(LCARS_Off[AbilityID],RawOfficer[AbilityID],RawOfficer[AbilityChances])</f>
        <v>0.5, 0.1, 0.2</v>
      </c>
      <c r="AH72" s="525" t="str">
        <f t="array" ref="AH72">XLOOKUP(LCARS_Off[AbilityID],RawOfficer[AbilityID],RawOfficer[AbilityValues])</f>
        <v>100.0, 0.0, 0.0</v>
      </c>
      <c r="AI72" s="428" t="b">
        <f t="array" ref="AI72">XLOOKUP(LCARS_Off[AbilityID],RawOfficer[AbilityID],RawOfficer[AbilityHasChance])</f>
        <v>1</v>
      </c>
      <c r="AJ72" s="428" t="b">
        <f t="array" ref="AJ72">XLOOKUP(LCARS_Off[AbilityID],RawOfficer[AbilityID],RawOfficer[AbilityShowPercentage])</f>
        <v>1</v>
      </c>
      <c r="AK72" s="429">
        <f t="array" ref="AK72">XLOOKUP(LCARS_Off[AbilityID],RawOfficer[AbilityID],RawOfficer[OfficerArt])</f>
        <v>25</v>
      </c>
      <c r="AL72" s="430">
        <v>1.556590305E9</v>
      </c>
      <c r="AM72" s="430">
        <f t="array" ref="AM72">XLOOKUP(LCARS_Off[AbilityID],RawOfficer[AbilityID],RawOfficer[Default Order])</f>
        <v>69</v>
      </c>
    </row>
    <row r="73">
      <c r="A73" s="429" t="str">
        <f t="array" ref="A73">LEFT(XLOOKUP(LCARS_Off[AbilityID],RawOfficer[AbilityID],RawOfficer[OfficerRarity]), 1)</f>
        <v>R</v>
      </c>
      <c r="B73" s="429"/>
      <c r="C73" s="514" t="str">
        <f t="array" ref="C73">HYPERLINK("https://stfc.space/officers/" &amp; XLOOKUP(LCARS_Off[AbilityID],RawOfficer[AbilityID],RawOfficer[OfficerId]), XLOOKUP(LCARS_Off[AbilityID],RawOfficer[AbilityID],RawOfficer[OfficerName]))</f>
        <v>KURON</v>
      </c>
      <c r="D73" s="515" t="str">
        <f t="array" ref="D73">XLOOKUP(LCARS_Off[AbilityID],RawOfficer[AbilityID],RawOfficer[AbilityType])</f>
        <v>OA</v>
      </c>
      <c r="E73" s="516" t="str">
        <f t="array" ref="E73">XLOOKUP(LCARS_Off[AbilityID],RawOfficer[AbilityID],RawOfficer[Tag_PvPinSpace])</f>
        <v>➖</v>
      </c>
      <c r="F73" s="516" t="str">
        <f t="array" ref="F73">XLOOKUP(LCARS_Off[AbilityID],RawOfficer[AbilityID],RawOfficer[Tag_PvPStation])</f>
        <v>➖</v>
      </c>
      <c r="G73" s="516" t="str">
        <f t="array" ref="G73">XLOOKUP(LCARS_Off[AbilityID],RawOfficer[AbilityID],RawOfficer[Tag_NonArmadaHostiles])</f>
        <v>➖</v>
      </c>
      <c r="H73" s="516" t="str">
        <f t="array" ref="H73">XLOOKUP(LCARS_Off[AbilityID],RawOfficer[AbilityID],RawOfficer[Tag_WaveDefense])</f>
        <v>➖</v>
      </c>
      <c r="I73" s="516" t="str">
        <f t="array" ref="I73">XLOOKUP(LCARS_Off[AbilityID],RawOfficer[AbilityID],RawOfficer[Tag_QTrial])</f>
        <v>➖</v>
      </c>
      <c r="J73" s="516" t="str">
        <f t="array" ref="J73">XLOOKUP(LCARS_Off[AbilityID],RawOfficer[AbilityID],RawOfficer[Tag_MissionBosses])</f>
        <v>➖</v>
      </c>
      <c r="K73" s="516" t="str">
        <f t="array" ref="K73">XLOOKUP(LCARS_Off[AbilityID],RawOfficer[AbilityID],RawOfficer[Tag_GroupArmadas])</f>
        <v>➖</v>
      </c>
      <c r="L73" s="516" t="str">
        <f t="array" ref="L73">XLOOKUP(LCARS_Off[AbilityID],RawOfficer[AbilityID],RawOfficer[Tag_SoloArmadas])</f>
        <v>➖</v>
      </c>
      <c r="M73" s="516" t="str">
        <f t="array" ref="M73">XLOOKUP(LCARS_Off[AbilityID],RawOfficer[AbilityID],RawOfficer[Tag_InvadingEntities])</f>
        <v>➖</v>
      </c>
      <c r="N73" s="516" t="str">
        <f t="array" ref="N73">XLOOKUP(LCARS_Off[AbilityID],RawOfficer[AbilityID],RawOfficer[Tag_Assaults])</f>
        <v>➖</v>
      </c>
      <c r="O73" s="516" t="str">
        <f t="array" ref="O73">XLOOKUP(LCARS_Off[AbilityID],RawOfficer[AbilityID],RawOfficer[Tag_OutpostArmadas])</f>
        <v>➖</v>
      </c>
      <c r="P73" s="516" t="str">
        <f t="array" ref="P73">XLOOKUP(LCARS_Off[AbilityID],RawOfficer[AbilityID],RawOfficer[Tag_OutpostRetaliators])</f>
        <v>➖</v>
      </c>
      <c r="Q73" s="517" t="str">
        <f t="array" ref="Q73">XLOOKUP(LCARS_Off[AbilityID],RawOfficer[AbilityID],RawOfficer[Conditional_Reason])</f>
        <v/>
      </c>
      <c r="R73" s="518" t="str">
        <f t="array" ref="R73">XLOOKUP(LCARS_Off[AbilityID],RawOfficer[AbilityID],RawOfficer[Tag_Loot])</f>
        <v>➖</v>
      </c>
      <c r="S73" s="516" t="str">
        <f t="array" ref="S73">XLOOKUP(LCARS_Off[AbilityID],RawOfficer[AbilityID],RawOfficer[Tag_Utility])</f>
        <v>✅</v>
      </c>
      <c r="T73" s="429" t="str">
        <f t="array" ref="T73">XLOOKUP(LCARS_Off[AbilityID],RawOfficer[AbilityID],RawOfficer[OfficerSynergy])</f>
        <v>BLOOD &amp; HONOR</v>
      </c>
      <c r="U73" s="519" t="str">
        <f t="array" ref="U73">XLOOKUP(LCARS_Off[AbilityID],RawOfficer[AbilityID],RawOfficer[AbilityModifier])</f>
        <v>ImpulseSpeed</v>
      </c>
      <c r="V73" s="519" t="str">
        <f t="array" ref="V73">XLOOKUP(LCARS_Off[AbilityID],RawOfficer[AbilityID],RawOfficer[AbilityAttributes])</f>
        <v>duration_seconds=30</v>
      </c>
      <c r="W73" s="520" t="str">
        <f t="array" ref="W73">XLOOKUP(LCARS_Off[AbilityID],RawOfficer[AbilityID],RawOfficer[AbilityConditions])</f>
        <v/>
      </c>
      <c r="X73" s="519" t="str">
        <f t="array" ref="X73">XLOOKUP(LCARS_Off[AbilityID],RawOfficer[AbilityID],RawOfficer[AbilityTrigger])</f>
        <v>BattleWon</v>
      </c>
      <c r="Y73" s="519" t="str">
        <f t="array" ref="Y73">XLOOKUP(LCARS_Off[AbilityID],RawOfficer[AbilityID],RawOfficer[AbilityTarget])</f>
        <v>SelfShip</v>
      </c>
      <c r="Z73" s="519" t="str">
        <f t="array" ref="Z73">XLOOKUP(LCARS_Off[AbilityID],RawOfficer[AbilityID],RawOfficer[AbilityOperation])</f>
        <v>MultiplyAdd</v>
      </c>
      <c r="AA73" s="521" t="str">
        <f t="array" ref="AA73">XLOOKUP(LCARS_Off[AbilityID],RawOfficer[AbilityID],RawOfficer[AbilityDescription])</f>
        <v>After destroying a ship, Kuron increases the Impulse Speed by X until his ship's next battle or its return to the Station.</v>
      </c>
      <c r="AB73" s="429" t="b">
        <v>0</v>
      </c>
      <c r="AC73" s="522" t="str">
        <f t="array" ref="AC73">XLOOKUP(LCARS_Off[AbilityID],RawOfficer[AbilityID],RawOfficer[AbilityDescriptionShort])</f>
        <v>+X to Impulse Speed after destroying a ship.</v>
      </c>
      <c r="AD73" s="523"/>
      <c r="AE73" s="524"/>
      <c r="AF73" s="524"/>
      <c r="AG73" s="525" t="str">
        <f t="array" ref="AG73">XLOOKUP(LCARS_Off[AbilityID],RawOfficer[AbilityID],RawOfficer[AbilityChances])</f>
        <v>1.0, 1.0, 1.0, 1.0, 1.0</v>
      </c>
      <c r="AH73" s="525" t="str">
        <f t="array" ref="AH73">XLOOKUP(LCARS_Off[AbilityID],RawOfficer[AbilityID],RawOfficer[AbilityValues])</f>
        <v>0.25, 0.3, 0.35, 0.4, 0.5</v>
      </c>
      <c r="AI73" s="428" t="b">
        <f t="array" ref="AI73">XLOOKUP(LCARS_Off[AbilityID],RawOfficer[AbilityID],RawOfficer[AbilityHasChance])</f>
        <v>0</v>
      </c>
      <c r="AJ73" s="428" t="b">
        <f t="array" ref="AJ73">XLOOKUP(LCARS_Off[AbilityID],RawOfficer[AbilityID],RawOfficer[AbilityShowPercentage])</f>
        <v>1</v>
      </c>
      <c r="AK73" s="429">
        <f t="array" ref="AK73">XLOOKUP(LCARS_Off[AbilityID],RawOfficer[AbilityID],RawOfficer[OfficerArt])</f>
        <v>25</v>
      </c>
      <c r="AL73" s="430">
        <v>2.443405066E9</v>
      </c>
      <c r="AM73" s="430">
        <f t="array" ref="AM73">XLOOKUP(LCARS_Off[AbilityID],RawOfficer[AbilityID],RawOfficer[Default Order])</f>
        <v>70</v>
      </c>
    </row>
    <row r="74">
      <c r="A74" s="429" t="str">
        <f t="array" ref="A74">LEFT(XLOOKUP(LCARS_Off[AbilityID],RawOfficer[AbilityID],RawOfficer[OfficerRarity]), 1)</f>
        <v>U</v>
      </c>
      <c r="B74" s="429"/>
      <c r="C74" s="514" t="str">
        <f t="array" ref="C74">HYPERLINK("https://stfc.space/officers/" &amp; XLOOKUP(LCARS_Off[AbilityID],RawOfficer[AbilityID],RawOfficer[OfficerId]), XLOOKUP(LCARS_Off[AbilityID],RawOfficer[AbilityID],RawOfficer[OfficerName]))</f>
        <v>YAN'AGH</v>
      </c>
      <c r="D74" s="515" t="str">
        <f t="array" ref="D74">XLOOKUP(LCARS_Off[AbilityID],RawOfficer[AbilityID],RawOfficer[AbilityType])</f>
        <v>CM</v>
      </c>
      <c r="E74" s="516" t="str">
        <f t="array" ref="E74">XLOOKUP(LCARS_Off[AbilityID],RawOfficer[AbilityID],RawOfficer[Tag_PvPinSpace])</f>
        <v>✅</v>
      </c>
      <c r="F74" s="516" t="str">
        <f t="array" ref="F74">XLOOKUP(LCARS_Off[AbilityID],RawOfficer[AbilityID],RawOfficer[Tag_PvPStation])</f>
        <v>✅</v>
      </c>
      <c r="G74" s="516" t="str">
        <f t="array" ref="G74">XLOOKUP(LCARS_Off[AbilityID],RawOfficer[AbilityID],RawOfficer[Tag_NonArmadaHostiles])</f>
        <v>✅</v>
      </c>
      <c r="H74" s="516" t="str">
        <f t="array" ref="H74">XLOOKUP(LCARS_Off[AbilityID],RawOfficer[AbilityID],RawOfficer[Tag_WaveDefense])</f>
        <v>✅</v>
      </c>
      <c r="I74" s="516" t="str">
        <f t="array" ref="I74">XLOOKUP(LCARS_Off[AbilityID],RawOfficer[AbilityID],RawOfficer[Tag_QTrial])</f>
        <v>✅</v>
      </c>
      <c r="J74" s="516" t="str">
        <f t="array" ref="J74">XLOOKUP(LCARS_Off[AbilityID],RawOfficer[AbilityID],RawOfficer[Tag_MissionBosses])</f>
        <v>✅</v>
      </c>
      <c r="K74" s="516" t="str">
        <f t="array" ref="K74">XLOOKUP(LCARS_Off[AbilityID],RawOfficer[AbilityID],RawOfficer[Tag_GroupArmadas])</f>
        <v>✅</v>
      </c>
      <c r="L74" s="516" t="str">
        <f t="array" ref="L74">XLOOKUP(LCARS_Off[AbilityID],RawOfficer[AbilityID],RawOfficer[Tag_SoloArmadas])</f>
        <v>✅</v>
      </c>
      <c r="M74" s="516" t="str">
        <f t="array" ref="M74">XLOOKUP(LCARS_Off[AbilityID],RawOfficer[AbilityID],RawOfficer[Tag_InvadingEntities])</f>
        <v>✅</v>
      </c>
      <c r="N74" s="516" t="str">
        <f t="array" ref="N74">XLOOKUP(LCARS_Off[AbilityID],RawOfficer[AbilityID],RawOfficer[Tag_Assaults])</f>
        <v>✅</v>
      </c>
      <c r="O74" s="516" t="str">
        <f t="array" ref="O74">XLOOKUP(LCARS_Off[AbilityID],RawOfficer[AbilityID],RawOfficer[Tag_OutpostArmadas])</f>
        <v>✅</v>
      </c>
      <c r="P74" s="516" t="str">
        <f t="array" ref="P74">XLOOKUP(LCARS_Off[AbilityID],RawOfficer[AbilityID],RawOfficer[Tag_OutpostRetaliators])</f>
        <v>✅</v>
      </c>
      <c r="Q74" s="517" t="str">
        <f t="array" ref="Q74">XLOOKUP(LCARS_Off[AbilityID],RawOfficer[AbilityID],RawOfficer[Conditional_Reason])</f>
        <v/>
      </c>
      <c r="R74" s="518" t="str">
        <f t="array" ref="R74">XLOOKUP(LCARS_Off[AbilityID],RawOfficer[AbilityID],RawOfficer[Tag_Loot])</f>
        <v>➖</v>
      </c>
      <c r="S74" s="516" t="str">
        <f t="array" ref="S74">XLOOKUP(LCARS_Off[AbilityID],RawOfficer[AbilityID],RawOfficer[Tag_Utility])</f>
        <v>➖</v>
      </c>
      <c r="T74" s="429" t="str">
        <f t="array" ref="T74">XLOOKUP(LCARS_Off[AbilityID],RawOfficer[AbilityID],RawOfficer[OfficerSynergy])</f>
        <v>BLOOD &amp; HONOR</v>
      </c>
      <c r="U74" s="519" t="str">
        <f t="array" ref="U74">XLOOKUP(LCARS_Off[AbilityID],RawOfficer[AbilityID],RawOfficer[AbilityModifier])</f>
        <v>AllDamage</v>
      </c>
      <c r="V74" s="519" t="str">
        <f t="array" ref="V74">XLOOKUP(LCARS_Off[AbilityID],RawOfficer[AbilityID],RawOfficer[AbilityAttributes])</f>
        <v/>
      </c>
      <c r="W74" s="520" t="str">
        <f t="array" ref="W74">XLOOKUP(LCARS_Off[AbilityID],RawOfficer[AbilityID],RawOfficer[AbilityConditions])</f>
        <v/>
      </c>
      <c r="X74" s="519" t="str">
        <f t="array" ref="X74">XLOOKUP(LCARS_Off[AbilityID],RawOfficer[AbilityID],RawOfficer[AbilityTrigger])</f>
        <v>TargetShieldsDepleted</v>
      </c>
      <c r="Y74" s="519" t="str">
        <f t="array" ref="Y74">XLOOKUP(LCARS_Off[AbilityID],RawOfficer[AbilityID],RawOfficer[AbilityTarget])</f>
        <v>SelfShip</v>
      </c>
      <c r="Z74" s="519" t="str">
        <f t="array" ref="Z74">XLOOKUP(LCARS_Off[AbilityID],RawOfficer[AbilityID],RawOfficer[AbilityOperation])</f>
        <v>MultiplyAdd</v>
      </c>
      <c r="AA74" s="521" t="str">
        <f t="array" ref="AA74">XLOOKUP(LCARS_Off[AbilityID],RawOfficer[AbilityID],RawOfficer[AbilityDescription])</f>
        <v>When the opponent's ship Shield Health is depleted, Yan'agh increases the Weapon Damage by X.</v>
      </c>
      <c r="AB74" s="429" t="b">
        <v>0</v>
      </c>
      <c r="AC74" s="522" t="str">
        <f t="array" ref="AC74">XLOOKUP(LCARS_Off[AbilityID],RawOfficer[AbilityID],RawOfficer[AbilityDescriptionShort])</f>
        <v>X to damage after depleting the opponent's Shield Health</v>
      </c>
      <c r="AD74" s="523"/>
      <c r="AE74" s="524"/>
      <c r="AF74" s="524"/>
      <c r="AG74" s="525" t="str">
        <f t="array" ref="AG74">XLOOKUP(LCARS_Off[AbilityID],RawOfficer[AbilityID],RawOfficer[AbilityChances])</f>
        <v>1.0, 1.0, 1.0</v>
      </c>
      <c r="AH74" s="525" t="str">
        <f t="array" ref="AH74">XLOOKUP(LCARS_Off[AbilityID],RawOfficer[AbilityID],RawOfficer[AbilityValues])</f>
        <v>0.1, 0.05, 0.1</v>
      </c>
      <c r="AI74" s="428" t="b">
        <f t="array" ref="AI74">XLOOKUP(LCARS_Off[AbilityID],RawOfficer[AbilityID],RawOfficer[AbilityHasChance])</f>
        <v>0</v>
      </c>
      <c r="AJ74" s="428" t="b">
        <f t="array" ref="AJ74">XLOOKUP(LCARS_Off[AbilityID],RawOfficer[AbilityID],RawOfficer[AbilityShowPercentage])</f>
        <v>1</v>
      </c>
      <c r="AK74" s="429">
        <f t="array" ref="AK74">XLOOKUP(LCARS_Off[AbilityID],RawOfficer[AbilityID],RawOfficer[OfficerArt])</f>
        <v>26</v>
      </c>
      <c r="AL74" s="430">
        <v>7.5374504E8</v>
      </c>
      <c r="AM74" s="430">
        <f t="array" ref="AM74">XLOOKUP(LCARS_Off[AbilityID],RawOfficer[AbilityID],RawOfficer[Default Order])</f>
        <v>71</v>
      </c>
    </row>
    <row r="75">
      <c r="A75" s="429" t="str">
        <f t="array" ref="A75">LEFT(XLOOKUP(LCARS_Off[AbilityID],RawOfficer[AbilityID],RawOfficer[OfficerRarity]), 1)</f>
        <v>U</v>
      </c>
      <c r="B75" s="429"/>
      <c r="C75" s="514" t="str">
        <f t="array" ref="C75">HYPERLINK("https://stfc.space/officers/" &amp; XLOOKUP(LCARS_Off[AbilityID],RawOfficer[AbilityID],RawOfficer[OfficerId]), XLOOKUP(LCARS_Off[AbilityID],RawOfficer[AbilityID],RawOfficer[OfficerName]))</f>
        <v>YAN'AGH</v>
      </c>
      <c r="D75" s="515" t="str">
        <f t="array" ref="D75">XLOOKUP(LCARS_Off[AbilityID],RawOfficer[AbilityID],RawOfficer[AbilityType])</f>
        <v>OA</v>
      </c>
      <c r="E75" s="516" t="str">
        <f t="array" ref="E75">XLOOKUP(LCARS_Off[AbilityID],RawOfficer[AbilityID],RawOfficer[Tag_PvPinSpace])</f>
        <v>✴️</v>
      </c>
      <c r="F75" s="516" t="str">
        <f t="array" ref="F75">XLOOKUP(LCARS_Off[AbilityID],RawOfficer[AbilityID],RawOfficer[Tag_PvPStation])</f>
        <v>✴️</v>
      </c>
      <c r="G75" s="516" t="str">
        <f t="array" ref="G75">XLOOKUP(LCARS_Off[AbilityID],RawOfficer[AbilityID],RawOfficer[Tag_NonArmadaHostiles])</f>
        <v>✴️</v>
      </c>
      <c r="H75" s="516" t="str">
        <f t="array" ref="H75">XLOOKUP(LCARS_Off[AbilityID],RawOfficer[AbilityID],RawOfficer[Tag_WaveDefense])</f>
        <v>✴️</v>
      </c>
      <c r="I75" s="516" t="str">
        <f t="array" ref="I75">XLOOKUP(LCARS_Off[AbilityID],RawOfficer[AbilityID],RawOfficer[Tag_QTrial])</f>
        <v>✴️</v>
      </c>
      <c r="J75" s="516" t="str">
        <f t="array" ref="J75">XLOOKUP(LCARS_Off[AbilityID],RawOfficer[AbilityID],RawOfficer[Tag_MissionBosses])</f>
        <v>✴️</v>
      </c>
      <c r="K75" s="516" t="str">
        <f t="array" ref="K75">XLOOKUP(LCARS_Off[AbilityID],RawOfficer[AbilityID],RawOfficer[Tag_GroupArmadas])</f>
        <v>✴️</v>
      </c>
      <c r="L75" s="516" t="str">
        <f t="array" ref="L75">XLOOKUP(LCARS_Off[AbilityID],RawOfficer[AbilityID],RawOfficer[Tag_SoloArmadas])</f>
        <v>✴️</v>
      </c>
      <c r="M75" s="516" t="str">
        <f t="array" ref="M75">XLOOKUP(LCARS_Off[AbilityID],RawOfficer[AbilityID],RawOfficer[Tag_InvadingEntities])</f>
        <v>➖</v>
      </c>
      <c r="N75" s="516" t="str">
        <f t="array" ref="N75">XLOOKUP(LCARS_Off[AbilityID],RawOfficer[AbilityID],RawOfficer[Tag_Assaults])</f>
        <v>✴️</v>
      </c>
      <c r="O75" s="516" t="str">
        <f t="array" ref="O75">XLOOKUP(LCARS_Off[AbilityID],RawOfficer[AbilityID],RawOfficer[Tag_OutpostArmadas])</f>
        <v>➖</v>
      </c>
      <c r="P75" s="516" t="str">
        <f t="array" ref="P75">XLOOKUP(LCARS_Off[AbilityID],RawOfficer[AbilityID],RawOfficer[Tag_OutpostRetaliators])</f>
        <v>➖</v>
      </c>
      <c r="Q75" s="517" t="str">
        <f t="array" ref="Q75">XLOOKUP(LCARS_Off[AbilityID],RawOfficer[AbilityID],RawOfficer[Conditional_Reason])</f>
        <v>Romulan</v>
      </c>
      <c r="R75" s="518" t="str">
        <f t="array" ref="R75">XLOOKUP(LCARS_Off[AbilityID],RawOfficer[AbilityID],RawOfficer[Tag_Loot])</f>
        <v>➖</v>
      </c>
      <c r="S75" s="516" t="str">
        <f t="array" ref="S75">XLOOKUP(LCARS_Off[AbilityID],RawOfficer[AbilityID],RawOfficer[Tag_Utility])</f>
        <v>➖</v>
      </c>
      <c r="T75" s="429" t="str">
        <f t="array" ref="T75">XLOOKUP(LCARS_Off[AbilityID],RawOfficer[AbilityID],RawOfficer[OfficerSynergy])</f>
        <v>BLOOD &amp; HONOR</v>
      </c>
      <c r="U75" s="519" t="str">
        <f t="array" ref="U75">XLOOKUP(LCARS_Off[AbilityID],RawOfficer[AbilityID],RawOfficer[AbilityModifier])</f>
        <v>AllDamage</v>
      </c>
      <c r="V75" s="519" t="str">
        <f t="array" ref="V75">XLOOKUP(LCARS_Off[AbilityID],RawOfficer[AbilityID],RawOfficer[AbilityAttributes])</f>
        <v>faction_id=669838839, officer_stat=3</v>
      </c>
      <c r="W75" s="520" t="str">
        <f t="array" ref="W75">XLOOKUP(LCARS_Off[AbilityID],RawOfficer[AbilityID],RawOfficer[AbilityConditions])</f>
        <v>EnemyHullFaction</v>
      </c>
      <c r="X75" s="519" t="str">
        <f t="array" ref="X75">XLOOKUP(LCARS_Off[AbilityID],RawOfficer[AbilityID],RawOfficer[AbilityTrigger])</f>
        <v>CombatStart</v>
      </c>
      <c r="Y75" s="519" t="str">
        <f t="array" ref="Y75">XLOOKUP(LCARS_Off[AbilityID],RawOfficer[AbilityID],RawOfficer[AbilityTarget])</f>
        <v>SelfShip</v>
      </c>
      <c r="Z75" s="519" t="str">
        <f t="array" ref="Z75">XLOOKUP(LCARS_Off[AbilityID],RawOfficer[AbilityID],RawOfficer[AbilityOperation])</f>
        <v>MultiplyBaseAdd</v>
      </c>
      <c r="AA75" s="521" t="str">
        <f t="array" ref="AA75">XLOOKUP(LCARS_Off[AbilityID],RawOfficer[AbilityID],RawOfficer[AbilityDescription])</f>
        <v>Yan'agh increases the Damage against Romulan ships by X of the crew's Health.</v>
      </c>
      <c r="AB75" s="429" t="b">
        <v>0</v>
      </c>
      <c r="AC75" s="522" t="str">
        <f t="array" ref="AC75">XLOOKUP(LCARS_Off[AbilityID],RawOfficer[AbilityID],RawOfficer[AbilityDescriptionShort])</f>
        <v>X of the crew's Health bonus in Damage against Romulan ships</v>
      </c>
      <c r="AD75" s="523"/>
      <c r="AE75" s="524"/>
      <c r="AF75" s="524"/>
      <c r="AG75" s="525" t="str">
        <f t="array" ref="AG75">XLOOKUP(LCARS_Off[AbilityID],RawOfficer[AbilityID],RawOfficer[AbilityChances])</f>
        <v>1.0, 1.0, 1.0, 1.0, 1.0</v>
      </c>
      <c r="AH75" s="525" t="str">
        <f t="array" ref="AH75">XLOOKUP(LCARS_Off[AbilityID],RawOfficer[AbilityID],RawOfficer[AbilityValues])</f>
        <v>0.25, 0.35, 0.75, 1.75, 5.0</v>
      </c>
      <c r="AI75" s="428" t="b">
        <f t="array" ref="AI75">XLOOKUP(LCARS_Off[AbilityID],RawOfficer[AbilityID],RawOfficer[AbilityHasChance])</f>
        <v>0</v>
      </c>
      <c r="AJ75" s="428" t="b">
        <f t="array" ref="AJ75">XLOOKUP(LCARS_Off[AbilityID],RawOfficer[AbilityID],RawOfficer[AbilityShowPercentage])</f>
        <v>1</v>
      </c>
      <c r="AK75" s="429">
        <f t="array" ref="AK75">XLOOKUP(LCARS_Off[AbilityID],RawOfficer[AbilityID],RawOfficer[OfficerArt])</f>
        <v>26</v>
      </c>
      <c r="AL75" s="430">
        <v>6.60977416E8</v>
      </c>
      <c r="AM75" s="430">
        <f t="array" ref="AM75">XLOOKUP(LCARS_Off[AbilityID],RawOfficer[AbilityID],RawOfficer[Default Order])</f>
        <v>72</v>
      </c>
    </row>
    <row r="76">
      <c r="A76" s="429" t="str">
        <f t="array" ref="A76">LEFT(XLOOKUP(LCARS_Off[AbilityID],RawOfficer[AbilityID],RawOfficer[OfficerRarity]), 1)</f>
        <v>R</v>
      </c>
      <c r="B76" s="429"/>
      <c r="C76" s="514" t="str">
        <f t="array" ref="C76">HYPERLINK("https://stfc.space/officers/" &amp; XLOOKUP(LCARS_Off[AbilityID],RawOfficer[AbilityID],RawOfficer[OfficerId]), XLOOKUP(LCARS_Off[AbilityID],RawOfficer[AbilityID],RawOfficer[OfficerName]))</f>
        <v>TAL</v>
      </c>
      <c r="D76" s="515" t="str">
        <f t="array" ref="D76">XLOOKUP(LCARS_Off[AbilityID],RawOfficer[AbilityID],RawOfficer[AbilityType])</f>
        <v>CM</v>
      </c>
      <c r="E76" s="516" t="str">
        <f t="array" ref="E76">XLOOKUP(LCARS_Off[AbilityID],RawOfficer[AbilityID],RawOfficer[Tag_PvPinSpace])</f>
        <v>✴️</v>
      </c>
      <c r="F76" s="516" t="str">
        <f t="array" ref="F76">XLOOKUP(LCARS_Off[AbilityID],RawOfficer[AbilityID],RawOfficer[Tag_PvPStation])</f>
        <v>✴️</v>
      </c>
      <c r="G76" s="516" t="str">
        <f t="array" ref="G76">XLOOKUP(LCARS_Off[AbilityID],RawOfficer[AbilityID],RawOfficer[Tag_NonArmadaHostiles])</f>
        <v>✴️</v>
      </c>
      <c r="H76" s="516" t="str">
        <f t="array" ref="H76">XLOOKUP(LCARS_Off[AbilityID],RawOfficer[AbilityID],RawOfficer[Tag_WaveDefense])</f>
        <v>✴️</v>
      </c>
      <c r="I76" s="516" t="str">
        <f t="array" ref="I76">XLOOKUP(LCARS_Off[AbilityID],RawOfficer[AbilityID],RawOfficer[Tag_QTrial])</f>
        <v>✴️</v>
      </c>
      <c r="J76" s="516" t="str">
        <f t="array" ref="J76">XLOOKUP(LCARS_Off[AbilityID],RawOfficer[AbilityID],RawOfficer[Tag_MissionBosses])</f>
        <v>✴️</v>
      </c>
      <c r="K76" s="516" t="str">
        <f t="array" ref="K76">XLOOKUP(LCARS_Off[AbilityID],RawOfficer[AbilityID],RawOfficer[Tag_GroupArmadas])</f>
        <v>✴️</v>
      </c>
      <c r="L76" s="516" t="str">
        <f t="array" ref="L76">XLOOKUP(LCARS_Off[AbilityID],RawOfficer[AbilityID],RawOfficer[Tag_SoloArmadas])</f>
        <v>✴️</v>
      </c>
      <c r="M76" s="516" t="str">
        <f t="array" ref="M76">XLOOKUP(LCARS_Off[AbilityID],RawOfficer[AbilityID],RawOfficer[Tag_InvadingEntities])</f>
        <v>✴️</v>
      </c>
      <c r="N76" s="516" t="str">
        <f t="array" ref="N76">XLOOKUP(LCARS_Off[AbilityID],RawOfficer[AbilityID],RawOfficer[Tag_Assaults])</f>
        <v>✴️</v>
      </c>
      <c r="O76" s="516" t="str">
        <f t="array" ref="O76">XLOOKUP(LCARS_Off[AbilityID],RawOfficer[AbilityID],RawOfficer[Tag_OutpostArmadas])</f>
        <v>✴️</v>
      </c>
      <c r="P76" s="516" t="str">
        <f t="array" ref="P76">XLOOKUP(LCARS_Off[AbilityID],RawOfficer[AbilityID],RawOfficer[Tag_OutpostRetaliators])</f>
        <v>✴️</v>
      </c>
      <c r="Q76" s="517" t="str">
        <f t="array" ref="Q76">XLOOKUP(LCARS_Off[AbilityID],RawOfficer[AbilityID],RawOfficer[Conditional_Reason])</f>
        <v>EnemyBattleship</v>
      </c>
      <c r="R76" s="518" t="str">
        <f t="array" ref="R76">XLOOKUP(LCARS_Off[AbilityID],RawOfficer[AbilityID],RawOfficer[Tag_Loot])</f>
        <v>➖</v>
      </c>
      <c r="S76" s="516" t="str">
        <f t="array" ref="S76">XLOOKUP(LCARS_Off[AbilityID],RawOfficer[AbilityID],RawOfficer[Tag_Utility])</f>
        <v>➖</v>
      </c>
      <c r="T76" s="429" t="str">
        <f t="array" ref="T76">XLOOKUP(LCARS_Off[AbilityID],RawOfficer[AbilityID],RawOfficer[OfficerSynergy])</f>
        <v>ROMULAN PATRIOTS</v>
      </c>
      <c r="U76" s="519" t="str">
        <f t="array" ref="U76">XLOOKUP(LCARS_Off[AbilityID],RawOfficer[AbilityID],RawOfficer[AbilityModifier])</f>
        <v>AllDamage</v>
      </c>
      <c r="V76" s="519" t="str">
        <f t="array" ref="V76">XLOOKUP(LCARS_Off[AbilityID],RawOfficer[AbilityID],RawOfficer[AbilityAttributes])</f>
        <v/>
      </c>
      <c r="W76" s="520" t="str">
        <f t="array" ref="W76">XLOOKUP(LCARS_Off[AbilityID],RawOfficer[AbilityID],RawOfficer[AbilityConditions])</f>
        <v>EnemyBattleship</v>
      </c>
      <c r="X76" s="519" t="str">
        <f t="array" ref="X76">XLOOKUP(LCARS_Off[AbilityID],RawOfficer[AbilityID],RawOfficer[AbilityTrigger])</f>
        <v>CombatStart</v>
      </c>
      <c r="Y76" s="519" t="str">
        <f t="array" ref="Y76">XLOOKUP(LCARS_Off[AbilityID],RawOfficer[AbilityID],RawOfficer[AbilityTarget])</f>
        <v>SelfShip</v>
      </c>
      <c r="Z76" s="519" t="str">
        <f t="array" ref="Z76">XLOOKUP(LCARS_Off[AbilityID],RawOfficer[AbilityID],RawOfficer[AbilityOperation])</f>
        <v>MultiplyAdd</v>
      </c>
      <c r="AA76" s="521" t="str">
        <f t="array" ref="AA76">XLOOKUP(LCARS_Off[AbilityID],RawOfficer[AbilityID],RawOfficer[AbilityDescription])</f>
        <v>When fighting Battleships, Tal increases the Weapon damage of the ship by X</v>
      </c>
      <c r="AB76" s="429" t="b">
        <v>0</v>
      </c>
      <c r="AC76" s="522" t="str">
        <f t="array" ref="AC76">XLOOKUP(LCARS_Off[AbilityID],RawOfficer[AbilityID],RawOfficer[AbilityDescriptionShort])</f>
        <v>+X Damage against battleships</v>
      </c>
      <c r="AD76" s="523"/>
      <c r="AE76" s="524"/>
      <c r="AF76" s="524"/>
      <c r="AG76" s="525" t="str">
        <f t="array" ref="AG76">XLOOKUP(LCARS_Off[AbilityID],RawOfficer[AbilityID],RawOfficer[AbilityChances])</f>
        <v>1.0, 1.0, 1.0</v>
      </c>
      <c r="AH76" s="525" t="str">
        <f t="array" ref="AH76">XLOOKUP(LCARS_Off[AbilityID],RawOfficer[AbilityID],RawOfficer[AbilityValues])</f>
        <v>0.2, 0.1, 0.2</v>
      </c>
      <c r="AI76" s="428" t="b">
        <f t="array" ref="AI76">XLOOKUP(LCARS_Off[AbilityID],RawOfficer[AbilityID],RawOfficer[AbilityHasChance])</f>
        <v>0</v>
      </c>
      <c r="AJ76" s="428" t="b">
        <f t="array" ref="AJ76">XLOOKUP(LCARS_Off[AbilityID],RawOfficer[AbilityID],RawOfficer[AbilityShowPercentage])</f>
        <v>1</v>
      </c>
      <c r="AK76" s="429">
        <f t="array" ref="AK76">XLOOKUP(LCARS_Off[AbilityID],RawOfficer[AbilityID],RawOfficer[OfficerArt])</f>
        <v>30</v>
      </c>
      <c r="AL76" s="430">
        <v>2.857502443E9</v>
      </c>
      <c r="AM76" s="430">
        <f t="array" ref="AM76">XLOOKUP(LCARS_Off[AbilityID],RawOfficer[AbilityID],RawOfficer[Default Order])</f>
        <v>73</v>
      </c>
    </row>
    <row r="77">
      <c r="A77" s="429" t="str">
        <f t="array" ref="A77">LEFT(XLOOKUP(LCARS_Off[AbilityID],RawOfficer[AbilityID],RawOfficer[OfficerRarity]), 1)</f>
        <v>R</v>
      </c>
      <c r="B77" s="429"/>
      <c r="C77" s="514" t="str">
        <f t="array" ref="C77">HYPERLINK("https://stfc.space/officers/" &amp; XLOOKUP(LCARS_Off[AbilityID],RawOfficer[AbilityID],RawOfficer[OfficerId]), XLOOKUP(LCARS_Off[AbilityID],RawOfficer[AbilityID],RawOfficer[OfficerName]))</f>
        <v>TAL</v>
      </c>
      <c r="D77" s="515" t="str">
        <f t="array" ref="D77">XLOOKUP(LCARS_Off[AbilityID],RawOfficer[AbilityID],RawOfficer[AbilityType])</f>
        <v>OA</v>
      </c>
      <c r="E77" s="516" t="str">
        <f t="array" ref="E77">XLOOKUP(LCARS_Off[AbilityID],RawOfficer[AbilityID],RawOfficer[Tag_PvPinSpace])</f>
        <v>✴️</v>
      </c>
      <c r="F77" s="516" t="str">
        <f t="array" ref="F77">XLOOKUP(LCARS_Off[AbilityID],RawOfficer[AbilityID],RawOfficer[Tag_PvPStation])</f>
        <v>✴️</v>
      </c>
      <c r="G77" s="516" t="str">
        <f t="array" ref="G77">XLOOKUP(LCARS_Off[AbilityID],RawOfficer[AbilityID],RawOfficer[Tag_NonArmadaHostiles])</f>
        <v>✴️</v>
      </c>
      <c r="H77" s="516" t="str">
        <f t="array" ref="H77">XLOOKUP(LCARS_Off[AbilityID],RawOfficer[AbilityID],RawOfficer[Tag_WaveDefense])</f>
        <v>✴️</v>
      </c>
      <c r="I77" s="516" t="str">
        <f t="array" ref="I77">XLOOKUP(LCARS_Off[AbilityID],RawOfficer[AbilityID],RawOfficer[Tag_QTrial])</f>
        <v>➖</v>
      </c>
      <c r="J77" s="516" t="str">
        <f t="array" ref="J77">XLOOKUP(LCARS_Off[AbilityID],RawOfficer[AbilityID],RawOfficer[Tag_MissionBosses])</f>
        <v>✴️</v>
      </c>
      <c r="K77" s="516" t="str">
        <f t="array" ref="K77">XLOOKUP(LCARS_Off[AbilityID],RawOfficer[AbilityID],RawOfficer[Tag_GroupArmadas])</f>
        <v>➖</v>
      </c>
      <c r="L77" s="516" t="str">
        <f t="array" ref="L77">XLOOKUP(LCARS_Off[AbilityID],RawOfficer[AbilityID],RawOfficer[Tag_SoloArmadas])</f>
        <v>➖</v>
      </c>
      <c r="M77" s="516" t="str">
        <f t="array" ref="M77">XLOOKUP(LCARS_Off[AbilityID],RawOfficer[AbilityID],RawOfficer[Tag_InvadingEntities])</f>
        <v>➖</v>
      </c>
      <c r="N77" s="516" t="str">
        <f t="array" ref="N77">XLOOKUP(LCARS_Off[AbilityID],RawOfficer[AbilityID],RawOfficer[Tag_Assaults])</f>
        <v>➖</v>
      </c>
      <c r="O77" s="516" t="str">
        <f t="array" ref="O77">XLOOKUP(LCARS_Off[AbilityID],RawOfficer[AbilityID],RawOfficer[Tag_OutpostArmadas])</f>
        <v>✴️</v>
      </c>
      <c r="P77" s="516" t="str">
        <f t="array" ref="P77">XLOOKUP(LCARS_Off[AbilityID],RawOfficer[AbilityID],RawOfficer[Tag_OutpostRetaliators])</f>
        <v>✴️</v>
      </c>
      <c r="Q77" s="517" t="str">
        <f t="array" ref="Q77">XLOOKUP(LCARS_Off[AbilityID],RawOfficer[AbilityID],RawOfficer[Conditional_Reason])</f>
        <v>TargetMaxLevel, TargetHasBurning</v>
      </c>
      <c r="R77" s="518" t="str">
        <f t="array" ref="R77">XLOOKUP(LCARS_Off[AbilityID],RawOfficer[AbilityID],RawOfficer[Tag_Loot])</f>
        <v>➖</v>
      </c>
      <c r="S77" s="516" t="str">
        <f t="array" ref="S77">XLOOKUP(LCARS_Off[AbilityID],RawOfficer[AbilityID],RawOfficer[Tag_Utility])</f>
        <v>➖</v>
      </c>
      <c r="T77" s="429" t="str">
        <f t="array" ref="T77">XLOOKUP(LCARS_Off[AbilityID],RawOfficer[AbilityID],RawOfficer[OfficerSynergy])</f>
        <v>ROMULAN PATRIOTS</v>
      </c>
      <c r="U77" s="519" t="str">
        <f t="array" ref="U77">XLOOKUP(LCARS_Off[AbilityID],RawOfficer[AbilityID],RawOfficer[AbilityModifier])</f>
        <v>HullHPRepair</v>
      </c>
      <c r="V77" s="519" t="str">
        <f t="array" ref="V77">XLOOKUP(LCARS_Off[AbilityID],RawOfficer[AbilityID],RawOfficer[AbilityAttributes])</f>
        <v>max_level=60</v>
      </c>
      <c r="W77" s="520" t="str">
        <f t="array" ref="W77">XLOOKUP(LCARS_Off[AbilityID],RawOfficer[AbilityID],RawOfficer[AbilityConditions])</f>
        <v>TargetNotArmada, TargetHasBurning, TargetNotInvadingEntity, TargetNotASB, TargetMaxLevel, EnemyNotToaTrialHostile</v>
      </c>
      <c r="X77" s="519" t="str">
        <f t="array" ref="X77">XLOOKUP(LCARS_Off[AbilityID],RawOfficer[AbilityID],RawOfficer[AbilityTrigger])</f>
        <v>RoundStart</v>
      </c>
      <c r="Y77" s="519" t="str">
        <f t="array" ref="Y77">XLOOKUP(LCARS_Off[AbilityID],RawOfficer[AbilityID],RawOfficer[AbilityTarget])</f>
        <v>EnemyShip</v>
      </c>
      <c r="Z77" s="519" t="str">
        <f t="array" ref="Z77">XLOOKUP(LCARS_Off[AbilityID],RawOfficer[AbilityID],RawOfficer[AbilityOperation])</f>
        <v>MultiplySub</v>
      </c>
      <c r="AA77" s="521" t="str">
        <f t="array" ref="AA77">XLOOKUP(LCARS_Off[AbilityID],RawOfficer[AbilityID],RawOfficer[AbilityDescription])</f>
        <v>Tal decreases the opponent ship's Hull Health by a cumulative X each round while it is Burning versus players, and Hostiles level 60 and under.</v>
      </c>
      <c r="AB77" s="429" t="b">
        <v>0</v>
      </c>
      <c r="AC77" s="522" t="str">
        <f t="array" ref="AC77">XLOOKUP(LCARS_Off[AbilityID],RawOfficer[AbilityID],RawOfficer[AbilityDescriptionShort])</f>
        <v>-X to the opponent's Hull Health each turn while it is Burning vs players, and Hostiles under level 60.</v>
      </c>
      <c r="AD77" s="523"/>
      <c r="AE77" s="524"/>
      <c r="AF77" s="524"/>
      <c r="AG77" s="525" t="str">
        <f t="array" ref="AG77">XLOOKUP(LCARS_Off[AbilityID],RawOfficer[AbilityID],RawOfficer[AbilityChances])</f>
        <v>1.0, 1.0, 1.0, 1.0, 1.0</v>
      </c>
      <c r="AH77" s="525" t="str">
        <f t="array" ref="AH77">XLOOKUP(LCARS_Off[AbilityID],RawOfficer[AbilityID],RawOfficer[AbilityValues])</f>
        <v>0.05, 0.06, 0.07, 0.08, 0.1</v>
      </c>
      <c r="AI77" s="428" t="b">
        <f t="array" ref="AI77">XLOOKUP(LCARS_Off[AbilityID],RawOfficer[AbilityID],RawOfficer[AbilityHasChance])</f>
        <v>0</v>
      </c>
      <c r="AJ77" s="428" t="b">
        <f t="array" ref="AJ77">XLOOKUP(LCARS_Off[AbilityID],RawOfficer[AbilityID],RawOfficer[AbilityShowPercentage])</f>
        <v>1</v>
      </c>
      <c r="AK77" s="429">
        <f t="array" ref="AK77">XLOOKUP(LCARS_Off[AbilityID],RawOfficer[AbilityID],RawOfficer[OfficerArt])</f>
        <v>30</v>
      </c>
      <c r="AL77" s="430">
        <v>3.20601814E9</v>
      </c>
      <c r="AM77" s="430">
        <f t="array" ref="AM77">XLOOKUP(LCARS_Off[AbilityID],RawOfficer[AbilityID],RawOfficer[Default Order])</f>
        <v>74</v>
      </c>
    </row>
    <row r="78">
      <c r="A78" s="429" t="str">
        <f t="array" ref="A78">LEFT(XLOOKUP(LCARS_Off[AbilityID],RawOfficer[AbilityID],RawOfficer[OfficerRarity]), 1)</f>
        <v>U</v>
      </c>
      <c r="B78" s="429"/>
      <c r="C78" s="514" t="str">
        <f t="array" ref="C78">HYPERLINK("https://stfc.space/officers/" &amp; XLOOKUP(LCARS_Off[AbilityID],RawOfficer[AbilityID],RawOfficer[OfficerId]), XLOOKUP(LCARS_Off[AbilityID],RawOfficer[AbilityID],RawOfficer[OfficerName]))</f>
        <v>D'JAOKI</v>
      </c>
      <c r="D78" s="515" t="str">
        <f t="array" ref="D78">XLOOKUP(LCARS_Off[AbilityID],RawOfficer[AbilityID],RawOfficer[AbilityType])</f>
        <v>CM</v>
      </c>
      <c r="E78" s="516" t="str">
        <f t="array" ref="E78">XLOOKUP(LCARS_Off[AbilityID],RawOfficer[AbilityID],RawOfficer[Tag_PvPinSpace])</f>
        <v>✅</v>
      </c>
      <c r="F78" s="516" t="str">
        <f t="array" ref="F78">XLOOKUP(LCARS_Off[AbilityID],RawOfficer[AbilityID],RawOfficer[Tag_PvPStation])</f>
        <v>✅</v>
      </c>
      <c r="G78" s="516" t="str">
        <f t="array" ref="G78">XLOOKUP(LCARS_Off[AbilityID],RawOfficer[AbilityID],RawOfficer[Tag_NonArmadaHostiles])</f>
        <v>✅</v>
      </c>
      <c r="H78" s="516" t="str">
        <f t="array" ref="H78">XLOOKUP(LCARS_Off[AbilityID],RawOfficer[AbilityID],RawOfficer[Tag_WaveDefense])</f>
        <v>✅</v>
      </c>
      <c r="I78" s="516" t="str">
        <f t="array" ref="I78">XLOOKUP(LCARS_Off[AbilityID],RawOfficer[AbilityID],RawOfficer[Tag_QTrial])</f>
        <v>✅</v>
      </c>
      <c r="J78" s="516" t="str">
        <f t="array" ref="J78">XLOOKUP(LCARS_Off[AbilityID],RawOfficer[AbilityID],RawOfficer[Tag_MissionBosses])</f>
        <v>✅</v>
      </c>
      <c r="K78" s="516" t="str">
        <f t="array" ref="K78">XLOOKUP(LCARS_Off[AbilityID],RawOfficer[AbilityID],RawOfficer[Tag_GroupArmadas])</f>
        <v>✅</v>
      </c>
      <c r="L78" s="516" t="str">
        <f t="array" ref="L78">XLOOKUP(LCARS_Off[AbilityID],RawOfficer[AbilityID],RawOfficer[Tag_SoloArmadas])</f>
        <v>✅</v>
      </c>
      <c r="M78" s="516" t="str">
        <f t="array" ref="M78">XLOOKUP(LCARS_Off[AbilityID],RawOfficer[AbilityID],RawOfficer[Tag_InvadingEntities])</f>
        <v>✅</v>
      </c>
      <c r="N78" s="516" t="str">
        <f t="array" ref="N78">XLOOKUP(LCARS_Off[AbilityID],RawOfficer[AbilityID],RawOfficer[Tag_Assaults])</f>
        <v>✅</v>
      </c>
      <c r="O78" s="516" t="str">
        <f t="array" ref="O78">XLOOKUP(LCARS_Off[AbilityID],RawOfficer[AbilityID],RawOfficer[Tag_OutpostArmadas])</f>
        <v>✅</v>
      </c>
      <c r="P78" s="516" t="str">
        <f t="array" ref="P78">XLOOKUP(LCARS_Off[AbilityID],RawOfficer[AbilityID],RawOfficer[Tag_OutpostRetaliators])</f>
        <v>✅</v>
      </c>
      <c r="Q78" s="517" t="str">
        <f t="array" ref="Q78">XLOOKUP(LCARS_Off[AbilityID],RawOfficer[AbilityID],RawOfficer[Conditional_Reason])</f>
        <v/>
      </c>
      <c r="R78" s="518" t="str">
        <f t="array" ref="R78">XLOOKUP(LCARS_Off[AbilityID],RawOfficer[AbilityID],RawOfficer[Tag_Loot])</f>
        <v>➖</v>
      </c>
      <c r="S78" s="516" t="str">
        <f t="array" ref="S78">XLOOKUP(LCARS_Off[AbilityID],RawOfficer[AbilityID],RawOfficer[Tag_Utility])</f>
        <v>➖</v>
      </c>
      <c r="T78" s="429" t="str">
        <f t="array" ref="T78">XLOOKUP(LCARS_Off[AbilityID],RawOfficer[AbilityID],RawOfficer[OfficerSynergy])</f>
        <v>ROMULAN PATRIOTS</v>
      </c>
      <c r="U78" s="519" t="str">
        <f t="array" ref="U78">XLOOKUP(LCARS_Off[AbilityID],RawOfficer[AbilityID],RawOfficer[AbilityModifier])</f>
        <v>OfficerStatHealth</v>
      </c>
      <c r="V78" s="519" t="str">
        <f t="array" ref="V78">XLOOKUP(LCARS_Off[AbilityID],RawOfficer[AbilityID],RawOfficer[AbilityAttributes])</f>
        <v>duration_seconds=60</v>
      </c>
      <c r="W78" s="520" t="str">
        <f t="array" ref="W78">XLOOKUP(LCARS_Off[AbilityID],RawOfficer[AbilityID],RawOfficer[AbilityConditions])</f>
        <v/>
      </c>
      <c r="X78" s="519" t="str">
        <f t="array" ref="X78">XLOOKUP(LCARS_Off[AbilityID],RawOfficer[AbilityID],RawOfficer[AbilityTrigger])</f>
        <v>BattleWon</v>
      </c>
      <c r="Y78" s="519" t="str">
        <f t="array" ref="Y78">XLOOKUP(LCARS_Off[AbilityID],RawOfficer[AbilityID],RawOfficer[AbilityTarget])</f>
        <v>SelfAll</v>
      </c>
      <c r="Z78" s="519" t="str">
        <f t="array" ref="Z78">XLOOKUP(LCARS_Off[AbilityID],RawOfficer[AbilityID],RawOfficer[AbilityOperation])</f>
        <v>MultiplyAdd</v>
      </c>
      <c r="AA78" s="521" t="str">
        <f t="array" ref="AA78">XLOOKUP(LCARS_Off[AbilityID],RawOfficer[AbilityID],RawOfficer[AbilityDescription])</f>
        <v>After winning a combat, D'jaoki increases the Health of all officers on the ship by X for 1 minute.</v>
      </c>
      <c r="AB78" s="429" t="b">
        <v>0</v>
      </c>
      <c r="AC78" s="522" t="str">
        <f t="array" ref="AC78">XLOOKUP(LCARS_Off[AbilityID],RawOfficer[AbilityID],RawOfficer[AbilityDescriptionShort])</f>
        <v>+X to the Officers Health for 1 min after winning</v>
      </c>
      <c r="AD78" s="523"/>
      <c r="AE78" s="524"/>
      <c r="AF78" s="524"/>
      <c r="AG78" s="525" t="str">
        <f t="array" ref="AG78">XLOOKUP(LCARS_Off[AbilityID],RawOfficer[AbilityID],RawOfficer[AbilityChances])</f>
        <v>1.0, 1.0, 1.0</v>
      </c>
      <c r="AH78" s="525" t="str">
        <f t="array" ref="AH78">XLOOKUP(LCARS_Off[AbilityID],RawOfficer[AbilityID],RawOfficer[AbilityValues])</f>
        <v>0.1, 0.02, 0.05</v>
      </c>
      <c r="AI78" s="428" t="b">
        <f t="array" ref="AI78">XLOOKUP(LCARS_Off[AbilityID],RawOfficer[AbilityID],RawOfficer[AbilityHasChance])</f>
        <v>0</v>
      </c>
      <c r="AJ78" s="428" t="b">
        <f t="array" ref="AJ78">XLOOKUP(LCARS_Off[AbilityID],RawOfficer[AbilityID],RawOfficer[AbilityShowPercentage])</f>
        <v>1</v>
      </c>
      <c r="AK78" s="429">
        <f t="array" ref="AK78">XLOOKUP(LCARS_Off[AbilityID],RawOfficer[AbilityID],RawOfficer[OfficerArt])</f>
        <v>91</v>
      </c>
      <c r="AL78" s="430">
        <v>2.554625138E9</v>
      </c>
      <c r="AM78" s="430">
        <f t="array" ref="AM78">XLOOKUP(LCARS_Off[AbilityID],RawOfficer[AbilityID],RawOfficer[Default Order])</f>
        <v>75</v>
      </c>
    </row>
    <row r="79">
      <c r="A79" s="429" t="str">
        <f t="array" ref="A79">LEFT(XLOOKUP(LCARS_Off[AbilityID],RawOfficer[AbilityID],RawOfficer[OfficerRarity]), 1)</f>
        <v>U</v>
      </c>
      <c r="B79" s="429"/>
      <c r="C79" s="514" t="str">
        <f t="array" ref="C79">HYPERLINK("https://stfc.space/officers/" &amp; XLOOKUP(LCARS_Off[AbilityID],RawOfficer[AbilityID],RawOfficer[OfficerId]), XLOOKUP(LCARS_Off[AbilityID],RawOfficer[AbilityID],RawOfficer[OfficerName]))</f>
        <v>D'JAOKI</v>
      </c>
      <c r="D79" s="515" t="str">
        <f t="array" ref="D79">XLOOKUP(LCARS_Off[AbilityID],RawOfficer[AbilityID],RawOfficer[AbilityType])</f>
        <v>OA</v>
      </c>
      <c r="E79" s="516" t="str">
        <f t="array" ref="E79">XLOOKUP(LCARS_Off[AbilityID],RawOfficer[AbilityID],RawOfficer[Tag_PvPinSpace])</f>
        <v>✴️</v>
      </c>
      <c r="F79" s="516" t="str">
        <f t="array" ref="F79">XLOOKUP(LCARS_Off[AbilityID],RawOfficer[AbilityID],RawOfficer[Tag_PvPStation])</f>
        <v>✴️</v>
      </c>
      <c r="G79" s="516" t="str">
        <f t="array" ref="G79">XLOOKUP(LCARS_Off[AbilityID],RawOfficer[AbilityID],RawOfficer[Tag_NonArmadaHostiles])</f>
        <v>✴️</v>
      </c>
      <c r="H79" s="516" t="str">
        <f t="array" ref="H79">XLOOKUP(LCARS_Off[AbilityID],RawOfficer[AbilityID],RawOfficer[Tag_WaveDefense])</f>
        <v>✴️</v>
      </c>
      <c r="I79" s="516" t="str">
        <f t="array" ref="I79">XLOOKUP(LCARS_Off[AbilityID],RawOfficer[AbilityID],RawOfficer[Tag_QTrial])</f>
        <v>✴️</v>
      </c>
      <c r="J79" s="516" t="str">
        <f t="array" ref="J79">XLOOKUP(LCARS_Off[AbilityID],RawOfficer[AbilityID],RawOfficer[Tag_MissionBosses])</f>
        <v>✴️</v>
      </c>
      <c r="K79" s="516" t="str">
        <f t="array" ref="K79">XLOOKUP(LCARS_Off[AbilityID],RawOfficer[AbilityID],RawOfficer[Tag_GroupArmadas])</f>
        <v>➖</v>
      </c>
      <c r="L79" s="516" t="str">
        <f t="array" ref="L79">XLOOKUP(LCARS_Off[AbilityID],RawOfficer[AbilityID],RawOfficer[Tag_SoloArmadas])</f>
        <v>➖</v>
      </c>
      <c r="M79" s="516" t="str">
        <f t="array" ref="M79">XLOOKUP(LCARS_Off[AbilityID],RawOfficer[AbilityID],RawOfficer[Tag_InvadingEntities])</f>
        <v>➖</v>
      </c>
      <c r="N79" s="516" t="str">
        <f t="array" ref="N79">XLOOKUP(LCARS_Off[AbilityID],RawOfficer[AbilityID],RawOfficer[Tag_Assaults])</f>
        <v>➖</v>
      </c>
      <c r="O79" s="516" t="str">
        <f t="array" ref="O79">XLOOKUP(LCARS_Off[AbilityID],RawOfficer[AbilityID],RawOfficer[Tag_OutpostArmadas])</f>
        <v>✴️</v>
      </c>
      <c r="P79" s="516" t="str">
        <f t="array" ref="P79">XLOOKUP(LCARS_Off[AbilityID],RawOfficer[AbilityID],RawOfficer[Tag_OutpostRetaliators])</f>
        <v>✴️</v>
      </c>
      <c r="Q79" s="517" t="str">
        <f t="array" ref="Q79">XLOOKUP(LCARS_Off[AbilityID],RawOfficer[AbilityID],RawOfficer[Conditional_Reason])</f>
        <v>TargetHasBurning</v>
      </c>
      <c r="R79" s="518" t="str">
        <f t="array" ref="R79">XLOOKUP(LCARS_Off[AbilityID],RawOfficer[AbilityID],RawOfficer[Tag_Loot])</f>
        <v>➖</v>
      </c>
      <c r="S79" s="516" t="str">
        <f t="array" ref="S79">XLOOKUP(LCARS_Off[AbilityID],RawOfficer[AbilityID],RawOfficer[Tag_Utility])</f>
        <v>➖</v>
      </c>
      <c r="T79" s="429" t="str">
        <f t="array" ref="T79">XLOOKUP(LCARS_Off[AbilityID],RawOfficer[AbilityID],RawOfficer[OfficerSynergy])</f>
        <v>ROMULAN PATRIOTS</v>
      </c>
      <c r="U79" s="519" t="str">
        <f t="array" ref="U79">XLOOKUP(LCARS_Off[AbilityID],RawOfficer[AbilityID],RawOfficer[AbilityModifier])</f>
        <v>AllDefenses</v>
      </c>
      <c r="V79" s="519" t="str">
        <f t="array" ref="V79">XLOOKUP(LCARS_Off[AbilityID],RawOfficer[AbilityID],RawOfficer[AbilityAttributes])</f>
        <v>num_rounds=1, officer_stat=3</v>
      </c>
      <c r="W79" s="520" t="str">
        <f t="array" ref="W79">XLOOKUP(LCARS_Off[AbilityID],RawOfficer[AbilityID],RawOfficer[AbilityConditions])</f>
        <v>TargetNotArmada, TargetNotASB, TargetHasBurning</v>
      </c>
      <c r="X79" s="519" t="str">
        <f t="array" ref="X79">XLOOKUP(LCARS_Off[AbilityID],RawOfficer[AbilityID],RawOfficer[AbilityTrigger])</f>
        <v>RoundStart</v>
      </c>
      <c r="Y79" s="519" t="str">
        <f t="array" ref="Y79">XLOOKUP(LCARS_Off[AbilityID],RawOfficer[AbilityID],RawOfficer[AbilityTarget])</f>
        <v>SelfShip</v>
      </c>
      <c r="Z79" s="519" t="str">
        <f t="array" ref="Z79">XLOOKUP(LCARS_Off[AbilityID],RawOfficer[AbilityID],RawOfficer[AbilityOperation])</f>
        <v>MultiplyBaseAdd</v>
      </c>
      <c r="AA79" s="521" t="str">
        <f t="array" ref="AA79">XLOOKUP(LCARS_Off[AbilityID],RawOfficer[AbilityID],RawOfficer[AbilityDescription])</f>
        <v>At the beginning of each round, if the opponent is  Burning, D'jaoki increases the Armor, Shield Deflection, and Dodge of the ship by X of the Health of all Officers on the ship.</v>
      </c>
      <c r="AB79" s="429" t="b">
        <v>0</v>
      </c>
      <c r="AC79" s="522" t="str">
        <f t="array" ref="AC79">XLOOKUP(LCARS_Off[AbilityID],RawOfficer[AbilityID],RawOfficer[AbilityDescriptionShort])</f>
        <v>-X of the crew's Health malus to the opponent's Armor, Shield Deflection and Dodge while Burning</v>
      </c>
      <c r="AD79" s="523"/>
      <c r="AE79" s="524"/>
      <c r="AF79" s="524"/>
      <c r="AG79" s="525" t="str">
        <f t="array" ref="AG79">XLOOKUP(LCARS_Off[AbilityID],RawOfficer[AbilityID],RawOfficer[AbilityChances])</f>
        <v>1.0, 1.0, 1.0, 1.0, 1.0</v>
      </c>
      <c r="AH79" s="525" t="str">
        <f t="array" ref="AH79">XLOOKUP(LCARS_Off[AbilityID],RawOfficer[AbilityID],RawOfficer[AbilityValues])</f>
        <v>0.2, 0.4, 1.0, 2.5, 5.0</v>
      </c>
      <c r="AI79" s="428" t="b">
        <f t="array" ref="AI79">XLOOKUP(LCARS_Off[AbilityID],RawOfficer[AbilityID],RawOfficer[AbilityHasChance])</f>
        <v>0</v>
      </c>
      <c r="AJ79" s="428" t="b">
        <f t="array" ref="AJ79">XLOOKUP(LCARS_Off[AbilityID],RawOfficer[AbilityID],RawOfficer[AbilityShowPercentage])</f>
        <v>1</v>
      </c>
      <c r="AK79" s="429">
        <f t="array" ref="AK79">XLOOKUP(LCARS_Off[AbilityID],RawOfficer[AbilityID],RawOfficer[OfficerArt])</f>
        <v>91</v>
      </c>
      <c r="AL79" s="430">
        <v>1.785494954E9</v>
      </c>
      <c r="AM79" s="430">
        <f t="array" ref="AM79">XLOOKUP(LCARS_Off[AbilityID],RawOfficer[AbilityID],RawOfficer[Default Order])</f>
        <v>76</v>
      </c>
    </row>
    <row r="80">
      <c r="A80" s="429" t="str">
        <f t="array" ref="A80">LEFT(XLOOKUP(LCARS_Off[AbilityID],RawOfficer[AbilityID],RawOfficer[OfficerRarity]), 1)</f>
        <v>R</v>
      </c>
      <c r="B80" s="429"/>
      <c r="C80" s="514" t="str">
        <f t="array" ref="C80">HYPERLINK("https://stfc.space/officers/" &amp; XLOOKUP(LCARS_Off[AbilityID],RawOfficer[AbilityID],RawOfficer[OfficerId]), XLOOKUP(LCARS_Off[AbilityID],RawOfficer[AbilityID],RawOfficer[OfficerName]))</f>
        <v>KEENSER</v>
      </c>
      <c r="D80" s="515" t="str">
        <f t="array" ref="D80">XLOOKUP(LCARS_Off[AbilityID],RawOfficer[AbilityID],RawOfficer[AbilityType])</f>
        <v>CM</v>
      </c>
      <c r="E80" s="516" t="str">
        <f t="array" ref="E80">XLOOKUP(LCARS_Off[AbilityID],RawOfficer[AbilityID],RawOfficer[Tag_PvPinSpace])</f>
        <v>➖</v>
      </c>
      <c r="F80" s="516" t="str">
        <f t="array" ref="F80">XLOOKUP(LCARS_Off[AbilityID],RawOfficer[AbilityID],RawOfficer[Tag_PvPStation])</f>
        <v>✅</v>
      </c>
      <c r="G80" s="516" t="str">
        <f t="array" ref="G80">XLOOKUP(LCARS_Off[AbilityID],RawOfficer[AbilityID],RawOfficer[Tag_NonArmadaHostiles])</f>
        <v>➖</v>
      </c>
      <c r="H80" s="516" t="str">
        <f t="array" ref="H80">XLOOKUP(LCARS_Off[AbilityID],RawOfficer[AbilityID],RawOfficer[Tag_WaveDefense])</f>
        <v>➖</v>
      </c>
      <c r="I80" s="516" t="str">
        <f t="array" ref="I80">XLOOKUP(LCARS_Off[AbilityID],RawOfficer[AbilityID],RawOfficer[Tag_QTrial])</f>
        <v>➖</v>
      </c>
      <c r="J80" s="516" t="str">
        <f t="array" ref="J80">XLOOKUP(LCARS_Off[AbilityID],RawOfficer[AbilityID],RawOfficer[Tag_MissionBosses])</f>
        <v>➖</v>
      </c>
      <c r="K80" s="516" t="str">
        <f t="array" ref="K80">XLOOKUP(LCARS_Off[AbilityID],RawOfficer[AbilityID],RawOfficer[Tag_GroupArmadas])</f>
        <v>➖</v>
      </c>
      <c r="L80" s="516" t="str">
        <f t="array" ref="L80">XLOOKUP(LCARS_Off[AbilityID],RawOfficer[AbilityID],RawOfficer[Tag_SoloArmadas])</f>
        <v>➖</v>
      </c>
      <c r="M80" s="516" t="str">
        <f t="array" ref="M80">XLOOKUP(LCARS_Off[AbilityID],RawOfficer[AbilityID],RawOfficer[Tag_InvadingEntities])</f>
        <v>➖</v>
      </c>
      <c r="N80" s="516" t="str">
        <f t="array" ref="N80">XLOOKUP(LCARS_Off[AbilityID],RawOfficer[AbilityID],RawOfficer[Tag_Assaults])</f>
        <v>➖</v>
      </c>
      <c r="O80" s="516" t="str">
        <f t="array" ref="O80">XLOOKUP(LCARS_Off[AbilityID],RawOfficer[AbilityID],RawOfficer[Tag_OutpostArmadas])</f>
        <v>➖</v>
      </c>
      <c r="P80" s="516" t="str">
        <f t="array" ref="P80">XLOOKUP(LCARS_Off[AbilityID],RawOfficer[AbilityID],RawOfficer[Tag_OutpostRetaliators])</f>
        <v>➖</v>
      </c>
      <c r="Q80" s="517" t="str">
        <f t="array" ref="Q80">XLOOKUP(LCARS_Off[AbilityID],RawOfficer[AbilityID],RawOfficer[Conditional_Reason])</f>
        <v/>
      </c>
      <c r="R80" s="518" t="str">
        <f t="array" ref="R80">XLOOKUP(LCARS_Off[AbilityID],RawOfficer[AbilityID],RawOfficer[Tag_Loot])</f>
        <v>➖</v>
      </c>
      <c r="S80" s="516" t="str">
        <f t="array" ref="S80">XLOOKUP(LCARS_Off[AbilityID],RawOfficer[AbilityID],RawOfficer[Tag_Utility])</f>
        <v>➖</v>
      </c>
      <c r="T80" s="429" t="str">
        <f t="array" ref="T80">XLOOKUP(LCARS_Off[AbilityID],RawOfficer[AbilityID],RawOfficer[OfficerSynergy])</f>
        <v>AUXILIARY CONTROLS</v>
      </c>
      <c r="U80" s="519" t="str">
        <f t="array" ref="U80">XLOOKUP(LCARS_Off[AbilityID],RawOfficer[AbilityID],RawOfficer[AbilityModifier])</f>
        <v>HullHPMax</v>
      </c>
      <c r="V80" s="519" t="str">
        <f t="array" ref="V80">XLOOKUP(LCARS_Off[AbilityID],RawOfficer[AbilityID],RawOfficer[AbilityAttributes])</f>
        <v/>
      </c>
      <c r="W80" s="520" t="str">
        <f t="array" ref="W80">XLOOKUP(LCARS_Off[AbilityID],RawOfficer[AbilityID],RawOfficer[AbilityConditions])</f>
        <v>SelfAtStation</v>
      </c>
      <c r="X80" s="519" t="str">
        <f t="array" ref="X80">XLOOKUP(LCARS_Off[AbilityID],RawOfficer[AbilityID],RawOfficer[AbilityTrigger])</f>
        <v>ShipLaunched</v>
      </c>
      <c r="Y80" s="519" t="str">
        <f t="array" ref="Y80">XLOOKUP(LCARS_Off[AbilityID],RawOfficer[AbilityID],RawOfficer[AbilityTarget])</f>
        <v>SelfShip</v>
      </c>
      <c r="Z80" s="519" t="str">
        <f t="array" ref="Z80">XLOOKUP(LCARS_Off[AbilityID],RawOfficer[AbilityID],RawOfficer[AbilityOperation])</f>
        <v>MultiplyAdd</v>
      </c>
      <c r="AA80" s="521" t="str">
        <f t="array" ref="AA80">XLOOKUP(LCARS_Off[AbilityID],RawOfficer[AbilityID],RawOfficer[AbilityDescription])</f>
        <v>As long as it is in the Station, Keenser increases the Hull Health of the ship by  X.</v>
      </c>
      <c r="AB80" s="429" t="b">
        <v>0</v>
      </c>
      <c r="AC80" s="522" t="str">
        <f t="array" ref="AC80">XLOOKUP(LCARS_Off[AbilityID],RawOfficer[AbilityID],RawOfficer[AbilityDescriptionShort])</f>
        <v>+X to Hull Health as long as the ship is in the station.</v>
      </c>
      <c r="AD80" s="523"/>
      <c r="AE80" s="524"/>
      <c r="AF80" s="524"/>
      <c r="AG80" s="525" t="str">
        <f t="array" ref="AG80">XLOOKUP(LCARS_Off[AbilityID],RawOfficer[AbilityID],RawOfficer[AbilityChances])</f>
        <v>1.0, 1.0, 1.0</v>
      </c>
      <c r="AH80" s="525" t="str">
        <f t="array" ref="AH80">XLOOKUP(LCARS_Off[AbilityID],RawOfficer[AbilityID],RawOfficer[AbilityValues])</f>
        <v>0.2, 0.07, 0.15</v>
      </c>
      <c r="AI80" s="428" t="b">
        <f t="array" ref="AI80">XLOOKUP(LCARS_Off[AbilityID],RawOfficer[AbilityID],RawOfficer[AbilityHasChance])</f>
        <v>0</v>
      </c>
      <c r="AJ80" s="428" t="b">
        <f t="array" ref="AJ80">XLOOKUP(LCARS_Off[AbilityID],RawOfficer[AbilityID],RawOfficer[AbilityShowPercentage])</f>
        <v>1</v>
      </c>
      <c r="AK80" s="429">
        <f t="array" ref="AK80">XLOOKUP(LCARS_Off[AbilityID],RawOfficer[AbilityID],RawOfficer[OfficerArt])</f>
        <v>54</v>
      </c>
      <c r="AL80" s="430">
        <v>1.693249064E9</v>
      </c>
      <c r="AM80" s="430">
        <f t="array" ref="AM80">XLOOKUP(LCARS_Off[AbilityID],RawOfficer[AbilityID],RawOfficer[Default Order])</f>
        <v>77</v>
      </c>
    </row>
    <row r="81">
      <c r="A81" s="429" t="str">
        <f t="array" ref="A81">LEFT(XLOOKUP(LCARS_Off[AbilityID],RawOfficer[AbilityID],RawOfficer[OfficerRarity]), 1)</f>
        <v>R</v>
      </c>
      <c r="B81" s="429"/>
      <c r="C81" s="514" t="str">
        <f t="array" ref="C81">HYPERLINK("https://stfc.space/officers/" &amp; XLOOKUP(LCARS_Off[AbilityID],RawOfficer[AbilityID],RawOfficer[OfficerId]), XLOOKUP(LCARS_Off[AbilityID],RawOfficer[AbilityID],RawOfficer[OfficerName]))</f>
        <v>KEENSER</v>
      </c>
      <c r="D81" s="515" t="str">
        <f t="array" ref="D81">XLOOKUP(LCARS_Off[AbilityID],RawOfficer[AbilityID],RawOfficer[AbilityType])</f>
        <v>OA</v>
      </c>
      <c r="E81" s="516" t="str">
        <f t="array" ref="E81">XLOOKUP(LCARS_Off[AbilityID],RawOfficer[AbilityID],RawOfficer[Tag_PvPinSpace])</f>
        <v>➖</v>
      </c>
      <c r="F81" s="516" t="str">
        <f t="array" ref="F81">XLOOKUP(LCARS_Off[AbilityID],RawOfficer[AbilityID],RawOfficer[Tag_PvPStation])</f>
        <v>✅</v>
      </c>
      <c r="G81" s="516" t="str">
        <f t="array" ref="G81">XLOOKUP(LCARS_Off[AbilityID],RawOfficer[AbilityID],RawOfficer[Tag_NonArmadaHostiles])</f>
        <v>➖</v>
      </c>
      <c r="H81" s="516" t="str">
        <f t="array" ref="H81">XLOOKUP(LCARS_Off[AbilityID],RawOfficer[AbilityID],RawOfficer[Tag_WaveDefense])</f>
        <v>➖</v>
      </c>
      <c r="I81" s="516" t="str">
        <f t="array" ref="I81">XLOOKUP(LCARS_Off[AbilityID],RawOfficer[AbilityID],RawOfficer[Tag_QTrial])</f>
        <v>➖</v>
      </c>
      <c r="J81" s="516" t="str">
        <f t="array" ref="J81">XLOOKUP(LCARS_Off[AbilityID],RawOfficer[AbilityID],RawOfficer[Tag_MissionBosses])</f>
        <v>➖</v>
      </c>
      <c r="K81" s="516" t="str">
        <f t="array" ref="K81">XLOOKUP(LCARS_Off[AbilityID],RawOfficer[AbilityID],RawOfficer[Tag_GroupArmadas])</f>
        <v>➖</v>
      </c>
      <c r="L81" s="516" t="str">
        <f t="array" ref="L81">XLOOKUP(LCARS_Off[AbilityID],RawOfficer[AbilityID],RawOfficer[Tag_SoloArmadas])</f>
        <v>➖</v>
      </c>
      <c r="M81" s="516" t="str">
        <f t="array" ref="M81">XLOOKUP(LCARS_Off[AbilityID],RawOfficer[AbilityID],RawOfficer[Tag_InvadingEntities])</f>
        <v>➖</v>
      </c>
      <c r="N81" s="516" t="str">
        <f t="array" ref="N81">XLOOKUP(LCARS_Off[AbilityID],RawOfficer[AbilityID],RawOfficer[Tag_Assaults])</f>
        <v>➖</v>
      </c>
      <c r="O81" s="516" t="str">
        <f t="array" ref="O81">XLOOKUP(LCARS_Off[AbilityID],RawOfficer[AbilityID],RawOfficer[Tag_OutpostArmadas])</f>
        <v>➖</v>
      </c>
      <c r="P81" s="516" t="str">
        <f t="array" ref="P81">XLOOKUP(LCARS_Off[AbilityID],RawOfficer[AbilityID],RawOfficer[Tag_OutpostRetaliators])</f>
        <v>➖</v>
      </c>
      <c r="Q81" s="517" t="str">
        <f t="array" ref="Q81">XLOOKUP(LCARS_Off[AbilityID],RawOfficer[AbilityID],RawOfficer[Conditional_Reason])</f>
        <v/>
      </c>
      <c r="R81" s="518" t="str">
        <f t="array" ref="R81">XLOOKUP(LCARS_Off[AbilityID],RawOfficer[AbilityID],RawOfficer[Tag_Loot])</f>
        <v>➖</v>
      </c>
      <c r="S81" s="516" t="str">
        <f t="array" ref="S81">XLOOKUP(LCARS_Off[AbilityID],RawOfficer[AbilityID],RawOfficer[Tag_Utility])</f>
        <v>➖</v>
      </c>
      <c r="T81" s="429" t="str">
        <f t="array" ref="T81">XLOOKUP(LCARS_Off[AbilityID],RawOfficer[AbilityID],RawOfficer[OfficerSynergy])</f>
        <v>AUXILIARY CONTROLS</v>
      </c>
      <c r="U81" s="519" t="str">
        <f t="array" ref="U81">XLOOKUP(LCARS_Off[AbilityID],RawOfficer[AbilityID],RawOfficer[AbilityModifier])</f>
        <v>ShieldHPMax</v>
      </c>
      <c r="V81" s="519" t="str">
        <f t="array" ref="V81">XLOOKUP(LCARS_Off[AbilityID],RawOfficer[AbilityID],RawOfficer[AbilityAttributes])</f>
        <v/>
      </c>
      <c r="W81" s="520" t="str">
        <f t="array" ref="W81">XLOOKUP(LCARS_Off[AbilityID],RawOfficer[AbilityID],RawOfficer[AbilityConditions])</f>
        <v>SelfAtStation</v>
      </c>
      <c r="X81" s="519" t="str">
        <f t="array" ref="X81">XLOOKUP(LCARS_Off[AbilityID],RawOfficer[AbilityID],RawOfficer[AbilityTrigger])</f>
        <v>ShipLaunched</v>
      </c>
      <c r="Y81" s="519" t="str">
        <f t="array" ref="Y81">XLOOKUP(LCARS_Off[AbilityID],RawOfficer[AbilityID],RawOfficer[AbilityTarget])</f>
        <v>SelfShip</v>
      </c>
      <c r="Z81" s="519" t="str">
        <f t="array" ref="Z81">XLOOKUP(LCARS_Off[AbilityID],RawOfficer[AbilityID],RawOfficer[AbilityOperation])</f>
        <v>MultiplyAdd</v>
      </c>
      <c r="AA81" s="521" t="str">
        <f t="array" ref="AA81">XLOOKUP(LCARS_Off[AbilityID],RawOfficer[AbilityID],RawOfficer[AbilityDescription])</f>
        <v>As long as it is in the station, Keenser increases the Shield Health of the ship by X.</v>
      </c>
      <c r="AB81" s="429" t="b">
        <v>0</v>
      </c>
      <c r="AC81" s="522" t="str">
        <f t="array" ref="AC81">XLOOKUP(LCARS_Off[AbilityID],RawOfficer[AbilityID],RawOfficer[AbilityDescriptionShort])</f>
        <v>+X to Shield Health as long as the ship is in the station.</v>
      </c>
      <c r="AD81" s="523"/>
      <c r="AE81" s="524"/>
      <c r="AF81" s="524"/>
      <c r="AG81" s="525" t="str">
        <f t="array" ref="AG81">XLOOKUP(LCARS_Off[AbilityID],RawOfficer[AbilityID],RawOfficer[AbilityChances])</f>
        <v>1.0, 1.0, 1.0, 1.0, 1.0</v>
      </c>
      <c r="AH81" s="525" t="str">
        <f t="array" ref="AH81">XLOOKUP(LCARS_Off[AbilityID],RawOfficer[AbilityID],RawOfficer[AbilityValues])</f>
        <v>0.2, 0.25, 0.3, 0.35, 0.4</v>
      </c>
      <c r="AI81" s="428" t="b">
        <f t="array" ref="AI81">XLOOKUP(LCARS_Off[AbilityID],RawOfficer[AbilityID],RawOfficer[AbilityHasChance])</f>
        <v>0</v>
      </c>
      <c r="AJ81" s="428" t="b">
        <f t="array" ref="AJ81">XLOOKUP(LCARS_Off[AbilityID],RawOfficer[AbilityID],RawOfficer[AbilityShowPercentage])</f>
        <v>1</v>
      </c>
      <c r="AK81" s="429">
        <f t="array" ref="AK81">XLOOKUP(LCARS_Off[AbilityID],RawOfficer[AbilityID],RawOfficer[OfficerArt])</f>
        <v>54</v>
      </c>
      <c r="AL81" s="430">
        <v>1.04634538E9</v>
      </c>
      <c r="AM81" s="430">
        <f t="array" ref="AM81">XLOOKUP(LCARS_Off[AbilityID],RawOfficer[AbilityID],RawOfficer[Default Order])</f>
        <v>78</v>
      </c>
    </row>
    <row r="82">
      <c r="A82" s="429" t="str">
        <f t="array" ref="A82">LEFT(XLOOKUP(LCARS_Off[AbilityID],RawOfficer[AbilityID],RawOfficer[OfficerRarity]), 1)</f>
        <v>U</v>
      </c>
      <c r="B82" s="429"/>
      <c r="C82" s="514">
        <f t="array" ref="C82">HYPERLINK("https://stfc.space/officers/" &amp; XLOOKUP(LCARS_Off[AbilityID],RawOfficer[AbilityID],RawOfficer[OfficerId]), XLOOKUP(LCARS_Off[AbilityID],RawOfficer[AbilityID],RawOfficer[OfficerName]))</f>
        <v>718</v>
      </c>
      <c r="D82" s="515" t="str">
        <f t="array" ref="D82">XLOOKUP(LCARS_Off[AbilityID],RawOfficer[AbilityID],RawOfficer[AbilityType])</f>
        <v>CM</v>
      </c>
      <c r="E82" s="516" t="str">
        <f t="array" ref="E82">XLOOKUP(LCARS_Off[AbilityID],RawOfficer[AbilityID],RawOfficer[Tag_PvPinSpace])</f>
        <v>➖</v>
      </c>
      <c r="F82" s="516" t="str">
        <f t="array" ref="F82">XLOOKUP(LCARS_Off[AbilityID],RawOfficer[AbilityID],RawOfficer[Tag_PvPStation])</f>
        <v>✅</v>
      </c>
      <c r="G82" s="516" t="str">
        <f t="array" ref="G82">XLOOKUP(LCARS_Off[AbilityID],RawOfficer[AbilityID],RawOfficer[Tag_NonArmadaHostiles])</f>
        <v>➖</v>
      </c>
      <c r="H82" s="516" t="str">
        <f t="array" ref="H82">XLOOKUP(LCARS_Off[AbilityID],RawOfficer[AbilityID],RawOfficer[Tag_WaveDefense])</f>
        <v>➖</v>
      </c>
      <c r="I82" s="516" t="str">
        <f t="array" ref="I82">XLOOKUP(LCARS_Off[AbilityID],RawOfficer[AbilityID],RawOfficer[Tag_QTrial])</f>
        <v>➖</v>
      </c>
      <c r="J82" s="516" t="str">
        <f t="array" ref="J82">XLOOKUP(LCARS_Off[AbilityID],RawOfficer[AbilityID],RawOfficer[Tag_MissionBosses])</f>
        <v>➖</v>
      </c>
      <c r="K82" s="516" t="str">
        <f t="array" ref="K82">XLOOKUP(LCARS_Off[AbilityID],RawOfficer[AbilityID],RawOfficer[Tag_GroupArmadas])</f>
        <v>➖</v>
      </c>
      <c r="L82" s="516" t="str">
        <f t="array" ref="L82">XLOOKUP(LCARS_Off[AbilityID],RawOfficer[AbilityID],RawOfficer[Tag_SoloArmadas])</f>
        <v>➖</v>
      </c>
      <c r="M82" s="516" t="str">
        <f t="array" ref="M82">XLOOKUP(LCARS_Off[AbilityID],RawOfficer[AbilityID],RawOfficer[Tag_InvadingEntities])</f>
        <v>➖</v>
      </c>
      <c r="N82" s="516" t="str">
        <f t="array" ref="N82">XLOOKUP(LCARS_Off[AbilityID],RawOfficer[AbilityID],RawOfficer[Tag_Assaults])</f>
        <v>➖</v>
      </c>
      <c r="O82" s="516" t="str">
        <f t="array" ref="O82">XLOOKUP(LCARS_Off[AbilityID],RawOfficer[AbilityID],RawOfficer[Tag_OutpostArmadas])</f>
        <v>➖</v>
      </c>
      <c r="P82" s="516" t="str">
        <f t="array" ref="P82">XLOOKUP(LCARS_Off[AbilityID],RawOfficer[AbilityID],RawOfficer[Tag_OutpostRetaliators])</f>
        <v>➖</v>
      </c>
      <c r="Q82" s="517" t="str">
        <f t="array" ref="Q82">XLOOKUP(LCARS_Off[AbilityID],RawOfficer[AbilityID],RawOfficer[Conditional_Reason])</f>
        <v/>
      </c>
      <c r="R82" s="518" t="str">
        <f t="array" ref="R82">XLOOKUP(LCARS_Off[AbilityID],RawOfficer[AbilityID],RawOfficer[Tag_Loot])</f>
        <v>➖</v>
      </c>
      <c r="S82" s="516" t="str">
        <f t="array" ref="S82">XLOOKUP(LCARS_Off[AbilityID],RawOfficer[AbilityID],RawOfficer[Tag_Utility])</f>
        <v>➖</v>
      </c>
      <c r="T82" s="429" t="str">
        <f t="array" ref="T82">XLOOKUP(LCARS_Off[AbilityID],RawOfficer[AbilityID],RawOfficer[OfficerSynergy])</f>
        <v>AUXILIARY CONTROLS</v>
      </c>
      <c r="U82" s="519" t="str">
        <f t="array" ref="U82">XLOOKUP(LCARS_Off[AbilityID],RawOfficer[AbilityID],RawOfficer[AbilityModifier])</f>
        <v>CritChance</v>
      </c>
      <c r="V82" s="519" t="str">
        <f t="array" ref="V82">XLOOKUP(LCARS_Off[AbilityID],RawOfficer[AbilityID],RawOfficer[AbilityAttributes])</f>
        <v/>
      </c>
      <c r="W82" s="520" t="str">
        <f t="array" ref="W82">XLOOKUP(LCARS_Off[AbilityID],RawOfficer[AbilityID],RawOfficer[AbilityConditions])</f>
        <v>SelfAtStation</v>
      </c>
      <c r="X82" s="519" t="str">
        <f t="array" ref="X82">XLOOKUP(LCARS_Off[AbilityID],RawOfficer[AbilityID],RawOfficer[AbilityTrigger])</f>
        <v>ShipLaunched</v>
      </c>
      <c r="Y82" s="519" t="str">
        <f t="array" ref="Y82">XLOOKUP(LCARS_Off[AbilityID],RawOfficer[AbilityID],RawOfficer[AbilityTarget])</f>
        <v>SelfShip</v>
      </c>
      <c r="Z82" s="519" t="str">
        <f t="array" ref="Z82">XLOOKUP(LCARS_Off[AbilityID],RawOfficer[AbilityID],RawOfficer[AbilityOperation])</f>
        <v>Add</v>
      </c>
      <c r="AA82" s="521" t="str">
        <f t="array" ref="AA82">XLOOKUP(LCARS_Off[AbilityID],RawOfficer[AbilityID],RawOfficer[AbilityDescription])</f>
        <v>0718 Increases the Critical Hit Chances by X when defending the Station.</v>
      </c>
      <c r="AB82" s="429" t="b">
        <v>0</v>
      </c>
      <c r="AC82" s="521" t="str">
        <f t="array" ref="AC82">XLOOKUP(LCARS_Off[AbilityID],RawOfficer[AbilityID],RawOfficer[AbilityDescriptionShort])</f>
        <v>+X to Critical Hit chances when defending the station</v>
      </c>
      <c r="AD82" s="523"/>
      <c r="AE82" s="524"/>
      <c r="AF82" s="524"/>
      <c r="AG82" s="525" t="str">
        <f t="array" ref="AG82">XLOOKUP(LCARS_Off[AbilityID],RawOfficer[AbilityID],RawOfficer[AbilityChances])</f>
        <v>1.0, 1.0, 1.0</v>
      </c>
      <c r="AH82" s="525" t="str">
        <f t="array" ref="AH82">XLOOKUP(LCARS_Off[AbilityID],RawOfficer[AbilityID],RawOfficer[AbilityValues])</f>
        <v>0.04, 0.02, 0.04</v>
      </c>
      <c r="AI82" s="428" t="b">
        <f t="array" ref="AI82">XLOOKUP(LCARS_Off[AbilityID],RawOfficer[AbilityID],RawOfficer[AbilityHasChance])</f>
        <v>0</v>
      </c>
      <c r="AJ82" s="428" t="b">
        <f t="array" ref="AJ82">XLOOKUP(LCARS_Off[AbilityID],RawOfficer[AbilityID],RawOfficer[AbilityShowPercentage])</f>
        <v>1</v>
      </c>
      <c r="AK82" s="429">
        <f t="array" ref="AK82">XLOOKUP(LCARS_Off[AbilityID],RawOfficer[AbilityID],RawOfficer[OfficerArt])</f>
        <v>56</v>
      </c>
      <c r="AL82" s="430">
        <v>2.894716041E9</v>
      </c>
      <c r="AM82" s="430">
        <f t="array" ref="AM82">XLOOKUP(LCARS_Off[AbilityID],RawOfficer[AbilityID],RawOfficer[Default Order])</f>
        <v>79</v>
      </c>
    </row>
    <row r="83">
      <c r="A83" s="429" t="str">
        <f t="array" ref="A83">LEFT(XLOOKUP(LCARS_Off[AbilityID],RawOfficer[AbilityID],RawOfficer[OfficerRarity]), 1)</f>
        <v>U</v>
      </c>
      <c r="B83" s="429"/>
      <c r="C83" s="514">
        <f t="array" ref="C83">HYPERLINK("https://stfc.space/officers/" &amp; XLOOKUP(LCARS_Off[AbilityID],RawOfficer[AbilityID],RawOfficer[OfficerId]), XLOOKUP(LCARS_Off[AbilityID],RawOfficer[AbilityID],RawOfficer[OfficerName]))</f>
        <v>718</v>
      </c>
      <c r="D83" s="515" t="str">
        <f t="array" ref="D83">XLOOKUP(LCARS_Off[AbilityID],RawOfficer[AbilityID],RawOfficer[AbilityType])</f>
        <v>OA</v>
      </c>
      <c r="E83" s="516" t="str">
        <f t="array" ref="E83">XLOOKUP(LCARS_Off[AbilityID],RawOfficer[AbilityID],RawOfficer[Tag_PvPinSpace])</f>
        <v>✅</v>
      </c>
      <c r="F83" s="516" t="str">
        <f t="array" ref="F83">XLOOKUP(LCARS_Off[AbilityID],RawOfficer[AbilityID],RawOfficer[Tag_PvPStation])</f>
        <v>✅</v>
      </c>
      <c r="G83" s="516" t="str">
        <f t="array" ref="G83">XLOOKUP(LCARS_Off[AbilityID],RawOfficer[AbilityID],RawOfficer[Tag_NonArmadaHostiles])</f>
        <v>✅</v>
      </c>
      <c r="H83" s="516" t="str">
        <f t="array" ref="H83">XLOOKUP(LCARS_Off[AbilityID],RawOfficer[AbilityID],RawOfficer[Tag_WaveDefense])</f>
        <v>✅</v>
      </c>
      <c r="I83" s="516" t="str">
        <f t="array" ref="I83">XLOOKUP(LCARS_Off[AbilityID],RawOfficer[AbilityID],RawOfficer[Tag_QTrial])</f>
        <v>✅</v>
      </c>
      <c r="J83" s="516" t="str">
        <f t="array" ref="J83">XLOOKUP(LCARS_Off[AbilityID],RawOfficer[AbilityID],RawOfficer[Tag_MissionBosses])</f>
        <v>✅</v>
      </c>
      <c r="K83" s="516" t="str">
        <f t="array" ref="K83">XLOOKUP(LCARS_Off[AbilityID],RawOfficer[AbilityID],RawOfficer[Tag_GroupArmadas])</f>
        <v>✅</v>
      </c>
      <c r="L83" s="516" t="str">
        <f t="array" ref="L83">XLOOKUP(LCARS_Off[AbilityID],RawOfficer[AbilityID],RawOfficer[Tag_SoloArmadas])</f>
        <v>✅</v>
      </c>
      <c r="M83" s="516" t="str">
        <f t="array" ref="M83">XLOOKUP(LCARS_Off[AbilityID],RawOfficer[AbilityID],RawOfficer[Tag_InvadingEntities])</f>
        <v>✅</v>
      </c>
      <c r="N83" s="516" t="str">
        <f t="array" ref="N83">XLOOKUP(LCARS_Off[AbilityID],RawOfficer[AbilityID],RawOfficer[Tag_Assaults])</f>
        <v>✅</v>
      </c>
      <c r="O83" s="516" t="str">
        <f t="array" ref="O83">XLOOKUP(LCARS_Off[AbilityID],RawOfficer[AbilityID],RawOfficer[Tag_OutpostArmadas])</f>
        <v>✅</v>
      </c>
      <c r="P83" s="516" t="str">
        <f t="array" ref="P83">XLOOKUP(LCARS_Off[AbilityID],RawOfficer[AbilityID],RawOfficer[Tag_OutpostRetaliators])</f>
        <v>✅</v>
      </c>
      <c r="Q83" s="517" t="str">
        <f t="array" ref="Q83">XLOOKUP(LCARS_Off[AbilityID],RawOfficer[AbilityID],RawOfficer[Conditional_Reason])</f>
        <v/>
      </c>
      <c r="R83" s="518" t="str">
        <f t="array" ref="R83">XLOOKUP(LCARS_Off[AbilityID],RawOfficer[AbilityID],RawOfficer[Tag_Loot])</f>
        <v>➖</v>
      </c>
      <c r="S83" s="516" t="str">
        <f t="array" ref="S83">XLOOKUP(LCARS_Off[AbilityID],RawOfficer[AbilityID],RawOfficer[Tag_Utility])</f>
        <v>➖</v>
      </c>
      <c r="T83" s="429" t="str">
        <f t="array" ref="T83">XLOOKUP(LCARS_Off[AbilityID],RawOfficer[AbilityID],RawOfficer[OfficerSynergy])</f>
        <v>AUXILIARY CONTROLS</v>
      </c>
      <c r="U83" s="527" t="str">
        <f t="array" ref="U83">XLOOKUP(LCARS_Off[AbilityID],RawOfficer[AbilityID],RawOfficer[AbilityModifier])</f>
        <v>OfficerStatDefense</v>
      </c>
      <c r="V83" s="519" t="str">
        <f t="array" ref="V83">XLOOKUP(LCARS_Off[AbilityID],RawOfficer[AbilityID],RawOfficer[AbilityAttributes])</f>
        <v/>
      </c>
      <c r="W83" s="520" t="str">
        <f t="array" ref="W83">XLOOKUP(LCARS_Off[AbilityID],RawOfficer[AbilityID],RawOfficer[AbilityConditions])</f>
        <v/>
      </c>
      <c r="X83" s="519" t="str">
        <f t="array" ref="X83">XLOOKUP(LCARS_Off[AbilityID],RawOfficer[AbilityID],RawOfficer[AbilityTrigger])</f>
        <v>ShipLaunched</v>
      </c>
      <c r="Y83" s="519" t="str">
        <f t="array" ref="Y83">XLOOKUP(LCARS_Off[AbilityID],RawOfficer[AbilityID],RawOfficer[AbilityTarget])</f>
        <v>SelfAll</v>
      </c>
      <c r="Z83" s="519" t="str">
        <f t="array" ref="Z83">XLOOKUP(LCARS_Off[AbilityID],RawOfficer[AbilityID],RawOfficer[AbilityOperation])</f>
        <v>MultiplyAdd</v>
      </c>
      <c r="AA83" s="521" t="str">
        <f t="array" ref="AA83">XLOOKUP(LCARS_Off[AbilityID],RawOfficer[AbilityID],RawOfficer[AbilityDescription])</f>
        <v>0718 increases the Defense of all Officers on the ship by X.</v>
      </c>
      <c r="AB83" s="429" t="b">
        <v>0</v>
      </c>
      <c r="AC83" s="522" t="str">
        <f t="array" ref="AC83">XLOOKUP(LCARS_Off[AbilityID],RawOfficer[AbilityID],RawOfficer[AbilityDescriptionShort])</f>
        <v>+X to the Defense of all Officers on the ship</v>
      </c>
      <c r="AD83" s="523"/>
      <c r="AE83" s="524"/>
      <c r="AF83" s="524"/>
      <c r="AG83" s="525" t="str">
        <f t="array" ref="AG83">XLOOKUP(LCARS_Off[AbilityID],RawOfficer[AbilityID],RawOfficer[AbilityChances])</f>
        <v>1.0, 1.0, 1.0, 1.0, 1.0</v>
      </c>
      <c r="AH83" s="525" t="str">
        <f t="array" ref="AH83">XLOOKUP(LCARS_Off[AbilityID],RawOfficer[AbilityID],RawOfficer[AbilityValues])</f>
        <v>0.05, 0.07, 0.09, 0.12, 0.15</v>
      </c>
      <c r="AI83" s="428" t="b">
        <f t="array" ref="AI83">XLOOKUP(LCARS_Off[AbilityID],RawOfficer[AbilityID],RawOfficer[AbilityHasChance])</f>
        <v>0</v>
      </c>
      <c r="AJ83" s="428" t="b">
        <f t="array" ref="AJ83">XLOOKUP(LCARS_Off[AbilityID],RawOfficer[AbilityID],RawOfficer[AbilityShowPercentage])</f>
        <v>1</v>
      </c>
      <c r="AK83" s="429">
        <f t="array" ref="AK83">XLOOKUP(LCARS_Off[AbilityID],RawOfficer[AbilityID],RawOfficer[OfficerArt])</f>
        <v>56</v>
      </c>
      <c r="AL83" s="430">
        <v>4.283269593E9</v>
      </c>
      <c r="AM83" s="430">
        <f t="array" ref="AM83">XLOOKUP(LCARS_Off[AbilityID],RawOfficer[AbilityID],RawOfficer[Default Order])</f>
        <v>80</v>
      </c>
    </row>
    <row r="84">
      <c r="A84" s="429" t="str">
        <f t="array" ref="A84">LEFT(XLOOKUP(LCARS_Off[AbilityID],RawOfficer[AbilityID],RawOfficer[OfficerRarity]), 1)</f>
        <v>E</v>
      </c>
      <c r="B84" s="429"/>
      <c r="C84" s="514" t="str">
        <f t="array" ref="C84">HYPERLINK("https://stfc.space/officers/" &amp; XLOOKUP(LCARS_Off[AbilityID],RawOfficer[AbilityID],RawOfficer[OfficerId]), XLOOKUP(LCARS_Off[AbilityID],RawOfficer[AbilityID],RawOfficer[OfficerName]))</f>
        <v>MITCHELL</v>
      </c>
      <c r="D84" s="515" t="str">
        <f t="array" ref="D84">XLOOKUP(LCARS_Off[AbilityID],RawOfficer[AbilityID],RawOfficer[AbilityType])</f>
        <v>CM</v>
      </c>
      <c r="E84" s="516" t="str">
        <f t="array" ref="E84">XLOOKUP(LCARS_Off[AbilityID],RawOfficer[AbilityID],RawOfficer[Tag_PvPinSpace])</f>
        <v>➖</v>
      </c>
      <c r="F84" s="516" t="str">
        <f t="array" ref="F84">XLOOKUP(LCARS_Off[AbilityID],RawOfficer[AbilityID],RawOfficer[Tag_PvPStation])</f>
        <v>✅</v>
      </c>
      <c r="G84" s="516" t="str">
        <f t="array" ref="G84">XLOOKUP(LCARS_Off[AbilityID],RawOfficer[AbilityID],RawOfficer[Tag_NonArmadaHostiles])</f>
        <v>➖</v>
      </c>
      <c r="H84" s="516" t="str">
        <f t="array" ref="H84">XLOOKUP(LCARS_Off[AbilityID],RawOfficer[AbilityID],RawOfficer[Tag_WaveDefense])</f>
        <v>➖</v>
      </c>
      <c r="I84" s="516" t="str">
        <f t="array" ref="I84">XLOOKUP(LCARS_Off[AbilityID],RawOfficer[AbilityID],RawOfficer[Tag_QTrial])</f>
        <v>➖</v>
      </c>
      <c r="J84" s="516" t="str">
        <f t="array" ref="J84">XLOOKUP(LCARS_Off[AbilityID],RawOfficer[AbilityID],RawOfficer[Tag_MissionBosses])</f>
        <v>➖</v>
      </c>
      <c r="K84" s="516" t="str">
        <f t="array" ref="K84">XLOOKUP(LCARS_Off[AbilityID],RawOfficer[AbilityID],RawOfficer[Tag_GroupArmadas])</f>
        <v>➖</v>
      </c>
      <c r="L84" s="516" t="str">
        <f t="array" ref="L84">XLOOKUP(LCARS_Off[AbilityID],RawOfficer[AbilityID],RawOfficer[Tag_SoloArmadas])</f>
        <v>➖</v>
      </c>
      <c r="M84" s="516" t="str">
        <f t="array" ref="M84">XLOOKUP(LCARS_Off[AbilityID],RawOfficer[AbilityID],RawOfficer[Tag_InvadingEntities])</f>
        <v>➖</v>
      </c>
      <c r="N84" s="516" t="str">
        <f t="array" ref="N84">XLOOKUP(LCARS_Off[AbilityID],RawOfficer[AbilityID],RawOfficer[Tag_Assaults])</f>
        <v>➖</v>
      </c>
      <c r="O84" s="516" t="str">
        <f t="array" ref="O84">XLOOKUP(LCARS_Off[AbilityID],RawOfficer[AbilityID],RawOfficer[Tag_OutpostArmadas])</f>
        <v>➖</v>
      </c>
      <c r="P84" s="516" t="str">
        <f t="array" ref="P84">XLOOKUP(LCARS_Off[AbilityID],RawOfficer[AbilityID],RawOfficer[Tag_OutpostRetaliators])</f>
        <v>➖</v>
      </c>
      <c r="Q84" s="517" t="str">
        <f t="array" ref="Q84">XLOOKUP(LCARS_Off[AbilityID],RawOfficer[AbilityID],RawOfficer[Conditional_Reason])</f>
        <v/>
      </c>
      <c r="R84" s="518" t="str">
        <f t="array" ref="R84">XLOOKUP(LCARS_Off[AbilityID],RawOfficer[AbilityID],RawOfficer[Tag_Loot])</f>
        <v>➖</v>
      </c>
      <c r="S84" s="516" t="str">
        <f t="array" ref="S84">XLOOKUP(LCARS_Off[AbilityID],RawOfficer[AbilityID],RawOfficer[Tag_Utility])</f>
        <v>➖</v>
      </c>
      <c r="T84" s="429" t="str">
        <f t="array" ref="T84">XLOOKUP(LCARS_Off[AbilityID],RawOfficer[AbilityID],RawOfficer[OfficerSynergy])</f>
        <v>AUXILIARY CONTROLS</v>
      </c>
      <c r="U84" s="519" t="str">
        <f t="array" ref="U84">XLOOKUP(LCARS_Off[AbilityID],RawOfficer[AbilityID],RawOfficer[AbilityModifier])</f>
        <v>OfficerStatAll</v>
      </c>
      <c r="V84" s="519" t="str">
        <f t="array" ref="V84">XLOOKUP(LCARS_Off[AbilityID],RawOfficer[AbilityID],RawOfficer[AbilityAttributes])</f>
        <v/>
      </c>
      <c r="W84" s="520" t="str">
        <f t="array" ref="W84">XLOOKUP(LCARS_Off[AbilityID],RawOfficer[AbilityID],RawOfficer[AbilityConditions])</f>
        <v>SelfAtStation</v>
      </c>
      <c r="X84" s="519" t="str">
        <f t="array" ref="X84">XLOOKUP(LCARS_Off[AbilityID],RawOfficer[AbilityID],RawOfficer[AbilityTrigger])</f>
        <v>ShipLaunched</v>
      </c>
      <c r="Y84" s="519" t="str">
        <f t="array" ref="Y84">XLOOKUP(LCARS_Off[AbilityID],RawOfficer[AbilityID],RawOfficer[AbilityTarget])</f>
        <v>SelfBridge</v>
      </c>
      <c r="Z84" s="519" t="str">
        <f t="array" ref="Z84">XLOOKUP(LCARS_Off[AbilityID],RawOfficer[AbilityID],RawOfficer[AbilityOperation])</f>
        <v>MultiplyAdd</v>
      </c>
      <c r="AA84" s="521" t="str">
        <f t="array" ref="AA84">XLOOKUP(LCARS_Off[AbilityID],RawOfficer[AbilityID],RawOfficer[AbilityDescription])</f>
        <v>Mitchell increases the Stats of all Officers on Board by X when defending the Station.</v>
      </c>
      <c r="AB84" s="429" t="b">
        <v>0</v>
      </c>
      <c r="AC84" s="522" t="str">
        <f t="array" ref="AC84">XLOOKUP(LCARS_Off[AbilityID],RawOfficer[AbilityID],RawOfficer[AbilityDescriptionShort])</f>
        <v>+X to all Officer Stats on Board when defending the station</v>
      </c>
      <c r="AD84" s="523"/>
      <c r="AE84" s="524"/>
      <c r="AF84" s="524"/>
      <c r="AG84" s="525" t="str">
        <f t="array" ref="AG84">XLOOKUP(LCARS_Off[AbilityID],RawOfficer[AbilityID],RawOfficer[AbilityChances])</f>
        <v>1.0, 1.0, 1.0</v>
      </c>
      <c r="AH84" s="525" t="str">
        <f t="array" ref="AH84">XLOOKUP(LCARS_Off[AbilityID],RawOfficer[AbilityID],RawOfficer[AbilityValues])</f>
        <v>0.2, 0.1, 0.2</v>
      </c>
      <c r="AI84" s="428" t="b">
        <f t="array" ref="AI84">XLOOKUP(LCARS_Off[AbilityID],RawOfficer[AbilityID],RawOfficer[AbilityHasChance])</f>
        <v>0</v>
      </c>
      <c r="AJ84" s="428" t="b">
        <f t="array" ref="AJ84">XLOOKUP(LCARS_Off[AbilityID],RawOfficer[AbilityID],RawOfficer[AbilityShowPercentage])</f>
        <v>1</v>
      </c>
      <c r="AK84" s="429">
        <f t="array" ref="AK84">XLOOKUP(LCARS_Off[AbilityID],RawOfficer[AbilityID],RawOfficer[OfficerArt])</f>
        <v>57</v>
      </c>
      <c r="AL84" s="430">
        <v>1.825243742E9</v>
      </c>
      <c r="AM84" s="430">
        <f t="array" ref="AM84">XLOOKUP(LCARS_Off[AbilityID],RawOfficer[AbilityID],RawOfficer[Default Order])</f>
        <v>81</v>
      </c>
    </row>
    <row r="85">
      <c r="A85" s="429" t="str">
        <f t="array" ref="A85">LEFT(XLOOKUP(LCARS_Off[AbilityID],RawOfficer[AbilityID],RawOfficer[OfficerRarity]), 1)</f>
        <v>E</v>
      </c>
      <c r="B85" s="429"/>
      <c r="C85" s="514" t="str">
        <f t="array" ref="C85">HYPERLINK("https://stfc.space/officers/" &amp; XLOOKUP(LCARS_Off[AbilityID],RawOfficer[AbilityID],RawOfficer[OfficerId]), XLOOKUP(LCARS_Off[AbilityID],RawOfficer[AbilityID],RawOfficer[OfficerName]))</f>
        <v>MITCHELL</v>
      </c>
      <c r="D85" s="515" t="str">
        <f t="array" ref="D85">XLOOKUP(LCARS_Off[AbilityID],RawOfficer[AbilityID],RawOfficer[AbilityType])</f>
        <v>OA</v>
      </c>
      <c r="E85" s="516" t="str">
        <f t="array" ref="E85">XLOOKUP(LCARS_Off[AbilityID],RawOfficer[AbilityID],RawOfficer[Tag_PvPinSpace])</f>
        <v>✅</v>
      </c>
      <c r="F85" s="516" t="str">
        <f t="array" ref="F85">XLOOKUP(LCARS_Off[AbilityID],RawOfficer[AbilityID],RawOfficer[Tag_PvPStation])</f>
        <v>✅</v>
      </c>
      <c r="G85" s="516" t="str">
        <f t="array" ref="G85">XLOOKUP(LCARS_Off[AbilityID],RawOfficer[AbilityID],RawOfficer[Tag_NonArmadaHostiles])</f>
        <v>✅</v>
      </c>
      <c r="H85" s="516" t="str">
        <f t="array" ref="H85">XLOOKUP(LCARS_Off[AbilityID],RawOfficer[AbilityID],RawOfficer[Tag_WaveDefense])</f>
        <v>✅</v>
      </c>
      <c r="I85" s="516" t="str">
        <f t="array" ref="I85">XLOOKUP(LCARS_Off[AbilityID],RawOfficer[AbilityID],RawOfficer[Tag_QTrial])</f>
        <v>✅</v>
      </c>
      <c r="J85" s="516" t="str">
        <f t="array" ref="J85">XLOOKUP(LCARS_Off[AbilityID],RawOfficer[AbilityID],RawOfficer[Tag_MissionBosses])</f>
        <v>✅</v>
      </c>
      <c r="K85" s="516" t="str">
        <f t="array" ref="K85">XLOOKUP(LCARS_Off[AbilityID],RawOfficer[AbilityID],RawOfficer[Tag_GroupArmadas])</f>
        <v>✅</v>
      </c>
      <c r="L85" s="516" t="str">
        <f t="array" ref="L85">XLOOKUP(LCARS_Off[AbilityID],RawOfficer[AbilityID],RawOfficer[Tag_SoloArmadas])</f>
        <v>✅</v>
      </c>
      <c r="M85" s="516" t="str">
        <f t="array" ref="M85">XLOOKUP(LCARS_Off[AbilityID],RawOfficer[AbilityID],RawOfficer[Tag_InvadingEntities])</f>
        <v>✅</v>
      </c>
      <c r="N85" s="516" t="str">
        <f t="array" ref="N85">XLOOKUP(LCARS_Off[AbilityID],RawOfficer[AbilityID],RawOfficer[Tag_Assaults])</f>
        <v>✅</v>
      </c>
      <c r="O85" s="516" t="str">
        <f t="array" ref="O85">XLOOKUP(LCARS_Off[AbilityID],RawOfficer[AbilityID],RawOfficer[Tag_OutpostArmadas])</f>
        <v>✅</v>
      </c>
      <c r="P85" s="516" t="str">
        <f t="array" ref="P85">XLOOKUP(LCARS_Off[AbilityID],RawOfficer[AbilityID],RawOfficer[Tag_OutpostRetaliators])</f>
        <v>✅</v>
      </c>
      <c r="Q85" s="517" t="str">
        <f t="array" ref="Q85">XLOOKUP(LCARS_Off[AbilityID],RawOfficer[AbilityID],RawOfficer[Conditional_Reason])</f>
        <v/>
      </c>
      <c r="R85" s="518" t="str">
        <f t="array" ref="R85">XLOOKUP(LCARS_Off[AbilityID],RawOfficer[AbilityID],RawOfficer[Tag_Loot])</f>
        <v>➖</v>
      </c>
      <c r="S85" s="516" t="str">
        <f t="array" ref="S85">XLOOKUP(LCARS_Off[AbilityID],RawOfficer[AbilityID],RawOfficer[Tag_Utility])</f>
        <v>➖</v>
      </c>
      <c r="T85" s="429" t="str">
        <f t="array" ref="T85">XLOOKUP(LCARS_Off[AbilityID],RawOfficer[AbilityID],RawOfficer[OfficerSynergy])</f>
        <v>AUXILIARY CONTROLS</v>
      </c>
      <c r="U85" s="519" t="str">
        <f t="array" ref="U85">XLOOKUP(LCARS_Off[AbilityID],RawOfficer[AbilityID],RawOfficer[AbilityModifier])</f>
        <v>AllDamage</v>
      </c>
      <c r="V85" s="519" t="str">
        <f t="array" ref="V85">XLOOKUP(LCARS_Off[AbilityID],RawOfficer[AbilityID],RawOfficer[AbilityAttributes])</f>
        <v>num_rounds=1</v>
      </c>
      <c r="W85" s="520" t="str">
        <f t="array" ref="W85">XLOOKUP(LCARS_Off[AbilityID],RawOfficer[AbilityID],RawOfficer[AbilityConditions])</f>
        <v/>
      </c>
      <c r="X85" s="519" t="str">
        <f t="array" ref="X85">XLOOKUP(LCARS_Off[AbilityID],RawOfficer[AbilityID],RawOfficer[AbilityTrigger])</f>
        <v>CriticalShotTaken</v>
      </c>
      <c r="Y85" s="519" t="str">
        <f t="array" ref="Y85">XLOOKUP(LCARS_Off[AbilityID],RawOfficer[AbilityID],RawOfficer[AbilityTarget])</f>
        <v>SelfShip</v>
      </c>
      <c r="Z85" s="519" t="str">
        <f t="array" ref="Z85">XLOOKUP(LCARS_Off[AbilityID],RawOfficer[AbilityID],RawOfficer[AbilityOperation])</f>
        <v>MultiplyAdd</v>
      </c>
      <c r="AA85" s="521" t="str">
        <f t="array" ref="AA85">XLOOKUP(LCARS_Off[AbilityID],RawOfficer[AbilityID],RawOfficer[AbilityDescription])</f>
        <v>When getting hit by a Critical Hit, Mitchell increases the ship Weapon Damage by X for one round.</v>
      </c>
      <c r="AB85" s="429" t="b">
        <v>0</v>
      </c>
      <c r="AC85" s="522" t="str">
        <f t="array" ref="AC85">XLOOKUP(LCARS_Off[AbilityID],RawOfficer[AbilityID],RawOfficer[AbilityDescriptionShort])</f>
        <v>+X to Damage for one round when hit by a Critical Hit</v>
      </c>
      <c r="AD85" s="523"/>
      <c r="AE85" s="524"/>
      <c r="AF85" s="524"/>
      <c r="AG85" s="525" t="str">
        <f t="array" ref="AG85">XLOOKUP(LCARS_Off[AbilityID],RawOfficer[AbilityID],RawOfficer[AbilityChances])</f>
        <v>1.0, 1.0, 1.0, 1.0, 1.0</v>
      </c>
      <c r="AH85" s="525" t="str">
        <f t="array" ref="AH85">XLOOKUP(LCARS_Off[AbilityID],RawOfficer[AbilityID],RawOfficer[AbilityValues])</f>
        <v>0.3, 0.4, 0.5, 0.6, 0.7</v>
      </c>
      <c r="AI85" s="428" t="b">
        <f t="array" ref="AI85">XLOOKUP(LCARS_Off[AbilityID],RawOfficer[AbilityID],RawOfficer[AbilityHasChance])</f>
        <v>0</v>
      </c>
      <c r="AJ85" s="428" t="b">
        <f t="array" ref="AJ85">XLOOKUP(LCARS_Off[AbilityID],RawOfficer[AbilityID],RawOfficer[AbilityShowPercentage])</f>
        <v>1</v>
      </c>
      <c r="AK85" s="429">
        <f t="array" ref="AK85">XLOOKUP(LCARS_Off[AbilityID],RawOfficer[AbilityID],RawOfficer[OfficerArt])</f>
        <v>57</v>
      </c>
      <c r="AL85" s="430">
        <v>3.132926029E9</v>
      </c>
      <c r="AM85" s="430">
        <f t="array" ref="AM85">XLOOKUP(LCARS_Off[AbilityID],RawOfficer[AbilityID],RawOfficer[Default Order])</f>
        <v>82</v>
      </c>
    </row>
    <row r="86">
      <c r="A86" s="429" t="str">
        <f t="array" ref="A86">LEFT(XLOOKUP(LCARS_Off[AbilityID],RawOfficer[AbilityID],RawOfficer[OfficerRarity]), 1)</f>
        <v>C</v>
      </c>
      <c r="B86" s="429"/>
      <c r="C86" s="514" t="str">
        <f t="array" ref="C86">HYPERLINK("https://stfc.space/officers/" &amp; XLOOKUP(LCARS_Off[AbilityID],RawOfficer[AbilityID],RawOfficer[OfficerId]), XLOOKUP(LCARS_Off[AbilityID],RawOfficer[AbilityID],RawOfficer[OfficerName]))</f>
        <v>KOMAL</v>
      </c>
      <c r="D86" s="515" t="str">
        <f t="array" ref="D86">XLOOKUP(LCARS_Off[AbilityID],RawOfficer[AbilityID],RawOfficer[AbilityType])</f>
        <v>CM</v>
      </c>
      <c r="E86" s="516" t="str">
        <f t="array" ref="E86">XLOOKUP(LCARS_Off[AbilityID],RawOfficer[AbilityID],RawOfficer[Tag_PvPinSpace])</f>
        <v>✴️</v>
      </c>
      <c r="F86" s="516" t="str">
        <f t="array" ref="F86">XLOOKUP(LCARS_Off[AbilityID],RawOfficer[AbilityID],RawOfficer[Tag_PvPStation])</f>
        <v>✴️</v>
      </c>
      <c r="G86" s="516" t="str">
        <f t="array" ref="G86">XLOOKUP(LCARS_Off[AbilityID],RawOfficer[AbilityID],RawOfficer[Tag_NonArmadaHostiles])</f>
        <v>➖</v>
      </c>
      <c r="H86" s="516" t="str">
        <f t="array" ref="H86">XLOOKUP(LCARS_Off[AbilityID],RawOfficer[AbilityID],RawOfficer[Tag_WaveDefense])</f>
        <v>➖</v>
      </c>
      <c r="I86" s="516" t="str">
        <f t="array" ref="I86">XLOOKUP(LCARS_Off[AbilityID],RawOfficer[AbilityID],RawOfficer[Tag_QTrial])</f>
        <v>➖</v>
      </c>
      <c r="J86" s="516" t="str">
        <f t="array" ref="J86">XLOOKUP(LCARS_Off[AbilityID],RawOfficer[AbilityID],RawOfficer[Tag_MissionBosses])</f>
        <v>➖</v>
      </c>
      <c r="K86" s="516" t="str">
        <f t="array" ref="K86">XLOOKUP(LCARS_Off[AbilityID],RawOfficer[AbilityID],RawOfficer[Tag_GroupArmadas])</f>
        <v>➖</v>
      </c>
      <c r="L86" s="516" t="str">
        <f t="array" ref="L86">XLOOKUP(LCARS_Off[AbilityID],RawOfficer[AbilityID],RawOfficer[Tag_SoloArmadas])</f>
        <v>➖</v>
      </c>
      <c r="M86" s="516" t="str">
        <f t="array" ref="M86">XLOOKUP(LCARS_Off[AbilityID],RawOfficer[AbilityID],RawOfficer[Tag_InvadingEntities])</f>
        <v>➖</v>
      </c>
      <c r="N86" s="516" t="str">
        <f t="array" ref="N86">XLOOKUP(LCARS_Off[AbilityID],RawOfficer[AbilityID],RawOfficer[Tag_Assaults])</f>
        <v>➖</v>
      </c>
      <c r="O86" s="516" t="str">
        <f t="array" ref="O86">XLOOKUP(LCARS_Off[AbilityID],RawOfficer[AbilityID],RawOfficer[Tag_OutpostArmadas])</f>
        <v>➖</v>
      </c>
      <c r="P86" s="516" t="str">
        <f t="array" ref="P86">XLOOKUP(LCARS_Off[AbilityID],RawOfficer[AbilityID],RawOfficer[Tag_OutpostRetaliators])</f>
        <v>➖</v>
      </c>
      <c r="Q86" s="517" t="str">
        <f t="array" ref="Q86">XLOOKUP(LCARS_Off[AbilityID],RawOfficer[AbilityID],RawOfficer[Conditional_Reason])</f>
        <v>SelfBattleship</v>
      </c>
      <c r="R86" s="518" t="str">
        <f t="array" ref="R86">XLOOKUP(LCARS_Off[AbilityID],RawOfficer[AbilityID],RawOfficer[Tag_Loot])</f>
        <v>➖</v>
      </c>
      <c r="S86" s="516" t="str">
        <f t="array" ref="S86">XLOOKUP(LCARS_Off[AbilityID],RawOfficer[AbilityID],RawOfficer[Tag_Utility])</f>
        <v>➖</v>
      </c>
      <c r="T86" s="429" t="str">
        <f t="array" ref="T86">XLOOKUP(LCARS_Off[AbilityID],RawOfficer[AbilityID],RawOfficer[OfficerSynergy])</f>
        <v>GLORY IN THE KILL</v>
      </c>
      <c r="U86" s="519" t="str">
        <f t="array" ref="U86">XLOOKUP(LCARS_Off[AbilityID],RawOfficer[AbilityID],RawOfficer[AbilityModifier])</f>
        <v>AllDamage</v>
      </c>
      <c r="V86" s="519" t="str">
        <f t="array" ref="V86">XLOOKUP(LCARS_Off[AbilityID],RawOfficer[AbilityID],RawOfficer[AbilityAttributes])</f>
        <v/>
      </c>
      <c r="W86" s="520" t="str">
        <f t="array" ref="W86">XLOOKUP(LCARS_Off[AbilityID],RawOfficer[AbilityID],RawOfficer[AbilityConditions])</f>
        <v>SelfBattleship, EnemyPlayer</v>
      </c>
      <c r="X86" s="519" t="str">
        <f t="array" ref="X86">XLOOKUP(LCARS_Off[AbilityID],RawOfficer[AbilityID],RawOfficer[AbilityTrigger])</f>
        <v>CombatStart</v>
      </c>
      <c r="Y86" s="519" t="str">
        <f t="array" ref="Y86">XLOOKUP(LCARS_Off[AbilityID],RawOfficer[AbilityID],RawOfficer[AbilityTarget])</f>
        <v>SelfShip</v>
      </c>
      <c r="Z86" s="519" t="str">
        <f t="array" ref="Z86">XLOOKUP(LCARS_Off[AbilityID],RawOfficer[AbilityID],RawOfficer[AbilityOperation])</f>
        <v>MultiplyAdd</v>
      </c>
      <c r="AA86" s="521" t="str">
        <f t="array" ref="AA86">XLOOKUP(LCARS_Off[AbilityID],RawOfficer[AbilityID],RawOfficer[AbilityDescription])</f>
        <v>When inside a Battleship, Komal increases Weapon Damage against players by X.</v>
      </c>
      <c r="AB86" s="429" t="b">
        <v>0</v>
      </c>
      <c r="AC86" s="522" t="str">
        <f t="array" ref="AC86">XLOOKUP(LCARS_Off[AbilityID],RawOfficer[AbilityID],RawOfficer[AbilityDescriptionShort])</f>
        <v>+X to Weapon Damage of Battleships against players</v>
      </c>
      <c r="AD86" s="523"/>
      <c r="AE86" s="524"/>
      <c r="AF86" s="524"/>
      <c r="AG86" s="525" t="str">
        <f t="array" ref="AG86">XLOOKUP(LCARS_Off[AbilityID],RawOfficer[AbilityID],RawOfficer[AbilityChances])</f>
        <v>1.0, 1.0, 1.0</v>
      </c>
      <c r="AH86" s="525" t="str">
        <f t="array" ref="AH86">XLOOKUP(LCARS_Off[AbilityID],RawOfficer[AbilityID],RawOfficer[AbilityValues])</f>
        <v>0.2, 0.05, 0.1</v>
      </c>
      <c r="AI86" s="428" t="b">
        <f t="array" ref="AI86">XLOOKUP(LCARS_Off[AbilityID],RawOfficer[AbilityID],RawOfficer[AbilityHasChance])</f>
        <v>0</v>
      </c>
      <c r="AJ86" s="428" t="b">
        <f t="array" ref="AJ86">XLOOKUP(LCARS_Off[AbilityID],RawOfficer[AbilityID],RawOfficer[AbilityShowPercentage])</f>
        <v>1</v>
      </c>
      <c r="AK86" s="429">
        <f t="array" ref="AK86">XLOOKUP(LCARS_Off[AbilityID],RawOfficer[AbilityID],RawOfficer[OfficerArt])</f>
        <v>79</v>
      </c>
      <c r="AL86" s="430">
        <v>1.339536277E9</v>
      </c>
      <c r="AM86" s="430">
        <f t="array" ref="AM86">XLOOKUP(LCARS_Off[AbilityID],RawOfficer[AbilityID],RawOfficer[Default Order])</f>
        <v>83</v>
      </c>
    </row>
    <row r="87">
      <c r="A87" s="429" t="str">
        <f t="array" ref="A87">LEFT(XLOOKUP(LCARS_Off[AbilityID],RawOfficer[AbilityID],RawOfficer[OfficerRarity]), 1)</f>
        <v>C</v>
      </c>
      <c r="B87" s="429"/>
      <c r="C87" s="514" t="str">
        <f t="array" ref="C87">HYPERLINK("https://stfc.space/officers/" &amp; XLOOKUP(LCARS_Off[AbilityID],RawOfficer[AbilityID],RawOfficer[OfficerId]), XLOOKUP(LCARS_Off[AbilityID],RawOfficer[AbilityID],RawOfficer[OfficerName]))</f>
        <v>KOMAL</v>
      </c>
      <c r="D87" s="515" t="str">
        <f t="array" ref="D87">XLOOKUP(LCARS_Off[AbilityID],RawOfficer[AbilityID],RawOfficer[AbilityType])</f>
        <v>OA</v>
      </c>
      <c r="E87" s="516" t="str">
        <f t="array" ref="E87">XLOOKUP(LCARS_Off[AbilityID],RawOfficer[AbilityID],RawOfficer[Tag_PvPinSpace])</f>
        <v>✴️</v>
      </c>
      <c r="F87" s="516" t="str">
        <f t="array" ref="F87">XLOOKUP(LCARS_Off[AbilityID],RawOfficer[AbilityID],RawOfficer[Tag_PvPStation])</f>
        <v>✴️</v>
      </c>
      <c r="G87" s="516" t="str">
        <f t="array" ref="G87">XLOOKUP(LCARS_Off[AbilityID],RawOfficer[AbilityID],RawOfficer[Tag_NonArmadaHostiles])</f>
        <v>➖</v>
      </c>
      <c r="H87" s="516" t="str">
        <f t="array" ref="H87">XLOOKUP(LCARS_Off[AbilityID],RawOfficer[AbilityID],RawOfficer[Tag_WaveDefense])</f>
        <v>➖</v>
      </c>
      <c r="I87" s="516" t="str">
        <f t="array" ref="I87">XLOOKUP(LCARS_Off[AbilityID],RawOfficer[AbilityID],RawOfficer[Tag_QTrial])</f>
        <v>➖</v>
      </c>
      <c r="J87" s="516" t="str">
        <f t="array" ref="J87">XLOOKUP(LCARS_Off[AbilityID],RawOfficer[AbilityID],RawOfficer[Tag_MissionBosses])</f>
        <v>➖</v>
      </c>
      <c r="K87" s="516" t="str">
        <f t="array" ref="K87">XLOOKUP(LCARS_Off[AbilityID],RawOfficer[AbilityID],RawOfficer[Tag_GroupArmadas])</f>
        <v>➖</v>
      </c>
      <c r="L87" s="516" t="str">
        <f t="array" ref="L87">XLOOKUP(LCARS_Off[AbilityID],RawOfficer[AbilityID],RawOfficer[Tag_SoloArmadas])</f>
        <v>➖</v>
      </c>
      <c r="M87" s="516" t="str">
        <f t="array" ref="M87">XLOOKUP(LCARS_Off[AbilityID],RawOfficer[AbilityID],RawOfficer[Tag_InvadingEntities])</f>
        <v>➖</v>
      </c>
      <c r="N87" s="516" t="str">
        <f t="array" ref="N87">XLOOKUP(LCARS_Off[AbilityID],RawOfficer[AbilityID],RawOfficer[Tag_Assaults])</f>
        <v>➖</v>
      </c>
      <c r="O87" s="516" t="str">
        <f t="array" ref="O87">XLOOKUP(LCARS_Off[AbilityID],RawOfficer[AbilityID],RawOfficer[Tag_OutpostArmadas])</f>
        <v>➖</v>
      </c>
      <c r="P87" s="516" t="str">
        <f t="array" ref="P87">XLOOKUP(LCARS_Off[AbilityID],RawOfficer[AbilityID],RawOfficer[Tag_OutpostRetaliators])</f>
        <v>➖</v>
      </c>
      <c r="Q87" s="517" t="str">
        <f t="array" ref="Q87">XLOOKUP(LCARS_Off[AbilityID],RawOfficer[AbilityID],RawOfficer[Conditional_Reason])</f>
        <v>ModuleKinetic</v>
      </c>
      <c r="R87" s="518" t="str">
        <f t="array" ref="R87">XLOOKUP(LCARS_Off[AbilityID],RawOfficer[AbilityID],RawOfficer[Tag_Loot])</f>
        <v>➖</v>
      </c>
      <c r="S87" s="516" t="str">
        <f t="array" ref="S87">XLOOKUP(LCARS_Off[AbilityID],RawOfficer[AbilityID],RawOfficer[Tag_Utility])</f>
        <v>➖</v>
      </c>
      <c r="T87" s="429" t="str">
        <f t="array" ref="T87">XLOOKUP(LCARS_Off[AbilityID],RawOfficer[AbilityID],RawOfficer[OfficerSynergy])</f>
        <v>GLORY IN THE KILL</v>
      </c>
      <c r="U87" s="519" t="str">
        <f t="array" ref="U87">XLOOKUP(LCARS_Off[AbilityID],RawOfficer[AbilityID],RawOfficer[AbilityModifier])</f>
        <v>AllDamage</v>
      </c>
      <c r="V87" s="519" t="str">
        <f t="array" ref="V87">XLOOKUP(LCARS_Off[AbilityID],RawOfficer[AbilityID],RawOfficer[AbilityAttributes])</f>
        <v/>
      </c>
      <c r="W87" s="520" t="str">
        <f t="array" ref="W87">XLOOKUP(LCARS_Off[AbilityID],RawOfficer[AbilityID],RawOfficer[AbilityConditions])</f>
        <v>ModuleKinetic, EnemyPlayer</v>
      </c>
      <c r="X87" s="519" t="str">
        <f t="array" ref="X87">XLOOKUP(LCARS_Off[AbilityID],RawOfficer[AbilityID],RawOfficer[AbilityTrigger])</f>
        <v>CombatStart</v>
      </c>
      <c r="Y87" s="519" t="str">
        <f t="array" ref="Y87">XLOOKUP(LCARS_Off[AbilityID],RawOfficer[AbilityID],RawOfficer[AbilityTarget])</f>
        <v>EnemyShip</v>
      </c>
      <c r="Z87" s="519" t="str">
        <f t="array" ref="Z87">XLOOKUP(LCARS_Off[AbilityID],RawOfficer[AbilityID],RawOfficer[AbilityOperation])</f>
        <v>MultiplySub</v>
      </c>
      <c r="AA87" s="521" t="str">
        <f t="array" ref="AA87">XLOOKUP(LCARS_Off[AbilityID],RawOfficer[AbilityID],RawOfficer[AbilityDescription])</f>
        <v>If the opponent is a player, Komal decreases the damage made by its Kinetic Weapons by X.</v>
      </c>
      <c r="AB87" s="429" t="b">
        <v>0</v>
      </c>
      <c r="AC87" s="522" t="str">
        <f t="array" ref="AC87">XLOOKUP(LCARS_Off[AbilityID],RawOfficer[AbilityID],RawOfficer[AbilityDescriptionShort])</f>
        <v>-X to Kinetic Weapon Damage from enemy player's ships</v>
      </c>
      <c r="AD87" s="523"/>
      <c r="AE87" s="524"/>
      <c r="AF87" s="524"/>
      <c r="AG87" s="525" t="str">
        <f t="array" ref="AG87">XLOOKUP(LCARS_Off[AbilityID],RawOfficer[AbilityID],RawOfficer[AbilityChances])</f>
        <v>1.0, 1.0, 1.0, 1.0, 1.0</v>
      </c>
      <c r="AH87" s="525" t="str">
        <f t="array" ref="AH87">XLOOKUP(LCARS_Off[AbilityID],RawOfficer[AbilityID],RawOfficer[AbilityValues])</f>
        <v>0.05, 0.07, 0.1, 0.15, 0.2</v>
      </c>
      <c r="AI87" s="428" t="b">
        <f t="array" ref="AI87">XLOOKUP(LCARS_Off[AbilityID],RawOfficer[AbilityID],RawOfficer[AbilityHasChance])</f>
        <v>0</v>
      </c>
      <c r="AJ87" s="428" t="b">
        <f t="array" ref="AJ87">XLOOKUP(LCARS_Off[AbilityID],RawOfficer[AbilityID],RawOfficer[AbilityShowPercentage])</f>
        <v>1</v>
      </c>
      <c r="AK87" s="429">
        <f t="array" ref="AK87">XLOOKUP(LCARS_Off[AbilityID],RawOfficer[AbilityID],RawOfficer[OfficerArt])</f>
        <v>79</v>
      </c>
      <c r="AL87" s="430">
        <v>5.0881558E8</v>
      </c>
      <c r="AM87" s="430">
        <f t="array" ref="AM87">XLOOKUP(LCARS_Off[AbilityID],RawOfficer[AbilityID],RawOfficer[Default Order])</f>
        <v>84</v>
      </c>
    </row>
    <row r="88">
      <c r="A88" s="429" t="str">
        <f t="array" ref="A88">LEFT(XLOOKUP(LCARS_Off[AbilityID],RawOfficer[AbilityID],RawOfficer[OfficerRarity]), 1)</f>
        <v>C</v>
      </c>
      <c r="B88" s="429"/>
      <c r="C88" s="514" t="str">
        <f t="array" ref="C88">HYPERLINK("https://stfc.space/officers/" &amp; XLOOKUP(LCARS_Off[AbilityID],RawOfficer[AbilityID],RawOfficer[OfficerId]), XLOOKUP(LCARS_Off[AbilityID],RawOfficer[AbilityID],RawOfficer[OfficerName]))</f>
        <v>VARTOQ</v>
      </c>
      <c r="D88" s="515" t="str">
        <f t="array" ref="D88">XLOOKUP(LCARS_Off[AbilityID],RawOfficer[AbilityID],RawOfficer[AbilityType])</f>
        <v>CM</v>
      </c>
      <c r="E88" s="516" t="str">
        <f t="array" ref="E88">XLOOKUP(LCARS_Off[AbilityID],RawOfficer[AbilityID],RawOfficer[Tag_PvPinSpace])</f>
        <v>✴️</v>
      </c>
      <c r="F88" s="516" t="str">
        <f t="array" ref="F88">XLOOKUP(LCARS_Off[AbilityID],RawOfficer[AbilityID],RawOfficer[Tag_PvPStation])</f>
        <v>✴️</v>
      </c>
      <c r="G88" s="516" t="str">
        <f t="array" ref="G88">XLOOKUP(LCARS_Off[AbilityID],RawOfficer[AbilityID],RawOfficer[Tag_NonArmadaHostiles])</f>
        <v>➖</v>
      </c>
      <c r="H88" s="516" t="str">
        <f t="array" ref="H88">XLOOKUP(LCARS_Off[AbilityID],RawOfficer[AbilityID],RawOfficer[Tag_WaveDefense])</f>
        <v>➖</v>
      </c>
      <c r="I88" s="516" t="str">
        <f t="array" ref="I88">XLOOKUP(LCARS_Off[AbilityID],RawOfficer[AbilityID],RawOfficer[Tag_QTrial])</f>
        <v>➖</v>
      </c>
      <c r="J88" s="516" t="str">
        <f t="array" ref="J88">XLOOKUP(LCARS_Off[AbilityID],RawOfficer[AbilityID],RawOfficer[Tag_MissionBosses])</f>
        <v>➖</v>
      </c>
      <c r="K88" s="516" t="str">
        <f t="array" ref="K88">XLOOKUP(LCARS_Off[AbilityID],RawOfficer[AbilityID],RawOfficer[Tag_GroupArmadas])</f>
        <v>➖</v>
      </c>
      <c r="L88" s="516" t="str">
        <f t="array" ref="L88">XLOOKUP(LCARS_Off[AbilityID],RawOfficer[AbilityID],RawOfficer[Tag_SoloArmadas])</f>
        <v>➖</v>
      </c>
      <c r="M88" s="516" t="str">
        <f t="array" ref="M88">XLOOKUP(LCARS_Off[AbilityID],RawOfficer[AbilityID],RawOfficer[Tag_InvadingEntities])</f>
        <v>➖</v>
      </c>
      <c r="N88" s="516" t="str">
        <f t="array" ref="N88">XLOOKUP(LCARS_Off[AbilityID],RawOfficer[AbilityID],RawOfficer[Tag_Assaults])</f>
        <v>➖</v>
      </c>
      <c r="O88" s="516" t="str">
        <f t="array" ref="O88">XLOOKUP(LCARS_Off[AbilityID],RawOfficer[AbilityID],RawOfficer[Tag_OutpostArmadas])</f>
        <v>➖</v>
      </c>
      <c r="P88" s="516" t="str">
        <f t="array" ref="P88">XLOOKUP(LCARS_Off[AbilityID],RawOfficer[AbilityID],RawOfficer[Tag_OutpostRetaliators])</f>
        <v>➖</v>
      </c>
      <c r="Q88" s="517" t="str">
        <f t="array" ref="Q88">XLOOKUP(LCARS_Off[AbilityID],RawOfficer[AbilityID],RawOfficer[Conditional_Reason])</f>
        <v>SelfInterceptor</v>
      </c>
      <c r="R88" s="518" t="str">
        <f t="array" ref="R88">XLOOKUP(LCARS_Off[AbilityID],RawOfficer[AbilityID],RawOfficer[Tag_Loot])</f>
        <v>➖</v>
      </c>
      <c r="S88" s="516" t="str">
        <f t="array" ref="S88">XLOOKUP(LCARS_Off[AbilityID],RawOfficer[AbilityID],RawOfficer[Tag_Utility])</f>
        <v>➖</v>
      </c>
      <c r="T88" s="429" t="str">
        <f t="array" ref="T88">XLOOKUP(LCARS_Off[AbilityID],RawOfficer[AbilityID],RawOfficer[OfficerSynergy])</f>
        <v>GLORY IN THE KILL</v>
      </c>
      <c r="U88" s="519" t="str">
        <f t="array" ref="U88">XLOOKUP(LCARS_Off[AbilityID],RawOfficer[AbilityID],RawOfficer[AbilityModifier])</f>
        <v>AllDamage</v>
      </c>
      <c r="V88" s="519" t="str">
        <f t="array" ref="V88">XLOOKUP(LCARS_Off[AbilityID],RawOfficer[AbilityID],RawOfficer[AbilityAttributes])</f>
        <v/>
      </c>
      <c r="W88" s="520" t="str">
        <f t="array" ref="W88">XLOOKUP(LCARS_Off[AbilityID],RawOfficer[AbilityID],RawOfficer[AbilityConditions])</f>
        <v>SelfInterceptor, EnemyPlayer</v>
      </c>
      <c r="X88" s="519" t="str">
        <f t="array" ref="X88">XLOOKUP(LCARS_Off[AbilityID],RawOfficer[AbilityID],RawOfficer[AbilityTrigger])</f>
        <v>CombatStart</v>
      </c>
      <c r="Y88" s="519" t="str">
        <f t="array" ref="Y88">XLOOKUP(LCARS_Off[AbilityID],RawOfficer[AbilityID],RawOfficer[AbilityTarget])</f>
        <v>SelfShip</v>
      </c>
      <c r="Z88" s="519" t="str">
        <f t="array" ref="Z88">XLOOKUP(LCARS_Off[AbilityID],RawOfficer[AbilityID],RawOfficer[AbilityOperation])</f>
        <v>MultiplyAdd</v>
      </c>
      <c r="AA88" s="521" t="str">
        <f t="array" ref="AA88">XLOOKUP(LCARS_Off[AbilityID],RawOfficer[AbilityID],RawOfficer[AbilityDescription])</f>
        <v>When inside an Interceptor, Vartoq increases the Weapon Damage against players by X.</v>
      </c>
      <c r="AB88" s="429" t="b">
        <v>0</v>
      </c>
      <c r="AC88" s="522" t="str">
        <f t="array" ref="AC88">XLOOKUP(LCARS_Off[AbilityID],RawOfficer[AbilityID],RawOfficer[AbilityDescriptionShort])</f>
        <v>+X to Weapon Damage of Interceptors against players</v>
      </c>
      <c r="AD88" s="523"/>
      <c r="AE88" s="524"/>
      <c r="AF88" s="524"/>
      <c r="AG88" s="525" t="str">
        <f t="array" ref="AG88">XLOOKUP(LCARS_Off[AbilityID],RawOfficer[AbilityID],RawOfficer[AbilityChances])</f>
        <v>1.0, 1.0, 1.0</v>
      </c>
      <c r="AH88" s="525" t="str">
        <f t="array" ref="AH88">XLOOKUP(LCARS_Off[AbilityID],RawOfficer[AbilityID],RawOfficer[AbilityValues])</f>
        <v>0.2, 0.05, 0.1</v>
      </c>
      <c r="AI88" s="428" t="b">
        <f t="array" ref="AI88">XLOOKUP(LCARS_Off[AbilityID],RawOfficer[AbilityID],RawOfficer[AbilityHasChance])</f>
        <v>0</v>
      </c>
      <c r="AJ88" s="428" t="b">
        <f t="array" ref="AJ88">XLOOKUP(LCARS_Off[AbilityID],RawOfficer[AbilityID],RawOfficer[AbilityShowPercentage])</f>
        <v>1</v>
      </c>
      <c r="AK88" s="429">
        <f t="array" ref="AK88">XLOOKUP(LCARS_Off[AbilityID],RawOfficer[AbilityID],RawOfficer[OfficerArt])</f>
        <v>80</v>
      </c>
      <c r="AL88" s="430">
        <v>9.13371453E8</v>
      </c>
      <c r="AM88" s="430">
        <f t="array" ref="AM88">XLOOKUP(LCARS_Off[AbilityID],RawOfficer[AbilityID],RawOfficer[Default Order])</f>
        <v>85</v>
      </c>
    </row>
    <row r="89">
      <c r="A89" s="429" t="str">
        <f t="array" ref="A89">LEFT(XLOOKUP(LCARS_Off[AbilityID],RawOfficer[AbilityID],RawOfficer[OfficerRarity]), 1)</f>
        <v>C</v>
      </c>
      <c r="B89" s="429"/>
      <c r="C89" s="514" t="str">
        <f t="array" ref="C89">HYPERLINK("https://stfc.space/officers/" &amp; XLOOKUP(LCARS_Off[AbilityID],RawOfficer[AbilityID],RawOfficer[OfficerId]), XLOOKUP(LCARS_Off[AbilityID],RawOfficer[AbilityID],RawOfficer[OfficerName]))</f>
        <v>VARTOQ</v>
      </c>
      <c r="D89" s="515" t="str">
        <f t="array" ref="D89">XLOOKUP(LCARS_Off[AbilityID],RawOfficer[AbilityID],RawOfficer[AbilityType])</f>
        <v>OA</v>
      </c>
      <c r="E89" s="516" t="str">
        <f t="array" ref="E89">XLOOKUP(LCARS_Off[AbilityID],RawOfficer[AbilityID],RawOfficer[Tag_PvPinSpace])</f>
        <v>✴️</v>
      </c>
      <c r="F89" s="516" t="str">
        <f t="array" ref="F89">XLOOKUP(LCARS_Off[AbilityID],RawOfficer[AbilityID],RawOfficer[Tag_PvPStation])</f>
        <v>✴️</v>
      </c>
      <c r="G89" s="516" t="str">
        <f t="array" ref="G89">XLOOKUP(LCARS_Off[AbilityID],RawOfficer[AbilityID],RawOfficer[Tag_NonArmadaHostiles])</f>
        <v>➖</v>
      </c>
      <c r="H89" s="516" t="str">
        <f t="array" ref="H89">XLOOKUP(LCARS_Off[AbilityID],RawOfficer[AbilityID],RawOfficer[Tag_WaveDefense])</f>
        <v>➖</v>
      </c>
      <c r="I89" s="516" t="str">
        <f t="array" ref="I89">XLOOKUP(LCARS_Off[AbilityID],RawOfficer[AbilityID],RawOfficer[Tag_QTrial])</f>
        <v>➖</v>
      </c>
      <c r="J89" s="516" t="str">
        <f t="array" ref="J89">XLOOKUP(LCARS_Off[AbilityID],RawOfficer[AbilityID],RawOfficer[Tag_MissionBosses])</f>
        <v>➖</v>
      </c>
      <c r="K89" s="516" t="str">
        <f t="array" ref="K89">XLOOKUP(LCARS_Off[AbilityID],RawOfficer[AbilityID],RawOfficer[Tag_GroupArmadas])</f>
        <v>➖</v>
      </c>
      <c r="L89" s="516" t="str">
        <f t="array" ref="L89">XLOOKUP(LCARS_Off[AbilityID],RawOfficer[AbilityID],RawOfficer[Tag_SoloArmadas])</f>
        <v>➖</v>
      </c>
      <c r="M89" s="516" t="str">
        <f t="array" ref="M89">XLOOKUP(LCARS_Off[AbilityID],RawOfficer[AbilityID],RawOfficer[Tag_InvadingEntities])</f>
        <v>➖</v>
      </c>
      <c r="N89" s="516" t="str">
        <f t="array" ref="N89">XLOOKUP(LCARS_Off[AbilityID],RawOfficer[AbilityID],RawOfficer[Tag_Assaults])</f>
        <v>➖</v>
      </c>
      <c r="O89" s="516" t="str">
        <f t="array" ref="O89">XLOOKUP(LCARS_Off[AbilityID],RawOfficer[AbilityID],RawOfficer[Tag_OutpostArmadas])</f>
        <v>➖</v>
      </c>
      <c r="P89" s="516" t="str">
        <f t="array" ref="P89">XLOOKUP(LCARS_Off[AbilityID],RawOfficer[AbilityID],RawOfficer[Tag_OutpostRetaliators])</f>
        <v>➖</v>
      </c>
      <c r="Q89" s="517" t="str">
        <f t="array" ref="Q89">XLOOKUP(LCARS_Off[AbilityID],RawOfficer[AbilityID],RawOfficer[Conditional_Reason])</f>
        <v>ModuleKinetic</v>
      </c>
      <c r="R89" s="518" t="str">
        <f t="array" ref="R89">XLOOKUP(LCARS_Off[AbilityID],RawOfficer[AbilityID],RawOfficer[Tag_Loot])</f>
        <v>➖</v>
      </c>
      <c r="S89" s="516" t="str">
        <f t="array" ref="S89">XLOOKUP(LCARS_Off[AbilityID],RawOfficer[AbilityID],RawOfficer[Tag_Utility])</f>
        <v>➖</v>
      </c>
      <c r="T89" s="429" t="str">
        <f t="array" ref="T89">XLOOKUP(LCARS_Off[AbilityID],RawOfficer[AbilityID],RawOfficer[OfficerSynergy])</f>
        <v>GLORY IN THE KILL</v>
      </c>
      <c r="U89" s="519" t="str">
        <f t="array" ref="U89">XLOOKUP(LCARS_Off[AbilityID],RawOfficer[AbilityID],RawOfficer[AbilityModifier])</f>
        <v>AllDamage</v>
      </c>
      <c r="V89" s="519" t="str">
        <f t="array" ref="V89">XLOOKUP(LCARS_Off[AbilityID],RawOfficer[AbilityID],RawOfficer[AbilityAttributes])</f>
        <v/>
      </c>
      <c r="W89" s="520" t="str">
        <f t="array" ref="W89">XLOOKUP(LCARS_Off[AbilityID],RawOfficer[AbilityID],RawOfficer[AbilityConditions])</f>
        <v>ModuleKinetic, EnemyPlayer</v>
      </c>
      <c r="X89" s="519" t="str">
        <f t="array" ref="X89">XLOOKUP(LCARS_Off[AbilityID],RawOfficer[AbilityID],RawOfficer[AbilityTrigger])</f>
        <v>CombatStart</v>
      </c>
      <c r="Y89" s="519" t="str">
        <f t="array" ref="Y89">XLOOKUP(LCARS_Off[AbilityID],RawOfficer[AbilityID],RawOfficer[AbilityTarget])</f>
        <v>SelfShip</v>
      </c>
      <c r="Z89" s="519" t="str">
        <f t="array" ref="Z89">XLOOKUP(LCARS_Off[AbilityID],RawOfficer[AbilityID],RawOfficer[AbilityOperation])</f>
        <v>MultiplyAdd</v>
      </c>
      <c r="AA89" s="521" t="str">
        <f t="array" ref="AA89">XLOOKUP(LCARS_Off[AbilityID],RawOfficer[AbilityID],RawOfficer[AbilityDescription])</f>
        <v>If the opponent is a player, Vartoq increases the damage made by the Kinetic Weapons of the ship by X.</v>
      </c>
      <c r="AB89" s="429" t="b">
        <v>0</v>
      </c>
      <c r="AC89" s="522" t="str">
        <f t="array" ref="AC89">XLOOKUP(LCARS_Off[AbilityID],RawOfficer[AbilityID],RawOfficer[AbilityDescriptionShort])</f>
        <v>+X to Kinetic Weapon Damage against other player's ships</v>
      </c>
      <c r="AD89" s="523"/>
      <c r="AE89" s="524"/>
      <c r="AF89" s="524"/>
      <c r="AG89" s="525" t="str">
        <f t="array" ref="AG89">XLOOKUP(LCARS_Off[AbilityID],RawOfficer[AbilityID],RawOfficer[AbilityChances])</f>
        <v>1.0, 1.0, 1.0, 1.0, 1.0</v>
      </c>
      <c r="AH89" s="525" t="str">
        <f t="array" ref="AH89">XLOOKUP(LCARS_Off[AbilityID],RawOfficer[AbilityID],RawOfficer[AbilityValues])</f>
        <v>0.05, 0.07, 0.1, 0.15, 0.2</v>
      </c>
      <c r="AI89" s="428" t="b">
        <f t="array" ref="AI89">XLOOKUP(LCARS_Off[AbilityID],RawOfficer[AbilityID],RawOfficer[AbilityHasChance])</f>
        <v>0</v>
      </c>
      <c r="AJ89" s="428" t="b">
        <f t="array" ref="AJ89">XLOOKUP(LCARS_Off[AbilityID],RawOfficer[AbilityID],RawOfficer[AbilityShowPercentage])</f>
        <v>1</v>
      </c>
      <c r="AK89" s="429">
        <f t="array" ref="AK89">XLOOKUP(LCARS_Off[AbilityID],RawOfficer[AbilityID],RawOfficer[OfficerArt])</f>
        <v>80</v>
      </c>
      <c r="AL89" s="430">
        <v>3.632112638E9</v>
      </c>
      <c r="AM89" s="430">
        <f t="array" ref="AM89">XLOOKUP(LCARS_Off[AbilityID],RawOfficer[AbilityID],RawOfficer[Default Order])</f>
        <v>86</v>
      </c>
    </row>
    <row r="90">
      <c r="A90" s="429" t="str">
        <f t="array" ref="A90">LEFT(XLOOKUP(LCARS_Off[AbilityID],RawOfficer[AbilityID],RawOfficer[OfficerRarity]), 1)</f>
        <v>C</v>
      </c>
      <c r="B90" s="429"/>
      <c r="C90" s="514" t="str">
        <f t="array" ref="C90">HYPERLINK("https://stfc.space/officers/" &amp; XLOOKUP(LCARS_Off[AbilityID],RawOfficer[AbilityID],RawOfficer[OfficerId]), XLOOKUP(LCARS_Off[AbilityID],RawOfficer[AbilityID],RawOfficer[OfficerName]))</f>
        <v>RUKOR</v>
      </c>
      <c r="D90" s="515" t="str">
        <f t="array" ref="D90">XLOOKUP(LCARS_Off[AbilityID],RawOfficer[AbilityID],RawOfficer[AbilityType])</f>
        <v>CM</v>
      </c>
      <c r="E90" s="516" t="str">
        <f t="array" ref="E90">XLOOKUP(LCARS_Off[AbilityID],RawOfficer[AbilityID],RawOfficer[Tag_PvPinSpace])</f>
        <v>✴️</v>
      </c>
      <c r="F90" s="516" t="str">
        <f t="array" ref="F90">XLOOKUP(LCARS_Off[AbilityID],RawOfficer[AbilityID],RawOfficer[Tag_PvPStation])</f>
        <v>✴️</v>
      </c>
      <c r="G90" s="516" t="str">
        <f t="array" ref="G90">XLOOKUP(LCARS_Off[AbilityID],RawOfficer[AbilityID],RawOfficer[Tag_NonArmadaHostiles])</f>
        <v>➖</v>
      </c>
      <c r="H90" s="516" t="str">
        <f t="array" ref="H90">XLOOKUP(LCARS_Off[AbilityID],RawOfficer[AbilityID],RawOfficer[Tag_WaveDefense])</f>
        <v>➖</v>
      </c>
      <c r="I90" s="516" t="str">
        <f t="array" ref="I90">XLOOKUP(LCARS_Off[AbilityID],RawOfficer[AbilityID],RawOfficer[Tag_QTrial])</f>
        <v>➖</v>
      </c>
      <c r="J90" s="516" t="str">
        <f t="array" ref="J90">XLOOKUP(LCARS_Off[AbilityID],RawOfficer[AbilityID],RawOfficer[Tag_MissionBosses])</f>
        <v>➖</v>
      </c>
      <c r="K90" s="516" t="str">
        <f t="array" ref="K90">XLOOKUP(LCARS_Off[AbilityID],RawOfficer[AbilityID],RawOfficer[Tag_GroupArmadas])</f>
        <v>➖</v>
      </c>
      <c r="L90" s="516" t="str">
        <f t="array" ref="L90">XLOOKUP(LCARS_Off[AbilityID],RawOfficer[AbilityID],RawOfficer[Tag_SoloArmadas])</f>
        <v>➖</v>
      </c>
      <c r="M90" s="516" t="str">
        <f t="array" ref="M90">XLOOKUP(LCARS_Off[AbilityID],RawOfficer[AbilityID],RawOfficer[Tag_InvadingEntities])</f>
        <v>➖</v>
      </c>
      <c r="N90" s="516" t="str">
        <f t="array" ref="N90">XLOOKUP(LCARS_Off[AbilityID],RawOfficer[AbilityID],RawOfficer[Tag_Assaults])</f>
        <v>➖</v>
      </c>
      <c r="O90" s="516" t="str">
        <f t="array" ref="O90">XLOOKUP(LCARS_Off[AbilityID],RawOfficer[AbilityID],RawOfficer[Tag_OutpostArmadas])</f>
        <v>➖</v>
      </c>
      <c r="P90" s="516" t="str">
        <f t="array" ref="P90">XLOOKUP(LCARS_Off[AbilityID],RawOfficer[AbilityID],RawOfficer[Tag_OutpostRetaliators])</f>
        <v>➖</v>
      </c>
      <c r="Q90" s="517" t="str">
        <f t="array" ref="Q90">XLOOKUP(LCARS_Off[AbilityID],RawOfficer[AbilityID],RawOfficer[Conditional_Reason])</f>
        <v>SelfExplorer</v>
      </c>
      <c r="R90" s="518" t="str">
        <f t="array" ref="R90">XLOOKUP(LCARS_Off[AbilityID],RawOfficer[AbilityID],RawOfficer[Tag_Loot])</f>
        <v>➖</v>
      </c>
      <c r="S90" s="516" t="str">
        <f t="array" ref="S90">XLOOKUP(LCARS_Off[AbilityID],RawOfficer[AbilityID],RawOfficer[Tag_Utility])</f>
        <v>➖</v>
      </c>
      <c r="T90" s="429" t="str">
        <f t="array" ref="T90">XLOOKUP(LCARS_Off[AbilityID],RawOfficer[AbilityID],RawOfficer[OfficerSynergy])</f>
        <v>GLORY IN THE KILL</v>
      </c>
      <c r="U90" s="519" t="str">
        <f t="array" ref="U90">XLOOKUP(LCARS_Off[AbilityID],RawOfficer[AbilityID],RawOfficer[AbilityModifier])</f>
        <v>AllDamage</v>
      </c>
      <c r="V90" s="519" t="str">
        <f t="array" ref="V90">XLOOKUP(LCARS_Off[AbilityID],RawOfficer[AbilityID],RawOfficer[AbilityAttributes])</f>
        <v/>
      </c>
      <c r="W90" s="520" t="str">
        <f t="array" ref="W90">XLOOKUP(LCARS_Off[AbilityID],RawOfficer[AbilityID],RawOfficer[AbilityConditions])</f>
        <v>SelfExplorer, EnemyPlayer</v>
      </c>
      <c r="X90" s="519" t="str">
        <f t="array" ref="X90">XLOOKUP(LCARS_Off[AbilityID],RawOfficer[AbilityID],RawOfficer[AbilityTrigger])</f>
        <v>CombatStart</v>
      </c>
      <c r="Y90" s="519" t="str">
        <f t="array" ref="Y90">XLOOKUP(LCARS_Off[AbilityID],RawOfficer[AbilityID],RawOfficer[AbilityTarget])</f>
        <v>SelfShip</v>
      </c>
      <c r="Z90" s="519" t="str">
        <f t="array" ref="Z90">XLOOKUP(LCARS_Off[AbilityID],RawOfficer[AbilityID],RawOfficer[AbilityOperation])</f>
        <v>MultiplyAdd</v>
      </c>
      <c r="AA90" s="521" t="str">
        <f t="array" ref="AA90">XLOOKUP(LCARS_Off[AbilityID],RawOfficer[AbilityID],RawOfficer[AbilityDescription])</f>
        <v>When inside an Explorer, Rukor increases the Weapon Damage against players by X.</v>
      </c>
      <c r="AB90" s="429" t="b">
        <v>0</v>
      </c>
      <c r="AC90" s="522" t="str">
        <f t="array" ref="AC90">XLOOKUP(LCARS_Off[AbilityID],RawOfficer[AbilityID],RawOfficer[AbilityDescriptionShort])</f>
        <v>+X to Weapon Damage of Explorers against players</v>
      </c>
      <c r="AD90" s="523"/>
      <c r="AE90" s="524"/>
      <c r="AF90" s="524"/>
      <c r="AG90" s="525" t="str">
        <f t="array" ref="AG90">XLOOKUP(LCARS_Off[AbilityID],RawOfficer[AbilityID],RawOfficer[AbilityChances])</f>
        <v>1.0, 1.0, 1.0</v>
      </c>
      <c r="AH90" s="525" t="str">
        <f t="array" ref="AH90">XLOOKUP(LCARS_Off[AbilityID],RawOfficer[AbilityID],RawOfficer[AbilityValues])</f>
        <v>0.2, 0.05, 0.1</v>
      </c>
      <c r="AI90" s="428" t="b">
        <f t="array" ref="AI90">XLOOKUP(LCARS_Off[AbilityID],RawOfficer[AbilityID],RawOfficer[AbilityHasChance])</f>
        <v>0</v>
      </c>
      <c r="AJ90" s="428" t="b">
        <f t="array" ref="AJ90">XLOOKUP(LCARS_Off[AbilityID],RawOfficer[AbilityID],RawOfficer[AbilityShowPercentage])</f>
        <v>1</v>
      </c>
      <c r="AK90" s="429">
        <f t="array" ref="AK90">XLOOKUP(LCARS_Off[AbilityID],RawOfficer[AbilityID],RawOfficer[OfficerArt])</f>
        <v>81</v>
      </c>
      <c r="AL90" s="430">
        <v>2.058272079E9</v>
      </c>
      <c r="AM90" s="430">
        <f t="array" ref="AM90">XLOOKUP(LCARS_Off[AbilityID],RawOfficer[AbilityID],RawOfficer[Default Order])</f>
        <v>87</v>
      </c>
    </row>
    <row r="91">
      <c r="A91" s="429" t="str">
        <f t="array" ref="A91">LEFT(XLOOKUP(LCARS_Off[AbilityID],RawOfficer[AbilityID],RawOfficer[OfficerRarity]), 1)</f>
        <v>C</v>
      </c>
      <c r="B91" s="429"/>
      <c r="C91" s="514" t="str">
        <f t="array" ref="C91">HYPERLINK("https://stfc.space/officers/" &amp; XLOOKUP(LCARS_Off[AbilityID],RawOfficer[AbilityID],RawOfficer[OfficerId]), XLOOKUP(LCARS_Off[AbilityID],RawOfficer[AbilityID],RawOfficer[OfficerName]))</f>
        <v>RUKOR</v>
      </c>
      <c r="D91" s="515" t="str">
        <f t="array" ref="D91">XLOOKUP(LCARS_Off[AbilityID],RawOfficer[AbilityID],RawOfficer[AbilityType])</f>
        <v>OA</v>
      </c>
      <c r="E91" s="516" t="str">
        <f t="array" ref="E91">XLOOKUP(LCARS_Off[AbilityID],RawOfficer[AbilityID],RawOfficer[Tag_PvPinSpace])</f>
        <v>✴️</v>
      </c>
      <c r="F91" s="516" t="str">
        <f t="array" ref="F91">XLOOKUP(LCARS_Off[AbilityID],RawOfficer[AbilityID],RawOfficer[Tag_PvPStation])</f>
        <v>✴️</v>
      </c>
      <c r="G91" s="516" t="str">
        <f t="array" ref="G91">XLOOKUP(LCARS_Off[AbilityID],RawOfficer[AbilityID],RawOfficer[Tag_NonArmadaHostiles])</f>
        <v>➖</v>
      </c>
      <c r="H91" s="516" t="str">
        <f t="array" ref="H91">XLOOKUP(LCARS_Off[AbilityID],RawOfficer[AbilityID],RawOfficer[Tag_WaveDefense])</f>
        <v>➖</v>
      </c>
      <c r="I91" s="516" t="str">
        <f t="array" ref="I91">XLOOKUP(LCARS_Off[AbilityID],RawOfficer[AbilityID],RawOfficer[Tag_QTrial])</f>
        <v>➖</v>
      </c>
      <c r="J91" s="516" t="str">
        <f t="array" ref="J91">XLOOKUP(LCARS_Off[AbilityID],RawOfficer[AbilityID],RawOfficer[Tag_MissionBosses])</f>
        <v>➖</v>
      </c>
      <c r="K91" s="516" t="str">
        <f t="array" ref="K91">XLOOKUP(LCARS_Off[AbilityID],RawOfficer[AbilityID],RawOfficer[Tag_GroupArmadas])</f>
        <v>➖</v>
      </c>
      <c r="L91" s="516" t="str">
        <f t="array" ref="L91">XLOOKUP(LCARS_Off[AbilityID],RawOfficer[AbilityID],RawOfficer[Tag_SoloArmadas])</f>
        <v>➖</v>
      </c>
      <c r="M91" s="516" t="str">
        <f t="array" ref="M91">XLOOKUP(LCARS_Off[AbilityID],RawOfficer[AbilityID],RawOfficer[Tag_InvadingEntities])</f>
        <v>➖</v>
      </c>
      <c r="N91" s="516" t="str">
        <f t="array" ref="N91">XLOOKUP(LCARS_Off[AbilityID],RawOfficer[AbilityID],RawOfficer[Tag_Assaults])</f>
        <v>➖</v>
      </c>
      <c r="O91" s="516" t="str">
        <f t="array" ref="O91">XLOOKUP(LCARS_Off[AbilityID],RawOfficer[AbilityID],RawOfficer[Tag_OutpostArmadas])</f>
        <v>➖</v>
      </c>
      <c r="P91" s="516" t="str">
        <f t="array" ref="P91">XLOOKUP(LCARS_Off[AbilityID],RawOfficer[AbilityID],RawOfficer[Tag_OutpostRetaliators])</f>
        <v>➖</v>
      </c>
      <c r="Q91" s="517" t="str">
        <f t="array" ref="Q91">XLOOKUP(LCARS_Off[AbilityID],RawOfficer[AbilityID],RawOfficer[Conditional_Reason])</f>
        <v>ModuleEnergy</v>
      </c>
      <c r="R91" s="518" t="str">
        <f t="array" ref="R91">XLOOKUP(LCARS_Off[AbilityID],RawOfficer[AbilityID],RawOfficer[Tag_Loot])</f>
        <v>➖</v>
      </c>
      <c r="S91" s="516" t="str">
        <f t="array" ref="S91">XLOOKUP(LCARS_Off[AbilityID],RawOfficer[AbilityID],RawOfficer[Tag_Utility])</f>
        <v>➖</v>
      </c>
      <c r="T91" s="429" t="str">
        <f t="array" ref="T91">XLOOKUP(LCARS_Off[AbilityID],RawOfficer[AbilityID],RawOfficer[OfficerSynergy])</f>
        <v>GLORY IN THE KILL</v>
      </c>
      <c r="U91" s="519" t="str">
        <f t="array" ref="U91">XLOOKUP(LCARS_Off[AbilityID],RawOfficer[AbilityID],RawOfficer[AbilityModifier])</f>
        <v>AllDamage</v>
      </c>
      <c r="V91" s="519" t="str">
        <f t="array" ref="V91">XLOOKUP(LCARS_Off[AbilityID],RawOfficer[AbilityID],RawOfficer[AbilityAttributes])</f>
        <v/>
      </c>
      <c r="W91" s="520" t="str">
        <f t="array" ref="W91">XLOOKUP(LCARS_Off[AbilityID],RawOfficer[AbilityID],RawOfficer[AbilityConditions])</f>
        <v>EnemyPlayer, ModuleEnergy</v>
      </c>
      <c r="X91" s="519" t="str">
        <f t="array" ref="X91">XLOOKUP(LCARS_Off[AbilityID],RawOfficer[AbilityID],RawOfficer[AbilityTrigger])</f>
        <v>CombatStart</v>
      </c>
      <c r="Y91" s="519" t="str">
        <f t="array" ref="Y91">XLOOKUP(LCARS_Off[AbilityID],RawOfficer[AbilityID],RawOfficer[AbilityTarget])</f>
        <v>SelfShip</v>
      </c>
      <c r="Z91" s="519" t="str">
        <f t="array" ref="Z91">XLOOKUP(LCARS_Off[AbilityID],RawOfficer[AbilityID],RawOfficer[AbilityOperation])</f>
        <v>MultiplyAdd</v>
      </c>
      <c r="AA91" s="521" t="str">
        <f t="array" ref="AA91">XLOOKUP(LCARS_Off[AbilityID],RawOfficer[AbilityID],RawOfficer[AbilityDescription])</f>
        <v>If the opponent is a player, Rukor increases the damage made by the Energy Weapons of the ship by X.</v>
      </c>
      <c r="AB91" s="429" t="b">
        <v>0</v>
      </c>
      <c r="AC91" s="522" t="str">
        <f t="array" ref="AC91">XLOOKUP(LCARS_Off[AbilityID],RawOfficer[AbilityID],RawOfficer[AbilityDescriptionShort])</f>
        <v>+X to Energy Weapon Damage against other player ships</v>
      </c>
      <c r="AD91" s="523"/>
      <c r="AE91" s="524"/>
      <c r="AF91" s="524"/>
      <c r="AG91" s="525" t="str">
        <f t="array" ref="AG91">XLOOKUP(LCARS_Off[AbilityID],RawOfficer[AbilityID],RawOfficer[AbilityChances])</f>
        <v>1.0, 1.0, 1.0, 1.0, 1.0</v>
      </c>
      <c r="AH91" s="525" t="str">
        <f t="array" ref="AH91">XLOOKUP(LCARS_Off[AbilityID],RawOfficer[AbilityID],RawOfficer[AbilityValues])</f>
        <v>0.05, 0.07, 0.1, 0.15, 0.2</v>
      </c>
      <c r="AI91" s="428" t="b">
        <f t="array" ref="AI91">XLOOKUP(LCARS_Off[AbilityID],RawOfficer[AbilityID],RawOfficer[AbilityHasChance])</f>
        <v>0</v>
      </c>
      <c r="AJ91" s="428" t="b">
        <f t="array" ref="AJ91">XLOOKUP(LCARS_Off[AbilityID],RawOfficer[AbilityID],RawOfficer[AbilityShowPercentage])</f>
        <v>1</v>
      </c>
      <c r="AK91" s="429">
        <f t="array" ref="AK91">XLOOKUP(LCARS_Off[AbilityID],RawOfficer[AbilityID],RawOfficer[OfficerArt])</f>
        <v>81</v>
      </c>
      <c r="AL91" s="430">
        <v>2.461367983E9</v>
      </c>
      <c r="AM91" s="430">
        <f t="array" ref="AM91">XLOOKUP(LCARS_Off[AbilityID],RawOfficer[AbilityID],RawOfficer[Default Order])</f>
        <v>88</v>
      </c>
    </row>
    <row r="92">
      <c r="A92" s="429" t="str">
        <f t="array" ref="A92">LEFT(XLOOKUP(LCARS_Off[AbilityID],RawOfficer[AbilityID],RawOfficer[OfficerRarity]), 1)</f>
        <v>C</v>
      </c>
      <c r="B92" s="429"/>
      <c r="C92" s="514" t="str">
        <f t="array" ref="C92">HYPERLINK("https://stfc.space/officers/" &amp; XLOOKUP(LCARS_Off[AbilityID],RawOfficer[AbilityID],RawOfficer[OfficerId]), XLOOKUP(LCARS_Off[AbilityID],RawOfficer[AbilityID],RawOfficer[OfficerName]))</f>
        <v>DARWIN</v>
      </c>
      <c r="D92" s="515" t="str">
        <f t="array" ref="D92">XLOOKUP(LCARS_Off[AbilityID],RawOfficer[AbilityID],RawOfficer[AbilityType])</f>
        <v>CM</v>
      </c>
      <c r="E92" s="516" t="str">
        <f t="array" ref="E92">XLOOKUP(LCARS_Off[AbilityID],RawOfficer[AbilityID],RawOfficer[Tag_PvPinSpace])</f>
        <v>✅</v>
      </c>
      <c r="F92" s="516" t="str">
        <f t="array" ref="F92">XLOOKUP(LCARS_Off[AbilityID],RawOfficer[AbilityID],RawOfficer[Tag_PvPStation])</f>
        <v>✅</v>
      </c>
      <c r="G92" s="516" t="str">
        <f t="array" ref="G92">XLOOKUP(LCARS_Off[AbilityID],RawOfficer[AbilityID],RawOfficer[Tag_NonArmadaHostiles])</f>
        <v>➖</v>
      </c>
      <c r="H92" s="516" t="str">
        <f t="array" ref="H92">XLOOKUP(LCARS_Off[AbilityID],RawOfficer[AbilityID],RawOfficer[Tag_WaveDefense])</f>
        <v>➖</v>
      </c>
      <c r="I92" s="516" t="str">
        <f t="array" ref="I92">XLOOKUP(LCARS_Off[AbilityID],RawOfficer[AbilityID],RawOfficer[Tag_QTrial])</f>
        <v>➖</v>
      </c>
      <c r="J92" s="516" t="str">
        <f t="array" ref="J92">XLOOKUP(LCARS_Off[AbilityID],RawOfficer[AbilityID],RawOfficer[Tag_MissionBosses])</f>
        <v>➖</v>
      </c>
      <c r="K92" s="516" t="str">
        <f t="array" ref="K92">XLOOKUP(LCARS_Off[AbilityID],RawOfficer[AbilityID],RawOfficer[Tag_GroupArmadas])</f>
        <v>➖</v>
      </c>
      <c r="L92" s="516" t="str">
        <f t="array" ref="L92">XLOOKUP(LCARS_Off[AbilityID],RawOfficer[AbilityID],RawOfficer[Tag_SoloArmadas])</f>
        <v>➖</v>
      </c>
      <c r="M92" s="516" t="str">
        <f t="array" ref="M92">XLOOKUP(LCARS_Off[AbilityID],RawOfficer[AbilityID],RawOfficer[Tag_InvadingEntities])</f>
        <v>➖</v>
      </c>
      <c r="N92" s="516" t="str">
        <f t="array" ref="N92">XLOOKUP(LCARS_Off[AbilityID],RawOfficer[AbilityID],RawOfficer[Tag_Assaults])</f>
        <v>➖</v>
      </c>
      <c r="O92" s="516" t="str">
        <f t="array" ref="O92">XLOOKUP(LCARS_Off[AbilityID],RawOfficer[AbilityID],RawOfficer[Tag_OutpostArmadas])</f>
        <v>➖</v>
      </c>
      <c r="P92" s="516" t="str">
        <f t="array" ref="P92">XLOOKUP(LCARS_Off[AbilityID],RawOfficer[AbilityID],RawOfficer[Tag_OutpostRetaliators])</f>
        <v>➖</v>
      </c>
      <c r="Q92" s="517" t="str">
        <f t="array" ref="Q92">XLOOKUP(LCARS_Off[AbilityID],RawOfficer[AbilityID],RawOfficer[Conditional_Reason])</f>
        <v/>
      </c>
      <c r="R92" s="518" t="str">
        <f t="array" ref="R92">XLOOKUP(LCARS_Off[AbilityID],RawOfficer[AbilityID],RawOfficer[Tag_Loot])</f>
        <v>➖</v>
      </c>
      <c r="S92" s="516" t="str">
        <f t="array" ref="S92">XLOOKUP(LCARS_Off[AbilityID],RawOfficer[AbilityID],RawOfficer[Tag_Utility])</f>
        <v>➖</v>
      </c>
      <c r="T92" s="429" t="str">
        <f t="array" ref="T92">XLOOKUP(LCARS_Off[AbilityID],RawOfficer[AbilityID],RawOfficer[OfficerSynergy])</f>
        <v>SHAKEDOWN CRUISE</v>
      </c>
      <c r="U92" s="519" t="str">
        <f t="array" ref="U92">XLOOKUP(LCARS_Off[AbilityID],RawOfficer[AbilityID],RawOfficer[AbilityModifier])</f>
        <v>AllDamage</v>
      </c>
      <c r="V92" s="519" t="str">
        <f t="array" ref="V92">XLOOKUP(LCARS_Off[AbilityID],RawOfficer[AbilityID],RawOfficer[AbilityAttributes])</f>
        <v/>
      </c>
      <c r="W92" s="520" t="str">
        <f t="array" ref="W92">XLOOKUP(LCARS_Off[AbilityID],RawOfficer[AbilityID],RawOfficer[AbilityConditions])</f>
        <v>EnemyPlayer, SelfDefending</v>
      </c>
      <c r="X92" s="519" t="str">
        <f t="array" ref="X92">XLOOKUP(LCARS_Off[AbilityID],RawOfficer[AbilityID],RawOfficer[AbilityTrigger])</f>
        <v>CombatStart</v>
      </c>
      <c r="Y92" s="519" t="str">
        <f t="array" ref="Y92">XLOOKUP(LCARS_Off[AbilityID],RawOfficer[AbilityID],RawOfficer[AbilityTarget])</f>
        <v>SelfShip</v>
      </c>
      <c r="Z92" s="519" t="str">
        <f t="array" ref="Z92">XLOOKUP(LCARS_Off[AbilityID],RawOfficer[AbilityID],RawOfficer[AbilityOperation])</f>
        <v>MultiplyAdd</v>
      </c>
      <c r="AA92" s="521" t="str">
        <f t="array" ref="AA92">XLOOKUP(LCARS_Off[AbilityID],RawOfficer[AbilityID],RawOfficer[AbilityDescription])</f>
        <v>When the ship is attacked by a player, Darwin increases the Weapon Damage by X.</v>
      </c>
      <c r="AB92" s="429" t="b">
        <v>0</v>
      </c>
      <c r="AC92" s="522" t="str">
        <f t="array" ref="AC92">XLOOKUP(LCARS_Off[AbilityID],RawOfficer[AbilityID],RawOfficer[AbilityDescriptionShort])</f>
        <v>+X to Weapon Damage when attacked by a player</v>
      </c>
      <c r="AD92" s="523"/>
      <c r="AE92" s="524"/>
      <c r="AF92" s="524"/>
      <c r="AG92" s="525" t="str">
        <f t="array" ref="AG92">XLOOKUP(LCARS_Off[AbilityID],RawOfficer[AbilityID],RawOfficer[AbilityChances])</f>
        <v>1.0, 1.0, 1.0</v>
      </c>
      <c r="AH92" s="525" t="str">
        <f t="array" ref="AH92">XLOOKUP(LCARS_Off[AbilityID],RawOfficer[AbilityID],RawOfficer[AbilityValues])</f>
        <v>0.1, 0.02, 0.05</v>
      </c>
      <c r="AI92" s="428" t="b">
        <f t="array" ref="AI92">XLOOKUP(LCARS_Off[AbilityID],RawOfficer[AbilityID],RawOfficer[AbilityHasChance])</f>
        <v>0</v>
      </c>
      <c r="AJ92" s="428" t="b">
        <f t="array" ref="AJ92">XLOOKUP(LCARS_Off[AbilityID],RawOfficer[AbilityID],RawOfficer[AbilityShowPercentage])</f>
        <v>1</v>
      </c>
      <c r="AK92" s="429">
        <f t="array" ref="AK92">XLOOKUP(LCARS_Off[AbilityID],RawOfficer[AbilityID],RawOfficer[OfficerArt])</f>
        <v>46</v>
      </c>
      <c r="AL92" s="430">
        <v>3.368245052E9</v>
      </c>
      <c r="AM92" s="430">
        <f t="array" ref="AM92">XLOOKUP(LCARS_Off[AbilityID],RawOfficer[AbilityID],RawOfficer[Default Order])</f>
        <v>89</v>
      </c>
    </row>
    <row r="93">
      <c r="A93" s="429" t="str">
        <f t="array" ref="A93">LEFT(XLOOKUP(LCARS_Off[AbilityID],RawOfficer[AbilityID],RawOfficer[OfficerRarity]), 1)</f>
        <v>C</v>
      </c>
      <c r="B93" s="429"/>
      <c r="C93" s="514" t="str">
        <f t="array" ref="C93">HYPERLINK("https://stfc.space/officers/" &amp; XLOOKUP(LCARS_Off[AbilityID],RawOfficer[AbilityID],RawOfficer[OfficerId]), XLOOKUP(LCARS_Off[AbilityID],RawOfficer[AbilityID],RawOfficer[OfficerName]))</f>
        <v>DARWIN</v>
      </c>
      <c r="D93" s="515" t="str">
        <f t="array" ref="D93">XLOOKUP(LCARS_Off[AbilityID],RawOfficer[AbilityID],RawOfficer[AbilityType])</f>
        <v>OA</v>
      </c>
      <c r="E93" s="516" t="str">
        <f t="array" ref="E93">XLOOKUP(LCARS_Off[AbilityID],RawOfficer[AbilityID],RawOfficer[Tag_PvPinSpace])</f>
        <v>➖</v>
      </c>
      <c r="F93" s="516" t="str">
        <f t="array" ref="F93">XLOOKUP(LCARS_Off[AbilityID],RawOfficer[AbilityID],RawOfficer[Tag_PvPStation])</f>
        <v>➖</v>
      </c>
      <c r="G93" s="516" t="str">
        <f t="array" ref="G93">XLOOKUP(LCARS_Off[AbilityID],RawOfficer[AbilityID],RawOfficer[Tag_NonArmadaHostiles])</f>
        <v>➖</v>
      </c>
      <c r="H93" s="516" t="str">
        <f t="array" ref="H93">XLOOKUP(LCARS_Off[AbilityID],RawOfficer[AbilityID],RawOfficer[Tag_WaveDefense])</f>
        <v>➖</v>
      </c>
      <c r="I93" s="516" t="str">
        <f t="array" ref="I93">XLOOKUP(LCARS_Off[AbilityID],RawOfficer[AbilityID],RawOfficer[Tag_QTrial])</f>
        <v>➖</v>
      </c>
      <c r="J93" s="516" t="str">
        <f t="array" ref="J93">XLOOKUP(LCARS_Off[AbilityID],RawOfficer[AbilityID],RawOfficer[Tag_MissionBosses])</f>
        <v>➖</v>
      </c>
      <c r="K93" s="516" t="str">
        <f t="array" ref="K93">XLOOKUP(LCARS_Off[AbilityID],RawOfficer[AbilityID],RawOfficer[Tag_GroupArmadas])</f>
        <v>➖</v>
      </c>
      <c r="L93" s="516" t="str">
        <f t="array" ref="L93">XLOOKUP(LCARS_Off[AbilityID],RawOfficer[AbilityID],RawOfficer[Tag_SoloArmadas])</f>
        <v>➖</v>
      </c>
      <c r="M93" s="516" t="str">
        <f t="array" ref="M93">XLOOKUP(LCARS_Off[AbilityID],RawOfficer[AbilityID],RawOfficer[Tag_InvadingEntities])</f>
        <v>➖</v>
      </c>
      <c r="N93" s="516" t="str">
        <f t="array" ref="N93">XLOOKUP(LCARS_Off[AbilityID],RawOfficer[AbilityID],RawOfficer[Tag_Assaults])</f>
        <v>➖</v>
      </c>
      <c r="O93" s="516" t="str">
        <f t="array" ref="O93">XLOOKUP(LCARS_Off[AbilityID],RawOfficer[AbilityID],RawOfficer[Tag_OutpostArmadas])</f>
        <v>➖</v>
      </c>
      <c r="P93" s="516" t="str">
        <f t="array" ref="P93">XLOOKUP(LCARS_Off[AbilityID],RawOfficer[AbilityID],RawOfficer[Tag_OutpostRetaliators])</f>
        <v>➖</v>
      </c>
      <c r="Q93" s="517" t="str">
        <f t="array" ref="Q93">XLOOKUP(LCARS_Off[AbilityID],RawOfficer[AbilityID],RawOfficer[Conditional_Reason])</f>
        <v/>
      </c>
      <c r="R93" s="518" t="str">
        <f t="array" ref="R93">XLOOKUP(LCARS_Off[AbilityID],RawOfficer[AbilityID],RawOfficer[Tag_Loot])</f>
        <v>➖</v>
      </c>
      <c r="S93" s="516" t="str">
        <f t="array" ref="S93">XLOOKUP(LCARS_Off[AbilityID],RawOfficer[AbilityID],RawOfficer[Tag_Utility])</f>
        <v>✅</v>
      </c>
      <c r="T93" s="429" t="str">
        <f t="array" ref="T93">XLOOKUP(LCARS_Off[AbilityID],RawOfficer[AbilityID],RawOfficer[OfficerSynergy])</f>
        <v>SHAKEDOWN CRUISE</v>
      </c>
      <c r="U93" s="519" t="str">
        <f t="array" ref="U93">XLOOKUP(LCARS_Off[AbilityID],RawOfficer[AbilityID],RawOfficer[AbilityModifier])</f>
        <v>CombatXPReward</v>
      </c>
      <c r="V93" s="519" t="str">
        <f t="array" ref="V93">XLOOKUP(LCARS_Off[AbilityID],RawOfficer[AbilityID],RawOfficer[AbilityAttributes])</f>
        <v/>
      </c>
      <c r="W93" s="520" t="str">
        <f t="array" ref="W93">XLOOKUP(LCARS_Off[AbilityID],RawOfficer[AbilityID],RawOfficer[AbilityConditions])</f>
        <v>SelfInterceptor</v>
      </c>
      <c r="X93" s="519" t="str">
        <f t="array" ref="X93">XLOOKUP(LCARS_Off[AbilityID],RawOfficer[AbilityID],RawOfficer[AbilityTrigger])</f>
        <v>ShipLaunched</v>
      </c>
      <c r="Y93" s="519" t="str">
        <f t="array" ref="Y93">XLOOKUP(LCARS_Off[AbilityID],RawOfficer[AbilityID],RawOfficer[AbilityTarget])</f>
        <v>SelfShip</v>
      </c>
      <c r="Z93" s="519" t="str">
        <f t="array" ref="Z93">XLOOKUP(LCARS_Off[AbilityID],RawOfficer[AbilityID],RawOfficer[AbilityOperation])</f>
        <v>MultiplyAdd</v>
      </c>
      <c r="AA93" s="521" t="str">
        <f t="array" ref="AA93">XLOOKUP(LCARS_Off[AbilityID],RawOfficer[AbilityID],RawOfficer[AbilityDescription])</f>
        <v>Darwin increases the Ship Experience gained on Interceptors by X.</v>
      </c>
      <c r="AB93" s="429" t="b">
        <v>0</v>
      </c>
      <c r="AC93" s="522" t="str">
        <f t="array" ref="AC93">XLOOKUP(LCARS_Off[AbilityID],RawOfficer[AbilityID],RawOfficer[AbilityDescriptionShort])</f>
        <v>+X to Ship XP earned on Interceptors</v>
      </c>
      <c r="AD93" s="523"/>
      <c r="AE93" s="524"/>
      <c r="AF93" s="524"/>
      <c r="AG93" s="525" t="str">
        <f t="array" ref="AG93">XLOOKUP(LCARS_Off[AbilityID],RawOfficer[AbilityID],RawOfficer[AbilityChances])</f>
        <v>1.0, 1.0, 1.0, 1.0, 1.0</v>
      </c>
      <c r="AH93" s="525" t="str">
        <f t="array" ref="AH93">XLOOKUP(LCARS_Off[AbilityID],RawOfficer[AbilityID],RawOfficer[AbilityValues])</f>
        <v>0.2, 0.3, 0.4, 0.5, 0.6</v>
      </c>
      <c r="AI93" s="428" t="b">
        <f t="array" ref="AI93">XLOOKUP(LCARS_Off[AbilityID],RawOfficer[AbilityID],RawOfficer[AbilityHasChance])</f>
        <v>0</v>
      </c>
      <c r="AJ93" s="428" t="b">
        <f t="array" ref="AJ93">XLOOKUP(LCARS_Off[AbilityID],RawOfficer[AbilityID],RawOfficer[AbilityShowPercentage])</f>
        <v>1</v>
      </c>
      <c r="AK93" s="429">
        <f t="array" ref="AK93">XLOOKUP(LCARS_Off[AbilityID],RawOfficer[AbilityID],RawOfficer[OfficerArt])</f>
        <v>46</v>
      </c>
      <c r="AL93" s="430">
        <v>2.899912544E9</v>
      </c>
      <c r="AM93" s="430">
        <f t="array" ref="AM93">XLOOKUP(LCARS_Off[AbilityID],RawOfficer[AbilityID],RawOfficer[Default Order])</f>
        <v>90</v>
      </c>
    </row>
    <row r="94">
      <c r="A94" s="429" t="str">
        <f t="array" ref="A94">LEFT(XLOOKUP(LCARS_Off[AbilityID],RawOfficer[AbilityID],RawOfficer[OfficerRarity]), 1)</f>
        <v>U</v>
      </c>
      <c r="B94" s="429"/>
      <c r="C94" s="514" t="str">
        <f t="array" ref="C94">HYPERLINK("https://stfc.space/officers/" &amp; XLOOKUP(LCARS_Off[AbilityID],RawOfficer[AbilityID],RawOfficer[OfficerId]), XLOOKUP(LCARS_Off[AbilityID],RawOfficer[AbilityID],RawOfficer[OfficerName]))</f>
        <v>LESLIE</v>
      </c>
      <c r="D94" s="515" t="str">
        <f t="array" ref="D94">XLOOKUP(LCARS_Off[AbilityID],RawOfficer[AbilityID],RawOfficer[AbilityType])</f>
        <v>CM</v>
      </c>
      <c r="E94" s="516" t="str">
        <f t="array" ref="E94">XLOOKUP(LCARS_Off[AbilityID],RawOfficer[AbilityID],RawOfficer[Tag_PvPinSpace])</f>
        <v>✴️</v>
      </c>
      <c r="F94" s="516" t="str">
        <f t="array" ref="F94">XLOOKUP(LCARS_Off[AbilityID],RawOfficer[AbilityID],RawOfficer[Tag_PvPStation])</f>
        <v>✴️</v>
      </c>
      <c r="G94" s="516" t="str">
        <f t="array" ref="G94">XLOOKUP(LCARS_Off[AbilityID],RawOfficer[AbilityID],RawOfficer[Tag_NonArmadaHostiles])</f>
        <v>✴️</v>
      </c>
      <c r="H94" s="516" t="str">
        <f t="array" ref="H94">XLOOKUP(LCARS_Off[AbilityID],RawOfficer[AbilityID],RawOfficer[Tag_WaveDefense])</f>
        <v>✴️</v>
      </c>
      <c r="I94" s="516" t="str">
        <f t="array" ref="I94">XLOOKUP(LCARS_Off[AbilityID],RawOfficer[AbilityID],RawOfficer[Tag_QTrial])</f>
        <v>✴️</v>
      </c>
      <c r="J94" s="516" t="str">
        <f t="array" ref="J94">XLOOKUP(LCARS_Off[AbilityID],RawOfficer[AbilityID],RawOfficer[Tag_MissionBosses])</f>
        <v>✴️</v>
      </c>
      <c r="K94" s="516" t="str">
        <f t="array" ref="K94">XLOOKUP(LCARS_Off[AbilityID],RawOfficer[AbilityID],RawOfficer[Tag_GroupArmadas])</f>
        <v>✴️</v>
      </c>
      <c r="L94" s="516" t="str">
        <f t="array" ref="L94">XLOOKUP(LCARS_Off[AbilityID],RawOfficer[AbilityID],RawOfficer[Tag_SoloArmadas])</f>
        <v>✴️</v>
      </c>
      <c r="M94" s="516" t="str">
        <f t="array" ref="M94">XLOOKUP(LCARS_Off[AbilityID],RawOfficer[AbilityID],RawOfficer[Tag_InvadingEntities])</f>
        <v>✴️</v>
      </c>
      <c r="N94" s="516" t="str">
        <f t="array" ref="N94">XLOOKUP(LCARS_Off[AbilityID],RawOfficer[AbilityID],RawOfficer[Tag_Assaults])</f>
        <v>✴️</v>
      </c>
      <c r="O94" s="516" t="str">
        <f t="array" ref="O94">XLOOKUP(LCARS_Off[AbilityID],RawOfficer[AbilityID],RawOfficer[Tag_OutpostArmadas])</f>
        <v>✴️</v>
      </c>
      <c r="P94" s="516" t="str">
        <f t="array" ref="P94">XLOOKUP(LCARS_Off[AbilityID],RawOfficer[AbilityID],RawOfficer[Tag_OutpostRetaliators])</f>
        <v>✴️</v>
      </c>
      <c r="Q94" s="517" t="str">
        <f t="array" ref="Q94">XLOOKUP(LCARS_Off[AbilityID],RawOfficer[AbilityID],RawOfficer[Conditional_Reason])</f>
        <v>HullHealthBelowStartOfCombat</v>
      </c>
      <c r="R94" s="518" t="str">
        <f t="array" ref="R94">XLOOKUP(LCARS_Off[AbilityID],RawOfficer[AbilityID],RawOfficer[Tag_Loot])</f>
        <v>➖</v>
      </c>
      <c r="S94" s="516" t="str">
        <f t="array" ref="S94">XLOOKUP(LCARS_Off[AbilityID],RawOfficer[AbilityID],RawOfficer[Tag_Utility])</f>
        <v>➖</v>
      </c>
      <c r="T94" s="429" t="str">
        <f t="array" ref="T94">XLOOKUP(LCARS_Off[AbilityID],RawOfficer[AbilityID],RawOfficer[OfficerSynergy])</f>
        <v>SHAKEDOWN CRUISE</v>
      </c>
      <c r="U94" s="519" t="str">
        <f t="array" ref="U94">XLOOKUP(LCARS_Off[AbilityID],RawOfficer[AbilityID],RawOfficer[AbilityModifier])</f>
        <v>HullHPRepair</v>
      </c>
      <c r="V94" s="519" t="str">
        <f t="array" ref="V94">XLOOKUP(LCARS_Off[AbilityID],RawOfficer[AbilityID],RawOfficer[AbilityAttributes])</f>
        <v>percentage=0.35</v>
      </c>
      <c r="W94" s="520" t="str">
        <f t="array" ref="W94">XLOOKUP(LCARS_Off[AbilityID],RawOfficer[AbilityID],RawOfficer[AbilityConditions])</f>
        <v>HullHealthBelowStartOfCombat</v>
      </c>
      <c r="X94" s="519" t="str">
        <f t="array" ref="X94">XLOOKUP(LCARS_Off[AbilityID],RawOfficer[AbilityID],RawOfficer[AbilityTrigger])</f>
        <v>RoundEnd</v>
      </c>
      <c r="Y94" s="519" t="str">
        <f t="array" ref="Y94">XLOOKUP(LCARS_Off[AbilityID],RawOfficer[AbilityID],RawOfficer[AbilityTarget])</f>
        <v>SelfShip</v>
      </c>
      <c r="Z94" s="519" t="str">
        <f t="array" ref="Z94">XLOOKUP(LCARS_Off[AbilityID],RawOfficer[AbilityID],RawOfficer[AbilityOperation])</f>
        <v>MultiplyAdd</v>
      </c>
      <c r="AA94" s="521" t="str">
        <f t="array" ref="AA94">XLOOKUP(LCARS_Off[AbilityID],RawOfficer[AbilityID],RawOfficer[AbilityDescription])</f>
        <v>As long as the ship's Hull Health is under 35% of its value at the beginning of combat, Leslie restores it by X  at the end of each round.</v>
      </c>
      <c r="AB94" s="429" t="b">
        <v>1</v>
      </c>
      <c r="AC94" s="522" t="str">
        <f t="array" ref="AC94">XLOOKUP(LCARS_Off[AbilityID],RawOfficer[AbilityID],RawOfficer[AbilityDescriptionShort])</f>
        <v>X Restored to Hull Health when it is under 35%</v>
      </c>
      <c r="AD94" s="523"/>
      <c r="AE94" s="521" t="s">
        <v>564</v>
      </c>
      <c r="AF94" s="524"/>
      <c r="AG94" s="525" t="str">
        <f t="array" ref="AG94">XLOOKUP(LCARS_Off[AbilityID],RawOfficer[AbilityID],RawOfficer[AbilityChances])</f>
        <v>1.0, 1.0, 1.0</v>
      </c>
      <c r="AH94" s="525" t="str">
        <f t="array" ref="AH94">XLOOKUP(LCARS_Off[AbilityID],RawOfficer[AbilityID],RawOfficer[AbilityValues])</f>
        <v>0.05, 0.02, 0.05</v>
      </c>
      <c r="AI94" s="428" t="b">
        <f t="array" ref="AI94">XLOOKUP(LCARS_Off[AbilityID],RawOfficer[AbilityID],RawOfficer[AbilityHasChance])</f>
        <v>0</v>
      </c>
      <c r="AJ94" s="428" t="b">
        <f t="array" ref="AJ94">XLOOKUP(LCARS_Off[AbilityID],RawOfficer[AbilityID],RawOfficer[AbilityShowPercentage])</f>
        <v>1</v>
      </c>
      <c r="AK94" s="429">
        <f t="array" ref="AK94">XLOOKUP(LCARS_Off[AbilityID],RawOfficer[AbilityID],RawOfficer[OfficerArt])</f>
        <v>47</v>
      </c>
      <c r="AL94" s="430">
        <v>2.079302126E9</v>
      </c>
      <c r="AM94" s="430">
        <f t="array" ref="AM94">XLOOKUP(LCARS_Off[AbilityID],RawOfficer[AbilityID],RawOfficer[Default Order])</f>
        <v>91</v>
      </c>
    </row>
    <row r="95">
      <c r="A95" s="429" t="str">
        <f t="array" ref="A95">LEFT(XLOOKUP(LCARS_Off[AbilityID],RawOfficer[AbilityID],RawOfficer[OfficerRarity]), 1)</f>
        <v>U</v>
      </c>
      <c r="B95" s="429"/>
      <c r="C95" s="514" t="str">
        <f t="array" ref="C95">HYPERLINK("https://stfc.space/officers/" &amp; XLOOKUP(LCARS_Off[AbilityID],RawOfficer[AbilityID],RawOfficer[OfficerId]), XLOOKUP(LCARS_Off[AbilityID],RawOfficer[AbilityID],RawOfficer[OfficerName]))</f>
        <v>LESLIE</v>
      </c>
      <c r="D95" s="515" t="str">
        <f t="array" ref="D95">XLOOKUP(LCARS_Off[AbilityID],RawOfficer[AbilityID],RawOfficer[AbilityType])</f>
        <v>OA</v>
      </c>
      <c r="E95" s="516" t="str">
        <f t="array" ref="E95">XLOOKUP(LCARS_Off[AbilityID],RawOfficer[AbilityID],RawOfficer[Tag_PvPinSpace])</f>
        <v>➖</v>
      </c>
      <c r="F95" s="516" t="str">
        <f t="array" ref="F95">XLOOKUP(LCARS_Off[AbilityID],RawOfficer[AbilityID],RawOfficer[Tag_PvPStation])</f>
        <v>➖</v>
      </c>
      <c r="G95" s="516" t="str">
        <f t="array" ref="G95">XLOOKUP(LCARS_Off[AbilityID],RawOfficer[AbilityID],RawOfficer[Tag_NonArmadaHostiles])</f>
        <v>➖</v>
      </c>
      <c r="H95" s="516" t="str">
        <f t="array" ref="H95">XLOOKUP(LCARS_Off[AbilityID],RawOfficer[AbilityID],RawOfficer[Tag_WaveDefense])</f>
        <v>➖</v>
      </c>
      <c r="I95" s="516" t="str">
        <f t="array" ref="I95">XLOOKUP(LCARS_Off[AbilityID],RawOfficer[AbilityID],RawOfficer[Tag_QTrial])</f>
        <v>➖</v>
      </c>
      <c r="J95" s="516" t="str">
        <f t="array" ref="J95">XLOOKUP(LCARS_Off[AbilityID],RawOfficer[AbilityID],RawOfficer[Tag_MissionBosses])</f>
        <v>➖</v>
      </c>
      <c r="K95" s="516" t="str">
        <f t="array" ref="K95">XLOOKUP(LCARS_Off[AbilityID],RawOfficer[AbilityID],RawOfficer[Tag_GroupArmadas])</f>
        <v>➖</v>
      </c>
      <c r="L95" s="516" t="str">
        <f t="array" ref="L95">XLOOKUP(LCARS_Off[AbilityID],RawOfficer[AbilityID],RawOfficer[Tag_SoloArmadas])</f>
        <v>➖</v>
      </c>
      <c r="M95" s="516" t="str">
        <f t="array" ref="M95">XLOOKUP(LCARS_Off[AbilityID],RawOfficer[AbilityID],RawOfficer[Tag_InvadingEntities])</f>
        <v>➖</v>
      </c>
      <c r="N95" s="516" t="str">
        <f t="array" ref="N95">XLOOKUP(LCARS_Off[AbilityID],RawOfficer[AbilityID],RawOfficer[Tag_Assaults])</f>
        <v>➖</v>
      </c>
      <c r="O95" s="516" t="str">
        <f t="array" ref="O95">XLOOKUP(LCARS_Off[AbilityID],RawOfficer[AbilityID],RawOfficer[Tag_OutpostArmadas])</f>
        <v>➖</v>
      </c>
      <c r="P95" s="516" t="str">
        <f t="array" ref="P95">XLOOKUP(LCARS_Off[AbilityID],RawOfficer[AbilityID],RawOfficer[Tag_OutpostRetaliators])</f>
        <v>➖</v>
      </c>
      <c r="Q95" s="517" t="str">
        <f t="array" ref="Q95">XLOOKUP(LCARS_Off[AbilityID],RawOfficer[AbilityID],RawOfficer[Conditional_Reason])</f>
        <v/>
      </c>
      <c r="R95" s="518" t="str">
        <f t="array" ref="R95">XLOOKUP(LCARS_Off[AbilityID],RawOfficer[AbilityID],RawOfficer[Tag_Loot])</f>
        <v>➖</v>
      </c>
      <c r="S95" s="516" t="str">
        <f t="array" ref="S95">XLOOKUP(LCARS_Off[AbilityID],RawOfficer[AbilityID],RawOfficer[Tag_Utility])</f>
        <v>✅</v>
      </c>
      <c r="T95" s="429" t="str">
        <f t="array" ref="T95">XLOOKUP(LCARS_Off[AbilityID],RawOfficer[AbilityID],RawOfficer[OfficerSynergy])</f>
        <v>SHAKEDOWN CRUISE</v>
      </c>
      <c r="U95" s="519" t="str">
        <f t="array" ref="U95">XLOOKUP(LCARS_Off[AbilityID],RawOfficer[AbilityID],RawOfficer[AbilityModifier])</f>
        <v>CombatXPReward</v>
      </c>
      <c r="V95" s="519" t="str">
        <f t="array" ref="V95">XLOOKUP(LCARS_Off[AbilityID],RawOfficer[AbilityID],RawOfficer[AbilityAttributes])</f>
        <v/>
      </c>
      <c r="W95" s="520" t="str">
        <f t="array" ref="W95">XLOOKUP(LCARS_Off[AbilityID],RawOfficer[AbilityID],RawOfficer[AbilityConditions])</f>
        <v>SelfBattleship</v>
      </c>
      <c r="X95" s="519" t="str">
        <f t="array" ref="X95">XLOOKUP(LCARS_Off[AbilityID],RawOfficer[AbilityID],RawOfficer[AbilityTrigger])</f>
        <v>ShipLaunched</v>
      </c>
      <c r="Y95" s="519" t="str">
        <f t="array" ref="Y95">XLOOKUP(LCARS_Off[AbilityID],RawOfficer[AbilityID],RawOfficer[AbilityTarget])</f>
        <v>SelfShip</v>
      </c>
      <c r="Z95" s="519" t="str">
        <f t="array" ref="Z95">XLOOKUP(LCARS_Off[AbilityID],RawOfficer[AbilityID],RawOfficer[AbilityOperation])</f>
        <v>MultiplyAdd</v>
      </c>
      <c r="AA95" s="521" t="str">
        <f t="array" ref="AA95">XLOOKUP(LCARS_Off[AbilityID],RawOfficer[AbilityID],RawOfficer[AbilityDescription])</f>
        <v>Frank Leslie increases the Ship Experience gained on Battleships by X each turn.</v>
      </c>
      <c r="AB95" s="429" t="b">
        <v>0</v>
      </c>
      <c r="AC95" s="522" t="str">
        <f t="array" ref="AC95">XLOOKUP(LCARS_Off[AbilityID],RawOfficer[AbilityID],RawOfficer[AbilityDescriptionShort])</f>
        <v>+X to Ship XP earned on Battleships</v>
      </c>
      <c r="AD95" s="523"/>
      <c r="AE95" s="524"/>
      <c r="AF95" s="524"/>
      <c r="AG95" s="525" t="str">
        <f t="array" ref="AG95">XLOOKUP(LCARS_Off[AbilityID],RawOfficer[AbilityID],RawOfficer[AbilityChances])</f>
        <v>1.0, 1.0, 1.0, 1.0, 1.0</v>
      </c>
      <c r="AH95" s="525" t="str">
        <f t="array" ref="AH95">XLOOKUP(LCARS_Off[AbilityID],RawOfficer[AbilityID],RawOfficer[AbilityValues])</f>
        <v>0.2, 0.3, 0.4, 0.5, 0.6</v>
      </c>
      <c r="AI95" s="428" t="b">
        <f t="array" ref="AI95">XLOOKUP(LCARS_Off[AbilityID],RawOfficer[AbilityID],RawOfficer[AbilityHasChance])</f>
        <v>0</v>
      </c>
      <c r="AJ95" s="428" t="b">
        <f t="array" ref="AJ95">XLOOKUP(LCARS_Off[AbilityID],RawOfficer[AbilityID],RawOfficer[AbilityShowPercentage])</f>
        <v>1</v>
      </c>
      <c r="AK95" s="429">
        <f t="array" ref="AK95">XLOOKUP(LCARS_Off[AbilityID],RawOfficer[AbilityID],RawOfficer[OfficerArt])</f>
        <v>47</v>
      </c>
      <c r="AL95" s="430">
        <v>4.091368E7</v>
      </c>
      <c r="AM95" s="430">
        <f t="array" ref="AM95">XLOOKUP(LCARS_Off[AbilityID],RawOfficer[AbilityID],RawOfficer[Default Order])</f>
        <v>92</v>
      </c>
    </row>
    <row r="96">
      <c r="A96" s="429" t="str">
        <f t="array" ref="A96">LEFT(XLOOKUP(LCARS_Off[AbilityID],RawOfficer[AbilityID],RawOfficer[OfficerRarity]), 1)</f>
        <v>R</v>
      </c>
      <c r="B96" s="429"/>
      <c r="C96" s="514" t="str">
        <f t="array" ref="C96">HYPERLINK("https://stfc.space/officers/" &amp; XLOOKUP(LCARS_Off[AbilityID],RawOfficer[AbilityID],RawOfficer[OfficerId]), XLOOKUP(LCARS_Off[AbilityID],RawOfficer[AbilityID],RawOfficer[OfficerName]))</f>
        <v>DECIUS</v>
      </c>
      <c r="D96" s="515" t="str">
        <f t="array" ref="D96">XLOOKUP(LCARS_Off[AbilityID],RawOfficer[AbilityID],RawOfficer[AbilityType])</f>
        <v>CM</v>
      </c>
      <c r="E96" s="516" t="str">
        <f t="array" ref="E96">XLOOKUP(LCARS_Off[AbilityID],RawOfficer[AbilityID],RawOfficer[Tag_PvPinSpace])</f>
        <v>✴️</v>
      </c>
      <c r="F96" s="516" t="str">
        <f t="array" ref="F96">XLOOKUP(LCARS_Off[AbilityID],RawOfficer[AbilityID],RawOfficer[Tag_PvPStation])</f>
        <v>✴️</v>
      </c>
      <c r="G96" s="516" t="str">
        <f t="array" ref="G96">XLOOKUP(LCARS_Off[AbilityID],RawOfficer[AbilityID],RawOfficer[Tag_NonArmadaHostiles])</f>
        <v>✴️</v>
      </c>
      <c r="H96" s="516" t="str">
        <f t="array" ref="H96">XLOOKUP(LCARS_Off[AbilityID],RawOfficer[AbilityID],RawOfficer[Tag_WaveDefense])</f>
        <v>✴️</v>
      </c>
      <c r="I96" s="516" t="str">
        <f t="array" ref="I96">XLOOKUP(LCARS_Off[AbilityID],RawOfficer[AbilityID],RawOfficer[Tag_QTrial])</f>
        <v>✴️</v>
      </c>
      <c r="J96" s="516" t="str">
        <f t="array" ref="J96">XLOOKUP(LCARS_Off[AbilityID],RawOfficer[AbilityID],RawOfficer[Tag_MissionBosses])</f>
        <v>✴️</v>
      </c>
      <c r="K96" s="516" t="str">
        <f t="array" ref="K96">XLOOKUP(LCARS_Off[AbilityID],RawOfficer[AbilityID],RawOfficer[Tag_GroupArmadas])</f>
        <v>✴️</v>
      </c>
      <c r="L96" s="516" t="str">
        <f t="array" ref="L96">XLOOKUP(LCARS_Off[AbilityID],RawOfficer[AbilityID],RawOfficer[Tag_SoloArmadas])</f>
        <v>✴️</v>
      </c>
      <c r="M96" s="516" t="str">
        <f t="array" ref="M96">XLOOKUP(LCARS_Off[AbilityID],RawOfficer[AbilityID],RawOfficer[Tag_InvadingEntities])</f>
        <v>✴️</v>
      </c>
      <c r="N96" s="516" t="str">
        <f t="array" ref="N96">XLOOKUP(LCARS_Off[AbilityID],RawOfficer[AbilityID],RawOfficer[Tag_Assaults])</f>
        <v>✴️</v>
      </c>
      <c r="O96" s="516" t="str">
        <f t="array" ref="O96">XLOOKUP(LCARS_Off[AbilityID],RawOfficer[AbilityID],RawOfficer[Tag_OutpostArmadas])</f>
        <v>✴️</v>
      </c>
      <c r="P96" s="516" t="str">
        <f t="array" ref="P96">XLOOKUP(LCARS_Off[AbilityID],RawOfficer[AbilityID],RawOfficer[Tag_OutpostRetaliators])</f>
        <v>✴️</v>
      </c>
      <c r="Q96" s="517" t="str">
        <f t="array" ref="Q96">XLOOKUP(LCARS_Off[AbilityID],RawOfficer[AbilityID],RawOfficer[Conditional_Reason])</f>
        <v>EnemyStronger</v>
      </c>
      <c r="R96" s="518" t="str">
        <f t="array" ref="R96">XLOOKUP(LCARS_Off[AbilityID],RawOfficer[AbilityID],RawOfficer[Tag_Loot])</f>
        <v>➖</v>
      </c>
      <c r="S96" s="516" t="str">
        <f t="array" ref="S96">XLOOKUP(LCARS_Off[AbilityID],RawOfficer[AbilityID],RawOfficer[Tag_Utility])</f>
        <v>➖</v>
      </c>
      <c r="T96" s="429" t="str">
        <f t="array" ref="T96">XLOOKUP(LCARS_Off[AbilityID],RawOfficer[AbilityID],RawOfficer[OfficerSynergy])</f>
        <v>ROMULAN PATRIOTS</v>
      </c>
      <c r="U96" s="519" t="str">
        <f t="array" ref="U96">XLOOKUP(LCARS_Off[AbilityID],RawOfficer[AbilityID],RawOfficer[AbilityModifier])</f>
        <v>AllPiercing</v>
      </c>
      <c r="V96" s="519" t="str">
        <f t="array" ref="V96">XLOOKUP(LCARS_Off[AbilityID],RawOfficer[AbilityID],RawOfficer[AbilityAttributes])</f>
        <v/>
      </c>
      <c r="W96" s="520" t="str">
        <f t="array" ref="W96">XLOOKUP(LCARS_Off[AbilityID],RawOfficer[AbilityID],RawOfficer[AbilityConditions])</f>
        <v>EnemyStronger</v>
      </c>
      <c r="X96" s="519" t="str">
        <f t="array" ref="X96">XLOOKUP(LCARS_Off[AbilityID],RawOfficer[AbilityID],RawOfficer[AbilityTrigger])</f>
        <v>CombatStart</v>
      </c>
      <c r="Y96" s="519" t="str">
        <f t="array" ref="Y96">XLOOKUP(LCARS_Off[AbilityID],RawOfficer[AbilityID],RawOfficer[AbilityTarget])</f>
        <v>SelfShip</v>
      </c>
      <c r="Z96" s="519" t="str">
        <f t="array" ref="Z96">XLOOKUP(LCARS_Off[AbilityID],RawOfficer[AbilityID],RawOfficer[AbilityOperation])</f>
        <v>MultiplyAdd</v>
      </c>
      <c r="AA96" s="521" t="str">
        <f t="array" ref="AA96">XLOOKUP(LCARS_Off[AbilityID],RawOfficer[AbilityID],RawOfficer[AbilityDescription])</f>
        <v>When fighting a ship with a bigger Strength, Decius increases Accuracy, Armor Piercing and Shield Piercing of the ship by X.</v>
      </c>
      <c r="AB96" s="429" t="b">
        <v>0</v>
      </c>
      <c r="AC96" s="522" t="str">
        <f t="array" ref="AC96">XLOOKUP(LCARS_Off[AbilityID],RawOfficer[AbilityID],RawOfficer[AbilityDescriptionShort])</f>
        <v>+X to Accuracy and Armor Piercing and Shield Piercing against stronger ships</v>
      </c>
      <c r="AD96" s="523"/>
      <c r="AE96" s="524"/>
      <c r="AF96" s="524"/>
      <c r="AG96" s="525" t="str">
        <f t="array" ref="AG96">XLOOKUP(LCARS_Off[AbilityID],RawOfficer[AbilityID],RawOfficer[AbilityChances])</f>
        <v>1.0, 1.0, 1.0</v>
      </c>
      <c r="AH96" s="525" t="str">
        <f t="array" ref="AH96">XLOOKUP(LCARS_Off[AbilityID],RawOfficer[AbilityID],RawOfficer[AbilityValues])</f>
        <v>0.1, 0.2, 0.3</v>
      </c>
      <c r="AI96" s="428" t="b">
        <f t="array" ref="AI96">XLOOKUP(LCARS_Off[AbilityID],RawOfficer[AbilityID],RawOfficer[AbilityHasChance])</f>
        <v>0</v>
      </c>
      <c r="AJ96" s="428" t="b">
        <f t="array" ref="AJ96">XLOOKUP(LCARS_Off[AbilityID],RawOfficer[AbilityID],RawOfficer[AbilityShowPercentage])</f>
        <v>1</v>
      </c>
      <c r="AK96" s="429">
        <f t="array" ref="AK96">XLOOKUP(LCARS_Off[AbilityID],RawOfficer[AbilityID],RawOfficer[OfficerArt])</f>
        <v>31</v>
      </c>
      <c r="AL96" s="430">
        <v>3.94381903E9</v>
      </c>
      <c r="AM96" s="430">
        <f t="array" ref="AM96">XLOOKUP(LCARS_Off[AbilityID],RawOfficer[AbilityID],RawOfficer[Default Order])</f>
        <v>93</v>
      </c>
    </row>
    <row r="97">
      <c r="A97" s="429" t="str">
        <f t="array" ref="A97">LEFT(XLOOKUP(LCARS_Off[AbilityID],RawOfficer[AbilityID],RawOfficer[OfficerRarity]), 1)</f>
        <v>R</v>
      </c>
      <c r="B97" s="429"/>
      <c r="C97" s="514" t="str">
        <f t="array" ref="C97">HYPERLINK("https://stfc.space/officers/" &amp; XLOOKUP(LCARS_Off[AbilityID],RawOfficer[AbilityID],RawOfficer[OfficerId]), XLOOKUP(LCARS_Off[AbilityID],RawOfficer[AbilityID],RawOfficer[OfficerName]))</f>
        <v>DECIUS</v>
      </c>
      <c r="D97" s="515" t="str">
        <f t="array" ref="D97">XLOOKUP(LCARS_Off[AbilityID],RawOfficer[AbilityID],RawOfficer[AbilityType])</f>
        <v>OA</v>
      </c>
      <c r="E97" s="516" t="str">
        <f t="array" ref="E97">XLOOKUP(LCARS_Off[AbilityID],RawOfficer[AbilityID],RawOfficer[Tag_PvPinSpace])</f>
        <v>✅</v>
      </c>
      <c r="F97" s="516" t="str">
        <f t="array" ref="F97">XLOOKUP(LCARS_Off[AbilityID],RawOfficer[AbilityID],RawOfficer[Tag_PvPStation])</f>
        <v>✅</v>
      </c>
      <c r="G97" s="516" t="str">
        <f t="array" ref="G97">XLOOKUP(LCARS_Off[AbilityID],RawOfficer[AbilityID],RawOfficer[Tag_NonArmadaHostiles])</f>
        <v>✅</v>
      </c>
      <c r="H97" s="516" t="str">
        <f t="array" ref="H97">XLOOKUP(LCARS_Off[AbilityID],RawOfficer[AbilityID],RawOfficer[Tag_WaveDefense])</f>
        <v>✅</v>
      </c>
      <c r="I97" s="516" t="str">
        <f t="array" ref="I97">XLOOKUP(LCARS_Off[AbilityID],RawOfficer[AbilityID],RawOfficer[Tag_QTrial])</f>
        <v>✅</v>
      </c>
      <c r="J97" s="516" t="str">
        <f t="array" ref="J97">XLOOKUP(LCARS_Off[AbilityID],RawOfficer[AbilityID],RawOfficer[Tag_MissionBosses])</f>
        <v>✅</v>
      </c>
      <c r="K97" s="516" t="str">
        <f t="array" ref="K97">XLOOKUP(LCARS_Off[AbilityID],RawOfficer[AbilityID],RawOfficer[Tag_GroupArmadas])</f>
        <v>✅</v>
      </c>
      <c r="L97" s="516" t="str">
        <f t="array" ref="L97">XLOOKUP(LCARS_Off[AbilityID],RawOfficer[AbilityID],RawOfficer[Tag_SoloArmadas])</f>
        <v>✅</v>
      </c>
      <c r="M97" s="516" t="str">
        <f t="array" ref="M97">XLOOKUP(LCARS_Off[AbilityID],RawOfficer[AbilityID],RawOfficer[Tag_InvadingEntities])</f>
        <v>✅</v>
      </c>
      <c r="N97" s="516" t="str">
        <f t="array" ref="N97">XLOOKUP(LCARS_Off[AbilityID],RawOfficer[AbilityID],RawOfficer[Tag_Assaults])</f>
        <v>✅</v>
      </c>
      <c r="O97" s="516" t="str">
        <f t="array" ref="O97">XLOOKUP(LCARS_Off[AbilityID],RawOfficer[AbilityID],RawOfficer[Tag_OutpostArmadas])</f>
        <v>✅</v>
      </c>
      <c r="P97" s="516" t="str">
        <f t="array" ref="P97">XLOOKUP(LCARS_Off[AbilityID],RawOfficer[AbilityID],RawOfficer[Tag_OutpostRetaliators])</f>
        <v>✅</v>
      </c>
      <c r="Q97" s="517" t="str">
        <f t="array" ref="Q97">XLOOKUP(LCARS_Off[AbilityID],RawOfficer[AbilityID],RawOfficer[Conditional_Reason])</f>
        <v/>
      </c>
      <c r="R97" s="518" t="str">
        <f t="array" ref="R97">XLOOKUP(LCARS_Off[AbilityID],RawOfficer[AbilityID],RawOfficer[Tag_Loot])</f>
        <v>➖</v>
      </c>
      <c r="S97" s="516" t="str">
        <f t="array" ref="S97">XLOOKUP(LCARS_Off[AbilityID],RawOfficer[AbilityID],RawOfficer[Tag_Utility])</f>
        <v>➖</v>
      </c>
      <c r="T97" s="429" t="str">
        <f t="array" ref="T97">XLOOKUP(LCARS_Off[AbilityID],RawOfficer[AbilityID],RawOfficer[OfficerSynergy])</f>
        <v>ROMULAN PATRIOTS</v>
      </c>
      <c r="U97" s="519" t="str">
        <f t="array" ref="U97">XLOOKUP(LCARS_Off[AbilityID],RawOfficer[AbilityID],RawOfficer[AbilityModifier])</f>
        <v>AllDamage</v>
      </c>
      <c r="V97" s="519" t="str">
        <f t="array" ref="V97">XLOOKUP(LCARS_Off[AbilityID],RawOfficer[AbilityID],RawOfficer[AbilityAttributes])</f>
        <v/>
      </c>
      <c r="W97" s="520" t="str">
        <f t="array" ref="W97">XLOOKUP(LCARS_Off[AbilityID],RawOfficer[AbilityID],RawOfficer[AbilityConditions])</f>
        <v/>
      </c>
      <c r="X97" s="519" t="str">
        <f t="array" ref="X97">XLOOKUP(LCARS_Off[AbilityID],RawOfficer[AbilityID],RawOfficer[AbilityTrigger])</f>
        <v>HullDamageTaken</v>
      </c>
      <c r="Y97" s="519" t="str">
        <f t="array" ref="Y97">XLOOKUP(LCARS_Off[AbilityID],RawOfficer[AbilityID],RawOfficer[AbilityTarget])</f>
        <v>SelfShip</v>
      </c>
      <c r="Z97" s="519" t="str">
        <f t="array" ref="Z97">XLOOKUP(LCARS_Off[AbilityID],RawOfficer[AbilityID],RawOfficer[AbilityOperation])</f>
        <v>MultiplyAdd</v>
      </c>
      <c r="AA97" s="521" t="str">
        <f t="array" ref="AA97">XLOOKUP(LCARS_Off[AbilityID],RawOfficer[AbilityID],RawOfficer[AbilityDescription])</f>
        <v>Every time the ship gets hit by a weapon attack, Decius increases its Weapon Damage by X. -- (Weapons with multiple shots will only trigger this ability once per attack.)</v>
      </c>
      <c r="AB97" s="429" t="b">
        <v>0</v>
      </c>
      <c r="AC97" s="522" t="str">
        <f t="array" ref="AC97">XLOOKUP(LCARS_Off[AbilityID],RawOfficer[AbilityID],RawOfficer[AbilityDescriptionShort])</f>
        <v>+X to Damage each time the ship gets hit</v>
      </c>
      <c r="AD97" s="523"/>
      <c r="AE97" s="524"/>
      <c r="AF97" s="524"/>
      <c r="AG97" s="525" t="str">
        <f t="array" ref="AG97">XLOOKUP(LCARS_Off[AbilityID],RawOfficer[AbilityID],RawOfficer[AbilityChances])</f>
        <v>1.0, 1.0, 1.0, 1.0, 1.0</v>
      </c>
      <c r="AH97" s="525" t="str">
        <f t="array" ref="AH97">XLOOKUP(LCARS_Off[AbilityID],RawOfficer[AbilityID],RawOfficer[AbilityValues])</f>
        <v>0.06, 0.07, 0.08, 0.09, 0.1</v>
      </c>
      <c r="AI97" s="428" t="b">
        <f t="array" ref="AI97">XLOOKUP(LCARS_Off[AbilityID],RawOfficer[AbilityID],RawOfficer[AbilityHasChance])</f>
        <v>0</v>
      </c>
      <c r="AJ97" s="428" t="b">
        <f t="array" ref="AJ97">XLOOKUP(LCARS_Off[AbilityID],RawOfficer[AbilityID],RawOfficer[AbilityShowPercentage])</f>
        <v>1</v>
      </c>
      <c r="AK97" s="429">
        <f t="array" ref="AK97">XLOOKUP(LCARS_Off[AbilityID],RawOfficer[AbilityID],RawOfficer[OfficerArt])</f>
        <v>31</v>
      </c>
      <c r="AL97" s="430">
        <v>2.07614493E8</v>
      </c>
      <c r="AM97" s="430">
        <f t="array" ref="AM97">XLOOKUP(LCARS_Off[AbilityID],RawOfficer[AbilityID],RawOfficer[Default Order])</f>
        <v>94</v>
      </c>
    </row>
    <row r="98">
      <c r="A98" s="429" t="str">
        <f t="array" ref="A98">LEFT(XLOOKUP(LCARS_Off[AbilityID],RawOfficer[AbilityID],RawOfficer[OfficerRarity]), 1)</f>
        <v>E</v>
      </c>
      <c r="B98" s="429"/>
      <c r="C98" s="514" t="str">
        <f t="array" ref="C98">HYPERLINK("https://stfc.space/officers/" &amp; XLOOKUP(LCARS_Off[AbilityID],RawOfficer[AbilityID],RawOfficer[OfficerId]), XLOOKUP(LCARS_Off[AbilityID],RawOfficer[AbilityID],RawOfficer[OfficerName]))</f>
        <v>KANG</v>
      </c>
      <c r="D98" s="515" t="str">
        <f t="array" ref="D98">XLOOKUP(LCARS_Off[AbilityID],RawOfficer[AbilityID],RawOfficer[AbilityType])</f>
        <v>CM</v>
      </c>
      <c r="E98" s="516" t="str">
        <f t="array" ref="E98">XLOOKUP(LCARS_Off[AbilityID],RawOfficer[AbilityID],RawOfficer[Tag_PvPinSpace])</f>
        <v>✅</v>
      </c>
      <c r="F98" s="516" t="str">
        <f t="array" ref="F98">XLOOKUP(LCARS_Off[AbilityID],RawOfficer[AbilityID],RawOfficer[Tag_PvPStation])</f>
        <v>✅</v>
      </c>
      <c r="G98" s="516" t="str">
        <f t="array" ref="G98">XLOOKUP(LCARS_Off[AbilityID],RawOfficer[AbilityID],RawOfficer[Tag_NonArmadaHostiles])</f>
        <v>✅</v>
      </c>
      <c r="H98" s="516" t="str">
        <f t="array" ref="H98">XLOOKUP(LCARS_Off[AbilityID],RawOfficer[AbilityID],RawOfficer[Tag_WaveDefense])</f>
        <v>✅</v>
      </c>
      <c r="I98" s="516" t="str">
        <f t="array" ref="I98">XLOOKUP(LCARS_Off[AbilityID],RawOfficer[AbilityID],RawOfficer[Tag_QTrial])</f>
        <v>✅</v>
      </c>
      <c r="J98" s="516" t="str">
        <f t="array" ref="J98">XLOOKUP(LCARS_Off[AbilityID],RawOfficer[AbilityID],RawOfficer[Tag_MissionBosses])</f>
        <v>✅</v>
      </c>
      <c r="K98" s="516" t="str">
        <f t="array" ref="K98">XLOOKUP(LCARS_Off[AbilityID],RawOfficer[AbilityID],RawOfficer[Tag_GroupArmadas])</f>
        <v>✅</v>
      </c>
      <c r="L98" s="516" t="str">
        <f t="array" ref="L98">XLOOKUP(LCARS_Off[AbilityID],RawOfficer[AbilityID],RawOfficer[Tag_SoloArmadas])</f>
        <v>✅</v>
      </c>
      <c r="M98" s="516" t="str">
        <f t="array" ref="M98">XLOOKUP(LCARS_Off[AbilityID],RawOfficer[AbilityID],RawOfficer[Tag_InvadingEntities])</f>
        <v>✅</v>
      </c>
      <c r="N98" s="516" t="str">
        <f t="array" ref="N98">XLOOKUP(LCARS_Off[AbilityID],RawOfficer[AbilityID],RawOfficer[Tag_Assaults])</f>
        <v>✅</v>
      </c>
      <c r="O98" s="516" t="str">
        <f t="array" ref="O98">XLOOKUP(LCARS_Off[AbilityID],RawOfficer[AbilityID],RawOfficer[Tag_OutpostArmadas])</f>
        <v>✅</v>
      </c>
      <c r="P98" s="516" t="str">
        <f t="array" ref="P98">XLOOKUP(LCARS_Off[AbilityID],RawOfficer[AbilityID],RawOfficer[Tag_OutpostRetaliators])</f>
        <v>✅</v>
      </c>
      <c r="Q98" s="517" t="str">
        <f t="array" ref="Q98">XLOOKUP(LCARS_Off[AbilityID],RawOfficer[AbilityID],RawOfficer[Conditional_Reason])</f>
        <v/>
      </c>
      <c r="R98" s="518" t="str">
        <f t="array" ref="R98">XLOOKUP(LCARS_Off[AbilityID],RawOfficer[AbilityID],RawOfficer[Tag_Loot])</f>
        <v>➖</v>
      </c>
      <c r="S98" s="516" t="str">
        <f t="array" ref="S98">XLOOKUP(LCARS_Off[AbilityID],RawOfficer[AbilityID],RawOfficer[Tag_Utility])</f>
        <v>➖</v>
      </c>
      <c r="T98" s="429" t="str">
        <f t="array" ref="T98">XLOOKUP(LCARS_Off[AbilityID],RawOfficer[AbilityID],RawOfficer[OfficerSynergy])</f>
        <v>BLOOD &amp; HONOR</v>
      </c>
      <c r="U98" s="519" t="str">
        <f t="array" ref="U98">XLOOKUP(LCARS_Off[AbilityID],RawOfficer[AbilityID],RawOfficer[AbilityModifier])</f>
        <v>AddState</v>
      </c>
      <c r="V98" s="519" t="str">
        <f t="array" ref="V98">XLOOKUP(LCARS_Off[AbilityID],RawOfficer[AbilityID],RawOfficer[AbilityAttributes])</f>
        <v>num_rounds=3, state=4</v>
      </c>
      <c r="W98" s="520" t="str">
        <f t="array" ref="W98">XLOOKUP(LCARS_Off[AbilityID],RawOfficer[AbilityID],RawOfficer[AbilityConditions])</f>
        <v/>
      </c>
      <c r="X98" s="519" t="str">
        <f t="array" ref="X98">XLOOKUP(LCARS_Off[AbilityID],RawOfficer[AbilityID],RawOfficer[AbilityTrigger])</f>
        <v>CombatStart</v>
      </c>
      <c r="Y98" s="519" t="str">
        <f t="array" ref="Y98">XLOOKUP(LCARS_Off[AbilityID],RawOfficer[AbilityID],RawOfficer[AbilityTarget])</f>
        <v>EnemyShip</v>
      </c>
      <c r="Z98" s="519" t="str">
        <f t="array" ref="Z98">XLOOKUP(LCARS_Off[AbilityID],RawOfficer[AbilityID],RawOfficer[AbilityOperation])</f>
        <v>Set</v>
      </c>
      <c r="AA98" s="521" t="str">
        <f t="array" ref="AA98">XLOOKUP(LCARS_Off[AbilityID],RawOfficer[AbilityID],RawOfficer[AbilityDescription])</f>
        <v>At the start of battle, Kang has a X chance of dealing a Hull Breach to the opponent for 3 rounds.</v>
      </c>
      <c r="AB98" s="429" t="b">
        <v>0</v>
      </c>
      <c r="AC98" s="522" t="str">
        <f t="array" ref="AC98">XLOOKUP(LCARS_Off[AbilityID],RawOfficer[AbilityID],RawOfficer[AbilityDescriptionShort])</f>
        <v>X chance to cause Hull Breach for 3 rounds at start of Combat</v>
      </c>
      <c r="AD98" s="523"/>
      <c r="AE98" s="524"/>
      <c r="AF98" s="524"/>
      <c r="AG98" s="525" t="str">
        <f t="array" ref="AG98">XLOOKUP(LCARS_Off[AbilityID],RawOfficer[AbilityID],RawOfficer[AbilityChances])</f>
        <v>0.8, 0.05, 0.1</v>
      </c>
      <c r="AH98" s="525" t="str">
        <f t="array" ref="AH98">XLOOKUP(LCARS_Off[AbilityID],RawOfficer[AbilityID],RawOfficer[AbilityValues])</f>
        <v>1.0, 1.0, 1.0</v>
      </c>
      <c r="AI98" s="428" t="b">
        <f t="array" ref="AI98">XLOOKUP(LCARS_Off[AbilityID],RawOfficer[AbilityID],RawOfficer[AbilityHasChance])</f>
        <v>1</v>
      </c>
      <c r="AJ98" s="428" t="b">
        <f t="array" ref="AJ98">XLOOKUP(LCARS_Off[AbilityID],RawOfficer[AbilityID],RawOfficer[AbilityShowPercentage])</f>
        <v>1</v>
      </c>
      <c r="AK98" s="429">
        <f t="array" ref="AK98">XLOOKUP(LCARS_Off[AbilityID],RawOfficer[AbilityID],RawOfficer[OfficerArt])</f>
        <v>22</v>
      </c>
      <c r="AL98" s="430">
        <v>8.40557541E8</v>
      </c>
      <c r="AM98" s="430">
        <f t="array" ref="AM98">XLOOKUP(LCARS_Off[AbilityID],RawOfficer[AbilityID],RawOfficer[Default Order])</f>
        <v>95</v>
      </c>
    </row>
    <row r="99">
      <c r="A99" s="429" t="str">
        <f t="array" ref="A99">LEFT(XLOOKUP(LCARS_Off[AbilityID],RawOfficer[AbilityID],RawOfficer[OfficerRarity]), 1)</f>
        <v>E</v>
      </c>
      <c r="B99" s="429"/>
      <c r="C99" s="514" t="str">
        <f t="array" ref="C99">HYPERLINK("https://stfc.space/officers/" &amp; XLOOKUP(LCARS_Off[AbilityID],RawOfficer[AbilityID],RawOfficer[OfficerId]), XLOOKUP(LCARS_Off[AbilityID],RawOfficer[AbilityID],RawOfficer[OfficerName]))</f>
        <v>KANG</v>
      </c>
      <c r="D99" s="515" t="str">
        <f t="array" ref="D99">XLOOKUP(LCARS_Off[AbilityID],RawOfficer[AbilityID],RawOfficer[AbilityType])</f>
        <v>OA</v>
      </c>
      <c r="E99" s="516" t="str">
        <f t="array" ref="E99">XLOOKUP(LCARS_Off[AbilityID],RawOfficer[AbilityID],RawOfficer[Tag_PvPinSpace])</f>
        <v>✅</v>
      </c>
      <c r="F99" s="516" t="str">
        <f t="array" ref="F99">XLOOKUP(LCARS_Off[AbilityID],RawOfficer[AbilityID],RawOfficer[Tag_PvPStation])</f>
        <v>✅</v>
      </c>
      <c r="G99" s="516" t="str">
        <f t="array" ref="G99">XLOOKUP(LCARS_Off[AbilityID],RawOfficer[AbilityID],RawOfficer[Tag_NonArmadaHostiles])</f>
        <v>✅</v>
      </c>
      <c r="H99" s="516" t="str">
        <f t="array" ref="H99">XLOOKUP(LCARS_Off[AbilityID],RawOfficer[AbilityID],RawOfficer[Tag_WaveDefense])</f>
        <v>✅</v>
      </c>
      <c r="I99" s="516" t="str">
        <f t="array" ref="I99">XLOOKUP(LCARS_Off[AbilityID],RawOfficer[AbilityID],RawOfficer[Tag_QTrial])</f>
        <v>✅</v>
      </c>
      <c r="J99" s="516" t="str">
        <f t="array" ref="J99">XLOOKUP(LCARS_Off[AbilityID],RawOfficer[AbilityID],RawOfficer[Tag_MissionBosses])</f>
        <v>✅</v>
      </c>
      <c r="K99" s="516" t="str">
        <f t="array" ref="K99">XLOOKUP(LCARS_Off[AbilityID],RawOfficer[AbilityID],RawOfficer[Tag_GroupArmadas])</f>
        <v>✅</v>
      </c>
      <c r="L99" s="516" t="str">
        <f t="array" ref="L99">XLOOKUP(LCARS_Off[AbilityID],RawOfficer[AbilityID],RawOfficer[Tag_SoloArmadas])</f>
        <v>✅</v>
      </c>
      <c r="M99" s="516" t="str">
        <f t="array" ref="M99">XLOOKUP(LCARS_Off[AbilityID],RawOfficer[AbilityID],RawOfficer[Tag_InvadingEntities])</f>
        <v>✅</v>
      </c>
      <c r="N99" s="516" t="str">
        <f t="array" ref="N99">XLOOKUP(LCARS_Off[AbilityID],RawOfficer[AbilityID],RawOfficer[Tag_Assaults])</f>
        <v>✅</v>
      </c>
      <c r="O99" s="516" t="str">
        <f t="array" ref="O99">XLOOKUP(LCARS_Off[AbilityID],RawOfficer[AbilityID],RawOfficer[Tag_OutpostArmadas])</f>
        <v>✅</v>
      </c>
      <c r="P99" s="516" t="str">
        <f t="array" ref="P99">XLOOKUP(LCARS_Off[AbilityID],RawOfficer[AbilityID],RawOfficer[Tag_OutpostRetaliators])</f>
        <v>✅</v>
      </c>
      <c r="Q99" s="517" t="str">
        <f t="array" ref="Q99">XLOOKUP(LCARS_Off[AbilityID],RawOfficer[AbilityID],RawOfficer[Conditional_Reason])</f>
        <v/>
      </c>
      <c r="R99" s="518" t="str">
        <f t="array" ref="R99">XLOOKUP(LCARS_Off[AbilityID],RawOfficer[AbilityID],RawOfficer[Tag_Loot])</f>
        <v>➖</v>
      </c>
      <c r="S99" s="516" t="str">
        <f t="array" ref="S99">XLOOKUP(LCARS_Off[AbilityID],RawOfficer[AbilityID],RawOfficer[Tag_Utility])</f>
        <v>➖</v>
      </c>
      <c r="T99" s="429" t="str">
        <f t="array" ref="T99">XLOOKUP(LCARS_Off[AbilityID],RawOfficer[AbilityID],RawOfficer[OfficerSynergy])</f>
        <v>BLOOD &amp; HONOR</v>
      </c>
      <c r="U99" s="519" t="str">
        <f t="array" ref="U99">XLOOKUP(LCARS_Off[AbilityID],RawOfficer[AbilityID],RawOfficer[AbilityModifier])</f>
        <v>Accuracy</v>
      </c>
      <c r="V99" s="519" t="str">
        <f t="array" ref="V99">XLOOKUP(LCARS_Off[AbilityID],RawOfficer[AbilityID],RawOfficer[AbilityAttributes])</f>
        <v>officer_stat=1</v>
      </c>
      <c r="W99" s="520" t="str">
        <f t="array" ref="W99">XLOOKUP(LCARS_Off[AbilityID],RawOfficer[AbilityID],RawOfficer[AbilityConditions])</f>
        <v/>
      </c>
      <c r="X99" s="519" t="str">
        <f t="array" ref="X99">XLOOKUP(LCARS_Off[AbilityID],RawOfficer[AbilityID],RawOfficer[AbilityTrigger])</f>
        <v>CombatStart</v>
      </c>
      <c r="Y99" s="519" t="str">
        <f t="array" ref="Y99">XLOOKUP(LCARS_Off[AbilityID],RawOfficer[AbilityID],RawOfficer[AbilityTarget])</f>
        <v>SelfShip</v>
      </c>
      <c r="Z99" s="519" t="str">
        <f t="array" ref="Z99">XLOOKUP(LCARS_Off[AbilityID],RawOfficer[AbilityID],RawOfficer[AbilityOperation])</f>
        <v>MultiplyBaseAdd</v>
      </c>
      <c r="AA99" s="521" t="str">
        <f t="array" ref="AA99">XLOOKUP(LCARS_Off[AbilityID],RawOfficer[AbilityID],RawOfficer[AbilityDescription])</f>
        <v>At the start of battle, Kang increases the Accuracy of the ship by X of the Attack of the crew on the ship.</v>
      </c>
      <c r="AB99" s="429" t="b">
        <v>0</v>
      </c>
      <c r="AC99" s="522" t="str">
        <f t="array" ref="AC99">XLOOKUP(LCARS_Off[AbilityID],RawOfficer[AbilityID],RawOfficer[AbilityDescriptionShort])</f>
        <v>X of the crew's Attack bonus to Accuracy</v>
      </c>
      <c r="AD99" s="523"/>
      <c r="AE99" s="524"/>
      <c r="AF99" s="524"/>
      <c r="AG99" s="525" t="str">
        <f t="array" ref="AG99">XLOOKUP(LCARS_Off[AbilityID],RawOfficer[AbilityID],RawOfficer[AbilityChances])</f>
        <v>1.0, 1.0, 1.0, 1.0, 1.0</v>
      </c>
      <c r="AH99" s="525" t="str">
        <f t="array" ref="AH99">XLOOKUP(LCARS_Off[AbilityID],RawOfficer[AbilityID],RawOfficer[AbilityValues])</f>
        <v>1.0, 2.0, 4.0, 8.0, 16.0</v>
      </c>
      <c r="AI99" s="428" t="b">
        <f t="array" ref="AI99">XLOOKUP(LCARS_Off[AbilityID],RawOfficer[AbilityID],RawOfficer[AbilityHasChance])</f>
        <v>0</v>
      </c>
      <c r="AJ99" s="428" t="b">
        <f t="array" ref="AJ99">XLOOKUP(LCARS_Off[AbilityID],RawOfficer[AbilityID],RawOfficer[AbilityShowPercentage])</f>
        <v>1</v>
      </c>
      <c r="AK99" s="429">
        <f t="array" ref="AK99">XLOOKUP(LCARS_Off[AbilityID],RawOfficer[AbilityID],RawOfficer[OfficerArt])</f>
        <v>22</v>
      </c>
      <c r="AL99" s="430">
        <v>4.6974357E8</v>
      </c>
      <c r="AM99" s="430">
        <f t="array" ref="AM99">XLOOKUP(LCARS_Off[AbilityID],RawOfficer[AbilityID],RawOfficer[Default Order])</f>
        <v>96</v>
      </c>
    </row>
    <row r="100">
      <c r="A100" s="429" t="str">
        <f t="array" ref="A100">LEFT(XLOOKUP(LCARS_Off[AbilityID],RawOfficer[AbilityID],RawOfficer[OfficerRarity]), 1)</f>
        <v>R</v>
      </c>
      <c r="B100" s="429"/>
      <c r="C100" s="514" t="str">
        <f t="array" ref="C100">HYPERLINK("https://stfc.space/officers/" &amp; XLOOKUP(LCARS_Off[AbilityID],RawOfficer[AbilityID],RawOfficer[OfficerId]), XLOOKUP(LCARS_Off[AbilityID],RawOfficer[AbilityID],RawOfficer[OfficerName]))</f>
        <v>MARA</v>
      </c>
      <c r="D100" s="515" t="str">
        <f t="array" ref="D100">XLOOKUP(LCARS_Off[AbilityID],RawOfficer[AbilityID],RawOfficer[AbilityType])</f>
        <v>CM</v>
      </c>
      <c r="E100" s="516" t="str">
        <f t="array" ref="E100">XLOOKUP(LCARS_Off[AbilityID],RawOfficer[AbilityID],RawOfficer[Tag_PvPinSpace])</f>
        <v>✴️</v>
      </c>
      <c r="F100" s="516" t="str">
        <f t="array" ref="F100">XLOOKUP(LCARS_Off[AbilityID],RawOfficer[AbilityID],RawOfficer[Tag_PvPStation])</f>
        <v>✴️</v>
      </c>
      <c r="G100" s="516" t="str">
        <f t="array" ref="G100">XLOOKUP(LCARS_Off[AbilityID],RawOfficer[AbilityID],RawOfficer[Tag_NonArmadaHostiles])</f>
        <v>✴️</v>
      </c>
      <c r="H100" s="516" t="str">
        <f t="array" ref="H100">XLOOKUP(LCARS_Off[AbilityID],RawOfficer[AbilityID],RawOfficer[Tag_WaveDefense])</f>
        <v>✴️</v>
      </c>
      <c r="I100" s="516" t="str">
        <f t="array" ref="I100">XLOOKUP(LCARS_Off[AbilityID],RawOfficer[AbilityID],RawOfficer[Tag_QTrial])</f>
        <v>✴️</v>
      </c>
      <c r="J100" s="516" t="str">
        <f t="array" ref="J100">XLOOKUP(LCARS_Off[AbilityID],RawOfficer[AbilityID],RawOfficer[Tag_MissionBosses])</f>
        <v>✴️</v>
      </c>
      <c r="K100" s="516" t="str">
        <f t="array" ref="K100">XLOOKUP(LCARS_Off[AbilityID],RawOfficer[AbilityID],RawOfficer[Tag_GroupArmadas])</f>
        <v>✴️</v>
      </c>
      <c r="L100" s="516" t="str">
        <f t="array" ref="L100">XLOOKUP(LCARS_Off[AbilityID],RawOfficer[AbilityID],RawOfficer[Tag_SoloArmadas])</f>
        <v>✴️</v>
      </c>
      <c r="M100" s="516" t="str">
        <f t="array" ref="M100">XLOOKUP(LCARS_Off[AbilityID],RawOfficer[AbilityID],RawOfficer[Tag_InvadingEntities])</f>
        <v>✴️</v>
      </c>
      <c r="N100" s="516" t="str">
        <f t="array" ref="N100">XLOOKUP(LCARS_Off[AbilityID],RawOfficer[AbilityID],RawOfficer[Tag_Assaults])</f>
        <v>✴️</v>
      </c>
      <c r="O100" s="516" t="str">
        <f t="array" ref="O100">XLOOKUP(LCARS_Off[AbilityID],RawOfficer[AbilityID],RawOfficer[Tag_OutpostArmadas])</f>
        <v>✴️</v>
      </c>
      <c r="P100" s="516" t="str">
        <f t="array" ref="P100">XLOOKUP(LCARS_Off[AbilityID],RawOfficer[AbilityID],RawOfficer[Tag_OutpostRetaliators])</f>
        <v>✴️</v>
      </c>
      <c r="Q100" s="517" t="str">
        <f t="array" ref="Q100">XLOOKUP(LCARS_Off[AbilityID],RawOfficer[AbilityID],RawOfficer[Conditional_Reason])</f>
        <v>EnemyInterceptor</v>
      </c>
      <c r="R100" s="518" t="str">
        <f t="array" ref="R100">XLOOKUP(LCARS_Off[AbilityID],RawOfficer[AbilityID],RawOfficer[Tag_Loot])</f>
        <v>➖</v>
      </c>
      <c r="S100" s="516" t="str">
        <f t="array" ref="S100">XLOOKUP(LCARS_Off[AbilityID],RawOfficer[AbilityID],RawOfficer[Tag_Utility])</f>
        <v>➖</v>
      </c>
      <c r="T100" s="429" t="str">
        <f t="array" ref="T100">XLOOKUP(LCARS_Off[AbilityID],RawOfficer[AbilityID],RawOfficer[OfficerSynergy])</f>
        <v>BLOOD &amp; HONOR</v>
      </c>
      <c r="U100" s="519" t="str">
        <f t="array" ref="U100">XLOOKUP(LCARS_Off[AbilityID],RawOfficer[AbilityID],RawOfficer[AbilityModifier])</f>
        <v>AllDamage</v>
      </c>
      <c r="V100" s="519" t="str">
        <f t="array" ref="V100">XLOOKUP(LCARS_Off[AbilityID],RawOfficer[AbilityID],RawOfficer[AbilityAttributes])</f>
        <v/>
      </c>
      <c r="W100" s="520" t="str">
        <f t="array" ref="W100">XLOOKUP(LCARS_Off[AbilityID],RawOfficer[AbilityID],RawOfficer[AbilityConditions])</f>
        <v>EnemyInterceptor</v>
      </c>
      <c r="X100" s="519" t="str">
        <f t="array" ref="X100">XLOOKUP(LCARS_Off[AbilityID],RawOfficer[AbilityID],RawOfficer[AbilityTrigger])</f>
        <v>CombatStart</v>
      </c>
      <c r="Y100" s="519" t="str">
        <f t="array" ref="Y100">XLOOKUP(LCARS_Off[AbilityID],RawOfficer[AbilityID],RawOfficer[AbilityTarget])</f>
        <v>SelfShip</v>
      </c>
      <c r="Z100" s="519" t="str">
        <f t="array" ref="Z100">XLOOKUP(LCARS_Off[AbilityID],RawOfficer[AbilityID],RawOfficer[AbilityOperation])</f>
        <v>MultiplyAdd</v>
      </c>
      <c r="AA100" s="521" t="str">
        <f t="array" ref="AA100">XLOOKUP(LCARS_Off[AbilityID],RawOfficer[AbilityID],RawOfficer[AbilityDescription])</f>
        <v>When fighting Interceptors, Mara increases the Weapon damage of the ship by X.</v>
      </c>
      <c r="AB100" s="429" t="b">
        <v>0</v>
      </c>
      <c r="AC100" s="522" t="str">
        <f t="array" ref="AC100">XLOOKUP(LCARS_Off[AbilityID],RawOfficer[AbilityID],RawOfficer[AbilityDescriptionShort])</f>
        <v>+X to Damage against Interceptors</v>
      </c>
      <c r="AD100" s="523"/>
      <c r="AE100" s="524"/>
      <c r="AF100" s="524"/>
      <c r="AG100" s="525" t="str">
        <f t="array" ref="AG100">XLOOKUP(LCARS_Off[AbilityID],RawOfficer[AbilityID],RawOfficer[AbilityChances])</f>
        <v>1.0, 1.0, 1.0</v>
      </c>
      <c r="AH100" s="525" t="str">
        <f t="array" ref="AH100">XLOOKUP(LCARS_Off[AbilityID],RawOfficer[AbilityID],RawOfficer[AbilityValues])</f>
        <v>0.2, 0.1, 0.2</v>
      </c>
      <c r="AI100" s="428" t="b">
        <f t="array" ref="AI100">XLOOKUP(LCARS_Off[AbilityID],RawOfficer[AbilityID],RawOfficer[AbilityHasChance])</f>
        <v>0</v>
      </c>
      <c r="AJ100" s="428" t="b">
        <f t="array" ref="AJ100">XLOOKUP(LCARS_Off[AbilityID],RawOfficer[AbilityID],RawOfficer[AbilityShowPercentage])</f>
        <v>1</v>
      </c>
      <c r="AK100" s="429">
        <f t="array" ref="AK100">XLOOKUP(LCARS_Off[AbilityID],RawOfficer[AbilityID],RawOfficer[OfficerArt])</f>
        <v>23</v>
      </c>
      <c r="AL100" s="430">
        <v>1.30431925E9</v>
      </c>
      <c r="AM100" s="430">
        <f t="array" ref="AM100">XLOOKUP(LCARS_Off[AbilityID],RawOfficer[AbilityID],RawOfficer[Default Order])</f>
        <v>97</v>
      </c>
    </row>
    <row r="101">
      <c r="A101" s="429" t="str">
        <f t="array" ref="A101">LEFT(XLOOKUP(LCARS_Off[AbilityID],RawOfficer[AbilityID],RawOfficer[OfficerRarity]), 1)</f>
        <v>R</v>
      </c>
      <c r="B101" s="429"/>
      <c r="C101" s="514" t="str">
        <f t="array" ref="C101">HYPERLINK("https://stfc.space/officers/" &amp; XLOOKUP(LCARS_Off[AbilityID],RawOfficer[AbilityID],RawOfficer[OfficerId]), XLOOKUP(LCARS_Off[AbilityID],RawOfficer[AbilityID],RawOfficer[OfficerName]))</f>
        <v>MARA</v>
      </c>
      <c r="D101" s="515" t="str">
        <f t="array" ref="D101">XLOOKUP(LCARS_Off[AbilityID],RawOfficer[AbilityID],RawOfficer[AbilityType])</f>
        <v>OA</v>
      </c>
      <c r="E101" s="516" t="str">
        <f t="array" ref="E101">XLOOKUP(LCARS_Off[AbilityID],RawOfficer[AbilityID],RawOfficer[Tag_PvPinSpace])</f>
        <v>✴️</v>
      </c>
      <c r="F101" s="516" t="str">
        <f t="array" ref="F101">XLOOKUP(LCARS_Off[AbilityID],RawOfficer[AbilityID],RawOfficer[Tag_PvPStation])</f>
        <v>✴️</v>
      </c>
      <c r="G101" s="516" t="str">
        <f t="array" ref="G101">XLOOKUP(LCARS_Off[AbilityID],RawOfficer[AbilityID],RawOfficer[Tag_NonArmadaHostiles])</f>
        <v>✴️</v>
      </c>
      <c r="H101" s="516" t="str">
        <f t="array" ref="H101">XLOOKUP(LCARS_Off[AbilityID],RawOfficer[AbilityID],RawOfficer[Tag_WaveDefense])</f>
        <v>✴️</v>
      </c>
      <c r="I101" s="516" t="str">
        <f t="array" ref="I101">XLOOKUP(LCARS_Off[AbilityID],RawOfficer[AbilityID],RawOfficer[Tag_QTrial])</f>
        <v>✴️</v>
      </c>
      <c r="J101" s="516" t="str">
        <f t="array" ref="J101">XLOOKUP(LCARS_Off[AbilityID],RawOfficer[AbilityID],RawOfficer[Tag_MissionBosses])</f>
        <v>✴️</v>
      </c>
      <c r="K101" s="516" t="str">
        <f t="array" ref="K101">XLOOKUP(LCARS_Off[AbilityID],RawOfficer[AbilityID],RawOfficer[Tag_GroupArmadas])</f>
        <v>➖</v>
      </c>
      <c r="L101" s="516" t="str">
        <f t="array" ref="L101">XLOOKUP(LCARS_Off[AbilityID],RawOfficer[AbilityID],RawOfficer[Tag_SoloArmadas])</f>
        <v>➖</v>
      </c>
      <c r="M101" s="516" t="str">
        <f t="array" ref="M101">XLOOKUP(LCARS_Off[AbilityID],RawOfficer[AbilityID],RawOfficer[Tag_InvadingEntities])</f>
        <v>➖</v>
      </c>
      <c r="N101" s="516" t="str">
        <f t="array" ref="N101">XLOOKUP(LCARS_Off[AbilityID],RawOfficer[AbilityID],RawOfficer[Tag_Assaults])</f>
        <v>➖</v>
      </c>
      <c r="O101" s="516" t="str">
        <f t="array" ref="O101">XLOOKUP(LCARS_Off[AbilityID],RawOfficer[AbilityID],RawOfficer[Tag_OutpostArmadas])</f>
        <v>✴️</v>
      </c>
      <c r="P101" s="516" t="str">
        <f t="array" ref="P101">XLOOKUP(LCARS_Off[AbilityID],RawOfficer[AbilityID],RawOfficer[Tag_OutpostRetaliators])</f>
        <v>✴️</v>
      </c>
      <c r="Q101" s="517" t="str">
        <f t="array" ref="Q101">XLOOKUP(LCARS_Off[AbilityID],RawOfficer[AbilityID],RawOfficer[Conditional_Reason])</f>
        <v>TargetHasHullBreach</v>
      </c>
      <c r="R101" s="518" t="str">
        <f t="array" ref="R101">XLOOKUP(LCARS_Off[AbilityID],RawOfficer[AbilityID],RawOfficer[Tag_Loot])</f>
        <v>➖</v>
      </c>
      <c r="S101" s="516" t="str">
        <f t="array" ref="S101">XLOOKUP(LCARS_Off[AbilityID],RawOfficer[AbilityID],RawOfficer[Tag_Utility])</f>
        <v>➖</v>
      </c>
      <c r="T101" s="429" t="str">
        <f t="array" ref="T101">XLOOKUP(LCARS_Off[AbilityID],RawOfficer[AbilityID],RawOfficer[OfficerSynergy])</f>
        <v>BLOOD &amp; HONOR</v>
      </c>
      <c r="U101" s="519" t="str">
        <f t="array" ref="U101">XLOOKUP(LCARS_Off[AbilityID],RawOfficer[AbilityID],RawOfficer[AbilityModifier])</f>
        <v>ShipDodge</v>
      </c>
      <c r="V101" s="519" t="str">
        <f t="array" ref="V101">XLOOKUP(LCARS_Off[AbilityID],RawOfficer[AbilityID],RawOfficer[AbilityAttributes])</f>
        <v/>
      </c>
      <c r="W101" s="520" t="str">
        <f t="array" ref="W101">XLOOKUP(LCARS_Off[AbilityID],RawOfficer[AbilityID],RawOfficer[AbilityConditions])</f>
        <v>TargetNotArmada, TargetNotASB, TargetHasHullBreach</v>
      </c>
      <c r="X101" s="519" t="str">
        <f t="array" ref="X101">XLOOKUP(LCARS_Off[AbilityID],RawOfficer[AbilityID],RawOfficer[AbilityTrigger])</f>
        <v>RoundEnd</v>
      </c>
      <c r="Y101" s="519" t="str">
        <f t="array" ref="Y101">XLOOKUP(LCARS_Off[AbilityID],RawOfficer[AbilityID],RawOfficer[AbilityTarget])</f>
        <v>EnemyShip</v>
      </c>
      <c r="Z101" s="519" t="str">
        <f t="array" ref="Z101">XLOOKUP(LCARS_Off[AbilityID],RawOfficer[AbilityID],RawOfficer[AbilityOperation])</f>
        <v>MultiplySub</v>
      </c>
      <c r="AA101" s="521" t="str">
        <f t="array" ref="AA101">XLOOKUP(LCARS_Off[AbilityID],RawOfficer[AbilityID],RawOfficer[AbilityDescription])</f>
        <v>As long as the opponent ship has a Hull Breach, Mara decreases its Dodge by X at the end of each round.</v>
      </c>
      <c r="AB101" s="429" t="b">
        <v>0</v>
      </c>
      <c r="AC101" s="522" t="str">
        <f t="array" ref="AC101">XLOOKUP(LCARS_Off[AbilityID],RawOfficer[AbilityID],RawOfficer[AbilityDescriptionShort])</f>
        <v>-Xevery round to opponent's Dodge when it has a Hull Breach</v>
      </c>
      <c r="AD101" s="523"/>
      <c r="AE101" s="524"/>
      <c r="AF101" s="524"/>
      <c r="AG101" s="525" t="str">
        <f t="array" ref="AG101">XLOOKUP(LCARS_Off[AbilityID],RawOfficer[AbilityID],RawOfficer[AbilityChances])</f>
        <v>1.0, 1.0, 1.0, 1.0, 1.0</v>
      </c>
      <c r="AH101" s="525" t="str">
        <f t="array" ref="AH101">XLOOKUP(LCARS_Off[AbilityID],RawOfficer[AbilityID],RawOfficer[AbilityValues])</f>
        <v>0.2, 0.25, 0.3, 0.35, 0.4</v>
      </c>
      <c r="AI101" s="428" t="b">
        <f t="array" ref="AI101">XLOOKUP(LCARS_Off[AbilityID],RawOfficer[AbilityID],RawOfficer[AbilityHasChance])</f>
        <v>0</v>
      </c>
      <c r="AJ101" s="428" t="b">
        <f t="array" ref="AJ101">XLOOKUP(LCARS_Off[AbilityID],RawOfficer[AbilityID],RawOfficer[AbilityShowPercentage])</f>
        <v>1</v>
      </c>
      <c r="AK101" s="429">
        <f t="array" ref="AK101">XLOOKUP(LCARS_Off[AbilityID],RawOfficer[AbilityID],RawOfficer[OfficerArt])</f>
        <v>23</v>
      </c>
      <c r="AL101" s="430">
        <v>1.9550683E9</v>
      </c>
      <c r="AM101" s="430">
        <f t="array" ref="AM101">XLOOKUP(LCARS_Off[AbilityID],RawOfficer[AbilityID],RawOfficer[Default Order])</f>
        <v>98</v>
      </c>
    </row>
    <row r="102">
      <c r="A102" s="429" t="str">
        <f t="array" ref="A102">LEFT(XLOOKUP(LCARS_Off[AbilityID],RawOfficer[AbilityID],RawOfficer[OfficerRarity]), 1)</f>
        <v>R</v>
      </c>
      <c r="B102" s="429"/>
      <c r="C102" s="514" t="str">
        <f t="array" ref="C102">HYPERLINK("https://stfc.space/officers/" &amp; XLOOKUP(LCARS_Off[AbilityID],RawOfficer[AbilityID],RawOfficer[OfficerId]), XLOOKUP(LCARS_Off[AbilityID],RawOfficer[AbilityID],RawOfficer[OfficerName]))</f>
        <v>KRELL</v>
      </c>
      <c r="D102" s="515" t="str">
        <f t="array" ref="D102">XLOOKUP(LCARS_Off[AbilityID],RawOfficer[AbilityID],RawOfficer[AbilityType])</f>
        <v>CM</v>
      </c>
      <c r="E102" s="516" t="str">
        <f t="array" ref="E102">XLOOKUP(LCARS_Off[AbilityID],RawOfficer[AbilityID],RawOfficer[Tag_PvPinSpace])</f>
        <v>✅</v>
      </c>
      <c r="F102" s="516" t="str">
        <f t="array" ref="F102">XLOOKUP(LCARS_Off[AbilityID],RawOfficer[AbilityID],RawOfficer[Tag_PvPStation])</f>
        <v>✅</v>
      </c>
      <c r="G102" s="516" t="str">
        <f t="array" ref="G102">XLOOKUP(LCARS_Off[AbilityID],RawOfficer[AbilityID],RawOfficer[Tag_NonArmadaHostiles])</f>
        <v>✅</v>
      </c>
      <c r="H102" s="516" t="str">
        <f t="array" ref="H102">XLOOKUP(LCARS_Off[AbilityID],RawOfficer[AbilityID],RawOfficer[Tag_WaveDefense])</f>
        <v>✅</v>
      </c>
      <c r="I102" s="516" t="str">
        <f t="array" ref="I102">XLOOKUP(LCARS_Off[AbilityID],RawOfficer[AbilityID],RawOfficer[Tag_QTrial])</f>
        <v>✅</v>
      </c>
      <c r="J102" s="516" t="str">
        <f t="array" ref="J102">XLOOKUP(LCARS_Off[AbilityID],RawOfficer[AbilityID],RawOfficer[Tag_MissionBosses])</f>
        <v>✅</v>
      </c>
      <c r="K102" s="516" t="str">
        <f t="array" ref="K102">XLOOKUP(LCARS_Off[AbilityID],RawOfficer[AbilityID],RawOfficer[Tag_GroupArmadas])</f>
        <v>✅</v>
      </c>
      <c r="L102" s="516" t="str">
        <f t="array" ref="L102">XLOOKUP(LCARS_Off[AbilityID],RawOfficer[AbilityID],RawOfficer[Tag_SoloArmadas])</f>
        <v>✅</v>
      </c>
      <c r="M102" s="516" t="str">
        <f t="array" ref="M102">XLOOKUP(LCARS_Off[AbilityID],RawOfficer[AbilityID],RawOfficer[Tag_InvadingEntities])</f>
        <v>✅</v>
      </c>
      <c r="N102" s="516" t="str">
        <f t="array" ref="N102">XLOOKUP(LCARS_Off[AbilityID],RawOfficer[AbilityID],RawOfficer[Tag_Assaults])</f>
        <v>✅</v>
      </c>
      <c r="O102" s="516" t="str">
        <f t="array" ref="O102">XLOOKUP(LCARS_Off[AbilityID],RawOfficer[AbilityID],RawOfficer[Tag_OutpostArmadas])</f>
        <v>✅</v>
      </c>
      <c r="P102" s="516" t="str">
        <f t="array" ref="P102">XLOOKUP(LCARS_Off[AbilityID],RawOfficer[AbilityID],RawOfficer[Tag_OutpostRetaliators])</f>
        <v>✅</v>
      </c>
      <c r="Q102" s="517" t="str">
        <f t="array" ref="Q102">XLOOKUP(LCARS_Off[AbilityID],RawOfficer[AbilityID],RawOfficer[Conditional_Reason])</f>
        <v/>
      </c>
      <c r="R102" s="518" t="str">
        <f t="array" ref="R102">XLOOKUP(LCARS_Off[AbilityID],RawOfficer[AbilityID],RawOfficer[Tag_Loot])</f>
        <v>➖</v>
      </c>
      <c r="S102" s="516" t="str">
        <f t="array" ref="S102">XLOOKUP(LCARS_Off[AbilityID],RawOfficer[AbilityID],RawOfficer[Tag_Utility])</f>
        <v>➖</v>
      </c>
      <c r="T102" s="429" t="str">
        <f t="array" ref="T102">XLOOKUP(LCARS_Off[AbilityID],RawOfficer[AbilityID],RawOfficer[OfficerSynergy])</f>
        <v>BLOOD &amp; HONOR</v>
      </c>
      <c r="U102" s="519" t="str">
        <f t="array" ref="U102">XLOOKUP(LCARS_Off[AbilityID],RawOfficer[AbilityID],RawOfficer[AbilityModifier])</f>
        <v>AddState</v>
      </c>
      <c r="V102" s="519" t="str">
        <f t="array" ref="V102">XLOOKUP(LCARS_Off[AbilityID],RawOfficer[AbilityID],RawOfficer[AbilityAttributes])</f>
        <v>num_rounds=1, state=4</v>
      </c>
      <c r="W102" s="520" t="str">
        <f t="array" ref="W102">XLOOKUP(LCARS_Off[AbilityID],RawOfficer[AbilityID],RawOfficer[AbilityConditions])</f>
        <v/>
      </c>
      <c r="X102" s="519" t="str">
        <f t="array" ref="X102">XLOOKUP(LCARS_Off[AbilityID],RawOfficer[AbilityID],RawOfficer[AbilityTrigger])</f>
        <v>ShieldDamageTaken</v>
      </c>
      <c r="Y102" s="519" t="str">
        <f t="array" ref="Y102">XLOOKUP(LCARS_Off[AbilityID],RawOfficer[AbilityID],RawOfficer[AbilityTarget])</f>
        <v>EnemyShip</v>
      </c>
      <c r="Z102" s="519" t="str">
        <f t="array" ref="Z102">XLOOKUP(LCARS_Off[AbilityID],RawOfficer[AbilityID],RawOfficer[AbilityOperation])</f>
        <v>Set</v>
      </c>
      <c r="AA102" s="521" t="str">
        <f t="array" ref="AA102">XLOOKUP(LCARS_Off[AbilityID],RawOfficer[AbilityID],RawOfficer[AbilityDescription])</f>
        <v>Every time the ship loses Shield Health from a weapon attack, Krell has a X chance of dealing a Hull Breach to the opponent for 1 round. -- (Weapons with multiple shots will only trigger this maneuver once per attack.)</v>
      </c>
      <c r="AB102" s="429" t="b">
        <v>0</v>
      </c>
      <c r="AC102" s="522" t="str">
        <f t="array" ref="AC102">XLOOKUP(LCARS_Off[AbilityID],RawOfficer[AbilityID],RawOfficer[AbilityDescriptionShort])</f>
        <v>X chance of dealing Hull Breach for 1 round when receiving Shield HP damage</v>
      </c>
      <c r="AD102" s="523"/>
      <c r="AE102" s="524"/>
      <c r="AF102" s="524"/>
      <c r="AG102" s="525" t="str">
        <f t="array" ref="AG102">XLOOKUP(LCARS_Off[AbilityID],RawOfficer[AbilityID],RawOfficer[AbilityChances])</f>
        <v>0.3, 0.07, 0.15</v>
      </c>
      <c r="AH102" s="525" t="str">
        <f t="array" ref="AH102">XLOOKUP(LCARS_Off[AbilityID],RawOfficer[AbilityID],RawOfficer[AbilityValues])</f>
        <v>1.0, 1.0, 1.0</v>
      </c>
      <c r="AI102" s="428" t="b">
        <f t="array" ref="AI102">XLOOKUP(LCARS_Off[AbilityID],RawOfficer[AbilityID],RawOfficer[AbilityHasChance])</f>
        <v>1</v>
      </c>
      <c r="AJ102" s="428" t="b">
        <f t="array" ref="AJ102">XLOOKUP(LCARS_Off[AbilityID],RawOfficer[AbilityID],RawOfficer[AbilityShowPercentage])</f>
        <v>1</v>
      </c>
      <c r="AK102" s="429">
        <f t="array" ref="AK102">XLOOKUP(LCARS_Off[AbilityID],RawOfficer[AbilityID],RawOfficer[OfficerArt])</f>
        <v>24</v>
      </c>
      <c r="AL102" s="430">
        <v>3.599377845E9</v>
      </c>
      <c r="AM102" s="430">
        <f t="array" ref="AM102">XLOOKUP(LCARS_Off[AbilityID],RawOfficer[AbilityID],RawOfficer[Default Order])</f>
        <v>99</v>
      </c>
    </row>
    <row r="103">
      <c r="A103" s="429" t="str">
        <f t="array" ref="A103">LEFT(XLOOKUP(LCARS_Off[AbilityID],RawOfficer[AbilityID],RawOfficer[OfficerRarity]), 1)</f>
        <v>R</v>
      </c>
      <c r="B103" s="429"/>
      <c r="C103" s="514" t="str">
        <f t="array" ref="C103">HYPERLINK("https://stfc.space/officers/" &amp; XLOOKUP(LCARS_Off[AbilityID],RawOfficer[AbilityID],RawOfficer[OfficerId]), XLOOKUP(LCARS_Off[AbilityID],RawOfficer[AbilityID],RawOfficer[OfficerName]))</f>
        <v>KRELL</v>
      </c>
      <c r="D103" s="515" t="str">
        <f t="array" ref="D103">XLOOKUP(LCARS_Off[AbilityID],RawOfficer[AbilityID],RawOfficer[AbilityType])</f>
        <v>OA</v>
      </c>
      <c r="E103" s="516" t="str">
        <f t="array" ref="E103">XLOOKUP(LCARS_Off[AbilityID],RawOfficer[AbilityID],RawOfficer[Tag_PvPinSpace])</f>
        <v>✴️</v>
      </c>
      <c r="F103" s="516" t="str">
        <f t="array" ref="F103">XLOOKUP(LCARS_Off[AbilityID],RawOfficer[AbilityID],RawOfficer[Tag_PvPStation])</f>
        <v>✴️</v>
      </c>
      <c r="G103" s="516" t="str">
        <f t="array" ref="G103">XLOOKUP(LCARS_Off[AbilityID],RawOfficer[AbilityID],RawOfficer[Tag_NonArmadaHostiles])</f>
        <v>✴️</v>
      </c>
      <c r="H103" s="516" t="str">
        <f t="array" ref="H103">XLOOKUP(LCARS_Off[AbilityID],RawOfficer[AbilityID],RawOfficer[Tag_WaveDefense])</f>
        <v>✴️</v>
      </c>
      <c r="I103" s="516" t="str">
        <f t="array" ref="I103">XLOOKUP(LCARS_Off[AbilityID],RawOfficer[AbilityID],RawOfficer[Tag_QTrial])</f>
        <v>✴️</v>
      </c>
      <c r="J103" s="516" t="str">
        <f t="array" ref="J103">XLOOKUP(LCARS_Off[AbilityID],RawOfficer[AbilityID],RawOfficer[Tag_MissionBosses])</f>
        <v>✴️</v>
      </c>
      <c r="K103" s="516" t="str">
        <f t="array" ref="K103">XLOOKUP(LCARS_Off[AbilityID],RawOfficer[AbilityID],RawOfficer[Tag_GroupArmadas])</f>
        <v>✴️</v>
      </c>
      <c r="L103" s="516" t="str">
        <f t="array" ref="L103">XLOOKUP(LCARS_Off[AbilityID],RawOfficer[AbilityID],RawOfficer[Tag_SoloArmadas])</f>
        <v>✴️</v>
      </c>
      <c r="M103" s="516" t="str">
        <f t="array" ref="M103">XLOOKUP(LCARS_Off[AbilityID],RawOfficer[AbilityID],RawOfficer[Tag_InvadingEntities])</f>
        <v>➖</v>
      </c>
      <c r="N103" s="516" t="str">
        <f t="array" ref="N103">XLOOKUP(LCARS_Off[AbilityID],RawOfficer[AbilityID],RawOfficer[Tag_Assaults])</f>
        <v>✴️</v>
      </c>
      <c r="O103" s="516" t="str">
        <f t="array" ref="O103">XLOOKUP(LCARS_Off[AbilityID],RawOfficer[AbilityID],RawOfficer[Tag_OutpostArmadas])</f>
        <v>➖</v>
      </c>
      <c r="P103" s="516" t="str">
        <f t="array" ref="P103">XLOOKUP(LCARS_Off[AbilityID],RawOfficer[AbilityID],RawOfficer[Tag_OutpostRetaliators])</f>
        <v>➖</v>
      </c>
      <c r="Q103" s="517" t="str">
        <f t="array" ref="Q103">XLOOKUP(LCARS_Off[AbilityID],RawOfficer[AbilityID],RawOfficer[Conditional_Reason])</f>
        <v>Federation</v>
      </c>
      <c r="R103" s="518" t="str">
        <f t="array" ref="R103">XLOOKUP(LCARS_Off[AbilityID],RawOfficer[AbilityID],RawOfficer[Tag_Loot])</f>
        <v>➖</v>
      </c>
      <c r="S103" s="516" t="str">
        <f t="array" ref="S103">XLOOKUP(LCARS_Off[AbilityID],RawOfficer[AbilityID],RawOfficer[Tag_Utility])</f>
        <v>➖</v>
      </c>
      <c r="T103" s="429" t="str">
        <f t="array" ref="T103">XLOOKUP(LCARS_Off[AbilityID],RawOfficer[AbilityID],RawOfficer[OfficerSynergy])</f>
        <v>BLOOD &amp; HONOR</v>
      </c>
      <c r="U103" s="519" t="str">
        <f t="array" ref="U103">XLOOKUP(LCARS_Off[AbilityID],RawOfficer[AbilityID],RawOfficer[AbilityModifier])</f>
        <v>AllDamage</v>
      </c>
      <c r="V103" s="519" t="str">
        <f t="array" ref="V103">XLOOKUP(LCARS_Off[AbilityID],RawOfficer[AbilityID],RawOfficer[AbilityAttributes])</f>
        <v>faction_id=2064723306, officer_stat=2</v>
      </c>
      <c r="W103" s="520" t="str">
        <f t="array" ref="W103">XLOOKUP(LCARS_Off[AbilityID],RawOfficer[AbilityID],RawOfficer[AbilityConditions])</f>
        <v>EnemyHullFaction</v>
      </c>
      <c r="X103" s="519" t="str">
        <f t="array" ref="X103">XLOOKUP(LCARS_Off[AbilityID],RawOfficer[AbilityID],RawOfficer[AbilityTrigger])</f>
        <v>CombatStart</v>
      </c>
      <c r="Y103" s="519" t="str">
        <f t="array" ref="Y103">XLOOKUP(LCARS_Off[AbilityID],RawOfficer[AbilityID],RawOfficer[AbilityTarget])</f>
        <v>SelfShip</v>
      </c>
      <c r="Z103" s="519" t="str">
        <f t="array" ref="Z103">XLOOKUP(LCARS_Off[AbilityID],RawOfficer[AbilityID],RawOfficer[AbilityOperation])</f>
        <v>MultiplyBaseAdd</v>
      </c>
      <c r="AA103" s="521" t="str">
        <f t="array" ref="AA103">XLOOKUP(LCARS_Off[AbilityID],RawOfficer[AbilityID],RawOfficer[AbilityDescription])</f>
        <v>Krell increases the Damage against Federation ships by X of the crew's Defense.</v>
      </c>
      <c r="AB103" s="429" t="b">
        <v>0</v>
      </c>
      <c r="AC103" s="522" t="str">
        <f t="array" ref="AC103">XLOOKUP(LCARS_Off[AbilityID],RawOfficer[AbilityID],RawOfficer[AbilityDescriptionShort])</f>
        <v>+X of the crew's Defense bonus to Damage against Federation ships</v>
      </c>
      <c r="AD103" s="523"/>
      <c r="AE103" s="524"/>
      <c r="AF103" s="524"/>
      <c r="AG103" s="525" t="str">
        <f t="array" ref="AG103">XLOOKUP(LCARS_Off[AbilityID],RawOfficer[AbilityID],RawOfficer[AbilityChances])</f>
        <v>1.0, 1.0, 1.0, 1.0, 1.0</v>
      </c>
      <c r="AH103" s="525" t="str">
        <f t="array" ref="AH103">XLOOKUP(LCARS_Off[AbilityID],RawOfficer[AbilityID],RawOfficer[AbilityValues])</f>
        <v>0.25, 0.35, 0.75, 1.75, 5.0</v>
      </c>
      <c r="AI103" s="428" t="b">
        <f t="array" ref="AI103">XLOOKUP(LCARS_Off[AbilityID],RawOfficer[AbilityID],RawOfficer[AbilityHasChance])</f>
        <v>0</v>
      </c>
      <c r="AJ103" s="428" t="b">
        <f t="array" ref="AJ103">XLOOKUP(LCARS_Off[AbilityID],RawOfficer[AbilityID],RawOfficer[AbilityShowPercentage])</f>
        <v>1</v>
      </c>
      <c r="AK103" s="429">
        <f t="array" ref="AK103">XLOOKUP(LCARS_Off[AbilityID],RawOfficer[AbilityID],RawOfficer[OfficerArt])</f>
        <v>24</v>
      </c>
      <c r="AL103" s="430">
        <v>6.78167089E8</v>
      </c>
      <c r="AM103" s="430">
        <f t="array" ref="AM103">XLOOKUP(LCARS_Off[AbilityID],RawOfficer[AbilityID],RawOfficer[Default Order])</f>
        <v>100</v>
      </c>
    </row>
    <row r="104">
      <c r="A104" s="429" t="str">
        <f t="array" ref="A104">LEFT(XLOOKUP(LCARS_Off[AbilityID],RawOfficer[AbilityID],RawOfficer[OfficerRarity]), 1)</f>
        <v>U</v>
      </c>
      <c r="B104" s="429"/>
      <c r="C104" s="514" t="str">
        <f t="array" ref="C104">HYPERLINK("https://stfc.space/officers/" &amp; XLOOKUP(LCARS_Off[AbilityID],RawOfficer[AbilityID],RawOfficer[OfficerId]), XLOOKUP(LCARS_Off[AbilityID],RawOfficer[AbilityID],RawOfficer[OfficerName]))</f>
        <v>QA'UG</v>
      </c>
      <c r="D104" s="515" t="str">
        <f t="array" ref="D104">XLOOKUP(LCARS_Off[AbilityID],RawOfficer[AbilityID],RawOfficer[AbilityType])</f>
        <v>CM</v>
      </c>
      <c r="E104" s="516" t="str">
        <f t="array" ref="E104">XLOOKUP(LCARS_Off[AbilityID],RawOfficer[AbilityID],RawOfficer[Tag_PvPinSpace])</f>
        <v>✴️</v>
      </c>
      <c r="F104" s="516" t="str">
        <f t="array" ref="F104">XLOOKUP(LCARS_Off[AbilityID],RawOfficer[AbilityID],RawOfficer[Tag_PvPStation])</f>
        <v>✴️</v>
      </c>
      <c r="G104" s="516" t="str">
        <f t="array" ref="G104">XLOOKUP(LCARS_Off[AbilityID],RawOfficer[AbilityID],RawOfficer[Tag_NonArmadaHostiles])</f>
        <v>✴️</v>
      </c>
      <c r="H104" s="516" t="str">
        <f t="array" ref="H104">XLOOKUP(LCARS_Off[AbilityID],RawOfficer[AbilityID],RawOfficer[Tag_WaveDefense])</f>
        <v>✴️</v>
      </c>
      <c r="I104" s="516" t="str">
        <f t="array" ref="I104">XLOOKUP(LCARS_Off[AbilityID],RawOfficer[AbilityID],RawOfficer[Tag_QTrial])</f>
        <v>✴️</v>
      </c>
      <c r="J104" s="516" t="str">
        <f t="array" ref="J104">XLOOKUP(LCARS_Off[AbilityID],RawOfficer[AbilityID],RawOfficer[Tag_MissionBosses])</f>
        <v>✴️</v>
      </c>
      <c r="K104" s="516" t="str">
        <f t="array" ref="K104">XLOOKUP(LCARS_Off[AbilityID],RawOfficer[AbilityID],RawOfficer[Tag_GroupArmadas])</f>
        <v>➖</v>
      </c>
      <c r="L104" s="516" t="str">
        <f t="array" ref="L104">XLOOKUP(LCARS_Off[AbilityID],RawOfficer[AbilityID],RawOfficer[Tag_SoloArmadas])</f>
        <v>➖</v>
      </c>
      <c r="M104" s="516" t="str">
        <f t="array" ref="M104">XLOOKUP(LCARS_Off[AbilityID],RawOfficer[AbilityID],RawOfficer[Tag_InvadingEntities])</f>
        <v>➖</v>
      </c>
      <c r="N104" s="516" t="str">
        <f t="array" ref="N104">XLOOKUP(LCARS_Off[AbilityID],RawOfficer[AbilityID],RawOfficer[Tag_Assaults])</f>
        <v>➖</v>
      </c>
      <c r="O104" s="516" t="str">
        <f t="array" ref="O104">XLOOKUP(LCARS_Off[AbilityID],RawOfficer[AbilityID],RawOfficer[Tag_OutpostArmadas])</f>
        <v>✴️</v>
      </c>
      <c r="P104" s="516" t="str">
        <f t="array" ref="P104">XLOOKUP(LCARS_Off[AbilityID],RawOfficer[AbilityID],RawOfficer[Tag_OutpostRetaliators])</f>
        <v>✴️</v>
      </c>
      <c r="Q104" s="517" t="str">
        <f t="array" ref="Q104">XLOOKUP(LCARS_Off[AbilityID],RawOfficer[AbilityID],RawOfficer[Conditional_Reason])</f>
        <v>SelfHasHullBreach</v>
      </c>
      <c r="R104" s="518" t="str">
        <f t="array" ref="R104">XLOOKUP(LCARS_Off[AbilityID],RawOfficer[AbilityID],RawOfficer[Tag_Loot])</f>
        <v>➖</v>
      </c>
      <c r="S104" s="516" t="str">
        <f t="array" ref="S104">XLOOKUP(LCARS_Off[AbilityID],RawOfficer[AbilityID],RawOfficer[Tag_Utility])</f>
        <v>➖</v>
      </c>
      <c r="T104" s="429" t="str">
        <f t="array" ref="T104">XLOOKUP(LCARS_Off[AbilityID],RawOfficer[AbilityID],RawOfficer[OfficerSynergy])</f>
        <v>BLOOD &amp; HONOR</v>
      </c>
      <c r="U104" s="519" t="str">
        <f t="array" ref="U104">XLOOKUP(LCARS_Off[AbilityID],RawOfficer[AbilityID],RawOfficer[AbilityModifier])</f>
        <v>AllDefenses</v>
      </c>
      <c r="V104" s="519" t="str">
        <f t="array" ref="V104">XLOOKUP(LCARS_Off[AbilityID],RawOfficer[AbilityID],RawOfficer[AbilityAttributes])</f>
        <v/>
      </c>
      <c r="W104" s="520" t="str">
        <f t="array" ref="W104">XLOOKUP(LCARS_Off[AbilityID],RawOfficer[AbilityID],RawOfficer[AbilityConditions])</f>
        <v>SelfHasHullBreach, TargetNotArmada, TargetNotASB</v>
      </c>
      <c r="X104" s="519" t="str">
        <f t="array" ref="X104">XLOOKUP(LCARS_Off[AbilityID],RawOfficer[AbilityID],RawOfficer[AbilityTrigger])</f>
        <v>RoundStart</v>
      </c>
      <c r="Y104" s="519" t="str">
        <f t="array" ref="Y104">XLOOKUP(LCARS_Off[AbilityID],RawOfficer[AbilityID],RawOfficer[AbilityTarget])</f>
        <v>EnemyShip</v>
      </c>
      <c r="Z104" s="519" t="str">
        <f t="array" ref="Z104">XLOOKUP(LCARS_Off[AbilityID],RawOfficer[AbilityID],RawOfficer[AbilityOperation])</f>
        <v>MultiplySub</v>
      </c>
      <c r="AA104" s="521" t="str">
        <f t="array" ref="AA104">XLOOKUP(LCARS_Off[AbilityID],RawOfficer[AbilityID],RawOfficer[AbilityDescription])</f>
        <v>When the ship gets a Hull Breach from the opponent, Qa'ug decreases all the stats of the officers on the opponent's ship by X.</v>
      </c>
      <c r="AB104" s="429" t="b">
        <v>0</v>
      </c>
      <c r="AC104" s="522" t="str">
        <f t="array" ref="AC104">XLOOKUP(LCARS_Off[AbilityID],RawOfficer[AbilityID],RawOfficer[AbilityDescriptionShort])</f>
        <v>-X to all the opponent Officer stats if the player's ship receives a Hull Breach</v>
      </c>
      <c r="AD104" s="523"/>
      <c r="AE104" s="524"/>
      <c r="AF104" s="524"/>
      <c r="AG104" s="525" t="str">
        <f t="array" ref="AG104">XLOOKUP(LCARS_Off[AbilityID],RawOfficer[AbilityID],RawOfficer[AbilityChances])</f>
        <v>1.0, 1.0, 1.0</v>
      </c>
      <c r="AH104" s="525" t="str">
        <f t="array" ref="AH104">XLOOKUP(LCARS_Off[AbilityID],RawOfficer[AbilityID],RawOfficer[AbilityValues])</f>
        <v>0.35, 0.1, 0.2</v>
      </c>
      <c r="AI104" s="428" t="b">
        <f t="array" ref="AI104">XLOOKUP(LCARS_Off[AbilityID],RawOfficer[AbilityID],RawOfficer[AbilityHasChance])</f>
        <v>0</v>
      </c>
      <c r="AJ104" s="428" t="b">
        <f t="array" ref="AJ104">XLOOKUP(LCARS_Off[AbilityID],RawOfficer[AbilityID],RawOfficer[AbilityShowPercentage])</f>
        <v>1</v>
      </c>
      <c r="AK104" s="429">
        <f t="array" ref="AK104">XLOOKUP(LCARS_Off[AbilityID],RawOfficer[AbilityID],RawOfficer[OfficerArt])</f>
        <v>27</v>
      </c>
      <c r="AL104" s="430">
        <v>4.19701236E9</v>
      </c>
      <c r="AM104" s="430">
        <f t="array" ref="AM104">XLOOKUP(LCARS_Off[AbilityID],RawOfficer[AbilityID],RawOfficer[Default Order])</f>
        <v>101</v>
      </c>
    </row>
    <row r="105">
      <c r="A105" s="429" t="str">
        <f t="array" ref="A105">LEFT(XLOOKUP(LCARS_Off[AbilityID],RawOfficer[AbilityID],RawOfficer[OfficerRarity]), 1)</f>
        <v>U</v>
      </c>
      <c r="B105" s="429"/>
      <c r="C105" s="514" t="str">
        <f t="array" ref="C105">HYPERLINK("https://stfc.space/officers/" &amp; XLOOKUP(LCARS_Off[AbilityID],RawOfficer[AbilityID],RawOfficer[OfficerId]), XLOOKUP(LCARS_Off[AbilityID],RawOfficer[AbilityID],RawOfficer[OfficerName]))</f>
        <v>QA'UG</v>
      </c>
      <c r="D105" s="515" t="str">
        <f t="array" ref="D105">XLOOKUP(LCARS_Off[AbilityID],RawOfficer[AbilityID],RawOfficer[AbilityType])</f>
        <v>OA</v>
      </c>
      <c r="E105" s="516" t="str">
        <f t="array" ref="E105">XLOOKUP(LCARS_Off[AbilityID],RawOfficer[AbilityID],RawOfficer[Tag_PvPinSpace])</f>
        <v>✴️</v>
      </c>
      <c r="F105" s="516" t="str">
        <f t="array" ref="F105">XLOOKUP(LCARS_Off[AbilityID],RawOfficer[AbilityID],RawOfficer[Tag_PvPStation])</f>
        <v>✴️</v>
      </c>
      <c r="G105" s="516" t="str">
        <f t="array" ref="G105">XLOOKUP(LCARS_Off[AbilityID],RawOfficer[AbilityID],RawOfficer[Tag_NonArmadaHostiles])</f>
        <v>✴️</v>
      </c>
      <c r="H105" s="516" t="str">
        <f t="array" ref="H105">XLOOKUP(LCARS_Off[AbilityID],RawOfficer[AbilityID],RawOfficer[Tag_WaveDefense])</f>
        <v>✴️</v>
      </c>
      <c r="I105" s="516" t="str">
        <f t="array" ref="I105">XLOOKUP(LCARS_Off[AbilityID],RawOfficer[AbilityID],RawOfficer[Tag_QTrial])</f>
        <v>✴️</v>
      </c>
      <c r="J105" s="516" t="str">
        <f t="array" ref="J105">XLOOKUP(LCARS_Off[AbilityID],RawOfficer[AbilityID],RawOfficer[Tag_MissionBosses])</f>
        <v>✴️</v>
      </c>
      <c r="K105" s="516" t="str">
        <f t="array" ref="K105">XLOOKUP(LCARS_Off[AbilityID],RawOfficer[AbilityID],RawOfficer[Tag_GroupArmadas])</f>
        <v>✴️</v>
      </c>
      <c r="L105" s="516" t="str">
        <f t="array" ref="L105">XLOOKUP(LCARS_Off[AbilityID],RawOfficer[AbilityID],RawOfficer[Tag_SoloArmadas])</f>
        <v>✴️</v>
      </c>
      <c r="M105" s="516" t="str">
        <f t="array" ref="M105">XLOOKUP(LCARS_Off[AbilityID],RawOfficer[AbilityID],RawOfficer[Tag_InvadingEntities])</f>
        <v>✴️</v>
      </c>
      <c r="N105" s="516" t="str">
        <f t="array" ref="N105">XLOOKUP(LCARS_Off[AbilityID],RawOfficer[AbilityID],RawOfficer[Tag_Assaults])</f>
        <v>✴️</v>
      </c>
      <c r="O105" s="516" t="str">
        <f t="array" ref="O105">XLOOKUP(LCARS_Off[AbilityID],RawOfficer[AbilityID],RawOfficer[Tag_OutpostArmadas])</f>
        <v>✴️</v>
      </c>
      <c r="P105" s="516" t="str">
        <f t="array" ref="P105">XLOOKUP(LCARS_Off[AbilityID],RawOfficer[AbilityID],RawOfficer[Tag_OutpostRetaliators])</f>
        <v>✴️</v>
      </c>
      <c r="Q105" s="517" t="str">
        <f t="array" ref="Q105">XLOOKUP(LCARS_Off[AbilityID],RawOfficer[AbilityID],RawOfficer[Conditional_Reason])</f>
        <v>SelfHasHullBreach</v>
      </c>
      <c r="R105" s="518" t="str">
        <f t="array" ref="R105">XLOOKUP(LCARS_Off[AbilityID],RawOfficer[AbilityID],RawOfficer[Tag_Loot])</f>
        <v>➖</v>
      </c>
      <c r="S105" s="516" t="str">
        <f t="array" ref="S105">XLOOKUP(LCARS_Off[AbilityID],RawOfficer[AbilityID],RawOfficer[Tag_Utility])</f>
        <v>➖</v>
      </c>
      <c r="T105" s="429" t="str">
        <f t="array" ref="T105">XLOOKUP(LCARS_Off[AbilityID],RawOfficer[AbilityID],RawOfficer[OfficerSynergy])</f>
        <v>BLOOD &amp; HONOR</v>
      </c>
      <c r="U105" s="519" t="str">
        <f t="array" ref="U105">XLOOKUP(LCARS_Off[AbilityID],RawOfficer[AbilityID],RawOfficer[AbilityModifier])</f>
        <v>Accuracy</v>
      </c>
      <c r="V105" s="519" t="str">
        <f t="array" ref="V105">XLOOKUP(LCARS_Off[AbilityID],RawOfficer[AbilityID],RawOfficer[AbilityAttributes])</f>
        <v/>
      </c>
      <c r="W105" s="520" t="str">
        <f t="array" ref="W105">XLOOKUP(LCARS_Off[AbilityID],RawOfficer[AbilityID],RawOfficer[AbilityConditions])</f>
        <v>SelfHasHullBreach</v>
      </c>
      <c r="X105" s="519" t="str">
        <f t="array" ref="X105">XLOOKUP(LCARS_Off[AbilityID],RawOfficer[AbilityID],RawOfficer[AbilityTrigger])</f>
        <v>RoundStart</v>
      </c>
      <c r="Y105" s="519" t="str">
        <f t="array" ref="Y105">XLOOKUP(LCARS_Off[AbilityID],RawOfficer[AbilityID],RawOfficer[AbilityTarget])</f>
        <v>SelfShip</v>
      </c>
      <c r="Z105" s="519" t="str">
        <f t="array" ref="Z105">XLOOKUP(LCARS_Off[AbilityID],RawOfficer[AbilityID],RawOfficer[AbilityOperation])</f>
        <v>MultiplyAdd</v>
      </c>
      <c r="AA105" s="521" t="str">
        <f t="array" ref="AA105">XLOOKUP(LCARS_Off[AbilityID],RawOfficer[AbilityID],RawOfficer[AbilityDescription])</f>
        <v>When the ship gets a Hull Breach from the opponent, Qa'ug increases Accuracy by X.</v>
      </c>
      <c r="AB105" s="429" t="b">
        <v>0</v>
      </c>
      <c r="AC105" s="522" t="str">
        <f t="array" ref="AC105">XLOOKUP(LCARS_Off[AbilityID],RawOfficer[AbilityID],RawOfficer[AbilityDescriptionShort])</f>
        <v>+X to accuracy when the player's ship receives a Hull Breach</v>
      </c>
      <c r="AD105" s="523"/>
      <c r="AE105" s="524"/>
      <c r="AF105" s="524"/>
      <c r="AG105" s="525" t="str">
        <f t="array" ref="AG105">XLOOKUP(LCARS_Off[AbilityID],RawOfficer[AbilityID],RawOfficer[AbilityChances])</f>
        <v>1.0, 1.0, 1.0, 1.0, 1.0</v>
      </c>
      <c r="AH105" s="525" t="str">
        <f t="array" ref="AH105">XLOOKUP(LCARS_Off[AbilityID],RawOfficer[AbilityID],RawOfficer[AbilityValues])</f>
        <v>0.3, 0.4, 0.5, 0.6, 0.7</v>
      </c>
      <c r="AI105" s="428" t="b">
        <f t="array" ref="AI105">XLOOKUP(LCARS_Off[AbilityID],RawOfficer[AbilityID],RawOfficer[AbilityHasChance])</f>
        <v>0</v>
      </c>
      <c r="AJ105" s="428" t="b">
        <f t="array" ref="AJ105">XLOOKUP(LCARS_Off[AbilityID],RawOfficer[AbilityID],RawOfficer[AbilityShowPercentage])</f>
        <v>1</v>
      </c>
      <c r="AK105" s="429">
        <f t="array" ref="AK105">XLOOKUP(LCARS_Off[AbilityID],RawOfficer[AbilityID],RawOfficer[OfficerArt])</f>
        <v>27</v>
      </c>
      <c r="AL105" s="430">
        <v>2.314534937E9</v>
      </c>
      <c r="AM105" s="430">
        <f t="array" ref="AM105">XLOOKUP(LCARS_Off[AbilityID],RawOfficer[AbilityID],RawOfficer[Default Order])</f>
        <v>102</v>
      </c>
    </row>
    <row r="106">
      <c r="A106" s="429" t="str">
        <f t="array" ref="A106">LEFT(XLOOKUP(LCARS_Off[AbilityID],RawOfficer[AbilityID],RawOfficer[OfficerRarity]), 1)</f>
        <v>U</v>
      </c>
      <c r="B106" s="429"/>
      <c r="C106" s="514" t="str">
        <f t="array" ref="C106">HYPERLINK("https://stfc.space/officers/" &amp; XLOOKUP(LCARS_Off[AbilityID],RawOfficer[AbilityID],RawOfficer[OfficerId]), XLOOKUP(LCARS_Off[AbilityID],RawOfficer[AbilityID],RawOfficer[OfficerName]))</f>
        <v>LINKASA</v>
      </c>
      <c r="D106" s="515" t="str">
        <f t="array" ref="D106">XLOOKUP(LCARS_Off[AbilityID],RawOfficer[AbilityID],RawOfficer[AbilityType])</f>
        <v>CM</v>
      </c>
      <c r="E106" s="516" t="str">
        <f t="array" ref="E106">XLOOKUP(LCARS_Off[AbilityID],RawOfficer[AbilityID],RawOfficer[Tag_PvPinSpace])</f>
        <v>✅</v>
      </c>
      <c r="F106" s="516" t="str">
        <f t="array" ref="F106">XLOOKUP(LCARS_Off[AbilityID],RawOfficer[AbilityID],RawOfficer[Tag_PvPStation])</f>
        <v>✅</v>
      </c>
      <c r="G106" s="516" t="str">
        <f t="array" ref="G106">XLOOKUP(LCARS_Off[AbilityID],RawOfficer[AbilityID],RawOfficer[Tag_NonArmadaHostiles])</f>
        <v>✅</v>
      </c>
      <c r="H106" s="516" t="str">
        <f t="array" ref="H106">XLOOKUP(LCARS_Off[AbilityID],RawOfficer[AbilityID],RawOfficer[Tag_WaveDefense])</f>
        <v>✅</v>
      </c>
      <c r="I106" s="516" t="str">
        <f t="array" ref="I106">XLOOKUP(LCARS_Off[AbilityID],RawOfficer[AbilityID],RawOfficer[Tag_QTrial])</f>
        <v>✅</v>
      </c>
      <c r="J106" s="516" t="str">
        <f t="array" ref="J106">XLOOKUP(LCARS_Off[AbilityID],RawOfficer[AbilityID],RawOfficer[Tag_MissionBosses])</f>
        <v>✅</v>
      </c>
      <c r="K106" s="516" t="str">
        <f t="array" ref="K106">XLOOKUP(LCARS_Off[AbilityID],RawOfficer[AbilityID],RawOfficer[Tag_GroupArmadas])</f>
        <v>✅</v>
      </c>
      <c r="L106" s="516" t="str">
        <f t="array" ref="L106">XLOOKUP(LCARS_Off[AbilityID],RawOfficer[AbilityID],RawOfficer[Tag_SoloArmadas])</f>
        <v>✅</v>
      </c>
      <c r="M106" s="516" t="str">
        <f t="array" ref="M106">XLOOKUP(LCARS_Off[AbilityID],RawOfficer[AbilityID],RawOfficer[Tag_InvadingEntities])</f>
        <v>✅</v>
      </c>
      <c r="N106" s="516" t="str">
        <f t="array" ref="N106">XLOOKUP(LCARS_Off[AbilityID],RawOfficer[AbilityID],RawOfficer[Tag_Assaults])</f>
        <v>✅</v>
      </c>
      <c r="O106" s="516" t="str">
        <f t="array" ref="O106">XLOOKUP(LCARS_Off[AbilityID],RawOfficer[AbilityID],RawOfficer[Tag_OutpostArmadas])</f>
        <v>✅</v>
      </c>
      <c r="P106" s="516" t="str">
        <f t="array" ref="P106">XLOOKUP(LCARS_Off[AbilityID],RawOfficer[AbilityID],RawOfficer[Tag_OutpostRetaliators])</f>
        <v>✅</v>
      </c>
      <c r="Q106" s="517" t="str">
        <f t="array" ref="Q106">XLOOKUP(LCARS_Off[AbilityID],RawOfficer[AbilityID],RawOfficer[Conditional_Reason])</f>
        <v/>
      </c>
      <c r="R106" s="518" t="str">
        <f t="array" ref="R106">XLOOKUP(LCARS_Off[AbilityID],RawOfficer[AbilityID],RawOfficer[Tag_Loot])</f>
        <v>➖</v>
      </c>
      <c r="S106" s="516" t="str">
        <f t="array" ref="S106">XLOOKUP(LCARS_Off[AbilityID],RawOfficer[AbilityID],RawOfficer[Tag_Utility])</f>
        <v>➖</v>
      </c>
      <c r="T106" s="429" t="str">
        <f t="array" ref="T106">XLOOKUP(LCARS_Off[AbilityID],RawOfficer[AbilityID],RawOfficer[OfficerSynergy])</f>
        <v>BLOOD &amp; HONOR</v>
      </c>
      <c r="U106" s="519" t="str">
        <f t="array" ref="U106">XLOOKUP(LCARS_Off[AbilityID],RawOfficer[AbilityID],RawOfficer[AbilityModifier])</f>
        <v>OfficerStatDefense</v>
      </c>
      <c r="V106" s="519" t="str">
        <f t="array" ref="V106">XLOOKUP(LCARS_Off[AbilityID],RawOfficer[AbilityID],RawOfficer[AbilityAttributes])</f>
        <v>duration_seconds=60</v>
      </c>
      <c r="W106" s="520" t="str">
        <f t="array" ref="W106">XLOOKUP(LCARS_Off[AbilityID],RawOfficer[AbilityID],RawOfficer[AbilityConditions])</f>
        <v/>
      </c>
      <c r="X106" s="519" t="str">
        <f t="array" ref="X106">XLOOKUP(LCARS_Off[AbilityID],RawOfficer[AbilityID],RawOfficer[AbilityTrigger])</f>
        <v>BattleWon</v>
      </c>
      <c r="Y106" s="519" t="str">
        <f t="array" ref="Y106">XLOOKUP(LCARS_Off[AbilityID],RawOfficer[AbilityID],RawOfficer[AbilityTarget])</f>
        <v>SelfAll</v>
      </c>
      <c r="Z106" s="519" t="str">
        <f t="array" ref="Z106">XLOOKUP(LCARS_Off[AbilityID],RawOfficer[AbilityID],RawOfficer[AbilityOperation])</f>
        <v>MultiplyAdd</v>
      </c>
      <c r="AA106" s="521" t="str">
        <f t="array" ref="AA106">XLOOKUP(LCARS_Off[AbilityID],RawOfficer[AbilityID],RawOfficer[AbilityDescription])</f>
        <v>After winning a battle, Linkasa increases the Defense of all the Officers on the ship by X.</v>
      </c>
      <c r="AB106" s="429" t="b">
        <v>0</v>
      </c>
      <c r="AC106" s="522" t="str">
        <f t="array" ref="AC106">XLOOKUP(LCARS_Off[AbilityID],RawOfficer[AbilityID],RawOfficer[AbilityDescriptionShort])</f>
        <v>X to the Officers Defense for 1 min after winning</v>
      </c>
      <c r="AD106" s="523"/>
      <c r="AE106" s="524"/>
      <c r="AF106" s="524"/>
      <c r="AG106" s="525" t="str">
        <f t="array" ref="AG106">XLOOKUP(LCARS_Off[AbilityID],RawOfficer[AbilityID],RawOfficer[AbilityChances])</f>
        <v>1.0, 1.0, 1.0</v>
      </c>
      <c r="AH106" s="525" t="str">
        <f t="array" ref="AH106">XLOOKUP(LCARS_Off[AbilityID],RawOfficer[AbilityID],RawOfficer[AbilityValues])</f>
        <v>0.1, 0.02, 0.05</v>
      </c>
      <c r="AI106" s="428" t="b">
        <f t="array" ref="AI106">XLOOKUP(LCARS_Off[AbilityID],RawOfficer[AbilityID],RawOfficer[AbilityHasChance])</f>
        <v>0</v>
      </c>
      <c r="AJ106" s="428" t="b">
        <f t="array" ref="AJ106">XLOOKUP(LCARS_Off[AbilityID],RawOfficer[AbilityID],RawOfficer[AbilityShowPercentage])</f>
        <v>1</v>
      </c>
      <c r="AK106" s="429">
        <f t="array" ref="AK106">XLOOKUP(LCARS_Off[AbilityID],RawOfficer[AbilityID],RawOfficer[OfficerArt])</f>
        <v>28</v>
      </c>
      <c r="AL106" s="430">
        <v>2.086809246E9</v>
      </c>
      <c r="AM106" s="430">
        <f t="array" ref="AM106">XLOOKUP(LCARS_Off[AbilityID],RawOfficer[AbilityID],RawOfficer[Default Order])</f>
        <v>103</v>
      </c>
    </row>
    <row r="107">
      <c r="A107" s="429" t="str">
        <f t="array" ref="A107">LEFT(XLOOKUP(LCARS_Off[AbilityID],RawOfficer[AbilityID],RawOfficer[OfficerRarity]), 1)</f>
        <v>U</v>
      </c>
      <c r="B107" s="429"/>
      <c r="C107" s="514" t="str">
        <f t="array" ref="C107">HYPERLINK("https://stfc.space/officers/" &amp; XLOOKUP(LCARS_Off[AbilityID],RawOfficer[AbilityID],RawOfficer[OfficerId]), XLOOKUP(LCARS_Off[AbilityID],RawOfficer[AbilityID],RawOfficer[OfficerName]))</f>
        <v>LINKASA</v>
      </c>
      <c r="D107" s="515" t="str">
        <f t="array" ref="D107">XLOOKUP(LCARS_Off[AbilityID],RawOfficer[AbilityID],RawOfficer[AbilityType])</f>
        <v>OA</v>
      </c>
      <c r="E107" s="516" t="str">
        <f t="array" ref="E107">XLOOKUP(LCARS_Off[AbilityID],RawOfficer[AbilityID],RawOfficer[Tag_PvPinSpace])</f>
        <v>✅</v>
      </c>
      <c r="F107" s="516" t="str">
        <f t="array" ref="F107">XLOOKUP(LCARS_Off[AbilityID],RawOfficer[AbilityID],RawOfficer[Tag_PvPStation])</f>
        <v>✅</v>
      </c>
      <c r="G107" s="516" t="str">
        <f t="array" ref="G107">XLOOKUP(LCARS_Off[AbilityID],RawOfficer[AbilityID],RawOfficer[Tag_NonArmadaHostiles])</f>
        <v>✅</v>
      </c>
      <c r="H107" s="516" t="str">
        <f t="array" ref="H107">XLOOKUP(LCARS_Off[AbilityID],RawOfficer[AbilityID],RawOfficer[Tag_WaveDefense])</f>
        <v>✅</v>
      </c>
      <c r="I107" s="516" t="str">
        <f t="array" ref="I107">XLOOKUP(LCARS_Off[AbilityID],RawOfficer[AbilityID],RawOfficer[Tag_QTrial])</f>
        <v>✅</v>
      </c>
      <c r="J107" s="516" t="str">
        <f t="array" ref="J107">XLOOKUP(LCARS_Off[AbilityID],RawOfficer[AbilityID],RawOfficer[Tag_MissionBosses])</f>
        <v>✅</v>
      </c>
      <c r="K107" s="516" t="str">
        <f t="array" ref="K107">XLOOKUP(LCARS_Off[AbilityID],RawOfficer[AbilityID],RawOfficer[Tag_GroupArmadas])</f>
        <v>✅</v>
      </c>
      <c r="L107" s="516" t="str">
        <f t="array" ref="L107">XLOOKUP(LCARS_Off[AbilityID],RawOfficer[AbilityID],RawOfficer[Tag_SoloArmadas])</f>
        <v>✅</v>
      </c>
      <c r="M107" s="516" t="str">
        <f t="array" ref="M107">XLOOKUP(LCARS_Off[AbilityID],RawOfficer[AbilityID],RawOfficer[Tag_InvadingEntities])</f>
        <v>✅</v>
      </c>
      <c r="N107" s="516" t="str">
        <f t="array" ref="N107">XLOOKUP(LCARS_Off[AbilityID],RawOfficer[AbilityID],RawOfficer[Tag_Assaults])</f>
        <v>✅</v>
      </c>
      <c r="O107" s="516" t="str">
        <f t="array" ref="O107">XLOOKUP(LCARS_Off[AbilityID],RawOfficer[AbilityID],RawOfficer[Tag_OutpostArmadas])</f>
        <v>✅</v>
      </c>
      <c r="P107" s="516" t="str">
        <f t="array" ref="P107">XLOOKUP(LCARS_Off[AbilityID],RawOfficer[AbilityID],RawOfficer[Tag_OutpostRetaliators])</f>
        <v>✅</v>
      </c>
      <c r="Q107" s="517" t="str">
        <f t="array" ref="Q107">XLOOKUP(LCARS_Off[AbilityID],RawOfficer[AbilityID],RawOfficer[Conditional_Reason])</f>
        <v/>
      </c>
      <c r="R107" s="518" t="str">
        <f t="array" ref="R107">XLOOKUP(LCARS_Off[AbilityID],RawOfficer[AbilityID],RawOfficer[Tag_Loot])</f>
        <v>➖</v>
      </c>
      <c r="S107" s="516" t="str">
        <f t="array" ref="S107">XLOOKUP(LCARS_Off[AbilityID],RawOfficer[AbilityID],RawOfficer[Tag_Utility])</f>
        <v>➖</v>
      </c>
      <c r="T107" s="429" t="str">
        <f t="array" ref="T107">XLOOKUP(LCARS_Off[AbilityID],RawOfficer[AbilityID],RawOfficer[OfficerSynergy])</f>
        <v>BLOOD &amp; HONOR</v>
      </c>
      <c r="U107" s="519" t="str">
        <f t="array" ref="U107">XLOOKUP(LCARS_Off[AbilityID],RawOfficer[AbilityID],RawOfficer[AbilityModifier])</f>
        <v>ShipArmor</v>
      </c>
      <c r="V107" s="519" t="str">
        <f t="array" ref="V107">XLOOKUP(LCARS_Off[AbilityID],RawOfficer[AbilityID],RawOfficer[AbilityAttributes])</f>
        <v>officer_stat=1</v>
      </c>
      <c r="W107" s="520" t="str">
        <f t="array" ref="W107">XLOOKUP(LCARS_Off[AbilityID],RawOfficer[AbilityID],RawOfficer[AbilityConditions])</f>
        <v/>
      </c>
      <c r="X107" s="519" t="str">
        <f t="array" ref="X107">XLOOKUP(LCARS_Off[AbilityID],RawOfficer[AbilityID],RawOfficer[AbilityTrigger])</f>
        <v>CombatStart</v>
      </c>
      <c r="Y107" s="519" t="str">
        <f t="array" ref="Y107">XLOOKUP(LCARS_Off[AbilityID],RawOfficer[AbilityID],RawOfficer[AbilityTarget])</f>
        <v>SelfShip</v>
      </c>
      <c r="Z107" s="519" t="str">
        <f t="array" ref="Z107">XLOOKUP(LCARS_Off[AbilityID],RawOfficer[AbilityID],RawOfficer[AbilityOperation])</f>
        <v>MultiplyBaseAdd</v>
      </c>
      <c r="AA107" s="521" t="str">
        <f t="array" ref="AA107">XLOOKUP(LCARS_Off[AbilityID],RawOfficer[AbilityID],RawOfficer[AbilityDescription])</f>
        <v>At the start of combat, Linkasa increases the Armor of the ship by X of the total Attack of the crew.</v>
      </c>
      <c r="AB107" s="429" t="b">
        <v>0</v>
      </c>
      <c r="AC107" s="522" t="str">
        <f t="array" ref="AC107">XLOOKUP(LCARS_Off[AbilityID],RawOfficer[AbilityID],RawOfficer[AbilityDescriptionShort])</f>
        <v>X of the crew's attack bonus to Armor</v>
      </c>
      <c r="AD107" s="523"/>
      <c r="AE107" s="524"/>
      <c r="AF107" s="524"/>
      <c r="AG107" s="525" t="str">
        <f t="array" ref="AG107">XLOOKUP(LCARS_Off[AbilityID],RawOfficer[AbilityID],RawOfficer[AbilityChances])</f>
        <v>1.0, 1.0, 1.0, 1.0, 1.0</v>
      </c>
      <c r="AH107" s="525" t="str">
        <f t="array" ref="AH107">XLOOKUP(LCARS_Off[AbilityID],RawOfficer[AbilityID],RawOfficer[AbilityValues])</f>
        <v>0.25, 0.35, 0.75, 1.75, 5.0</v>
      </c>
      <c r="AI107" s="428" t="b">
        <f t="array" ref="AI107">XLOOKUP(LCARS_Off[AbilityID],RawOfficer[AbilityID],RawOfficer[AbilityHasChance])</f>
        <v>0</v>
      </c>
      <c r="AJ107" s="428" t="b">
        <f t="array" ref="AJ107">XLOOKUP(LCARS_Off[AbilityID],RawOfficer[AbilityID],RawOfficer[AbilityShowPercentage])</f>
        <v>1</v>
      </c>
      <c r="AK107" s="429">
        <f t="array" ref="AK107">XLOOKUP(LCARS_Off[AbilityID],RawOfficer[AbilityID],RawOfficer[OfficerArt])</f>
        <v>28</v>
      </c>
      <c r="AL107" s="430">
        <v>2.401299714E9</v>
      </c>
      <c r="AM107" s="430">
        <f t="array" ref="AM107">XLOOKUP(LCARS_Off[AbilityID],RawOfficer[AbilityID],RawOfficer[Default Order])</f>
        <v>104</v>
      </c>
    </row>
    <row r="108">
      <c r="A108" s="429" t="str">
        <f t="array" ref="A108">LEFT(XLOOKUP(LCARS_Off[AbilityID],RawOfficer[AbilityID],RawOfficer[OfficerRarity]), 1)</f>
        <v>E</v>
      </c>
      <c r="B108" s="429"/>
      <c r="C108" s="514" t="str">
        <f t="array" ref="C108">HYPERLINK("https://stfc.space/officers/" &amp; XLOOKUP(LCARS_Off[AbilityID],RawOfficer[AbilityID],RawOfficer[OfficerId]), XLOOKUP(LCARS_Off[AbilityID],RawOfficer[AbilityID],RawOfficer[OfficerName]))</f>
        <v>CHARVANEK</v>
      </c>
      <c r="D108" s="515" t="str">
        <f t="array" ref="D108">XLOOKUP(LCARS_Off[AbilityID],RawOfficer[AbilityID],RawOfficer[AbilityType])</f>
        <v>CM</v>
      </c>
      <c r="E108" s="516" t="str">
        <f t="array" ref="E108">XLOOKUP(LCARS_Off[AbilityID],RawOfficer[AbilityID],RawOfficer[Tag_PvPinSpace])</f>
        <v>✴️</v>
      </c>
      <c r="F108" s="516" t="str">
        <f t="array" ref="F108">XLOOKUP(LCARS_Off[AbilityID],RawOfficer[AbilityID],RawOfficer[Tag_PvPStation])</f>
        <v>✴️</v>
      </c>
      <c r="G108" s="516" t="str">
        <f t="array" ref="G108">XLOOKUP(LCARS_Off[AbilityID],RawOfficer[AbilityID],RawOfficer[Tag_NonArmadaHostiles])</f>
        <v>✴️</v>
      </c>
      <c r="H108" s="516" t="str">
        <f t="array" ref="H108">XLOOKUP(LCARS_Off[AbilityID],RawOfficer[AbilityID],RawOfficer[Tag_WaveDefense])</f>
        <v>✴️</v>
      </c>
      <c r="I108" s="516" t="str">
        <f t="array" ref="I108">XLOOKUP(LCARS_Off[AbilityID],RawOfficer[AbilityID],RawOfficer[Tag_QTrial])</f>
        <v>✴️</v>
      </c>
      <c r="J108" s="516" t="str">
        <f t="array" ref="J108">XLOOKUP(LCARS_Off[AbilityID],RawOfficer[AbilityID],RawOfficer[Tag_MissionBosses])</f>
        <v>✴️</v>
      </c>
      <c r="K108" s="516" t="str">
        <f t="array" ref="K108">XLOOKUP(LCARS_Off[AbilityID],RawOfficer[AbilityID],RawOfficer[Tag_GroupArmadas])</f>
        <v>✴️</v>
      </c>
      <c r="L108" s="516" t="str">
        <f t="array" ref="L108">XLOOKUP(LCARS_Off[AbilityID],RawOfficer[AbilityID],RawOfficer[Tag_SoloArmadas])</f>
        <v>✴️</v>
      </c>
      <c r="M108" s="516" t="str">
        <f t="array" ref="M108">XLOOKUP(LCARS_Off[AbilityID],RawOfficer[AbilityID],RawOfficer[Tag_InvadingEntities])</f>
        <v>✴️</v>
      </c>
      <c r="N108" s="516" t="str">
        <f t="array" ref="N108">XLOOKUP(LCARS_Off[AbilityID],RawOfficer[AbilityID],RawOfficer[Tag_Assaults])</f>
        <v>✴️</v>
      </c>
      <c r="O108" s="516" t="str">
        <f t="array" ref="O108">XLOOKUP(LCARS_Off[AbilityID],RawOfficer[AbilityID],RawOfficer[Tag_OutpostArmadas])</f>
        <v>✴️</v>
      </c>
      <c r="P108" s="516" t="str">
        <f t="array" ref="P108">XLOOKUP(LCARS_Off[AbilityID],RawOfficer[AbilityID],RawOfficer[Tag_OutpostRetaliators])</f>
        <v>✴️</v>
      </c>
      <c r="Q108" s="517" t="str">
        <f t="array" ref="Q108">XLOOKUP(LCARS_Off[AbilityID],RawOfficer[AbilityID],RawOfficer[Conditional_Reason])</f>
        <v>HullHealthBelowStartOfCombat</v>
      </c>
      <c r="R108" s="518" t="str">
        <f t="array" ref="R108">XLOOKUP(LCARS_Off[AbilityID],RawOfficer[AbilityID],RawOfficer[Tag_Loot])</f>
        <v>➖</v>
      </c>
      <c r="S108" s="516" t="str">
        <f t="array" ref="S108">XLOOKUP(LCARS_Off[AbilityID],RawOfficer[AbilityID],RawOfficer[Tag_Utility])</f>
        <v>➖</v>
      </c>
      <c r="T108" s="429" t="str">
        <f t="array" ref="T108">XLOOKUP(LCARS_Off[AbilityID],RawOfficer[AbilityID],RawOfficer[OfficerSynergy])</f>
        <v>ROMULAN PATRIOTS</v>
      </c>
      <c r="U108" s="519" t="str">
        <f t="array" ref="U108">XLOOKUP(LCARS_Off[AbilityID],RawOfficer[AbilityID],RawOfficer[AbilityModifier])</f>
        <v>AddState</v>
      </c>
      <c r="V108" s="519" t="str">
        <f t="array" ref="V108">XLOOKUP(LCARS_Off[AbilityID],RawOfficer[AbilityID],RawOfficer[AbilityAttributes])</f>
        <v>num_rounds=3, percentage=0.8, state=2</v>
      </c>
      <c r="W108" s="520" t="str">
        <f t="array" ref="W108">XLOOKUP(LCARS_Off[AbilityID],RawOfficer[AbilityID],RawOfficer[AbilityConditions])</f>
        <v>HullHealthBelowStartOfCombat</v>
      </c>
      <c r="X108" s="519" t="str">
        <f t="array" ref="X108">XLOOKUP(LCARS_Off[AbilityID],RawOfficer[AbilityID],RawOfficer[AbilityTrigger])</f>
        <v>RoundStart</v>
      </c>
      <c r="Y108" s="519" t="str">
        <f t="array" ref="Y108">XLOOKUP(LCARS_Off[AbilityID],RawOfficer[AbilityID],RawOfficer[AbilityTarget])</f>
        <v>EnemyShip</v>
      </c>
      <c r="Z108" s="519" t="str">
        <f t="array" ref="Z108">XLOOKUP(LCARS_Off[AbilityID],RawOfficer[AbilityID],RawOfficer[AbilityOperation])</f>
        <v>Set</v>
      </c>
      <c r="AA108" s="521" t="str">
        <f t="array" ref="AA108">XLOOKUP(LCARS_Off[AbilityID],RawOfficer[AbilityID],RawOfficer[AbilityDescription])</f>
        <v>When the ship's Hull Health goes under 80% of its value at the start of combat, Charvanek has a X chance of Burning the opponent for 3 rounds.</v>
      </c>
      <c r="AB108" s="429" t="b">
        <v>0</v>
      </c>
      <c r="AC108" s="522" t="str">
        <f t="array" ref="AC108">XLOOKUP(LCARS_Off[AbilityID],RawOfficer[AbilityID],RawOfficer[AbilityDescriptionShort])</f>
        <v>X chance to cause Burning for 3 rounds when Hull Health is lower than 80%</v>
      </c>
      <c r="AD108" s="523"/>
      <c r="AE108" s="524"/>
      <c r="AF108" s="524"/>
      <c r="AG108" s="525" t="str">
        <f t="array" ref="AG108">XLOOKUP(LCARS_Off[AbilityID],RawOfficer[AbilityID],RawOfficer[AbilityChances])</f>
        <v>0.8, 0.05, 0.1</v>
      </c>
      <c r="AH108" s="525" t="str">
        <f t="array" ref="AH108">XLOOKUP(LCARS_Off[AbilityID],RawOfficer[AbilityID],RawOfficer[AbilityValues])</f>
        <v>1.0, 1.0, 1.0</v>
      </c>
      <c r="AI108" s="428" t="b">
        <f t="array" ref="AI108">XLOOKUP(LCARS_Off[AbilityID],RawOfficer[AbilityID],RawOfficer[AbilityHasChance])</f>
        <v>1</v>
      </c>
      <c r="AJ108" s="428" t="b">
        <f t="array" ref="AJ108">XLOOKUP(LCARS_Off[AbilityID],RawOfficer[AbilityID],RawOfficer[AbilityShowPercentage])</f>
        <v>1</v>
      </c>
      <c r="AK108" s="429">
        <f t="array" ref="AK108">XLOOKUP(LCARS_Off[AbilityID],RawOfficer[AbilityID],RawOfficer[OfficerArt])</f>
        <v>29</v>
      </c>
      <c r="AL108" s="430">
        <v>3.930256423E9</v>
      </c>
      <c r="AM108" s="430">
        <f t="array" ref="AM108">XLOOKUP(LCARS_Off[AbilityID],RawOfficer[AbilityID],RawOfficer[Default Order])</f>
        <v>105</v>
      </c>
    </row>
    <row r="109">
      <c r="A109" s="429" t="str">
        <f t="array" ref="A109">LEFT(XLOOKUP(LCARS_Off[AbilityID],RawOfficer[AbilityID],RawOfficer[OfficerRarity]), 1)</f>
        <v>E</v>
      </c>
      <c r="B109" s="429"/>
      <c r="C109" s="514" t="str">
        <f t="array" ref="C109">HYPERLINK("https://stfc.space/officers/" &amp; XLOOKUP(LCARS_Off[AbilityID],RawOfficer[AbilityID],RawOfficer[OfficerId]), XLOOKUP(LCARS_Off[AbilityID],RawOfficer[AbilityID],RawOfficer[OfficerName]))</f>
        <v>CHARVANEK</v>
      </c>
      <c r="D109" s="515" t="str">
        <f t="array" ref="D109">XLOOKUP(LCARS_Off[AbilityID],RawOfficer[AbilityID],RawOfficer[AbilityType])</f>
        <v>OA</v>
      </c>
      <c r="E109" s="516" t="str">
        <f t="array" ref="E109">XLOOKUP(LCARS_Off[AbilityID],RawOfficer[AbilityID],RawOfficer[Tag_PvPinSpace])</f>
        <v>✅</v>
      </c>
      <c r="F109" s="516" t="str">
        <f t="array" ref="F109">XLOOKUP(LCARS_Off[AbilityID],RawOfficer[AbilityID],RawOfficer[Tag_PvPStation])</f>
        <v>✅</v>
      </c>
      <c r="G109" s="516" t="str">
        <f t="array" ref="G109">XLOOKUP(LCARS_Off[AbilityID],RawOfficer[AbilityID],RawOfficer[Tag_NonArmadaHostiles])</f>
        <v>✅</v>
      </c>
      <c r="H109" s="516" t="str">
        <f t="array" ref="H109">XLOOKUP(LCARS_Off[AbilityID],RawOfficer[AbilityID],RawOfficer[Tag_WaveDefense])</f>
        <v>✅</v>
      </c>
      <c r="I109" s="516" t="str">
        <f t="array" ref="I109">XLOOKUP(LCARS_Off[AbilityID],RawOfficer[AbilityID],RawOfficer[Tag_QTrial])</f>
        <v>✅</v>
      </c>
      <c r="J109" s="516" t="str">
        <f t="array" ref="J109">XLOOKUP(LCARS_Off[AbilityID],RawOfficer[AbilityID],RawOfficer[Tag_MissionBosses])</f>
        <v>✅</v>
      </c>
      <c r="K109" s="516" t="str">
        <f t="array" ref="K109">XLOOKUP(LCARS_Off[AbilityID],RawOfficer[AbilityID],RawOfficer[Tag_GroupArmadas])</f>
        <v>✅</v>
      </c>
      <c r="L109" s="516" t="str">
        <f t="array" ref="L109">XLOOKUP(LCARS_Off[AbilityID],RawOfficer[AbilityID],RawOfficer[Tag_SoloArmadas])</f>
        <v>✅</v>
      </c>
      <c r="M109" s="516" t="str">
        <f t="array" ref="M109">XLOOKUP(LCARS_Off[AbilityID],RawOfficer[AbilityID],RawOfficer[Tag_InvadingEntities])</f>
        <v>✅</v>
      </c>
      <c r="N109" s="516" t="str">
        <f t="array" ref="N109">XLOOKUP(LCARS_Off[AbilityID],RawOfficer[AbilityID],RawOfficer[Tag_Assaults])</f>
        <v>✅</v>
      </c>
      <c r="O109" s="516" t="str">
        <f t="array" ref="O109">XLOOKUP(LCARS_Off[AbilityID],RawOfficer[AbilityID],RawOfficer[Tag_OutpostArmadas])</f>
        <v>✅</v>
      </c>
      <c r="P109" s="516" t="str">
        <f t="array" ref="P109">XLOOKUP(LCARS_Off[AbilityID],RawOfficer[AbilityID],RawOfficer[Tag_OutpostRetaliators])</f>
        <v>✅</v>
      </c>
      <c r="Q109" s="517" t="str">
        <f t="array" ref="Q109">XLOOKUP(LCARS_Off[AbilityID],RawOfficer[AbilityID],RawOfficer[Conditional_Reason])</f>
        <v/>
      </c>
      <c r="R109" s="518" t="str">
        <f t="array" ref="R109">XLOOKUP(LCARS_Off[AbilityID],RawOfficer[AbilityID],RawOfficer[Tag_Loot])</f>
        <v>➖</v>
      </c>
      <c r="S109" s="516" t="str">
        <f t="array" ref="S109">XLOOKUP(LCARS_Off[AbilityID],RawOfficer[AbilityID],RawOfficer[Tag_Utility])</f>
        <v>➖</v>
      </c>
      <c r="T109" s="429" t="str">
        <f t="array" ref="T109">XLOOKUP(LCARS_Off[AbilityID],RawOfficer[AbilityID],RawOfficer[OfficerSynergy])</f>
        <v>ROMULAN PATRIOTS</v>
      </c>
      <c r="U109" s="519" t="str">
        <f t="array" ref="U109">XLOOKUP(LCARS_Off[AbilityID],RawOfficer[AbilityID],RawOfficer[AbilityModifier])</f>
        <v>ArmorPiercing</v>
      </c>
      <c r="V109" s="519" t="str">
        <f t="array" ref="V109">XLOOKUP(LCARS_Off[AbilityID],RawOfficer[AbilityID],RawOfficer[AbilityAttributes])</f>
        <v>officer_stat=3</v>
      </c>
      <c r="W109" s="520" t="str">
        <f t="array" ref="W109">XLOOKUP(LCARS_Off[AbilityID],RawOfficer[AbilityID],RawOfficer[AbilityConditions])</f>
        <v/>
      </c>
      <c r="X109" s="519" t="str">
        <f t="array" ref="X109">XLOOKUP(LCARS_Off[AbilityID],RawOfficer[AbilityID],RawOfficer[AbilityTrigger])</f>
        <v>CombatStart</v>
      </c>
      <c r="Y109" s="519" t="str">
        <f t="array" ref="Y109">XLOOKUP(LCARS_Off[AbilityID],RawOfficer[AbilityID],RawOfficer[AbilityTarget])</f>
        <v>SelfShip</v>
      </c>
      <c r="Z109" s="519" t="str">
        <f t="array" ref="Z109">XLOOKUP(LCARS_Off[AbilityID],RawOfficer[AbilityID],RawOfficer[AbilityOperation])</f>
        <v>MultiplyBaseAdd</v>
      </c>
      <c r="AA109" s="521" t="str">
        <f t="array" ref="AA109">XLOOKUP(LCARS_Off[AbilityID],RawOfficer[AbilityID],RawOfficer[AbilityDescription])</f>
        <v>At the start of combat, Charvanek increases the Armor Piercing of the ship by X of the Health of the crew on the ship.</v>
      </c>
      <c r="AB109" s="429" t="b">
        <v>0</v>
      </c>
      <c r="AC109" s="522" t="str">
        <f t="array" ref="AC109">XLOOKUP(LCARS_Off[AbilityID],RawOfficer[AbilityID],RawOfficer[AbilityDescriptionShort])</f>
        <v>X of the crew's Health bonus to Armor Piercing</v>
      </c>
      <c r="AD109" s="523"/>
      <c r="AE109" s="524"/>
      <c r="AF109" s="524"/>
      <c r="AG109" s="525" t="str">
        <f t="array" ref="AG109">XLOOKUP(LCARS_Off[AbilityID],RawOfficer[AbilityID],RawOfficer[AbilityChances])</f>
        <v>1.0, 1.0, 1.0, 1.0, 1.0</v>
      </c>
      <c r="AH109" s="525" t="str">
        <f t="array" ref="AH109">XLOOKUP(LCARS_Off[AbilityID],RawOfficer[AbilityID],RawOfficer[AbilityValues])</f>
        <v>1.0, 2.0, 4.0, 8.0, 16.0</v>
      </c>
      <c r="AI109" s="428" t="b">
        <f t="array" ref="AI109">XLOOKUP(LCARS_Off[AbilityID],RawOfficer[AbilityID],RawOfficer[AbilityHasChance])</f>
        <v>0</v>
      </c>
      <c r="AJ109" s="428" t="b">
        <f t="array" ref="AJ109">XLOOKUP(LCARS_Off[AbilityID],RawOfficer[AbilityID],RawOfficer[AbilityShowPercentage])</f>
        <v>1</v>
      </c>
      <c r="AK109" s="429">
        <f t="array" ref="AK109">XLOOKUP(LCARS_Off[AbilityID],RawOfficer[AbilityID],RawOfficer[OfficerArt])</f>
        <v>29</v>
      </c>
      <c r="AL109" s="430">
        <v>2.825675256E9</v>
      </c>
      <c r="AM109" s="430">
        <f t="array" ref="AM109">XLOOKUP(LCARS_Off[AbilityID],RawOfficer[AbilityID],RawOfficer[Default Order])</f>
        <v>106</v>
      </c>
    </row>
    <row r="110">
      <c r="A110" s="429" t="str">
        <f t="array" ref="A110">LEFT(XLOOKUP(LCARS_Off[AbilityID],RawOfficer[AbilityID],RawOfficer[OfficerRarity]), 1)</f>
        <v>R</v>
      </c>
      <c r="B110" s="429"/>
      <c r="C110" s="514" t="str">
        <f t="array" ref="C110">HYPERLINK("https://stfc.space/officers/" &amp; XLOOKUP(LCARS_Off[AbilityID],RawOfficer[AbilityID],RawOfficer[OfficerId]), XLOOKUP(LCARS_Off[AbilityID],RawOfficer[AbilityID],RawOfficer[OfficerName]))</f>
        <v>MIREK</v>
      </c>
      <c r="D110" s="515" t="str">
        <f t="array" ref="D110">XLOOKUP(LCARS_Off[AbilityID],RawOfficer[AbilityID],RawOfficer[AbilityType])</f>
        <v>CM</v>
      </c>
      <c r="E110" s="516" t="str">
        <f t="array" ref="E110">XLOOKUP(LCARS_Off[AbilityID],RawOfficer[AbilityID],RawOfficer[Tag_PvPinSpace])</f>
        <v>✅</v>
      </c>
      <c r="F110" s="516" t="str">
        <f t="array" ref="F110">XLOOKUP(LCARS_Off[AbilityID],RawOfficer[AbilityID],RawOfficer[Tag_PvPStation])</f>
        <v>✅</v>
      </c>
      <c r="G110" s="516" t="str">
        <f t="array" ref="G110">XLOOKUP(LCARS_Off[AbilityID],RawOfficer[AbilityID],RawOfficer[Tag_NonArmadaHostiles])</f>
        <v>✅</v>
      </c>
      <c r="H110" s="516" t="str">
        <f t="array" ref="H110">XLOOKUP(LCARS_Off[AbilityID],RawOfficer[AbilityID],RawOfficer[Tag_WaveDefense])</f>
        <v>✅</v>
      </c>
      <c r="I110" s="516" t="str">
        <f t="array" ref="I110">XLOOKUP(LCARS_Off[AbilityID],RawOfficer[AbilityID],RawOfficer[Tag_QTrial])</f>
        <v>✅</v>
      </c>
      <c r="J110" s="516" t="str">
        <f t="array" ref="J110">XLOOKUP(LCARS_Off[AbilityID],RawOfficer[AbilityID],RawOfficer[Tag_MissionBosses])</f>
        <v>✅</v>
      </c>
      <c r="K110" s="516" t="str">
        <f t="array" ref="K110">XLOOKUP(LCARS_Off[AbilityID],RawOfficer[AbilityID],RawOfficer[Tag_GroupArmadas])</f>
        <v>✅</v>
      </c>
      <c r="L110" s="516" t="str">
        <f t="array" ref="L110">XLOOKUP(LCARS_Off[AbilityID],RawOfficer[AbilityID],RawOfficer[Tag_SoloArmadas])</f>
        <v>✅</v>
      </c>
      <c r="M110" s="516" t="str">
        <f t="array" ref="M110">XLOOKUP(LCARS_Off[AbilityID],RawOfficer[AbilityID],RawOfficer[Tag_InvadingEntities])</f>
        <v>✅</v>
      </c>
      <c r="N110" s="516" t="str">
        <f t="array" ref="N110">XLOOKUP(LCARS_Off[AbilityID],RawOfficer[AbilityID],RawOfficer[Tag_Assaults])</f>
        <v>✅</v>
      </c>
      <c r="O110" s="516" t="str">
        <f t="array" ref="O110">XLOOKUP(LCARS_Off[AbilityID],RawOfficer[AbilityID],RawOfficer[Tag_OutpostArmadas])</f>
        <v>✅</v>
      </c>
      <c r="P110" s="516" t="str">
        <f t="array" ref="P110">XLOOKUP(LCARS_Off[AbilityID],RawOfficer[AbilityID],RawOfficer[Tag_OutpostRetaliators])</f>
        <v>✅</v>
      </c>
      <c r="Q110" s="517" t="str">
        <f t="array" ref="Q110">XLOOKUP(LCARS_Off[AbilityID],RawOfficer[AbilityID],RawOfficer[Conditional_Reason])</f>
        <v/>
      </c>
      <c r="R110" s="518" t="str">
        <f t="array" ref="R110">XLOOKUP(LCARS_Off[AbilityID],RawOfficer[AbilityID],RawOfficer[Tag_Loot])</f>
        <v>➖</v>
      </c>
      <c r="S110" s="516" t="str">
        <f t="array" ref="S110">XLOOKUP(LCARS_Off[AbilityID],RawOfficer[AbilityID],RawOfficer[Tag_Utility])</f>
        <v>➖</v>
      </c>
      <c r="T110" s="429" t="str">
        <f t="array" ref="T110">XLOOKUP(LCARS_Off[AbilityID],RawOfficer[AbilityID],RawOfficer[OfficerSynergy])</f>
        <v>ROMULAN PATRIOTS</v>
      </c>
      <c r="U110" s="519" t="str">
        <f t="array" ref="U110">XLOOKUP(LCARS_Off[AbilityID],RawOfficer[AbilityID],RawOfficer[AbilityModifier])</f>
        <v>AddState</v>
      </c>
      <c r="V110" s="519" t="str">
        <f t="array" ref="V110">XLOOKUP(LCARS_Off[AbilityID],RawOfficer[AbilityID],RawOfficer[AbilityAttributes])</f>
        <v>num_rounds=1, state=2</v>
      </c>
      <c r="W110" s="520" t="str">
        <f t="array" ref="W110">XLOOKUP(LCARS_Off[AbilityID],RawOfficer[AbilityID],RawOfficer[AbilityConditions])</f>
        <v/>
      </c>
      <c r="X110" s="519" t="str">
        <f t="array" ref="X110">XLOOKUP(LCARS_Off[AbilityID],RawOfficer[AbilityID],RawOfficer[AbilityTrigger])</f>
        <v>HullDamageTaken</v>
      </c>
      <c r="Y110" s="519" t="str">
        <f t="array" ref="Y110">XLOOKUP(LCARS_Off[AbilityID],RawOfficer[AbilityID],RawOfficer[AbilityTarget])</f>
        <v>EnemyShip</v>
      </c>
      <c r="Z110" s="519" t="str">
        <f t="array" ref="Z110">XLOOKUP(LCARS_Off[AbilityID],RawOfficer[AbilityID],RawOfficer[AbilityOperation])</f>
        <v>Set</v>
      </c>
      <c r="AA110" s="521" t="str">
        <f t="array" ref="AA110">XLOOKUP(LCARS_Off[AbilityID],RawOfficer[AbilityID],RawOfficer[AbilityDescription])</f>
        <v>Every time the ship gets hit by a weapon attack, Mirek has a X chance of Burning the opponent's ship for 1 round. -- (Weapons with multiple shots will only trigger this maneuver once per attack.)</v>
      </c>
      <c r="AB110" s="429" t="b">
        <v>0</v>
      </c>
      <c r="AC110" s="522" t="str">
        <f t="array" ref="AC110">XLOOKUP(LCARS_Off[AbilityID],RawOfficer[AbilityID],RawOfficer[AbilityDescriptionShort])</f>
        <v>X chance to cause Burning for 1 round when the ship is hit</v>
      </c>
      <c r="AD110" s="523"/>
      <c r="AE110" s="524"/>
      <c r="AF110" s="524"/>
      <c r="AG110" s="525" t="str">
        <f t="array" ref="AG110">XLOOKUP(LCARS_Off[AbilityID],RawOfficer[AbilityID],RawOfficer[AbilityChances])</f>
        <v>0.2, 0.05, 0.1</v>
      </c>
      <c r="AH110" s="525" t="str">
        <f t="array" ref="AH110">XLOOKUP(LCARS_Off[AbilityID],RawOfficer[AbilityID],RawOfficer[AbilityValues])</f>
        <v>1.0, 1.0, 1.0</v>
      </c>
      <c r="AI110" s="428" t="b">
        <f t="array" ref="AI110">XLOOKUP(LCARS_Off[AbilityID],RawOfficer[AbilityID],RawOfficer[AbilityHasChance])</f>
        <v>1</v>
      </c>
      <c r="AJ110" s="428" t="b">
        <f t="array" ref="AJ110">XLOOKUP(LCARS_Off[AbilityID],RawOfficer[AbilityID],RawOfficer[AbilityShowPercentage])</f>
        <v>1</v>
      </c>
      <c r="AK110" s="429">
        <f t="array" ref="AK110">XLOOKUP(LCARS_Off[AbilityID],RawOfficer[AbilityID],RawOfficer[OfficerArt])</f>
        <v>32</v>
      </c>
      <c r="AL110" s="430">
        <v>3.030072621E9</v>
      </c>
      <c r="AM110" s="430">
        <f t="array" ref="AM110">XLOOKUP(LCARS_Off[AbilityID],RawOfficer[AbilityID],RawOfficer[Default Order])</f>
        <v>107</v>
      </c>
    </row>
    <row r="111">
      <c r="A111" s="429" t="str">
        <f t="array" ref="A111">LEFT(XLOOKUP(LCARS_Off[AbilityID],RawOfficer[AbilityID],RawOfficer[OfficerRarity]), 1)</f>
        <v>R</v>
      </c>
      <c r="B111" s="429"/>
      <c r="C111" s="514" t="str">
        <f t="array" ref="C111">HYPERLINK("https://stfc.space/officers/" &amp; XLOOKUP(LCARS_Off[AbilityID],RawOfficer[AbilityID],RawOfficer[OfficerId]), XLOOKUP(LCARS_Off[AbilityID],RawOfficer[AbilityID],RawOfficer[OfficerName]))</f>
        <v>MIREK</v>
      </c>
      <c r="D111" s="515" t="str">
        <f t="array" ref="D111">XLOOKUP(LCARS_Off[AbilityID],RawOfficer[AbilityID],RawOfficer[AbilityType])</f>
        <v>OA</v>
      </c>
      <c r="E111" s="516" t="str">
        <f t="array" ref="E111">XLOOKUP(LCARS_Off[AbilityID],RawOfficer[AbilityID],RawOfficer[Tag_PvPinSpace])</f>
        <v>✴️</v>
      </c>
      <c r="F111" s="516" t="str">
        <f t="array" ref="F111">XLOOKUP(LCARS_Off[AbilityID],RawOfficer[AbilityID],RawOfficer[Tag_PvPStation])</f>
        <v>✴️</v>
      </c>
      <c r="G111" s="516" t="str">
        <f t="array" ref="G111">XLOOKUP(LCARS_Off[AbilityID],RawOfficer[AbilityID],RawOfficer[Tag_NonArmadaHostiles])</f>
        <v>✴️</v>
      </c>
      <c r="H111" s="516" t="str">
        <f t="array" ref="H111">XLOOKUP(LCARS_Off[AbilityID],RawOfficer[AbilityID],RawOfficer[Tag_WaveDefense])</f>
        <v>✴️</v>
      </c>
      <c r="I111" s="516" t="str">
        <f t="array" ref="I111">XLOOKUP(LCARS_Off[AbilityID],RawOfficer[AbilityID],RawOfficer[Tag_QTrial])</f>
        <v>✴️</v>
      </c>
      <c r="J111" s="516" t="str">
        <f t="array" ref="J111">XLOOKUP(LCARS_Off[AbilityID],RawOfficer[AbilityID],RawOfficer[Tag_MissionBosses])</f>
        <v>✴️</v>
      </c>
      <c r="K111" s="516" t="str">
        <f t="array" ref="K111">XLOOKUP(LCARS_Off[AbilityID],RawOfficer[AbilityID],RawOfficer[Tag_GroupArmadas])</f>
        <v>✴️</v>
      </c>
      <c r="L111" s="516" t="str">
        <f t="array" ref="L111">XLOOKUP(LCARS_Off[AbilityID],RawOfficer[AbilityID],RawOfficer[Tag_SoloArmadas])</f>
        <v>✴️</v>
      </c>
      <c r="M111" s="516" t="str">
        <f t="array" ref="M111">XLOOKUP(LCARS_Off[AbilityID],RawOfficer[AbilityID],RawOfficer[Tag_InvadingEntities])</f>
        <v>➖</v>
      </c>
      <c r="N111" s="516" t="str">
        <f t="array" ref="N111">XLOOKUP(LCARS_Off[AbilityID],RawOfficer[AbilityID],RawOfficer[Tag_Assaults])</f>
        <v>✴️</v>
      </c>
      <c r="O111" s="516" t="str">
        <f t="array" ref="O111">XLOOKUP(LCARS_Off[AbilityID],RawOfficer[AbilityID],RawOfficer[Tag_OutpostArmadas])</f>
        <v>➖</v>
      </c>
      <c r="P111" s="516" t="str">
        <f t="array" ref="P111">XLOOKUP(LCARS_Off[AbilityID],RawOfficer[AbilityID],RawOfficer[Tag_OutpostRetaliators])</f>
        <v>➖</v>
      </c>
      <c r="Q111" s="517" t="str">
        <f t="array" ref="Q111">XLOOKUP(LCARS_Off[AbilityID],RawOfficer[AbilityID],RawOfficer[Conditional_Reason])</f>
        <v>Federation</v>
      </c>
      <c r="R111" s="518" t="str">
        <f t="array" ref="R111">XLOOKUP(LCARS_Off[AbilityID],RawOfficer[AbilityID],RawOfficer[Tag_Loot])</f>
        <v>➖</v>
      </c>
      <c r="S111" s="516" t="str">
        <f t="array" ref="S111">XLOOKUP(LCARS_Off[AbilityID],RawOfficer[AbilityID],RawOfficer[Tag_Utility])</f>
        <v>➖</v>
      </c>
      <c r="T111" s="429" t="str">
        <f t="array" ref="T111">XLOOKUP(LCARS_Off[AbilityID],RawOfficer[AbilityID],RawOfficer[OfficerSynergy])</f>
        <v>ROMULAN PATRIOTS</v>
      </c>
      <c r="U111" s="519" t="str">
        <f t="array" ref="U111">XLOOKUP(LCARS_Off[AbilityID],RawOfficer[AbilityID],RawOfficer[AbilityModifier])</f>
        <v>AllDamage</v>
      </c>
      <c r="V111" s="519" t="str">
        <f t="array" ref="V111">XLOOKUP(LCARS_Off[AbilityID],RawOfficer[AbilityID],RawOfficer[AbilityAttributes])</f>
        <v>faction_id=2064723306, officer_stat=2</v>
      </c>
      <c r="W111" s="520" t="str">
        <f t="array" ref="W111">XLOOKUP(LCARS_Off[AbilityID],RawOfficer[AbilityID],RawOfficer[AbilityConditions])</f>
        <v>EnemyHullFaction</v>
      </c>
      <c r="X111" s="519" t="str">
        <f t="array" ref="X111">XLOOKUP(LCARS_Off[AbilityID],RawOfficer[AbilityID],RawOfficer[AbilityTrigger])</f>
        <v>CombatStart</v>
      </c>
      <c r="Y111" s="519" t="str">
        <f t="array" ref="Y111">XLOOKUP(LCARS_Off[AbilityID],RawOfficer[AbilityID],RawOfficer[AbilityTarget])</f>
        <v>SelfShip</v>
      </c>
      <c r="Z111" s="519" t="str">
        <f t="array" ref="Z111">XLOOKUP(LCARS_Off[AbilityID],RawOfficer[AbilityID],RawOfficer[AbilityOperation])</f>
        <v>MultiplyBaseAdd</v>
      </c>
      <c r="AA111" s="521" t="str">
        <f t="array" ref="AA111">XLOOKUP(LCARS_Off[AbilityID],RawOfficer[AbilityID],RawOfficer[AbilityDescription])</f>
        <v>Mirek increases the Damage against Federation ships by X of the crew's Defense.</v>
      </c>
      <c r="AB111" s="429" t="b">
        <v>0</v>
      </c>
      <c r="AC111" s="522" t="str">
        <f t="array" ref="AC111">XLOOKUP(LCARS_Off[AbilityID],RawOfficer[AbilityID],RawOfficer[AbilityDescriptionShort])</f>
        <v>X of the crew's defense bonus to Damage against Federation ships</v>
      </c>
      <c r="AD111" s="523"/>
      <c r="AE111" s="524"/>
      <c r="AF111" s="524"/>
      <c r="AG111" s="525" t="str">
        <f t="array" ref="AG111">XLOOKUP(LCARS_Off[AbilityID],RawOfficer[AbilityID],RawOfficer[AbilityChances])</f>
        <v>1.0, 1.0, 1.0, 1.0, 1.0</v>
      </c>
      <c r="AH111" s="525" t="str">
        <f t="array" ref="AH111">XLOOKUP(LCARS_Off[AbilityID],RawOfficer[AbilityID],RawOfficer[AbilityValues])</f>
        <v>0.25, 0.35, 0.75, 1.75, 5.0</v>
      </c>
      <c r="AI111" s="428" t="b">
        <f t="array" ref="AI111">XLOOKUP(LCARS_Off[AbilityID],RawOfficer[AbilityID],RawOfficer[AbilityHasChance])</f>
        <v>0</v>
      </c>
      <c r="AJ111" s="428" t="b">
        <f t="array" ref="AJ111">XLOOKUP(LCARS_Off[AbilityID],RawOfficer[AbilityID],RawOfficer[AbilityShowPercentage])</f>
        <v>1</v>
      </c>
      <c r="AK111" s="429">
        <f t="array" ref="AK111">XLOOKUP(LCARS_Off[AbilityID],RawOfficer[AbilityID],RawOfficer[OfficerArt])</f>
        <v>32</v>
      </c>
      <c r="AL111" s="430">
        <v>2.59747624E8</v>
      </c>
      <c r="AM111" s="430">
        <f t="array" ref="AM111">XLOOKUP(LCARS_Off[AbilityID],RawOfficer[AbilityID],RawOfficer[Default Order])</f>
        <v>108</v>
      </c>
    </row>
    <row r="112">
      <c r="A112" s="429" t="str">
        <f t="array" ref="A112">LEFT(XLOOKUP(LCARS_Off[AbilityID],RawOfficer[AbilityID],RawOfficer[OfficerRarity]), 1)</f>
        <v>U</v>
      </c>
      <c r="B112" s="429"/>
      <c r="C112" s="514" t="str">
        <f t="array" ref="C112">HYPERLINK("https://stfc.space/officers/" &amp; XLOOKUP(LCARS_Off[AbilityID],RawOfficer[AbilityID],RawOfficer[OfficerId]), XLOOKUP(LCARS_Off[AbilityID],RawOfficer[AbilityID],RawOfficer[OfficerName]))</f>
        <v>L'NAR</v>
      </c>
      <c r="D112" s="515" t="str">
        <f t="array" ref="D112">XLOOKUP(LCARS_Off[AbilityID],RawOfficer[AbilityID],RawOfficer[AbilityType])</f>
        <v>CM</v>
      </c>
      <c r="E112" s="516" t="str">
        <f t="array" ref="E112">XLOOKUP(LCARS_Off[AbilityID],RawOfficer[AbilityID],RawOfficer[Tag_PvPinSpace])</f>
        <v>✅</v>
      </c>
      <c r="F112" s="516" t="str">
        <f t="array" ref="F112">XLOOKUP(LCARS_Off[AbilityID],RawOfficer[AbilityID],RawOfficer[Tag_PvPStation])</f>
        <v>✅</v>
      </c>
      <c r="G112" s="516" t="str">
        <f t="array" ref="G112">XLOOKUP(LCARS_Off[AbilityID],RawOfficer[AbilityID],RawOfficer[Tag_NonArmadaHostiles])</f>
        <v>✅</v>
      </c>
      <c r="H112" s="516" t="str">
        <f t="array" ref="H112">XLOOKUP(LCARS_Off[AbilityID],RawOfficer[AbilityID],RawOfficer[Tag_WaveDefense])</f>
        <v>✅</v>
      </c>
      <c r="I112" s="516" t="str">
        <f t="array" ref="I112">XLOOKUP(LCARS_Off[AbilityID],RawOfficer[AbilityID],RawOfficer[Tag_QTrial])</f>
        <v>✅</v>
      </c>
      <c r="J112" s="516" t="str">
        <f t="array" ref="J112">XLOOKUP(LCARS_Off[AbilityID],RawOfficer[AbilityID],RawOfficer[Tag_MissionBosses])</f>
        <v>✅</v>
      </c>
      <c r="K112" s="516" t="str">
        <f t="array" ref="K112">XLOOKUP(LCARS_Off[AbilityID],RawOfficer[AbilityID],RawOfficer[Tag_GroupArmadas])</f>
        <v>✅</v>
      </c>
      <c r="L112" s="516" t="str">
        <f t="array" ref="L112">XLOOKUP(LCARS_Off[AbilityID],RawOfficer[AbilityID],RawOfficer[Tag_SoloArmadas])</f>
        <v>✅</v>
      </c>
      <c r="M112" s="516" t="str">
        <f t="array" ref="M112">XLOOKUP(LCARS_Off[AbilityID],RawOfficer[AbilityID],RawOfficer[Tag_InvadingEntities])</f>
        <v>✅</v>
      </c>
      <c r="N112" s="516" t="str">
        <f t="array" ref="N112">XLOOKUP(LCARS_Off[AbilityID],RawOfficer[AbilityID],RawOfficer[Tag_Assaults])</f>
        <v>✅</v>
      </c>
      <c r="O112" s="516" t="str">
        <f t="array" ref="O112">XLOOKUP(LCARS_Off[AbilityID],RawOfficer[AbilityID],RawOfficer[Tag_OutpostArmadas])</f>
        <v>✅</v>
      </c>
      <c r="P112" s="516" t="str">
        <f t="array" ref="P112">XLOOKUP(LCARS_Off[AbilityID],RawOfficer[AbilityID],RawOfficer[Tag_OutpostRetaliators])</f>
        <v>✅</v>
      </c>
      <c r="Q112" s="517" t="str">
        <f t="array" ref="Q112">XLOOKUP(LCARS_Off[AbilityID],RawOfficer[AbilityID],RawOfficer[Conditional_Reason])</f>
        <v/>
      </c>
      <c r="R112" s="518" t="str">
        <f t="array" ref="R112">XLOOKUP(LCARS_Off[AbilityID],RawOfficer[AbilityID],RawOfficer[Tag_Loot])</f>
        <v>➖</v>
      </c>
      <c r="S112" s="516" t="str">
        <f t="array" ref="S112">XLOOKUP(LCARS_Off[AbilityID],RawOfficer[AbilityID],RawOfficer[Tag_Utility])</f>
        <v>➖</v>
      </c>
      <c r="T112" s="429" t="str">
        <f t="array" ref="T112">XLOOKUP(LCARS_Off[AbilityID],RawOfficer[AbilityID],RawOfficer[OfficerSynergy])</f>
        <v>ROMULAN PATRIOTS</v>
      </c>
      <c r="U112" s="519" t="str">
        <f t="array" ref="U112">XLOOKUP(LCARS_Off[AbilityID],RawOfficer[AbilityID],RawOfficer[AbilityModifier])</f>
        <v>OfficerStatHealth</v>
      </c>
      <c r="V112" s="519" t="str">
        <f t="array" ref="V112">XLOOKUP(LCARS_Off[AbilityID],RawOfficer[AbilityID],RawOfficer[AbilityAttributes])</f>
        <v/>
      </c>
      <c r="W112" s="520" t="str">
        <f t="array" ref="W112">XLOOKUP(LCARS_Off[AbilityID],RawOfficer[AbilityID],RawOfficer[AbilityConditions])</f>
        <v/>
      </c>
      <c r="X112" s="519" t="str">
        <f t="array" ref="X112">XLOOKUP(LCARS_Off[AbilityID],RawOfficer[AbilityID],RawOfficer[AbilityTrigger])</f>
        <v>ShipLaunched</v>
      </c>
      <c r="Y112" s="519" t="str">
        <f t="array" ref="Y112">XLOOKUP(LCARS_Off[AbilityID],RawOfficer[AbilityID],RawOfficer[AbilityTarget])</f>
        <v>SelfBridge</v>
      </c>
      <c r="Z112" s="519" t="str">
        <f t="array" ref="Z112">XLOOKUP(LCARS_Off[AbilityID],RawOfficer[AbilityID],RawOfficer[AbilityOperation])</f>
        <v>MultiplyAdd</v>
      </c>
      <c r="AA112" s="521" t="str">
        <f t="array" ref="AA112">XLOOKUP(LCARS_Off[AbilityID],RawOfficer[AbilityID],RawOfficer[AbilityDescription])</f>
        <v>L'Nar increases the Health of the Officers on the Bridge by X.</v>
      </c>
      <c r="AB112" s="429" t="b">
        <v>0</v>
      </c>
      <c r="AC112" s="522" t="str">
        <f t="array" ref="AC112">XLOOKUP(LCARS_Off[AbilityID],RawOfficer[AbilityID],RawOfficer[AbilityDescriptionShort])</f>
        <v>+X to the Health of the Bridge Officers</v>
      </c>
      <c r="AD112" s="523"/>
      <c r="AE112" s="524"/>
      <c r="AF112" s="524"/>
      <c r="AG112" s="525" t="str">
        <f t="array" ref="AG112">XLOOKUP(LCARS_Off[AbilityID],RawOfficer[AbilityID],RawOfficer[AbilityChances])</f>
        <v>1.0, 1.0, 1.0</v>
      </c>
      <c r="AH112" s="525" t="str">
        <f t="array" ref="AH112">XLOOKUP(LCARS_Off[AbilityID],RawOfficer[AbilityID],RawOfficer[AbilityValues])</f>
        <v>0.2, 0.1, 0.2</v>
      </c>
      <c r="AI112" s="428" t="b">
        <f t="array" ref="AI112">XLOOKUP(LCARS_Off[AbilityID],RawOfficer[AbilityID],RawOfficer[AbilityHasChance])</f>
        <v>0</v>
      </c>
      <c r="AJ112" s="428" t="b">
        <f t="array" ref="AJ112">XLOOKUP(LCARS_Off[AbilityID],RawOfficer[AbilityID],RawOfficer[AbilityShowPercentage])</f>
        <v>1</v>
      </c>
      <c r="AK112" s="429">
        <f t="array" ref="AK112">XLOOKUP(LCARS_Off[AbilityID],RawOfficer[AbilityID],RawOfficer[OfficerArt])</f>
        <v>33</v>
      </c>
      <c r="AL112" s="430">
        <v>3.171947561E9</v>
      </c>
      <c r="AM112" s="430">
        <f t="array" ref="AM112">XLOOKUP(LCARS_Off[AbilityID],RawOfficer[AbilityID],RawOfficer[Default Order])</f>
        <v>109</v>
      </c>
    </row>
    <row r="113">
      <c r="A113" s="429" t="str">
        <f t="array" ref="A113">LEFT(XLOOKUP(LCARS_Off[AbilityID],RawOfficer[AbilityID],RawOfficer[OfficerRarity]), 1)</f>
        <v>U</v>
      </c>
      <c r="B113" s="429"/>
      <c r="C113" s="514" t="str">
        <f t="array" ref="C113">HYPERLINK("https://stfc.space/officers/" &amp; XLOOKUP(LCARS_Off[AbilityID],RawOfficer[AbilityID],RawOfficer[OfficerId]), XLOOKUP(LCARS_Off[AbilityID],RawOfficer[AbilityID],RawOfficer[OfficerName]))</f>
        <v>L'NAR</v>
      </c>
      <c r="D113" s="515" t="str">
        <f t="array" ref="D113">XLOOKUP(LCARS_Off[AbilityID],RawOfficer[AbilityID],RawOfficer[AbilityType])</f>
        <v>OA</v>
      </c>
      <c r="E113" s="516" t="str">
        <f t="array" ref="E113">XLOOKUP(LCARS_Off[AbilityID],RawOfficer[AbilityID],RawOfficer[Tag_PvPinSpace])</f>
        <v>✴️</v>
      </c>
      <c r="F113" s="516" t="str">
        <f t="array" ref="F113">XLOOKUP(LCARS_Off[AbilityID],RawOfficer[AbilityID],RawOfficer[Tag_PvPStation])</f>
        <v>✴️</v>
      </c>
      <c r="G113" s="516" t="str">
        <f t="array" ref="G113">XLOOKUP(LCARS_Off[AbilityID],RawOfficer[AbilityID],RawOfficer[Tag_NonArmadaHostiles])</f>
        <v>✴️</v>
      </c>
      <c r="H113" s="516" t="str">
        <f t="array" ref="H113">XLOOKUP(LCARS_Off[AbilityID],RawOfficer[AbilityID],RawOfficer[Tag_WaveDefense])</f>
        <v>✴️</v>
      </c>
      <c r="I113" s="516" t="str">
        <f t="array" ref="I113">XLOOKUP(LCARS_Off[AbilityID],RawOfficer[AbilityID],RawOfficer[Tag_QTrial])</f>
        <v>✴️</v>
      </c>
      <c r="J113" s="516" t="str">
        <f t="array" ref="J113">XLOOKUP(LCARS_Off[AbilityID],RawOfficer[AbilityID],RawOfficer[Tag_MissionBosses])</f>
        <v>✴️</v>
      </c>
      <c r="K113" s="516" t="str">
        <f t="array" ref="K113">XLOOKUP(LCARS_Off[AbilityID],RawOfficer[AbilityID],RawOfficer[Tag_GroupArmadas])</f>
        <v>✴️</v>
      </c>
      <c r="L113" s="516" t="str">
        <f t="array" ref="L113">XLOOKUP(LCARS_Off[AbilityID],RawOfficer[AbilityID],RawOfficer[Tag_SoloArmadas])</f>
        <v>✴️</v>
      </c>
      <c r="M113" s="516" t="str">
        <f t="array" ref="M113">XLOOKUP(LCARS_Off[AbilityID],RawOfficer[AbilityID],RawOfficer[Tag_InvadingEntities])</f>
        <v>➖</v>
      </c>
      <c r="N113" s="516" t="str">
        <f t="array" ref="N113">XLOOKUP(LCARS_Off[AbilityID],RawOfficer[AbilityID],RawOfficer[Tag_Assaults])</f>
        <v>✴️</v>
      </c>
      <c r="O113" s="516" t="str">
        <f t="array" ref="O113">XLOOKUP(LCARS_Off[AbilityID],RawOfficer[AbilityID],RawOfficer[Tag_OutpostArmadas])</f>
        <v>➖</v>
      </c>
      <c r="P113" s="516" t="str">
        <f t="array" ref="P113">XLOOKUP(LCARS_Off[AbilityID],RawOfficer[AbilityID],RawOfficer[Tag_OutpostRetaliators])</f>
        <v>➖</v>
      </c>
      <c r="Q113" s="517" t="str">
        <f t="array" ref="Q113">XLOOKUP(LCARS_Off[AbilityID],RawOfficer[AbilityID],RawOfficer[Conditional_Reason])</f>
        <v>Klingon</v>
      </c>
      <c r="R113" s="518" t="str">
        <f t="array" ref="R113">XLOOKUP(LCARS_Off[AbilityID],RawOfficer[AbilityID],RawOfficer[Tag_Loot])</f>
        <v>➖</v>
      </c>
      <c r="S113" s="516" t="str">
        <f t="array" ref="S113">XLOOKUP(LCARS_Off[AbilityID],RawOfficer[AbilityID],RawOfficer[Tag_Utility])</f>
        <v>➖</v>
      </c>
      <c r="T113" s="429" t="str">
        <f t="array" ref="T113">XLOOKUP(LCARS_Off[AbilityID],RawOfficer[AbilityID],RawOfficer[OfficerSynergy])</f>
        <v>ROMULAN PATRIOTS</v>
      </c>
      <c r="U113" s="519" t="str">
        <f t="array" ref="U113">XLOOKUP(LCARS_Off[AbilityID],RawOfficer[AbilityID],RawOfficer[AbilityModifier])</f>
        <v>AllDamage</v>
      </c>
      <c r="V113" s="519" t="str">
        <f t="array" ref="V113">XLOOKUP(LCARS_Off[AbilityID],RawOfficer[AbilityID],RawOfficer[AbilityAttributes])</f>
        <v>faction_id=4153667145, officer_stat=1</v>
      </c>
      <c r="W113" s="520" t="str">
        <f t="array" ref="W113">XLOOKUP(LCARS_Off[AbilityID],RawOfficer[AbilityID],RawOfficer[AbilityConditions])</f>
        <v>EnemyHullFaction</v>
      </c>
      <c r="X113" s="519" t="str">
        <f t="array" ref="X113">XLOOKUP(LCARS_Off[AbilityID],RawOfficer[AbilityID],RawOfficer[AbilityTrigger])</f>
        <v>CombatStart</v>
      </c>
      <c r="Y113" s="519" t="str">
        <f t="array" ref="Y113">XLOOKUP(LCARS_Off[AbilityID],RawOfficer[AbilityID],RawOfficer[AbilityTarget])</f>
        <v>SelfShip</v>
      </c>
      <c r="Z113" s="519" t="str">
        <f t="array" ref="Z113">XLOOKUP(LCARS_Off[AbilityID],RawOfficer[AbilityID],RawOfficer[AbilityOperation])</f>
        <v>MultiplyBaseAdd</v>
      </c>
      <c r="AA113" s="521" t="str">
        <f t="array" ref="AA113">XLOOKUP(LCARS_Off[AbilityID],RawOfficer[AbilityID],RawOfficer[AbilityDescription])</f>
        <v>L'Nar increases the Damage against Klingon ships by X of the crew's Attack.</v>
      </c>
      <c r="AB113" s="429" t="b">
        <v>0</v>
      </c>
      <c r="AC113" s="522" t="str">
        <f t="array" ref="AC113">XLOOKUP(LCARS_Off[AbilityID],RawOfficer[AbilityID],RawOfficer[AbilityDescriptionShort])</f>
        <v>X of the crew's attack bonus to Damage against Klingon ships</v>
      </c>
      <c r="AD113" s="523"/>
      <c r="AE113" s="524"/>
      <c r="AF113" s="524"/>
      <c r="AG113" s="525" t="str">
        <f t="array" ref="AG113">XLOOKUP(LCARS_Off[AbilityID],RawOfficer[AbilityID],RawOfficer[AbilityChances])</f>
        <v>1.0, 1.0, 1.0, 1.0, 1.0</v>
      </c>
      <c r="AH113" s="525" t="str">
        <f t="array" ref="AH113">XLOOKUP(LCARS_Off[AbilityID],RawOfficer[AbilityID],RawOfficer[AbilityValues])</f>
        <v>0.25, 0.35, 0.75, 1.75, 5.0</v>
      </c>
      <c r="AI113" s="428" t="b">
        <f t="array" ref="AI113">XLOOKUP(LCARS_Off[AbilityID],RawOfficer[AbilityID],RawOfficer[AbilityHasChance])</f>
        <v>0</v>
      </c>
      <c r="AJ113" s="428" t="b">
        <f t="array" ref="AJ113">XLOOKUP(LCARS_Off[AbilityID],RawOfficer[AbilityID],RawOfficer[AbilityShowPercentage])</f>
        <v>1</v>
      </c>
      <c r="AK113" s="429">
        <f t="array" ref="AK113">XLOOKUP(LCARS_Off[AbilityID],RawOfficer[AbilityID],RawOfficer[OfficerArt])</f>
        <v>33</v>
      </c>
      <c r="AL113" s="430">
        <v>3.079666421E9</v>
      </c>
      <c r="AM113" s="430">
        <f t="array" ref="AM113">XLOOKUP(LCARS_Off[AbilityID],RawOfficer[AbilityID],RawOfficer[Default Order])</f>
        <v>110</v>
      </c>
    </row>
    <row r="114">
      <c r="A114" s="429" t="str">
        <f t="array" ref="A114">LEFT(XLOOKUP(LCARS_Off[AbilityID],RawOfficer[AbilityID],RawOfficer[OfficerRarity]), 1)</f>
        <v>U</v>
      </c>
      <c r="B114" s="429"/>
      <c r="C114" s="514" t="str">
        <f t="array" ref="C114">HYPERLINK("https://stfc.space/officers/" &amp; XLOOKUP(LCARS_Off[AbilityID],RawOfficer[AbilityID],RawOfficer[OfficerId]), XLOOKUP(LCARS_Off[AbilityID],RawOfficer[AbilityID],RawOfficer[OfficerName]))</f>
        <v>SEVERUS</v>
      </c>
      <c r="D114" s="515" t="str">
        <f t="array" ref="D114">XLOOKUP(LCARS_Off[AbilityID],RawOfficer[AbilityID],RawOfficer[AbilityType])</f>
        <v>CM</v>
      </c>
      <c r="E114" s="516" t="str">
        <f t="array" ref="E114">XLOOKUP(LCARS_Off[AbilityID],RawOfficer[AbilityID],RawOfficer[Tag_PvPinSpace])</f>
        <v>✴️</v>
      </c>
      <c r="F114" s="516" t="str">
        <f t="array" ref="F114">XLOOKUP(LCARS_Off[AbilityID],RawOfficer[AbilityID],RawOfficer[Tag_PvPStation])</f>
        <v>✴️</v>
      </c>
      <c r="G114" s="516" t="str">
        <f t="array" ref="G114">XLOOKUP(LCARS_Off[AbilityID],RawOfficer[AbilityID],RawOfficer[Tag_NonArmadaHostiles])</f>
        <v>✴️</v>
      </c>
      <c r="H114" s="516" t="str">
        <f t="array" ref="H114">XLOOKUP(LCARS_Off[AbilityID],RawOfficer[AbilityID],RawOfficer[Tag_WaveDefense])</f>
        <v>✴️</v>
      </c>
      <c r="I114" s="516" t="str">
        <f t="array" ref="I114">XLOOKUP(LCARS_Off[AbilityID],RawOfficer[AbilityID],RawOfficer[Tag_QTrial])</f>
        <v>✴️</v>
      </c>
      <c r="J114" s="516" t="str">
        <f t="array" ref="J114">XLOOKUP(LCARS_Off[AbilityID],RawOfficer[AbilityID],RawOfficer[Tag_MissionBosses])</f>
        <v>✴️</v>
      </c>
      <c r="K114" s="516" t="str">
        <f t="array" ref="K114">XLOOKUP(LCARS_Off[AbilityID],RawOfficer[AbilityID],RawOfficer[Tag_GroupArmadas])</f>
        <v>➖</v>
      </c>
      <c r="L114" s="516" t="str">
        <f t="array" ref="L114">XLOOKUP(LCARS_Off[AbilityID],RawOfficer[AbilityID],RawOfficer[Tag_SoloArmadas])</f>
        <v>➖</v>
      </c>
      <c r="M114" s="516" t="str">
        <f t="array" ref="M114">XLOOKUP(LCARS_Off[AbilityID],RawOfficer[AbilityID],RawOfficer[Tag_InvadingEntities])</f>
        <v>➖</v>
      </c>
      <c r="N114" s="516" t="str">
        <f t="array" ref="N114">XLOOKUP(LCARS_Off[AbilityID],RawOfficer[AbilityID],RawOfficer[Tag_Assaults])</f>
        <v>➖</v>
      </c>
      <c r="O114" s="516" t="str">
        <f t="array" ref="O114">XLOOKUP(LCARS_Off[AbilityID],RawOfficer[AbilityID],RawOfficer[Tag_OutpostArmadas])</f>
        <v>✴️</v>
      </c>
      <c r="P114" s="516" t="str">
        <f t="array" ref="P114">XLOOKUP(LCARS_Off[AbilityID],RawOfficer[AbilityID],RawOfficer[Tag_OutpostRetaliators])</f>
        <v>✴️</v>
      </c>
      <c r="Q114" s="517" t="str">
        <f t="array" ref="Q114">XLOOKUP(LCARS_Off[AbilityID],RawOfficer[AbilityID],RawOfficer[Conditional_Reason])</f>
        <v>SelfHasBurning</v>
      </c>
      <c r="R114" s="518" t="str">
        <f t="array" ref="R114">XLOOKUP(LCARS_Off[AbilityID],RawOfficer[AbilityID],RawOfficer[Tag_Loot])</f>
        <v>➖</v>
      </c>
      <c r="S114" s="516" t="str">
        <f t="array" ref="S114">XLOOKUP(LCARS_Off[AbilityID],RawOfficer[AbilityID],RawOfficer[Tag_Utility])</f>
        <v>➖</v>
      </c>
      <c r="T114" s="429" t="str">
        <f t="array" ref="T114">XLOOKUP(LCARS_Off[AbilityID],RawOfficer[AbilityID],RawOfficer[OfficerSynergy])</f>
        <v>ROMULAN PATRIOTS</v>
      </c>
      <c r="U114" s="519" t="str">
        <f t="array" ref="U114">XLOOKUP(LCARS_Off[AbilityID],RawOfficer[AbilityID],RawOfficer[AbilityModifier])</f>
        <v>HullHPRepair</v>
      </c>
      <c r="V114" s="519" t="str">
        <f t="array" ref="V114">XLOOKUP(LCARS_Off[AbilityID],RawOfficer[AbilityID],RawOfficer[AbilityAttributes])</f>
        <v/>
      </c>
      <c r="W114" s="520" t="str">
        <f t="array" ref="W114">XLOOKUP(LCARS_Off[AbilityID],RawOfficer[AbilityID],RawOfficer[AbilityConditions])</f>
        <v>SelfHasBurning, TargetNotArmada, TargetNotASB</v>
      </c>
      <c r="X114" s="519" t="str">
        <f t="array" ref="X114">XLOOKUP(LCARS_Off[AbilityID],RawOfficer[AbilityID],RawOfficer[AbilityTrigger])</f>
        <v>RoundStart</v>
      </c>
      <c r="Y114" s="519" t="str">
        <f t="array" ref="Y114">XLOOKUP(LCARS_Off[AbilityID],RawOfficer[AbilityID],RawOfficer[AbilityTarget])</f>
        <v>EnemyShip</v>
      </c>
      <c r="Z114" s="519" t="str">
        <f t="array" ref="Z114">XLOOKUP(LCARS_Off[AbilityID],RawOfficer[AbilityID],RawOfficer[AbilityOperation])</f>
        <v>MultiplySub</v>
      </c>
      <c r="AA114" s="521" t="str">
        <f t="array" ref="AA114">XLOOKUP(LCARS_Off[AbilityID],RawOfficer[AbilityID],RawOfficer[AbilityDescription])</f>
        <v>When the ship is Burning from the opponent, Severus decreases the opponent's Hull Health by X each round.</v>
      </c>
      <c r="AB114" s="429" t="b">
        <v>0</v>
      </c>
      <c r="AC114" s="522" t="str">
        <f t="array" ref="AC114">XLOOKUP(LCARS_Off[AbilityID],RawOfficer[AbilityID],RawOfficer[AbilityDescriptionShort])</f>
        <v>-X to the opponent's Hull Health each round if the player's ship is Burning</v>
      </c>
      <c r="AD114" s="523"/>
      <c r="AE114" s="524"/>
      <c r="AF114" s="524"/>
      <c r="AG114" s="525" t="str">
        <f t="array" ref="AG114">XLOOKUP(LCARS_Off[AbilityID],RawOfficer[AbilityID],RawOfficer[AbilityChances])</f>
        <v>1.0, 1.0, 1.0</v>
      </c>
      <c r="AH114" s="525" t="str">
        <f t="array" ref="AH114">XLOOKUP(LCARS_Off[AbilityID],RawOfficer[AbilityID],RawOfficer[AbilityValues])</f>
        <v>0.1, 0.02, 0.05</v>
      </c>
      <c r="AI114" s="428" t="b">
        <f t="array" ref="AI114">XLOOKUP(LCARS_Off[AbilityID],RawOfficer[AbilityID],RawOfficer[AbilityHasChance])</f>
        <v>0</v>
      </c>
      <c r="AJ114" s="428" t="b">
        <f t="array" ref="AJ114">XLOOKUP(LCARS_Off[AbilityID],RawOfficer[AbilityID],RawOfficer[AbilityShowPercentage])</f>
        <v>1</v>
      </c>
      <c r="AK114" s="429">
        <f t="array" ref="AK114">XLOOKUP(LCARS_Off[AbilityID],RawOfficer[AbilityID],RawOfficer[OfficerArt])</f>
        <v>35</v>
      </c>
      <c r="AL114" s="430">
        <v>1.133890335E9</v>
      </c>
      <c r="AM114" s="430">
        <f t="array" ref="AM114">XLOOKUP(LCARS_Off[AbilityID],RawOfficer[AbilityID],RawOfficer[Default Order])</f>
        <v>111</v>
      </c>
    </row>
    <row r="115">
      <c r="A115" s="429" t="str">
        <f t="array" ref="A115">LEFT(XLOOKUP(LCARS_Off[AbilityID],RawOfficer[AbilityID],RawOfficer[OfficerRarity]), 1)</f>
        <v>U</v>
      </c>
      <c r="B115" s="429"/>
      <c r="C115" s="514" t="str">
        <f t="array" ref="C115">HYPERLINK("https://stfc.space/officers/" &amp; XLOOKUP(LCARS_Off[AbilityID],RawOfficer[AbilityID],RawOfficer[OfficerId]), XLOOKUP(LCARS_Off[AbilityID],RawOfficer[AbilityID],RawOfficer[OfficerName]))</f>
        <v>SEVERUS</v>
      </c>
      <c r="D115" s="515" t="str">
        <f t="array" ref="D115">XLOOKUP(LCARS_Off[AbilityID],RawOfficer[AbilityID],RawOfficer[AbilityType])</f>
        <v>OA</v>
      </c>
      <c r="E115" s="516" t="str">
        <f t="array" ref="E115">XLOOKUP(LCARS_Off[AbilityID],RawOfficer[AbilityID],RawOfficer[Tag_PvPinSpace])</f>
        <v>✴️</v>
      </c>
      <c r="F115" s="516" t="str">
        <f t="array" ref="F115">XLOOKUP(LCARS_Off[AbilityID],RawOfficer[AbilityID],RawOfficer[Tag_PvPStation])</f>
        <v>✴️</v>
      </c>
      <c r="G115" s="516" t="str">
        <f t="array" ref="G115">XLOOKUP(LCARS_Off[AbilityID],RawOfficer[AbilityID],RawOfficer[Tag_NonArmadaHostiles])</f>
        <v>✴️</v>
      </c>
      <c r="H115" s="516" t="str">
        <f t="array" ref="H115">XLOOKUP(LCARS_Off[AbilityID],RawOfficer[AbilityID],RawOfficer[Tag_WaveDefense])</f>
        <v>✴️</v>
      </c>
      <c r="I115" s="516" t="str">
        <f t="array" ref="I115">XLOOKUP(LCARS_Off[AbilityID],RawOfficer[AbilityID],RawOfficer[Tag_QTrial])</f>
        <v>✴️</v>
      </c>
      <c r="J115" s="516" t="str">
        <f t="array" ref="J115">XLOOKUP(LCARS_Off[AbilityID],RawOfficer[AbilityID],RawOfficer[Tag_MissionBosses])</f>
        <v>✴️</v>
      </c>
      <c r="K115" s="516" t="str">
        <f t="array" ref="K115">XLOOKUP(LCARS_Off[AbilityID],RawOfficer[AbilityID],RawOfficer[Tag_GroupArmadas])</f>
        <v>✴️</v>
      </c>
      <c r="L115" s="516" t="str">
        <f t="array" ref="L115">XLOOKUP(LCARS_Off[AbilityID],RawOfficer[AbilityID],RawOfficer[Tag_SoloArmadas])</f>
        <v>✴️</v>
      </c>
      <c r="M115" s="516" t="str">
        <f t="array" ref="M115">XLOOKUP(LCARS_Off[AbilityID],RawOfficer[AbilityID],RawOfficer[Tag_InvadingEntities])</f>
        <v>✴️</v>
      </c>
      <c r="N115" s="516" t="str">
        <f t="array" ref="N115">XLOOKUP(LCARS_Off[AbilityID],RawOfficer[AbilityID],RawOfficer[Tag_Assaults])</f>
        <v>✴️</v>
      </c>
      <c r="O115" s="516" t="str">
        <f t="array" ref="O115">XLOOKUP(LCARS_Off[AbilityID],RawOfficer[AbilityID],RawOfficer[Tag_OutpostArmadas])</f>
        <v>✴️</v>
      </c>
      <c r="P115" s="516" t="str">
        <f t="array" ref="P115">XLOOKUP(LCARS_Off[AbilityID],RawOfficer[AbilityID],RawOfficer[Tag_OutpostRetaliators])</f>
        <v>✴️</v>
      </c>
      <c r="Q115" s="517" t="str">
        <f t="array" ref="Q115">XLOOKUP(LCARS_Off[AbilityID],RawOfficer[AbilityID],RawOfficer[Conditional_Reason])</f>
        <v>SelfHasBurning</v>
      </c>
      <c r="R115" s="518" t="str">
        <f t="array" ref="R115">XLOOKUP(LCARS_Off[AbilityID],RawOfficer[AbilityID],RawOfficer[Tag_Loot])</f>
        <v>➖</v>
      </c>
      <c r="S115" s="516" t="str">
        <f t="array" ref="S115">XLOOKUP(LCARS_Off[AbilityID],RawOfficer[AbilityID],RawOfficer[Tag_Utility])</f>
        <v>➖</v>
      </c>
      <c r="T115" s="429" t="str">
        <f t="array" ref="T115">XLOOKUP(LCARS_Off[AbilityID],RawOfficer[AbilityID],RawOfficer[OfficerSynergy])</f>
        <v>ROMULAN PATRIOTS</v>
      </c>
      <c r="U115" s="519" t="str">
        <f t="array" ref="U115">XLOOKUP(LCARS_Off[AbilityID],RawOfficer[AbilityID],RawOfficer[AbilityModifier])</f>
        <v>AllDamage</v>
      </c>
      <c r="V115" s="519" t="str">
        <f t="array" ref="V115">XLOOKUP(LCARS_Off[AbilityID],RawOfficer[AbilityID],RawOfficer[AbilityAttributes])</f>
        <v>num_rounds=1</v>
      </c>
      <c r="W115" s="520" t="str">
        <f t="array" ref="W115">XLOOKUP(LCARS_Off[AbilityID],RawOfficer[AbilityID],RawOfficer[AbilityConditions])</f>
        <v>SelfHasBurning</v>
      </c>
      <c r="X115" s="519" t="str">
        <f t="array" ref="X115">XLOOKUP(LCARS_Off[AbilityID],RawOfficer[AbilityID],RawOfficer[AbilityTrigger])</f>
        <v>RoundStart</v>
      </c>
      <c r="Y115" s="519" t="str">
        <f t="array" ref="Y115">XLOOKUP(LCARS_Off[AbilityID],RawOfficer[AbilityID],RawOfficer[AbilityTarget])</f>
        <v>SelfShip</v>
      </c>
      <c r="Z115" s="519" t="str">
        <f t="array" ref="Z115">XLOOKUP(LCARS_Off[AbilityID],RawOfficer[AbilityID],RawOfficer[AbilityOperation])</f>
        <v>MultiplyAdd</v>
      </c>
      <c r="AA115" s="521" t="str">
        <f t="array" ref="AA115">XLOOKUP(LCARS_Off[AbilityID],RawOfficer[AbilityID],RawOfficer[AbilityDescription])</f>
        <v>When the ship is Burning from the opponent, Severus increases the Damage of the ship by X.</v>
      </c>
      <c r="AB115" s="429" t="b">
        <v>0</v>
      </c>
      <c r="AC115" s="522" t="str">
        <f t="array" ref="AC115">XLOOKUP(LCARS_Off[AbilityID],RawOfficer[AbilityID],RawOfficer[AbilityDescriptionShort])</f>
        <v>+X to Damage if the player's ship is Burning</v>
      </c>
      <c r="AD115" s="523"/>
      <c r="AE115" s="524"/>
      <c r="AF115" s="524"/>
      <c r="AG115" s="525" t="str">
        <f t="array" ref="AG115">XLOOKUP(LCARS_Off[AbilityID],RawOfficer[AbilityID],RawOfficer[AbilityChances])</f>
        <v>1.0, 1.0, 1.0, 1.0, 1.0</v>
      </c>
      <c r="AH115" s="525" t="str">
        <f t="array" ref="AH115">XLOOKUP(LCARS_Off[AbilityID],RawOfficer[AbilityID],RawOfficer[AbilityValues])</f>
        <v>0.2, 0.3, 0.4, 0.5, 0.6</v>
      </c>
      <c r="AI115" s="428" t="b">
        <f t="array" ref="AI115">XLOOKUP(LCARS_Off[AbilityID],RawOfficer[AbilityID],RawOfficer[AbilityHasChance])</f>
        <v>0</v>
      </c>
      <c r="AJ115" s="428" t="b">
        <f t="array" ref="AJ115">XLOOKUP(LCARS_Off[AbilityID],RawOfficer[AbilityID],RawOfficer[AbilityShowPercentage])</f>
        <v>1</v>
      </c>
      <c r="AK115" s="429">
        <f t="array" ref="AK115">XLOOKUP(LCARS_Off[AbilityID],RawOfficer[AbilityID],RawOfficer[OfficerArt])</f>
        <v>35</v>
      </c>
      <c r="AL115" s="430">
        <v>3.765448209E9</v>
      </c>
      <c r="AM115" s="430">
        <f t="array" ref="AM115">XLOOKUP(LCARS_Off[AbilityID],RawOfficer[AbilityID],RawOfficer[Default Order])</f>
        <v>112</v>
      </c>
    </row>
    <row r="116">
      <c r="A116" s="429" t="str">
        <f t="array" ref="A116">LEFT(XLOOKUP(LCARS_Off[AbilityID],RawOfficer[AbilityID],RawOfficer[OfficerRarity]), 1)</f>
        <v>E</v>
      </c>
      <c r="B116" s="429"/>
      <c r="C116" s="514" t="str">
        <f t="array" ref="C116">HYPERLINK("https://stfc.space/officers/" &amp; XLOOKUP(LCARS_Off[AbilityID],RawOfficer[AbilityID],RawOfficer[OfficerId]), XLOOKUP(LCARS_Off[AbilityID],RawOfficer[AbilityID],RawOfficer[OfficerName]))</f>
        <v>MARCUS</v>
      </c>
      <c r="D116" s="515" t="str">
        <f t="array" ref="D116">XLOOKUP(LCARS_Off[AbilityID],RawOfficer[AbilityID],RawOfficer[AbilityType])</f>
        <v>CM</v>
      </c>
      <c r="E116" s="516" t="str">
        <f t="array" ref="E116">XLOOKUP(LCARS_Off[AbilityID],RawOfficer[AbilityID],RawOfficer[Tag_PvPinSpace])</f>
        <v>✴️</v>
      </c>
      <c r="F116" s="516" t="str">
        <f t="array" ref="F116">XLOOKUP(LCARS_Off[AbilityID],RawOfficer[AbilityID],RawOfficer[Tag_PvPStation])</f>
        <v>✴️</v>
      </c>
      <c r="G116" s="516" t="str">
        <f t="array" ref="G116">XLOOKUP(LCARS_Off[AbilityID],RawOfficer[AbilityID],RawOfficer[Tag_NonArmadaHostiles])</f>
        <v>✴️</v>
      </c>
      <c r="H116" s="516" t="str">
        <f t="array" ref="H116">XLOOKUP(LCARS_Off[AbilityID],RawOfficer[AbilityID],RawOfficer[Tag_WaveDefense])</f>
        <v>✴️</v>
      </c>
      <c r="I116" s="516" t="str">
        <f t="array" ref="I116">XLOOKUP(LCARS_Off[AbilityID],RawOfficer[AbilityID],RawOfficer[Tag_QTrial])</f>
        <v>✴️</v>
      </c>
      <c r="J116" s="516" t="str">
        <f t="array" ref="J116">XLOOKUP(LCARS_Off[AbilityID],RawOfficer[AbilityID],RawOfficer[Tag_MissionBosses])</f>
        <v>✴️</v>
      </c>
      <c r="K116" s="516" t="str">
        <f t="array" ref="K116">XLOOKUP(LCARS_Off[AbilityID],RawOfficer[AbilityID],RawOfficer[Tag_GroupArmadas])</f>
        <v>✴️</v>
      </c>
      <c r="L116" s="516" t="str">
        <f t="array" ref="L116">XLOOKUP(LCARS_Off[AbilityID],RawOfficer[AbilityID],RawOfficer[Tag_SoloArmadas])</f>
        <v>✴️</v>
      </c>
      <c r="M116" s="516" t="str">
        <f t="array" ref="M116">XLOOKUP(LCARS_Off[AbilityID],RawOfficer[AbilityID],RawOfficer[Tag_InvadingEntities])</f>
        <v>✴️</v>
      </c>
      <c r="N116" s="516" t="str">
        <f t="array" ref="N116">XLOOKUP(LCARS_Off[AbilityID],RawOfficer[AbilityID],RawOfficer[Tag_Assaults])</f>
        <v>✴️</v>
      </c>
      <c r="O116" s="516" t="str">
        <f t="array" ref="O116">XLOOKUP(LCARS_Off[AbilityID],RawOfficer[AbilityID],RawOfficer[Tag_OutpostArmadas])</f>
        <v>✴️</v>
      </c>
      <c r="P116" s="516" t="str">
        <f t="array" ref="P116">XLOOKUP(LCARS_Off[AbilityID],RawOfficer[AbilityID],RawOfficer[Tag_OutpostRetaliators])</f>
        <v>✴️</v>
      </c>
      <c r="Q116" s="517" t="str">
        <f t="array" ref="Q116">XLOOKUP(LCARS_Off[AbilityID],RawOfficer[AbilityID],RawOfficer[Conditional_Reason])</f>
        <v>HullHealthBelow</v>
      </c>
      <c r="R116" s="518" t="str">
        <f t="array" ref="R116">XLOOKUP(LCARS_Off[AbilityID],RawOfficer[AbilityID],RawOfficer[Tag_Loot])</f>
        <v>➖</v>
      </c>
      <c r="S116" s="516" t="str">
        <f t="array" ref="S116">XLOOKUP(LCARS_Off[AbilityID],RawOfficer[AbilityID],RawOfficer[Tag_Utility])</f>
        <v>➖</v>
      </c>
      <c r="T116" s="429" t="str">
        <f t="array" ref="T116">XLOOKUP(LCARS_Off[AbilityID],RawOfficer[AbilityID],RawOfficer[OfficerSynergy])</f>
        <v>SECTION 31</v>
      </c>
      <c r="U116" s="519" t="str">
        <f t="array" ref="U116">XLOOKUP(LCARS_Off[AbilityID],RawOfficer[AbilityID],RawOfficer[AbilityModifier])</f>
        <v>AddState</v>
      </c>
      <c r="V116" s="519" t="str">
        <f t="array" ref="V116">XLOOKUP(LCARS_Off[AbilityID],RawOfficer[AbilityID],RawOfficer[AbilityAttributes])</f>
        <v>num_rounds=3, percentage=0.8, state=8</v>
      </c>
      <c r="W116" s="520" t="str">
        <f t="array" ref="W116">XLOOKUP(LCARS_Off[AbilityID],RawOfficer[AbilityID],RawOfficer[AbilityConditions])</f>
        <v>HullHealthBelow</v>
      </c>
      <c r="X116" s="519" t="str">
        <f t="array" ref="X116">XLOOKUP(LCARS_Off[AbilityID],RawOfficer[AbilityID],RawOfficer[AbilityTrigger])</f>
        <v>RoundStart</v>
      </c>
      <c r="Y116" s="519" t="str">
        <f t="array" ref="Y116">XLOOKUP(LCARS_Off[AbilityID],RawOfficer[AbilityID],RawOfficer[AbilityTarget])</f>
        <v>SelfShip</v>
      </c>
      <c r="Z116" s="519" t="str">
        <f t="array" ref="Z116">XLOOKUP(LCARS_Off[AbilityID],RawOfficer[AbilityID],RawOfficer[AbilityOperation])</f>
        <v>Set</v>
      </c>
      <c r="AA116" s="521" t="str">
        <f t="array" ref="AA116">XLOOKUP(LCARS_Off[AbilityID],RawOfficer[AbilityID],RawOfficer[AbilityDescription])</f>
        <v>At the start of each round, if the opponent's Hull Health is under 80% of its starting total, Alexander Marcus has X chance of inspiring Morale to the ship for 3 rounds.</v>
      </c>
      <c r="AB116" s="429" t="b">
        <v>0</v>
      </c>
      <c r="AC116" s="522" t="str">
        <f t="array" ref="AC116">XLOOKUP(LCARS_Off[AbilityID],RawOfficer[AbilityID],RawOfficer[AbilityDescriptionShort])</f>
        <v>X chance to inspire Morale for 3 rounds when the opponent's Hull Health is under 80%.</v>
      </c>
      <c r="AD116" s="523"/>
      <c r="AE116" s="524"/>
      <c r="AF116" s="524"/>
      <c r="AG116" s="525" t="str">
        <f t="array" ref="AG116">XLOOKUP(LCARS_Off[AbilityID],RawOfficer[AbilityID],RawOfficer[AbilityChances])</f>
        <v>0.8, 0.05, 0.1</v>
      </c>
      <c r="AH116" s="525" t="str">
        <f t="array" ref="AH116">XLOOKUP(LCARS_Off[AbilityID],RawOfficer[AbilityID],RawOfficer[AbilityValues])</f>
        <v>1.0, 1.0, 1.0</v>
      </c>
      <c r="AI116" s="428" t="b">
        <f t="array" ref="AI116">XLOOKUP(LCARS_Off[AbilityID],RawOfficer[AbilityID],RawOfficer[AbilityHasChance])</f>
        <v>1</v>
      </c>
      <c r="AJ116" s="428" t="b">
        <f t="array" ref="AJ116">XLOOKUP(LCARS_Off[AbilityID],RawOfficer[AbilityID],RawOfficer[AbilityShowPercentage])</f>
        <v>1</v>
      </c>
      <c r="AK116" s="429">
        <f t="array" ref="AK116">XLOOKUP(LCARS_Off[AbilityID],RawOfficer[AbilityID],RawOfficer[OfficerArt])</f>
        <v>43</v>
      </c>
      <c r="AL116" s="430">
        <v>2.221311201E9</v>
      </c>
      <c r="AM116" s="430">
        <f t="array" ref="AM116">XLOOKUP(LCARS_Off[AbilityID],RawOfficer[AbilityID],RawOfficer[Default Order])</f>
        <v>113</v>
      </c>
    </row>
    <row r="117">
      <c r="A117" s="429" t="str">
        <f t="array" ref="A117">LEFT(XLOOKUP(LCARS_Off[AbilityID],RawOfficer[AbilityID],RawOfficer[OfficerRarity]), 1)</f>
        <v>E</v>
      </c>
      <c r="B117" s="429"/>
      <c r="C117" s="514" t="str">
        <f t="array" ref="C117">HYPERLINK("https://stfc.space/officers/" &amp; XLOOKUP(LCARS_Off[AbilityID],RawOfficer[AbilityID],RawOfficer[OfficerId]), XLOOKUP(LCARS_Off[AbilityID],RawOfficer[AbilityID],RawOfficer[OfficerName]))</f>
        <v>MARCUS</v>
      </c>
      <c r="D117" s="515" t="str">
        <f t="array" ref="D117">XLOOKUP(LCARS_Off[AbilityID],RawOfficer[AbilityID],RawOfficer[AbilityType])</f>
        <v>OA</v>
      </c>
      <c r="E117" s="516" t="str">
        <f t="array" ref="E117">XLOOKUP(LCARS_Off[AbilityID],RawOfficer[AbilityID],RawOfficer[Tag_PvPinSpace])</f>
        <v>✅</v>
      </c>
      <c r="F117" s="516" t="str">
        <f t="array" ref="F117">XLOOKUP(LCARS_Off[AbilityID],RawOfficer[AbilityID],RawOfficer[Tag_PvPStation])</f>
        <v>✅</v>
      </c>
      <c r="G117" s="516" t="str">
        <f t="array" ref="G117">XLOOKUP(LCARS_Off[AbilityID],RawOfficer[AbilityID],RawOfficer[Tag_NonArmadaHostiles])</f>
        <v>✅</v>
      </c>
      <c r="H117" s="516" t="str">
        <f t="array" ref="H117">XLOOKUP(LCARS_Off[AbilityID],RawOfficer[AbilityID],RawOfficer[Tag_WaveDefense])</f>
        <v>✅</v>
      </c>
      <c r="I117" s="516" t="str">
        <f t="array" ref="I117">XLOOKUP(LCARS_Off[AbilityID],RawOfficer[AbilityID],RawOfficer[Tag_QTrial])</f>
        <v>✅</v>
      </c>
      <c r="J117" s="516" t="str">
        <f t="array" ref="J117">XLOOKUP(LCARS_Off[AbilityID],RawOfficer[AbilityID],RawOfficer[Tag_MissionBosses])</f>
        <v>✅</v>
      </c>
      <c r="K117" s="516" t="str">
        <f t="array" ref="K117">XLOOKUP(LCARS_Off[AbilityID],RawOfficer[AbilityID],RawOfficer[Tag_GroupArmadas])</f>
        <v>✅</v>
      </c>
      <c r="L117" s="516" t="str">
        <f t="array" ref="L117">XLOOKUP(LCARS_Off[AbilityID],RawOfficer[AbilityID],RawOfficer[Tag_SoloArmadas])</f>
        <v>✅</v>
      </c>
      <c r="M117" s="516" t="str">
        <f t="array" ref="M117">XLOOKUP(LCARS_Off[AbilityID],RawOfficer[AbilityID],RawOfficer[Tag_InvadingEntities])</f>
        <v>✅</v>
      </c>
      <c r="N117" s="516" t="str">
        <f t="array" ref="N117">XLOOKUP(LCARS_Off[AbilityID],RawOfficer[AbilityID],RawOfficer[Tag_Assaults])</f>
        <v>✅</v>
      </c>
      <c r="O117" s="516" t="str">
        <f t="array" ref="O117">XLOOKUP(LCARS_Off[AbilityID],RawOfficer[AbilityID],RawOfficer[Tag_OutpostArmadas])</f>
        <v>✅</v>
      </c>
      <c r="P117" s="516" t="str">
        <f t="array" ref="P117">XLOOKUP(LCARS_Off[AbilityID],RawOfficer[AbilityID],RawOfficer[Tag_OutpostRetaliators])</f>
        <v>✅</v>
      </c>
      <c r="Q117" s="517" t="str">
        <f t="array" ref="Q117">XLOOKUP(LCARS_Off[AbilityID],RawOfficer[AbilityID],RawOfficer[Conditional_Reason])</f>
        <v/>
      </c>
      <c r="R117" s="518" t="str">
        <f t="array" ref="R117">XLOOKUP(LCARS_Off[AbilityID],RawOfficer[AbilityID],RawOfficer[Tag_Loot])</f>
        <v>➖</v>
      </c>
      <c r="S117" s="516" t="str">
        <f t="array" ref="S117">XLOOKUP(LCARS_Off[AbilityID],RawOfficer[AbilityID],RawOfficer[Tag_Utility])</f>
        <v>➖</v>
      </c>
      <c r="T117" s="429" t="str">
        <f t="array" ref="T117">XLOOKUP(LCARS_Off[AbilityID],RawOfficer[AbilityID],RawOfficer[OfficerSynergy])</f>
        <v>SECTION 31</v>
      </c>
      <c r="U117" s="519" t="str">
        <f t="array" ref="U117">XLOOKUP(LCARS_Off[AbilityID],RawOfficer[AbilityID],RawOfficer[AbilityModifier])</f>
        <v>ShieldPiercing</v>
      </c>
      <c r="V117" s="519" t="str">
        <f t="array" ref="V117">XLOOKUP(LCARS_Off[AbilityID],RawOfficer[AbilityID],RawOfficer[AbilityAttributes])</f>
        <v>officer_stat=2</v>
      </c>
      <c r="W117" s="520" t="str">
        <f t="array" ref="W117">XLOOKUP(LCARS_Off[AbilityID],RawOfficer[AbilityID],RawOfficer[AbilityConditions])</f>
        <v/>
      </c>
      <c r="X117" s="519" t="str">
        <f t="array" ref="X117">XLOOKUP(LCARS_Off[AbilityID],RawOfficer[AbilityID],RawOfficer[AbilityTrigger])</f>
        <v>CombatStart</v>
      </c>
      <c r="Y117" s="519" t="str">
        <f t="array" ref="Y117">XLOOKUP(LCARS_Off[AbilityID],RawOfficer[AbilityID],RawOfficer[AbilityTarget])</f>
        <v>SelfShip</v>
      </c>
      <c r="Z117" s="519" t="str">
        <f t="array" ref="Z117">XLOOKUP(LCARS_Off[AbilityID],RawOfficer[AbilityID],RawOfficer[AbilityOperation])</f>
        <v>MultiplyBaseAdd</v>
      </c>
      <c r="AA117" s="521" t="str">
        <f t="array" ref="AA117">XLOOKUP(LCARS_Off[AbilityID],RawOfficer[AbilityID],RawOfficer[AbilityDescription])</f>
        <v>At the start of battle, Alexander Marcus increases the Shield Piercing of the ship by X of the Defense of the crew on the ship.</v>
      </c>
      <c r="AB117" s="429" t="b">
        <v>0</v>
      </c>
      <c r="AC117" s="522" t="str">
        <f t="array" ref="AC117">XLOOKUP(LCARS_Off[AbilityID],RawOfficer[AbilityID],RawOfficer[AbilityDescriptionShort])</f>
        <v>X of the crew's Defense bonus to Shield Piercing</v>
      </c>
      <c r="AD117" s="523"/>
      <c r="AE117" s="524"/>
      <c r="AF117" s="524"/>
      <c r="AG117" s="525" t="str">
        <f t="array" ref="AG117">XLOOKUP(LCARS_Off[AbilityID],RawOfficer[AbilityID],RawOfficer[AbilityChances])</f>
        <v>1.0, 1.0, 1.0, 1.0, 1.0</v>
      </c>
      <c r="AH117" s="525" t="str">
        <f t="array" ref="AH117">XLOOKUP(LCARS_Off[AbilityID],RawOfficer[AbilityID],RawOfficer[AbilityValues])</f>
        <v>1.0, 2.0, 4.0, 8.0, 16.0</v>
      </c>
      <c r="AI117" s="428" t="b">
        <f t="array" ref="AI117">XLOOKUP(LCARS_Off[AbilityID],RawOfficer[AbilityID],RawOfficer[AbilityHasChance])</f>
        <v>0</v>
      </c>
      <c r="AJ117" s="428" t="b">
        <f t="array" ref="AJ117">XLOOKUP(LCARS_Off[AbilityID],RawOfficer[AbilityID],RawOfficer[AbilityShowPercentage])</f>
        <v>1</v>
      </c>
      <c r="AK117" s="429">
        <f t="array" ref="AK117">XLOOKUP(LCARS_Off[AbilityID],RawOfficer[AbilityID],RawOfficer[OfficerArt])</f>
        <v>43</v>
      </c>
      <c r="AL117" s="430">
        <v>1.877391678E9</v>
      </c>
      <c r="AM117" s="430">
        <f t="array" ref="AM117">XLOOKUP(LCARS_Off[AbilityID],RawOfficer[AbilityID],RawOfficer[Default Order])</f>
        <v>114</v>
      </c>
    </row>
    <row r="118">
      <c r="A118" s="429" t="str">
        <f t="array" ref="A118">LEFT(XLOOKUP(LCARS_Off[AbilityID],RawOfficer[AbilityID],RawOfficer[OfficerRarity]), 1)</f>
        <v>R</v>
      </c>
      <c r="B118" s="429"/>
      <c r="C118" s="514" t="str">
        <f t="array" ref="C118">HYPERLINK("https://stfc.space/officers/" &amp; XLOOKUP(LCARS_Off[AbilityID],RawOfficer[AbilityID],RawOfficer[OfficerId]), XLOOKUP(LCARS_Off[AbilityID],RawOfficer[AbilityID],RawOfficer[OfficerName]))</f>
        <v>YUKI</v>
      </c>
      <c r="D118" s="515" t="str">
        <f t="array" ref="D118">XLOOKUP(LCARS_Off[AbilityID],RawOfficer[AbilityID],RawOfficer[AbilityType])</f>
        <v>CM</v>
      </c>
      <c r="E118" s="516" t="str">
        <f t="array" ref="E118">XLOOKUP(LCARS_Off[AbilityID],RawOfficer[AbilityID],RawOfficer[Tag_PvPinSpace])</f>
        <v>✅</v>
      </c>
      <c r="F118" s="516" t="str">
        <f t="array" ref="F118">XLOOKUP(LCARS_Off[AbilityID],RawOfficer[AbilityID],RawOfficer[Tag_PvPStation])</f>
        <v>✅</v>
      </c>
      <c r="G118" s="516" t="str">
        <f t="array" ref="G118">XLOOKUP(LCARS_Off[AbilityID],RawOfficer[AbilityID],RawOfficer[Tag_NonArmadaHostiles])</f>
        <v>✅</v>
      </c>
      <c r="H118" s="516" t="str">
        <f t="array" ref="H118">XLOOKUP(LCARS_Off[AbilityID],RawOfficer[AbilityID],RawOfficer[Tag_WaveDefense])</f>
        <v>✅</v>
      </c>
      <c r="I118" s="516" t="str">
        <f t="array" ref="I118">XLOOKUP(LCARS_Off[AbilityID],RawOfficer[AbilityID],RawOfficer[Tag_QTrial])</f>
        <v>✅</v>
      </c>
      <c r="J118" s="516" t="str">
        <f t="array" ref="J118">XLOOKUP(LCARS_Off[AbilityID],RawOfficer[AbilityID],RawOfficer[Tag_MissionBosses])</f>
        <v>✅</v>
      </c>
      <c r="K118" s="516" t="str">
        <f t="array" ref="K118">XLOOKUP(LCARS_Off[AbilityID],RawOfficer[AbilityID],RawOfficer[Tag_GroupArmadas])</f>
        <v>➖</v>
      </c>
      <c r="L118" s="516" t="str">
        <f t="array" ref="L118">XLOOKUP(LCARS_Off[AbilityID],RawOfficer[AbilityID],RawOfficer[Tag_SoloArmadas])</f>
        <v>➖</v>
      </c>
      <c r="M118" s="516" t="str">
        <f t="array" ref="M118">XLOOKUP(LCARS_Off[AbilityID],RawOfficer[AbilityID],RawOfficer[Tag_InvadingEntities])</f>
        <v>➖</v>
      </c>
      <c r="N118" s="516" t="str">
        <f t="array" ref="N118">XLOOKUP(LCARS_Off[AbilityID],RawOfficer[AbilityID],RawOfficer[Tag_Assaults])</f>
        <v>➖</v>
      </c>
      <c r="O118" s="516" t="str">
        <f t="array" ref="O118">XLOOKUP(LCARS_Off[AbilityID],RawOfficer[AbilityID],RawOfficer[Tag_OutpostArmadas])</f>
        <v>✅</v>
      </c>
      <c r="P118" s="516" t="str">
        <f t="array" ref="P118">XLOOKUP(LCARS_Off[AbilityID],RawOfficer[AbilityID],RawOfficer[Tag_OutpostRetaliators])</f>
        <v>✅</v>
      </c>
      <c r="Q118" s="517" t="str">
        <f t="array" ref="Q118">XLOOKUP(LCARS_Off[AbilityID],RawOfficer[AbilityID],RawOfficer[Conditional_Reason])</f>
        <v/>
      </c>
      <c r="R118" s="518" t="str">
        <f t="array" ref="R118">XLOOKUP(LCARS_Off[AbilityID],RawOfficer[AbilityID],RawOfficer[Tag_Loot])</f>
        <v>➖</v>
      </c>
      <c r="S118" s="516" t="str">
        <f t="array" ref="S118">XLOOKUP(LCARS_Off[AbilityID],RawOfficer[AbilityID],RawOfficer[Tag_Utility])</f>
        <v>➖</v>
      </c>
      <c r="T118" s="429" t="str">
        <f t="array" ref="T118">XLOOKUP(LCARS_Off[AbilityID],RawOfficer[AbilityID],RawOfficer[OfficerSynergy])</f>
        <v>SECTION 31</v>
      </c>
      <c r="U118" s="519" t="str">
        <f t="array" ref="U118">XLOOKUP(LCARS_Off[AbilityID],RawOfficer[AbilityID],RawOfficer[AbilityModifier])</f>
        <v>ShieldHPRepair</v>
      </c>
      <c r="V118" s="519" t="str">
        <f t="array" ref="V118">XLOOKUP(LCARS_Off[AbilityID],RawOfficer[AbilityID],RawOfficer[AbilityAttributes])</f>
        <v/>
      </c>
      <c r="W118" s="520" t="str">
        <f t="array" ref="W118">XLOOKUP(LCARS_Off[AbilityID],RawOfficer[AbilityID],RawOfficer[AbilityConditions])</f>
        <v>TargetNotArmada, TargetNotASB</v>
      </c>
      <c r="X118" s="519" t="str">
        <f t="array" ref="X118">XLOOKUP(LCARS_Off[AbilityID],RawOfficer[AbilityID],RawOfficer[AbilityTrigger])</f>
        <v>RoundStart</v>
      </c>
      <c r="Y118" s="519" t="str">
        <f t="array" ref="Y118">XLOOKUP(LCARS_Off[AbilityID],RawOfficer[AbilityID],RawOfficer[AbilityTarget])</f>
        <v>EnemyShip</v>
      </c>
      <c r="Z118" s="519" t="str">
        <f t="array" ref="Z118">XLOOKUP(LCARS_Off[AbilityID],RawOfficer[AbilityID],RawOfficer[AbilityOperation])</f>
        <v>MultiplySub</v>
      </c>
      <c r="AA118" s="521" t="str">
        <f t="array" ref="AA118">XLOOKUP(LCARS_Off[AbilityID],RawOfficer[AbilityID],RawOfficer[AbilityDescription])</f>
        <v>Yuki Sulu decreases the Shield Health of the opponent's ship by X each round.</v>
      </c>
      <c r="AB118" s="429" t="b">
        <v>0</v>
      </c>
      <c r="AC118" s="522" t="str">
        <f t="array" ref="AC118">XLOOKUP(LCARS_Off[AbilityID],RawOfficer[AbilityID],RawOfficer[AbilityDescriptionShort])</f>
        <v>-X to the Shield Health of the opponent's ship each round</v>
      </c>
      <c r="AD118" s="523"/>
      <c r="AE118" s="524"/>
      <c r="AF118" s="524"/>
      <c r="AG118" s="525" t="str">
        <f t="array" ref="AG118">XLOOKUP(LCARS_Off[AbilityID],RawOfficer[AbilityID],RawOfficer[AbilityChances])</f>
        <v>1.0, 1.0, 1.0</v>
      </c>
      <c r="AH118" s="525" t="str">
        <f t="array" ref="AH118">XLOOKUP(LCARS_Off[AbilityID],RawOfficer[AbilityID],RawOfficer[AbilityValues])</f>
        <v>0.1, 0.02, 0.05</v>
      </c>
      <c r="AI118" s="428" t="b">
        <f t="array" ref="AI118">XLOOKUP(LCARS_Off[AbilityID],RawOfficer[AbilityID],RawOfficer[AbilityHasChance])</f>
        <v>0</v>
      </c>
      <c r="AJ118" s="428" t="b">
        <f t="array" ref="AJ118">XLOOKUP(LCARS_Off[AbilityID],RawOfficer[AbilityID],RawOfficer[AbilityShowPercentage])</f>
        <v>1</v>
      </c>
      <c r="AK118" s="429">
        <f t="array" ref="AK118">XLOOKUP(LCARS_Off[AbilityID],RawOfficer[AbilityID],RawOfficer[OfficerArt])</f>
        <v>37</v>
      </c>
      <c r="AL118" s="430">
        <v>1.427535254E9</v>
      </c>
      <c r="AM118" s="430">
        <f t="array" ref="AM118">XLOOKUP(LCARS_Off[AbilityID],RawOfficer[AbilityID],RawOfficer[Default Order])</f>
        <v>115</v>
      </c>
    </row>
    <row r="119">
      <c r="A119" s="429" t="str">
        <f t="array" ref="A119">LEFT(XLOOKUP(LCARS_Off[AbilityID],RawOfficer[AbilityID],RawOfficer[OfficerRarity]), 1)</f>
        <v>R</v>
      </c>
      <c r="B119" s="429"/>
      <c r="C119" s="514" t="str">
        <f t="array" ref="C119">HYPERLINK("https://stfc.space/officers/" &amp; XLOOKUP(LCARS_Off[AbilityID],RawOfficer[AbilityID],RawOfficer[OfficerId]), XLOOKUP(LCARS_Off[AbilityID],RawOfficer[AbilityID],RawOfficer[OfficerName]))</f>
        <v>YUKI</v>
      </c>
      <c r="D119" s="515" t="str">
        <f t="array" ref="D119">XLOOKUP(LCARS_Off[AbilityID],RawOfficer[AbilityID],RawOfficer[AbilityType])</f>
        <v>OA</v>
      </c>
      <c r="E119" s="516" t="str">
        <f t="array" ref="E119">XLOOKUP(LCARS_Off[AbilityID],RawOfficer[AbilityID],RawOfficer[Tag_PvPinSpace])</f>
        <v>✴️</v>
      </c>
      <c r="F119" s="516" t="str">
        <f t="array" ref="F119">XLOOKUP(LCARS_Off[AbilityID],RawOfficer[AbilityID],RawOfficer[Tag_PvPStation])</f>
        <v>✴️</v>
      </c>
      <c r="G119" s="516" t="str">
        <f t="array" ref="G119">XLOOKUP(LCARS_Off[AbilityID],RawOfficer[AbilityID],RawOfficer[Tag_NonArmadaHostiles])</f>
        <v>✴️</v>
      </c>
      <c r="H119" s="516" t="str">
        <f t="array" ref="H119">XLOOKUP(LCARS_Off[AbilityID],RawOfficer[AbilityID],RawOfficer[Tag_WaveDefense])</f>
        <v>✴️</v>
      </c>
      <c r="I119" s="516" t="str">
        <f t="array" ref="I119">XLOOKUP(LCARS_Off[AbilityID],RawOfficer[AbilityID],RawOfficer[Tag_QTrial])</f>
        <v>✴️</v>
      </c>
      <c r="J119" s="516" t="str">
        <f t="array" ref="J119">XLOOKUP(LCARS_Off[AbilityID],RawOfficer[AbilityID],RawOfficer[Tag_MissionBosses])</f>
        <v>✴️</v>
      </c>
      <c r="K119" s="516" t="str">
        <f t="array" ref="K119">XLOOKUP(LCARS_Off[AbilityID],RawOfficer[AbilityID],RawOfficer[Tag_GroupArmadas])</f>
        <v>✴️</v>
      </c>
      <c r="L119" s="516" t="str">
        <f t="array" ref="L119">XLOOKUP(LCARS_Off[AbilityID],RawOfficer[AbilityID],RawOfficer[Tag_SoloArmadas])</f>
        <v>✴️</v>
      </c>
      <c r="M119" s="516" t="str">
        <f t="array" ref="M119">XLOOKUP(LCARS_Off[AbilityID],RawOfficer[AbilityID],RawOfficer[Tag_InvadingEntities])</f>
        <v>➖</v>
      </c>
      <c r="N119" s="516" t="str">
        <f t="array" ref="N119">XLOOKUP(LCARS_Off[AbilityID],RawOfficer[AbilityID],RawOfficer[Tag_Assaults])</f>
        <v>✴️</v>
      </c>
      <c r="O119" s="516" t="str">
        <f t="array" ref="O119">XLOOKUP(LCARS_Off[AbilityID],RawOfficer[AbilityID],RawOfficer[Tag_OutpostArmadas])</f>
        <v>➖</v>
      </c>
      <c r="P119" s="516" t="str">
        <f t="array" ref="P119">XLOOKUP(LCARS_Off[AbilityID],RawOfficer[AbilityID],RawOfficer[Tag_OutpostRetaliators])</f>
        <v>➖</v>
      </c>
      <c r="Q119" s="517" t="str">
        <f t="array" ref="Q119">XLOOKUP(LCARS_Off[AbilityID],RawOfficer[AbilityID],RawOfficer[Conditional_Reason])</f>
        <v>Romulan</v>
      </c>
      <c r="R119" s="518" t="str">
        <f t="array" ref="R119">XLOOKUP(LCARS_Off[AbilityID],RawOfficer[AbilityID],RawOfficer[Tag_Loot])</f>
        <v>➖</v>
      </c>
      <c r="S119" s="516" t="str">
        <f t="array" ref="S119">XLOOKUP(LCARS_Off[AbilityID],RawOfficer[AbilityID],RawOfficer[Tag_Utility])</f>
        <v>➖</v>
      </c>
      <c r="T119" s="429" t="str">
        <f t="array" ref="T119">XLOOKUP(LCARS_Off[AbilityID],RawOfficer[AbilityID],RawOfficer[OfficerSynergy])</f>
        <v>SECTION 31</v>
      </c>
      <c r="U119" s="519" t="str">
        <f t="array" ref="U119">XLOOKUP(LCARS_Off[AbilityID],RawOfficer[AbilityID],RawOfficer[AbilityModifier])</f>
        <v>AllDamage</v>
      </c>
      <c r="V119" s="519" t="str">
        <f t="array" ref="V119">XLOOKUP(LCARS_Off[AbilityID],RawOfficer[AbilityID],RawOfficer[AbilityAttributes])</f>
        <v>faction_id=669838839, officer_stat=3</v>
      </c>
      <c r="W119" s="520" t="str">
        <f t="array" ref="W119">XLOOKUP(LCARS_Off[AbilityID],RawOfficer[AbilityID],RawOfficer[AbilityConditions])</f>
        <v>EnemyHullFaction</v>
      </c>
      <c r="X119" s="519" t="str">
        <f t="array" ref="X119">XLOOKUP(LCARS_Off[AbilityID],RawOfficer[AbilityID],RawOfficer[AbilityTrigger])</f>
        <v>CombatStart</v>
      </c>
      <c r="Y119" s="519" t="str">
        <f t="array" ref="Y119">XLOOKUP(LCARS_Off[AbilityID],RawOfficer[AbilityID],RawOfficer[AbilityTarget])</f>
        <v>SelfShip</v>
      </c>
      <c r="Z119" s="519" t="str">
        <f t="array" ref="Z119">XLOOKUP(LCARS_Off[AbilityID],RawOfficer[AbilityID],RawOfficer[AbilityOperation])</f>
        <v>MultiplyBaseAdd</v>
      </c>
      <c r="AA119" s="521" t="str">
        <f t="array" ref="AA119">XLOOKUP(LCARS_Off[AbilityID],RawOfficer[AbilityID],RawOfficer[AbilityDescription])</f>
        <v>Yuki Sulu increases the Weapon Damage against Romulan ships by X of the Health of the crew on the ship.</v>
      </c>
      <c r="AB119" s="429" t="b">
        <v>0</v>
      </c>
      <c r="AC119" s="522" t="str">
        <f t="array" ref="AC119">XLOOKUP(LCARS_Off[AbilityID],RawOfficer[AbilityID],RawOfficer[AbilityDescriptionShort])</f>
        <v>X of the crew's Health bonus to Damage against Romulans</v>
      </c>
      <c r="AD119" s="523"/>
      <c r="AE119" s="524"/>
      <c r="AF119" s="524"/>
      <c r="AG119" s="525" t="str">
        <f t="array" ref="AG119">XLOOKUP(LCARS_Off[AbilityID],RawOfficer[AbilityID],RawOfficer[AbilityChances])</f>
        <v>1.0, 1.0, 1.0, 1.0, 1.0</v>
      </c>
      <c r="AH119" s="525" t="str">
        <f t="array" ref="AH119">XLOOKUP(LCARS_Off[AbilityID],RawOfficer[AbilityID],RawOfficer[AbilityValues])</f>
        <v>0.25, 0.35, 0.75, 1.75, 5.0</v>
      </c>
      <c r="AI119" s="428" t="b">
        <f t="array" ref="AI119">XLOOKUP(LCARS_Off[AbilityID],RawOfficer[AbilityID],RawOfficer[AbilityHasChance])</f>
        <v>0</v>
      </c>
      <c r="AJ119" s="428" t="b">
        <f t="array" ref="AJ119">XLOOKUP(LCARS_Off[AbilityID],RawOfficer[AbilityID],RawOfficer[AbilityShowPercentage])</f>
        <v>1</v>
      </c>
      <c r="AK119" s="429">
        <f t="array" ref="AK119">XLOOKUP(LCARS_Off[AbilityID],RawOfficer[AbilityID],RawOfficer[OfficerArt])</f>
        <v>37</v>
      </c>
      <c r="AL119" s="430">
        <v>2.64056742E8</v>
      </c>
      <c r="AM119" s="430">
        <f t="array" ref="AM119">XLOOKUP(LCARS_Off[AbilityID],RawOfficer[AbilityID],RawOfficer[Default Order])</f>
        <v>116</v>
      </c>
    </row>
    <row r="120">
      <c r="A120" s="429" t="str">
        <f t="array" ref="A120">LEFT(XLOOKUP(LCARS_Off[AbilityID],RawOfficer[AbilityID],RawOfficer[OfficerRarity]), 1)</f>
        <v>R</v>
      </c>
      <c r="B120" s="429"/>
      <c r="C120" s="514" t="str">
        <f t="array" ref="C120">HYPERLINK("https://stfc.space/officers/" &amp; XLOOKUP(LCARS_Off[AbilityID],RawOfficer[AbilityID],RawOfficer[OfficerId]), XLOOKUP(LCARS_Off[AbilityID],RawOfficer[AbilityID],RawOfficer[OfficerName]))</f>
        <v>HARRISON</v>
      </c>
      <c r="D120" s="515" t="str">
        <f t="array" ref="D120">XLOOKUP(LCARS_Off[AbilityID],RawOfficer[AbilityID],RawOfficer[AbilityType])</f>
        <v>CM</v>
      </c>
      <c r="E120" s="516" t="str">
        <f t="array" ref="E120">XLOOKUP(LCARS_Off[AbilityID],RawOfficer[AbilityID],RawOfficer[Tag_PvPinSpace])</f>
        <v>✴️</v>
      </c>
      <c r="F120" s="516" t="str">
        <f t="array" ref="F120">XLOOKUP(LCARS_Off[AbilityID],RawOfficer[AbilityID],RawOfficer[Tag_PvPStation])</f>
        <v>✴️</v>
      </c>
      <c r="G120" s="516" t="str">
        <f t="array" ref="G120">XLOOKUP(LCARS_Off[AbilityID],RawOfficer[AbilityID],RawOfficer[Tag_NonArmadaHostiles])</f>
        <v>✴️</v>
      </c>
      <c r="H120" s="516" t="str">
        <f t="array" ref="H120">XLOOKUP(LCARS_Off[AbilityID],RawOfficer[AbilityID],RawOfficer[Tag_WaveDefense])</f>
        <v>✴️</v>
      </c>
      <c r="I120" s="516" t="str">
        <f t="array" ref="I120">XLOOKUP(LCARS_Off[AbilityID],RawOfficer[AbilityID],RawOfficer[Tag_QTrial])</f>
        <v>✴️</v>
      </c>
      <c r="J120" s="516" t="str">
        <f t="array" ref="J120">XLOOKUP(LCARS_Off[AbilityID],RawOfficer[AbilityID],RawOfficer[Tag_MissionBosses])</f>
        <v>✴️</v>
      </c>
      <c r="K120" s="516" t="str">
        <f t="array" ref="K120">XLOOKUP(LCARS_Off[AbilityID],RawOfficer[AbilityID],RawOfficer[Tag_GroupArmadas])</f>
        <v>✴️</v>
      </c>
      <c r="L120" s="516" t="str">
        <f t="array" ref="L120">XLOOKUP(LCARS_Off[AbilityID],RawOfficer[AbilityID],RawOfficer[Tag_SoloArmadas])</f>
        <v>✴️</v>
      </c>
      <c r="M120" s="516" t="str">
        <f t="array" ref="M120">XLOOKUP(LCARS_Off[AbilityID],RawOfficer[AbilityID],RawOfficer[Tag_InvadingEntities])</f>
        <v>✴️</v>
      </c>
      <c r="N120" s="516" t="str">
        <f t="array" ref="N120">XLOOKUP(LCARS_Off[AbilityID],RawOfficer[AbilityID],RawOfficer[Tag_Assaults])</f>
        <v>✴️</v>
      </c>
      <c r="O120" s="516" t="str">
        <f t="array" ref="O120">XLOOKUP(LCARS_Off[AbilityID],RawOfficer[AbilityID],RawOfficer[Tag_OutpostArmadas])</f>
        <v>✴️</v>
      </c>
      <c r="P120" s="516" t="str">
        <f t="array" ref="P120">XLOOKUP(LCARS_Off[AbilityID],RawOfficer[AbilityID],RawOfficer[Tag_OutpostRetaliators])</f>
        <v>✴️</v>
      </c>
      <c r="Q120" s="517" t="str">
        <f t="array" ref="Q120">XLOOKUP(LCARS_Off[AbilityID],RawOfficer[AbilityID],RawOfficer[Conditional_Reason])</f>
        <v>TargetMaxLevel, EnemyExplorer</v>
      </c>
      <c r="R120" s="518" t="str">
        <f t="array" ref="R120">XLOOKUP(LCARS_Off[AbilityID],RawOfficer[AbilityID],RawOfficer[Tag_Loot])</f>
        <v>➖</v>
      </c>
      <c r="S120" s="516" t="str">
        <f t="array" ref="S120">XLOOKUP(LCARS_Off[AbilityID],RawOfficer[AbilityID],RawOfficer[Tag_Utility])</f>
        <v>➖</v>
      </c>
      <c r="T120" s="429" t="str">
        <f t="array" ref="T120">XLOOKUP(LCARS_Off[AbilityID],RawOfficer[AbilityID],RawOfficer[OfficerSynergy])</f>
        <v>SECTION 31</v>
      </c>
      <c r="U120" s="519" t="str">
        <f t="array" ref="U120">XLOOKUP(LCARS_Off[AbilityID],RawOfficer[AbilityID],RawOfficer[AbilityModifier])</f>
        <v>AllDamage</v>
      </c>
      <c r="V120" s="519" t="str">
        <f t="array" ref="V120">XLOOKUP(LCARS_Off[AbilityID],RawOfficer[AbilityID],RawOfficer[AbilityAttributes])</f>
        <v>max_level=70</v>
      </c>
      <c r="W120" s="520" t="str">
        <f t="array" ref="W120">XLOOKUP(LCARS_Off[AbilityID],RawOfficer[AbilityID],RawOfficer[AbilityConditions])</f>
        <v>TargetMaxLevel, EnemyExplorer</v>
      </c>
      <c r="X120" s="519" t="str">
        <f t="array" ref="X120">XLOOKUP(LCARS_Off[AbilityID],RawOfficer[AbilityID],RawOfficer[AbilityTrigger])</f>
        <v>CombatStart</v>
      </c>
      <c r="Y120" s="519" t="str">
        <f t="array" ref="Y120">XLOOKUP(LCARS_Off[AbilityID],RawOfficer[AbilityID],RawOfficer[AbilityTarget])</f>
        <v>SelfShip</v>
      </c>
      <c r="Z120" s="519" t="str">
        <f t="array" ref="Z120">XLOOKUP(LCARS_Off[AbilityID],RawOfficer[AbilityID],RawOfficer[AbilityOperation])</f>
        <v>MultiplyAdd</v>
      </c>
      <c r="AA120" s="521" t="str">
        <f t="array" ref="AA120">XLOOKUP(LCARS_Off[AbilityID],RawOfficer[AbilityID],RawOfficer[AbilityDescription])</f>
        <v>When fighting Explorers, John Harrison increases the Weapon damage of the ship by X. Works against Hostiles of level 70 and under.</v>
      </c>
      <c r="AB120" s="429" t="b">
        <v>0</v>
      </c>
      <c r="AC120" s="522" t="str">
        <f t="array" ref="AC120">XLOOKUP(LCARS_Off[AbilityID],RawOfficer[AbilityID],RawOfficer[AbilityDescriptionShort])</f>
        <v>+X to Damage against Explorers</v>
      </c>
      <c r="AD120" s="523"/>
      <c r="AE120" s="524"/>
      <c r="AF120" s="524"/>
      <c r="AG120" s="525" t="str">
        <f t="array" ref="AG120">XLOOKUP(LCARS_Off[AbilityID],RawOfficer[AbilityID],RawOfficer[AbilityChances])</f>
        <v>1.0, 1.0, 1.0</v>
      </c>
      <c r="AH120" s="525" t="str">
        <f t="array" ref="AH120">XLOOKUP(LCARS_Off[AbilityID],RawOfficer[AbilityID],RawOfficer[AbilityValues])</f>
        <v>0.2, 0.1, 0.2</v>
      </c>
      <c r="AI120" s="428" t="b">
        <f t="array" ref="AI120">XLOOKUP(LCARS_Off[AbilityID],RawOfficer[AbilityID],RawOfficer[AbilityHasChance])</f>
        <v>0</v>
      </c>
      <c r="AJ120" s="428" t="b">
        <f t="array" ref="AJ120">XLOOKUP(LCARS_Off[AbilityID],RawOfficer[AbilityID],RawOfficer[AbilityShowPercentage])</f>
        <v>1</v>
      </c>
      <c r="AK120" s="429">
        <f t="array" ref="AK120">XLOOKUP(LCARS_Off[AbilityID],RawOfficer[AbilityID],RawOfficer[OfficerArt])</f>
        <v>38</v>
      </c>
      <c r="AL120" s="430">
        <v>2.099626491E9</v>
      </c>
      <c r="AM120" s="430">
        <f t="array" ref="AM120">XLOOKUP(LCARS_Off[AbilityID],RawOfficer[AbilityID],RawOfficer[Default Order])</f>
        <v>117</v>
      </c>
    </row>
    <row r="121">
      <c r="A121" s="429" t="str">
        <f t="array" ref="A121">LEFT(XLOOKUP(LCARS_Off[AbilityID],RawOfficer[AbilityID],RawOfficer[OfficerRarity]), 1)</f>
        <v>R</v>
      </c>
      <c r="B121" s="429"/>
      <c r="C121" s="514" t="str">
        <f t="array" ref="C121">HYPERLINK("https://stfc.space/officers/" &amp; XLOOKUP(LCARS_Off[AbilityID],RawOfficer[AbilityID],RawOfficer[OfficerId]), XLOOKUP(LCARS_Off[AbilityID],RawOfficer[AbilityID],RawOfficer[OfficerName]))</f>
        <v>HARRISON</v>
      </c>
      <c r="D121" s="515" t="str">
        <f t="array" ref="D121">XLOOKUP(LCARS_Off[AbilityID],RawOfficer[AbilityID],RawOfficer[AbilityType])</f>
        <v>OA</v>
      </c>
      <c r="E121" s="516" t="str">
        <f t="array" ref="E121">XLOOKUP(LCARS_Off[AbilityID],RawOfficer[AbilityID],RawOfficer[Tag_PvPinSpace])</f>
        <v>✴️</v>
      </c>
      <c r="F121" s="516" t="str">
        <f t="array" ref="F121">XLOOKUP(LCARS_Off[AbilityID],RawOfficer[AbilityID],RawOfficer[Tag_PvPStation])</f>
        <v>✴️</v>
      </c>
      <c r="G121" s="516" t="str">
        <f t="array" ref="G121">XLOOKUP(LCARS_Off[AbilityID],RawOfficer[AbilityID],RawOfficer[Tag_NonArmadaHostiles])</f>
        <v>✴️</v>
      </c>
      <c r="H121" s="516" t="str">
        <f t="array" ref="H121">XLOOKUP(LCARS_Off[AbilityID],RawOfficer[AbilityID],RawOfficer[Tag_WaveDefense])</f>
        <v>✴️</v>
      </c>
      <c r="I121" s="516" t="str">
        <f t="array" ref="I121">XLOOKUP(LCARS_Off[AbilityID],RawOfficer[AbilityID],RawOfficer[Tag_QTrial])</f>
        <v>✴️</v>
      </c>
      <c r="J121" s="516" t="str">
        <f t="array" ref="J121">XLOOKUP(LCARS_Off[AbilityID],RawOfficer[AbilityID],RawOfficer[Tag_MissionBosses])</f>
        <v>✴️</v>
      </c>
      <c r="K121" s="516" t="str">
        <f t="array" ref="K121">XLOOKUP(LCARS_Off[AbilityID],RawOfficer[AbilityID],RawOfficer[Tag_GroupArmadas])</f>
        <v>➖</v>
      </c>
      <c r="L121" s="516" t="str">
        <f t="array" ref="L121">XLOOKUP(LCARS_Off[AbilityID],RawOfficer[AbilityID],RawOfficer[Tag_SoloArmadas])</f>
        <v>➖</v>
      </c>
      <c r="M121" s="516" t="str">
        <f t="array" ref="M121">XLOOKUP(LCARS_Off[AbilityID],RawOfficer[AbilityID],RawOfficer[Tag_InvadingEntities])</f>
        <v>➖</v>
      </c>
      <c r="N121" s="516" t="str">
        <f t="array" ref="N121">XLOOKUP(LCARS_Off[AbilityID],RawOfficer[AbilityID],RawOfficer[Tag_Assaults])</f>
        <v>➖</v>
      </c>
      <c r="O121" s="516" t="str">
        <f t="array" ref="O121">XLOOKUP(LCARS_Off[AbilityID],RawOfficer[AbilityID],RawOfficer[Tag_OutpostArmadas])</f>
        <v>✴️</v>
      </c>
      <c r="P121" s="516" t="str">
        <f t="array" ref="P121">XLOOKUP(LCARS_Off[AbilityID],RawOfficer[AbilityID],RawOfficer[Tag_OutpostRetaliators])</f>
        <v>✴️</v>
      </c>
      <c r="Q121" s="517" t="str">
        <f t="array" ref="Q121">XLOOKUP(LCARS_Off[AbilityID],RawOfficer[AbilityID],RawOfficer[Conditional_Reason])</f>
        <v>target level 70 or under</v>
      </c>
      <c r="R121" s="518" t="str">
        <f t="array" ref="R121">XLOOKUP(LCARS_Off[AbilityID],RawOfficer[AbilityID],RawOfficer[Tag_Loot])</f>
        <v>➖</v>
      </c>
      <c r="S121" s="516" t="str">
        <f t="array" ref="S121">XLOOKUP(LCARS_Off[AbilityID],RawOfficer[AbilityID],RawOfficer[Tag_Utility])</f>
        <v>➖</v>
      </c>
      <c r="T121" s="429" t="str">
        <f t="array" ref="T121">XLOOKUP(LCARS_Off[AbilityID],RawOfficer[AbilityID],RawOfficer[OfficerSynergy])</f>
        <v>SECTION 31</v>
      </c>
      <c r="U121" s="519" t="str">
        <f t="array" ref="U121">XLOOKUP(LCARS_Off[AbilityID],RawOfficer[AbilityID],RawOfficer[AbilityModifier])</f>
        <v>ShieldMitigation</v>
      </c>
      <c r="V121" s="519" t="str">
        <f t="array" ref="V121">XLOOKUP(LCARS_Off[AbilityID],RawOfficer[AbilityID],RawOfficer[AbilityAttributes])</f>
        <v>max_level=70, num_rounds=1</v>
      </c>
      <c r="W121" s="520" t="str">
        <f t="array" ref="W121">XLOOKUP(LCARS_Off[AbilityID],RawOfficer[AbilityID],RawOfficer[AbilityConditions])</f>
        <v>TargetMaxLevel, TargetNotArmada, TargetNotASB</v>
      </c>
      <c r="X121" s="519" t="str">
        <f t="array" ref="X121">XLOOKUP(LCARS_Off[AbilityID],RawOfficer[AbilityID],RawOfficer[AbilityTrigger])</f>
        <v>CombatStart</v>
      </c>
      <c r="Y121" s="519" t="str">
        <f t="array" ref="Y121">XLOOKUP(LCARS_Off[AbilityID],RawOfficer[AbilityID],RawOfficer[AbilityTarget])</f>
        <v>EnemyShip</v>
      </c>
      <c r="Z121" s="519" t="str">
        <f t="array" ref="Z121">XLOOKUP(LCARS_Off[AbilityID],RawOfficer[AbilityID],RawOfficer[AbilityOperation])</f>
        <v>MultiplySub</v>
      </c>
      <c r="AA121" s="521" t="str">
        <f t="array" ref="AA121">XLOOKUP(LCARS_Off[AbilityID],RawOfficer[AbilityID],RawOfficer[AbilityDescription])</f>
        <v>For the first round of combat, John Harrison ignores X of the opponent's shield. Works against Hostiles and Players of level 70 and under.</v>
      </c>
      <c r="AB121" s="429" t="b">
        <v>0</v>
      </c>
      <c r="AC121" s="522" t="str">
        <f t="array" ref="AC121">XLOOKUP(LCARS_Off[AbilityID],RawOfficer[AbilityID],RawOfficer[AbilityDescriptionShort])</f>
        <v>X of the opponent's Shield ignored for the first round of combat.</v>
      </c>
      <c r="AD121" s="523"/>
      <c r="AE121" s="524"/>
      <c r="AF121" s="524"/>
      <c r="AG121" s="525" t="str">
        <f t="array" ref="AG121">XLOOKUP(LCARS_Off[AbilityID],RawOfficer[AbilityID],RawOfficer[AbilityChances])</f>
        <v>1.0, 1.0, 1.0, 1.0, 1.0</v>
      </c>
      <c r="AH121" s="525" t="str">
        <f t="array" ref="AH121">XLOOKUP(LCARS_Off[AbilityID],RawOfficer[AbilityID],RawOfficer[AbilityValues])</f>
        <v>0.6, 0.7, 0.8, 0.9, 1.0</v>
      </c>
      <c r="AI121" s="428" t="b">
        <f t="array" ref="AI121">XLOOKUP(LCARS_Off[AbilityID],RawOfficer[AbilityID],RawOfficer[AbilityHasChance])</f>
        <v>0</v>
      </c>
      <c r="AJ121" s="428" t="b">
        <f t="array" ref="AJ121">XLOOKUP(LCARS_Off[AbilityID],RawOfficer[AbilityID],RawOfficer[AbilityShowPercentage])</f>
        <v>1</v>
      </c>
      <c r="AK121" s="429">
        <f t="array" ref="AK121">XLOOKUP(LCARS_Off[AbilityID],RawOfficer[AbilityID],RawOfficer[OfficerArt])</f>
        <v>38</v>
      </c>
      <c r="AL121" s="430">
        <v>3.875841674E9</v>
      </c>
      <c r="AM121" s="430">
        <f t="array" ref="AM121">XLOOKUP(LCARS_Off[AbilityID],RawOfficer[AbilityID],RawOfficer[Default Order])</f>
        <v>118</v>
      </c>
    </row>
    <row r="122">
      <c r="A122" s="429" t="str">
        <f t="array" ref="A122">LEFT(XLOOKUP(LCARS_Off[AbilityID],RawOfficer[AbilityID],RawOfficer[OfficerRarity]), 1)</f>
        <v>R</v>
      </c>
      <c r="B122" s="429"/>
      <c r="C122" s="514" t="str">
        <f t="array" ref="C122">HYPERLINK("https://stfc.space/officers/" &amp; XLOOKUP(LCARS_Off[AbilityID],RawOfficer[AbilityID],RawOfficer[OfficerId]), XLOOKUP(LCARS_Off[AbilityID],RawOfficer[AbilityID],RawOfficer[OfficerName]))</f>
        <v>DUPONT</v>
      </c>
      <c r="D122" s="515" t="str">
        <f t="array" ref="D122">XLOOKUP(LCARS_Off[AbilityID],RawOfficer[AbilityID],RawOfficer[AbilityType])</f>
        <v>CM</v>
      </c>
      <c r="E122" s="516" t="str">
        <f t="array" ref="E122">XLOOKUP(LCARS_Off[AbilityID],RawOfficer[AbilityID],RawOfficer[Tag_PvPinSpace])</f>
        <v>➖</v>
      </c>
      <c r="F122" s="516" t="str">
        <f t="array" ref="F122">XLOOKUP(LCARS_Off[AbilityID],RawOfficer[AbilityID],RawOfficer[Tag_PvPStation])</f>
        <v>➖</v>
      </c>
      <c r="G122" s="516" t="str">
        <f t="array" ref="G122">XLOOKUP(LCARS_Off[AbilityID],RawOfficer[AbilityID],RawOfficer[Tag_NonArmadaHostiles])</f>
        <v>➖</v>
      </c>
      <c r="H122" s="516" t="str">
        <f t="array" ref="H122">XLOOKUP(LCARS_Off[AbilityID],RawOfficer[AbilityID],RawOfficer[Tag_WaveDefense])</f>
        <v>➖</v>
      </c>
      <c r="I122" s="516" t="str">
        <f t="array" ref="I122">XLOOKUP(LCARS_Off[AbilityID],RawOfficer[AbilityID],RawOfficer[Tag_QTrial])</f>
        <v>➖</v>
      </c>
      <c r="J122" s="516" t="str">
        <f t="array" ref="J122">XLOOKUP(LCARS_Off[AbilityID],RawOfficer[AbilityID],RawOfficer[Tag_MissionBosses])</f>
        <v>➖</v>
      </c>
      <c r="K122" s="516" t="str">
        <f t="array" ref="K122">XLOOKUP(LCARS_Off[AbilityID],RawOfficer[AbilityID],RawOfficer[Tag_GroupArmadas])</f>
        <v>➖</v>
      </c>
      <c r="L122" s="516" t="str">
        <f t="array" ref="L122">XLOOKUP(LCARS_Off[AbilityID],RawOfficer[AbilityID],RawOfficer[Tag_SoloArmadas])</f>
        <v>➖</v>
      </c>
      <c r="M122" s="516" t="str">
        <f t="array" ref="M122">XLOOKUP(LCARS_Off[AbilityID],RawOfficer[AbilityID],RawOfficer[Tag_InvadingEntities])</f>
        <v>➖</v>
      </c>
      <c r="N122" s="516" t="str">
        <f t="array" ref="N122">XLOOKUP(LCARS_Off[AbilityID],RawOfficer[AbilityID],RawOfficer[Tag_Assaults])</f>
        <v>➖</v>
      </c>
      <c r="O122" s="516" t="str">
        <f t="array" ref="O122">XLOOKUP(LCARS_Off[AbilityID],RawOfficer[AbilityID],RawOfficer[Tag_OutpostArmadas])</f>
        <v>➖</v>
      </c>
      <c r="P122" s="516" t="str">
        <f t="array" ref="P122">XLOOKUP(LCARS_Off[AbilityID],RawOfficer[AbilityID],RawOfficer[Tag_OutpostRetaliators])</f>
        <v>➖</v>
      </c>
      <c r="Q122" s="517" t="str">
        <f t="array" ref="Q122">XLOOKUP(LCARS_Off[AbilityID],RawOfficer[AbilityID],RawOfficer[Conditional_Reason])</f>
        <v/>
      </c>
      <c r="R122" s="518" t="str">
        <f t="array" ref="R122">XLOOKUP(LCARS_Off[AbilityID],RawOfficer[AbilityID],RawOfficer[Tag_Loot])</f>
        <v>➖</v>
      </c>
      <c r="S122" s="516" t="str">
        <f t="array" ref="S122">XLOOKUP(LCARS_Off[AbilityID],RawOfficer[AbilityID],RawOfficer[Tag_Utility])</f>
        <v>✅</v>
      </c>
      <c r="T122" s="429" t="str">
        <f t="array" ref="T122">XLOOKUP(LCARS_Off[AbilityID],RawOfficer[AbilityID],RawOfficer[OfficerSynergy])</f>
        <v>SURVEYORS &amp; MINERS</v>
      </c>
      <c r="U122" s="519" t="str">
        <f t="array" ref="U122">XLOOKUP(LCARS_Off[AbilityID],RawOfficer[AbilityID],RawOfficer[AbilityModifier])</f>
        <v>MiningRate</v>
      </c>
      <c r="V122" s="519" t="str">
        <f t="array" ref="V122">XLOOKUP(LCARS_Off[AbilityID],RawOfficer[AbilityID],RawOfficer[AbilityAttributes])</f>
        <v>resources=[680796905, 1779416627, 84292608]</v>
      </c>
      <c r="W122" s="520" t="str">
        <f t="array" ref="W122">XLOOKUP(LCARS_Off[AbilityID],RawOfficer[AbilityID],RawOfficer[AbilityConditions])</f>
        <v/>
      </c>
      <c r="X122" s="519" t="str">
        <f t="array" ref="X122">XLOOKUP(LCARS_Off[AbilityID],RawOfficer[AbilityID],RawOfficer[AbilityTrigger])</f>
        <v>ShipLaunched</v>
      </c>
      <c r="Y122" s="519" t="str">
        <f t="array" ref="Y122">XLOOKUP(LCARS_Off[AbilityID],RawOfficer[AbilityID],RawOfficer[AbilityTarget])</f>
        <v>SelfShip</v>
      </c>
      <c r="Z122" s="519" t="str">
        <f t="array" ref="Z122">XLOOKUP(LCARS_Off[AbilityID],RawOfficer[AbilityID],RawOfficer[AbilityOperation])</f>
        <v>MultiplyAdd</v>
      </c>
      <c r="AA122" s="521" t="str">
        <f t="array" ref="AA122">XLOOKUP(LCARS_Off[AbilityID],RawOfficer[AbilityID],RawOfficer[AbilityDescription])</f>
        <v>Raphaël DuPont increases the rate of G3 Crystal, Gas and Ore Mining by X.</v>
      </c>
      <c r="AB122" s="429" t="b">
        <v>0</v>
      </c>
      <c r="AC122" s="522" t="str">
        <f t="array" ref="AC122">XLOOKUP(LCARS_Off[AbilityID],RawOfficer[AbilityID],RawOfficer[AbilityDescriptionShort])</f>
        <v>+X to G3 Crystal, Gas and Ore Mining Speed</v>
      </c>
      <c r="AD122" s="523"/>
      <c r="AE122" s="524"/>
      <c r="AF122" s="524"/>
      <c r="AG122" s="525" t="str">
        <f t="array" ref="AG122">XLOOKUP(LCARS_Off[AbilityID],RawOfficer[AbilityID],RawOfficer[AbilityChances])</f>
        <v>1.0, 1.0, 1.0</v>
      </c>
      <c r="AH122" s="525" t="str">
        <f t="array" ref="AH122">XLOOKUP(LCARS_Off[AbilityID],RawOfficer[AbilityID],RawOfficer[AbilityValues])</f>
        <v>0.35, 0.1, 0.2</v>
      </c>
      <c r="AI122" s="428" t="b">
        <f t="array" ref="AI122">XLOOKUP(LCARS_Off[AbilityID],RawOfficer[AbilityID],RawOfficer[AbilityHasChance])</f>
        <v>0</v>
      </c>
      <c r="AJ122" s="428" t="b">
        <f t="array" ref="AJ122">XLOOKUP(LCARS_Off[AbilityID],RawOfficer[AbilityID],RawOfficer[AbilityShowPercentage])</f>
        <v>1</v>
      </c>
      <c r="AK122" s="429">
        <f t="array" ref="AK122">XLOOKUP(LCARS_Off[AbilityID],RawOfficer[AbilityID],RawOfficer[OfficerArt])</f>
        <v>39</v>
      </c>
      <c r="AL122" s="430">
        <v>4.02018014E9</v>
      </c>
      <c r="AM122" s="430">
        <f t="array" ref="AM122">XLOOKUP(LCARS_Off[AbilityID],RawOfficer[AbilityID],RawOfficer[Default Order])</f>
        <v>119</v>
      </c>
    </row>
    <row r="123">
      <c r="A123" s="429" t="str">
        <f t="array" ref="A123">LEFT(XLOOKUP(LCARS_Off[AbilityID],RawOfficer[AbilityID],RawOfficer[OfficerRarity]), 1)</f>
        <v>R</v>
      </c>
      <c r="B123" s="429"/>
      <c r="C123" s="514" t="str">
        <f t="array" ref="C123">HYPERLINK("https://stfc.space/officers/" &amp; XLOOKUP(LCARS_Off[AbilityID],RawOfficer[AbilityID],RawOfficer[OfficerId]), XLOOKUP(LCARS_Off[AbilityID],RawOfficer[AbilityID],RawOfficer[OfficerName]))</f>
        <v>DUPONT</v>
      </c>
      <c r="D123" s="515" t="str">
        <f t="array" ref="D123">XLOOKUP(LCARS_Off[AbilityID],RawOfficer[AbilityID],RawOfficer[AbilityType])</f>
        <v>OA</v>
      </c>
      <c r="E123" s="516" t="str">
        <f t="array" ref="E123">XLOOKUP(LCARS_Off[AbilityID],RawOfficer[AbilityID],RawOfficer[Tag_PvPinSpace])</f>
        <v>➖</v>
      </c>
      <c r="F123" s="516" t="str">
        <f t="array" ref="F123">XLOOKUP(LCARS_Off[AbilityID],RawOfficer[AbilityID],RawOfficer[Tag_PvPStation])</f>
        <v>➖</v>
      </c>
      <c r="G123" s="516" t="str">
        <f t="array" ref="G123">XLOOKUP(LCARS_Off[AbilityID],RawOfficer[AbilityID],RawOfficer[Tag_NonArmadaHostiles])</f>
        <v>➖</v>
      </c>
      <c r="H123" s="516" t="str">
        <f t="array" ref="H123">XLOOKUP(LCARS_Off[AbilityID],RawOfficer[AbilityID],RawOfficer[Tag_WaveDefense])</f>
        <v>➖</v>
      </c>
      <c r="I123" s="516" t="str">
        <f t="array" ref="I123">XLOOKUP(LCARS_Off[AbilityID],RawOfficer[AbilityID],RawOfficer[Tag_QTrial])</f>
        <v>➖</v>
      </c>
      <c r="J123" s="516" t="str">
        <f t="array" ref="J123">XLOOKUP(LCARS_Off[AbilityID],RawOfficer[AbilityID],RawOfficer[Tag_MissionBosses])</f>
        <v>➖</v>
      </c>
      <c r="K123" s="516" t="str">
        <f t="array" ref="K123">XLOOKUP(LCARS_Off[AbilityID],RawOfficer[AbilityID],RawOfficer[Tag_GroupArmadas])</f>
        <v>➖</v>
      </c>
      <c r="L123" s="516" t="str">
        <f t="array" ref="L123">XLOOKUP(LCARS_Off[AbilityID],RawOfficer[AbilityID],RawOfficer[Tag_SoloArmadas])</f>
        <v>➖</v>
      </c>
      <c r="M123" s="516" t="str">
        <f t="array" ref="M123">XLOOKUP(LCARS_Off[AbilityID],RawOfficer[AbilityID],RawOfficer[Tag_InvadingEntities])</f>
        <v>➖</v>
      </c>
      <c r="N123" s="516" t="str">
        <f t="array" ref="N123">XLOOKUP(LCARS_Off[AbilityID],RawOfficer[AbilityID],RawOfficer[Tag_Assaults])</f>
        <v>➖</v>
      </c>
      <c r="O123" s="516" t="str">
        <f t="array" ref="O123">XLOOKUP(LCARS_Off[AbilityID],RawOfficer[AbilityID],RawOfficer[Tag_OutpostArmadas])</f>
        <v>➖</v>
      </c>
      <c r="P123" s="516" t="str">
        <f t="array" ref="P123">XLOOKUP(LCARS_Off[AbilityID],RawOfficer[AbilityID],RawOfficer[Tag_OutpostRetaliators])</f>
        <v>➖</v>
      </c>
      <c r="Q123" s="517" t="str">
        <f t="array" ref="Q123">XLOOKUP(LCARS_Off[AbilityID],RawOfficer[AbilityID],RawOfficer[Conditional_Reason])</f>
        <v/>
      </c>
      <c r="R123" s="518" t="str">
        <f t="array" ref="R123">XLOOKUP(LCARS_Off[AbilityID],RawOfficer[AbilityID],RawOfficer[Tag_Loot])</f>
        <v>➖</v>
      </c>
      <c r="S123" s="516" t="str">
        <f t="array" ref="S123">XLOOKUP(LCARS_Off[AbilityID],RawOfficer[AbilityID],RawOfficer[Tag_Utility])</f>
        <v>✅</v>
      </c>
      <c r="T123" s="429" t="str">
        <f t="array" ref="T123">XLOOKUP(LCARS_Off[AbilityID],RawOfficer[AbilityID],RawOfficer[OfficerSynergy])</f>
        <v>SURVEYORS &amp; MINERS</v>
      </c>
      <c r="U123" s="519" t="str">
        <f t="array" ref="U123">XLOOKUP(LCARS_Off[AbilityID],RawOfficer[AbilityID],RawOfficer[AbilityModifier])</f>
        <v>CargoProtection</v>
      </c>
      <c r="V123" s="519" t="str">
        <f t="array" ref="V123">XLOOKUP(LCARS_Off[AbilityID],RawOfficer[AbilityID],RawOfficer[AbilityAttributes])</f>
        <v/>
      </c>
      <c r="W123" s="520" t="str">
        <f t="array" ref="W123">XLOOKUP(LCARS_Off[AbilityID],RawOfficer[AbilityID],RawOfficer[AbilityConditions])</f>
        <v/>
      </c>
      <c r="X123" s="519" t="str">
        <f t="array" ref="X123">XLOOKUP(LCARS_Off[AbilityID],RawOfficer[AbilityID],RawOfficer[AbilityTrigger])</f>
        <v>ShipLaunched</v>
      </c>
      <c r="Y123" s="519" t="str">
        <f t="array" ref="Y123">XLOOKUP(LCARS_Off[AbilityID],RawOfficer[AbilityID],RawOfficer[AbilityTarget])</f>
        <v>SelfShip</v>
      </c>
      <c r="Z123" s="519" t="str">
        <f t="array" ref="Z123">XLOOKUP(LCARS_Off[AbilityID],RawOfficer[AbilityID],RawOfficer[AbilityOperation])</f>
        <v>MultiplyAdd</v>
      </c>
      <c r="AA123" s="521" t="str">
        <f t="array" ref="AA123">XLOOKUP(LCARS_Off[AbilityID],RawOfficer[AbilityID],RawOfficer[AbilityDescription])</f>
        <v>Raphaël DuPont increases the Protected Cargo by X.</v>
      </c>
      <c r="AB123" s="429" t="b">
        <v>0</v>
      </c>
      <c r="AC123" s="522" t="str">
        <f t="array" ref="AC123">XLOOKUP(LCARS_Off[AbilityID],RawOfficer[AbilityID],RawOfficer[AbilityDescriptionShort])</f>
        <v>+X to this ship's Protected Cargo</v>
      </c>
      <c r="AD123" s="523"/>
      <c r="AE123" s="524"/>
      <c r="AF123" s="524"/>
      <c r="AG123" s="525" t="str">
        <f t="array" ref="AG123">XLOOKUP(LCARS_Off[AbilityID],RawOfficer[AbilityID],RawOfficer[AbilityChances])</f>
        <v>1.0, 1.0, 1.0, 1.0, 1.0</v>
      </c>
      <c r="AH123" s="525" t="str">
        <f t="array" ref="AH123">XLOOKUP(LCARS_Off[AbilityID],RawOfficer[AbilityID],RawOfficer[AbilityValues])</f>
        <v>0.5, 1.0, 1.5, 2.0, 3.0</v>
      </c>
      <c r="AI123" s="428" t="b">
        <f t="array" ref="AI123">XLOOKUP(LCARS_Off[AbilityID],RawOfficer[AbilityID],RawOfficer[AbilityHasChance])</f>
        <v>0</v>
      </c>
      <c r="AJ123" s="428" t="b">
        <f t="array" ref="AJ123">XLOOKUP(LCARS_Off[AbilityID],RawOfficer[AbilityID],RawOfficer[AbilityShowPercentage])</f>
        <v>1</v>
      </c>
      <c r="AK123" s="429">
        <f t="array" ref="AK123">XLOOKUP(LCARS_Off[AbilityID],RawOfficer[AbilityID],RawOfficer[OfficerArt])</f>
        <v>39</v>
      </c>
      <c r="AL123" s="430">
        <v>3.267066178E9</v>
      </c>
      <c r="AM123" s="430">
        <f t="array" ref="AM123">XLOOKUP(LCARS_Off[AbilityID],RawOfficer[AbilityID],RawOfficer[Default Order])</f>
        <v>120</v>
      </c>
    </row>
    <row r="124">
      <c r="A124" s="429" t="str">
        <f t="array" ref="A124">LEFT(XLOOKUP(LCARS_Off[AbilityID],RawOfficer[AbilityID],RawOfficer[OfficerRarity]), 1)</f>
        <v>U</v>
      </c>
      <c r="B124" s="429"/>
      <c r="C124" s="514" t="str">
        <f t="array" ref="C124">HYPERLINK("https://stfc.space/officers/" &amp; XLOOKUP(LCARS_Off[AbilityID],RawOfficer[AbilityID],RawOfficer[OfficerId]), XLOOKUP(LCARS_Off[AbilityID],RawOfficer[AbilityID],RawOfficer[OfficerName]))</f>
        <v>ZHOU</v>
      </c>
      <c r="D124" s="515" t="str">
        <f t="array" ref="D124">XLOOKUP(LCARS_Off[AbilityID],RawOfficer[AbilityID],RawOfficer[AbilityType])</f>
        <v>CM</v>
      </c>
      <c r="E124" s="516" t="str">
        <f t="array" ref="E124">XLOOKUP(LCARS_Off[AbilityID],RawOfficer[AbilityID],RawOfficer[Tag_PvPinSpace])</f>
        <v>✅</v>
      </c>
      <c r="F124" s="516" t="str">
        <f t="array" ref="F124">XLOOKUP(LCARS_Off[AbilityID],RawOfficer[AbilityID],RawOfficer[Tag_PvPStation])</f>
        <v>✅</v>
      </c>
      <c r="G124" s="516" t="str">
        <f t="array" ref="G124">XLOOKUP(LCARS_Off[AbilityID],RawOfficer[AbilityID],RawOfficer[Tag_NonArmadaHostiles])</f>
        <v>✅</v>
      </c>
      <c r="H124" s="516" t="str">
        <f t="array" ref="H124">XLOOKUP(LCARS_Off[AbilityID],RawOfficer[AbilityID],RawOfficer[Tag_WaveDefense])</f>
        <v>✅</v>
      </c>
      <c r="I124" s="516" t="str">
        <f t="array" ref="I124">XLOOKUP(LCARS_Off[AbilityID],RawOfficer[AbilityID],RawOfficer[Tag_QTrial])</f>
        <v>✅</v>
      </c>
      <c r="J124" s="516" t="str">
        <f t="array" ref="J124">XLOOKUP(LCARS_Off[AbilityID],RawOfficer[AbilityID],RawOfficer[Tag_MissionBosses])</f>
        <v>✅</v>
      </c>
      <c r="K124" s="516" t="str">
        <f t="array" ref="K124">XLOOKUP(LCARS_Off[AbilityID],RawOfficer[AbilityID],RawOfficer[Tag_GroupArmadas])</f>
        <v>✅</v>
      </c>
      <c r="L124" s="516" t="str">
        <f t="array" ref="L124">XLOOKUP(LCARS_Off[AbilityID],RawOfficer[AbilityID],RawOfficer[Tag_SoloArmadas])</f>
        <v>✅</v>
      </c>
      <c r="M124" s="516" t="str">
        <f t="array" ref="M124">XLOOKUP(LCARS_Off[AbilityID],RawOfficer[AbilityID],RawOfficer[Tag_InvadingEntities])</f>
        <v>✅</v>
      </c>
      <c r="N124" s="516" t="str">
        <f t="array" ref="N124">XLOOKUP(LCARS_Off[AbilityID],RawOfficer[AbilityID],RawOfficer[Tag_Assaults])</f>
        <v>✅</v>
      </c>
      <c r="O124" s="516" t="str">
        <f t="array" ref="O124">XLOOKUP(LCARS_Off[AbilityID],RawOfficer[AbilityID],RawOfficer[Tag_OutpostArmadas])</f>
        <v>✅</v>
      </c>
      <c r="P124" s="516" t="str">
        <f t="array" ref="P124">XLOOKUP(LCARS_Off[AbilityID],RawOfficer[AbilityID],RawOfficer[Tag_OutpostRetaliators])</f>
        <v>✅</v>
      </c>
      <c r="Q124" s="517" t="str">
        <f t="array" ref="Q124">XLOOKUP(LCARS_Off[AbilityID],RawOfficer[AbilityID],RawOfficer[Conditional_Reason])</f>
        <v/>
      </c>
      <c r="R124" s="518" t="str">
        <f t="array" ref="R124">XLOOKUP(LCARS_Off[AbilityID],RawOfficer[AbilityID],RawOfficer[Tag_Loot])</f>
        <v>➖</v>
      </c>
      <c r="S124" s="516" t="str">
        <f t="array" ref="S124">XLOOKUP(LCARS_Off[AbilityID],RawOfficer[AbilityID],RawOfficer[Tag_Utility])</f>
        <v>➖</v>
      </c>
      <c r="T124" s="429" t="str">
        <f t="array" ref="T124">XLOOKUP(LCARS_Off[AbilityID],RawOfficer[AbilityID],RawOfficer[OfficerSynergy])</f>
        <v>SECTION 31</v>
      </c>
      <c r="U124" s="519" t="str">
        <f t="array" ref="U124">XLOOKUP(LCARS_Off[AbilityID],RawOfficer[AbilityID],RawOfficer[AbilityModifier])</f>
        <v>OfficerStatDefense</v>
      </c>
      <c r="V124" s="519" t="str">
        <f t="array" ref="V124">XLOOKUP(LCARS_Off[AbilityID],RawOfficer[AbilityID],RawOfficer[AbilityAttributes])</f>
        <v/>
      </c>
      <c r="W124" s="520" t="str">
        <f t="array" ref="W124">XLOOKUP(LCARS_Off[AbilityID],RawOfficer[AbilityID],RawOfficer[AbilityConditions])</f>
        <v/>
      </c>
      <c r="X124" s="519" t="str">
        <f t="array" ref="X124">XLOOKUP(LCARS_Off[AbilityID],RawOfficer[AbilityID],RawOfficer[AbilityTrigger])</f>
        <v>ShipLaunched</v>
      </c>
      <c r="Y124" s="519" t="str">
        <f t="array" ref="Y124">XLOOKUP(LCARS_Off[AbilityID],RawOfficer[AbilityID],RawOfficer[AbilityTarget])</f>
        <v>SelfBridge</v>
      </c>
      <c r="Z124" s="519" t="str">
        <f t="array" ref="Z124">XLOOKUP(LCARS_Off[AbilityID],RawOfficer[AbilityID],RawOfficer[AbilityOperation])</f>
        <v>MultiplyAdd</v>
      </c>
      <c r="AA124" s="521" t="str">
        <f t="array" ref="AA124">XLOOKUP(LCARS_Off[AbilityID],RawOfficer[AbilityID],RawOfficer[AbilityDescription])</f>
        <v>Paul Zhou increases the Defense of all Officers on the bridge of the ship by X</v>
      </c>
      <c r="AB124" s="429" t="b">
        <v>0</v>
      </c>
      <c r="AC124" s="522" t="str">
        <f t="array" ref="AC124">XLOOKUP(LCARS_Off[AbilityID],RawOfficer[AbilityID],RawOfficer[AbilityDescriptionShort])</f>
        <v>+X to Officer Defense on the bridge of the ship</v>
      </c>
      <c r="AD124" s="523"/>
      <c r="AE124" s="524"/>
      <c r="AF124" s="524"/>
      <c r="AG124" s="525" t="str">
        <f t="array" ref="AG124">XLOOKUP(LCARS_Off[AbilityID],RawOfficer[AbilityID],RawOfficer[AbilityChances])</f>
        <v>1.0, 1.0, 1.0</v>
      </c>
      <c r="AH124" s="525" t="str">
        <f t="array" ref="AH124">XLOOKUP(LCARS_Off[AbilityID],RawOfficer[AbilityID],RawOfficer[AbilityValues])</f>
        <v>0.15, 0.06, 0.1</v>
      </c>
      <c r="AI124" s="428" t="b">
        <f t="array" ref="AI124">XLOOKUP(LCARS_Off[AbilityID],RawOfficer[AbilityID],RawOfficer[AbilityHasChance])</f>
        <v>0</v>
      </c>
      <c r="AJ124" s="428" t="b">
        <f t="array" ref="AJ124">XLOOKUP(LCARS_Off[AbilityID],RawOfficer[AbilityID],RawOfficer[AbilityShowPercentage])</f>
        <v>1</v>
      </c>
      <c r="AK124" s="429">
        <f t="array" ref="AK124">XLOOKUP(LCARS_Off[AbilityID],RawOfficer[AbilityID],RawOfficer[OfficerArt])</f>
        <v>40</v>
      </c>
      <c r="AL124" s="430">
        <v>1.892484976E9</v>
      </c>
      <c r="AM124" s="430">
        <f t="array" ref="AM124">XLOOKUP(LCARS_Off[AbilityID],RawOfficer[AbilityID],RawOfficer[Default Order])</f>
        <v>121</v>
      </c>
    </row>
    <row r="125">
      <c r="A125" s="429" t="str">
        <f t="array" ref="A125">LEFT(XLOOKUP(LCARS_Off[AbilityID],RawOfficer[AbilityID],RawOfficer[OfficerRarity]), 1)</f>
        <v>U</v>
      </c>
      <c r="B125" s="429"/>
      <c r="C125" s="514" t="str">
        <f t="array" ref="C125">HYPERLINK("https://stfc.space/officers/" &amp; XLOOKUP(LCARS_Off[AbilityID],RawOfficer[AbilityID],RawOfficer[OfficerId]), XLOOKUP(LCARS_Off[AbilityID],RawOfficer[AbilityID],RawOfficer[OfficerName]))</f>
        <v>ZHOU</v>
      </c>
      <c r="D125" s="515" t="str">
        <f t="array" ref="D125">XLOOKUP(LCARS_Off[AbilityID],RawOfficer[AbilityID],RawOfficer[AbilityType])</f>
        <v>OA</v>
      </c>
      <c r="E125" s="516" t="str">
        <f t="array" ref="E125">XLOOKUP(LCARS_Off[AbilityID],RawOfficer[AbilityID],RawOfficer[Tag_PvPinSpace])</f>
        <v>✴️</v>
      </c>
      <c r="F125" s="516" t="str">
        <f t="array" ref="F125">XLOOKUP(LCARS_Off[AbilityID],RawOfficer[AbilityID],RawOfficer[Tag_PvPStation])</f>
        <v>✴️</v>
      </c>
      <c r="G125" s="516" t="str">
        <f t="array" ref="G125">XLOOKUP(LCARS_Off[AbilityID],RawOfficer[AbilityID],RawOfficer[Tag_NonArmadaHostiles])</f>
        <v>✴️</v>
      </c>
      <c r="H125" s="516" t="str">
        <f t="array" ref="H125">XLOOKUP(LCARS_Off[AbilityID],RawOfficer[AbilityID],RawOfficer[Tag_WaveDefense])</f>
        <v>✴️</v>
      </c>
      <c r="I125" s="516" t="str">
        <f t="array" ref="I125">XLOOKUP(LCARS_Off[AbilityID],RawOfficer[AbilityID],RawOfficer[Tag_QTrial])</f>
        <v>✴️</v>
      </c>
      <c r="J125" s="516" t="str">
        <f t="array" ref="J125">XLOOKUP(LCARS_Off[AbilityID],RawOfficer[AbilityID],RawOfficer[Tag_MissionBosses])</f>
        <v>✴️</v>
      </c>
      <c r="K125" s="516" t="str">
        <f t="array" ref="K125">XLOOKUP(LCARS_Off[AbilityID],RawOfficer[AbilityID],RawOfficer[Tag_GroupArmadas])</f>
        <v>✴️</v>
      </c>
      <c r="L125" s="516" t="str">
        <f t="array" ref="L125">XLOOKUP(LCARS_Off[AbilityID],RawOfficer[AbilityID],RawOfficer[Tag_SoloArmadas])</f>
        <v>✴️</v>
      </c>
      <c r="M125" s="516" t="str">
        <f t="array" ref="M125">XLOOKUP(LCARS_Off[AbilityID],RawOfficer[AbilityID],RawOfficer[Tag_InvadingEntities])</f>
        <v>✴️</v>
      </c>
      <c r="N125" s="516" t="str">
        <f t="array" ref="N125">XLOOKUP(LCARS_Off[AbilityID],RawOfficer[AbilityID],RawOfficer[Tag_Assaults])</f>
        <v>✴️</v>
      </c>
      <c r="O125" s="516" t="str">
        <f t="array" ref="O125">XLOOKUP(LCARS_Off[AbilityID],RawOfficer[AbilityID],RawOfficer[Tag_OutpostArmadas])</f>
        <v>✴️</v>
      </c>
      <c r="P125" s="516" t="str">
        <f t="array" ref="P125">XLOOKUP(LCARS_Off[AbilityID],RawOfficer[AbilityID],RawOfficer[Tag_OutpostRetaliators])</f>
        <v>✴️</v>
      </c>
      <c r="Q125" s="517" t="str">
        <f t="array" ref="Q125">XLOOKUP(LCARS_Off[AbilityID],RawOfficer[AbilityID],RawOfficer[Conditional_Reason])</f>
        <v>SelfHasMorale</v>
      </c>
      <c r="R125" s="518" t="str">
        <f t="array" ref="R125">XLOOKUP(LCARS_Off[AbilityID],RawOfficer[AbilityID],RawOfficer[Tag_Loot])</f>
        <v>➖</v>
      </c>
      <c r="S125" s="516" t="str">
        <f t="array" ref="S125">XLOOKUP(LCARS_Off[AbilityID],RawOfficer[AbilityID],RawOfficer[Tag_Utility])</f>
        <v>➖</v>
      </c>
      <c r="T125" s="429" t="str">
        <f t="array" ref="T125">XLOOKUP(LCARS_Off[AbilityID],RawOfficer[AbilityID],RawOfficer[OfficerSynergy])</f>
        <v>SECTION 31</v>
      </c>
      <c r="U125" s="519" t="str">
        <f t="array" ref="U125">XLOOKUP(LCARS_Off[AbilityID],RawOfficer[AbilityID],RawOfficer[AbilityModifier])</f>
        <v>AllDefenses</v>
      </c>
      <c r="V125" s="519" t="str">
        <f t="array" ref="V125">XLOOKUP(LCARS_Off[AbilityID],RawOfficer[AbilityID],RawOfficer[AbilityAttributes])</f>
        <v>num_rounds=1, officer_stat=2</v>
      </c>
      <c r="W125" s="520" t="str">
        <f t="array" ref="W125">XLOOKUP(LCARS_Off[AbilityID],RawOfficer[AbilityID],RawOfficer[AbilityConditions])</f>
        <v>SelfHasMorale</v>
      </c>
      <c r="X125" s="519" t="str">
        <f t="array" ref="X125">XLOOKUP(LCARS_Off[AbilityID],RawOfficer[AbilityID],RawOfficer[AbilityTrigger])</f>
        <v>RoundStart</v>
      </c>
      <c r="Y125" s="519" t="str">
        <f t="array" ref="Y125">XLOOKUP(LCARS_Off[AbilityID],RawOfficer[AbilityID],RawOfficer[AbilityTarget])</f>
        <v>SelfShip</v>
      </c>
      <c r="Z125" s="519" t="str">
        <f t="array" ref="Z125">XLOOKUP(LCARS_Off[AbilityID],RawOfficer[AbilityID],RawOfficer[AbilityOperation])</f>
        <v>MultiplyBaseAdd</v>
      </c>
      <c r="AA125" s="521" t="str">
        <f t="array" ref="AA125">XLOOKUP(LCARS_Off[AbilityID],RawOfficer[AbilityID],RawOfficer[AbilityDescription])</f>
        <v>As long as the ship has Morale, Paul Zhou increases the Shield deflection, Armor and Dodge of the ship by X of the crew's Defense.</v>
      </c>
      <c r="AB125" s="429" t="b">
        <v>0</v>
      </c>
      <c r="AC125" s="522" t="str">
        <f t="array" ref="AC125">XLOOKUP(LCARS_Off[AbilityID],RawOfficer[AbilityID],RawOfficer[AbilityDescriptionShort])</f>
        <v>X of the crew's Defense bonus to Dodge, Armor and Shield Deflection while having Morale</v>
      </c>
      <c r="AD125" s="523"/>
      <c r="AE125" s="524"/>
      <c r="AF125" s="524"/>
      <c r="AG125" s="525" t="str">
        <f t="array" ref="AG125">XLOOKUP(LCARS_Off[AbilityID],RawOfficer[AbilityID],RawOfficer[AbilityChances])</f>
        <v>1.0, 1.0, 1.0, 1.0, 1.0</v>
      </c>
      <c r="AH125" s="525" t="str">
        <f t="array" ref="AH125">XLOOKUP(LCARS_Off[AbilityID],RawOfficer[AbilityID],RawOfficer[AbilityValues])</f>
        <v>0.3, 0.4, 0.8, 1.6, 3.0</v>
      </c>
      <c r="AI125" s="428" t="b">
        <f t="array" ref="AI125">XLOOKUP(LCARS_Off[AbilityID],RawOfficer[AbilityID],RawOfficer[AbilityHasChance])</f>
        <v>0</v>
      </c>
      <c r="AJ125" s="428" t="b">
        <f t="array" ref="AJ125">XLOOKUP(LCARS_Off[AbilityID],RawOfficer[AbilityID],RawOfficer[AbilityShowPercentage])</f>
        <v>1</v>
      </c>
      <c r="AK125" s="429">
        <f t="array" ref="AK125">XLOOKUP(LCARS_Off[AbilityID],RawOfficer[AbilityID],RawOfficer[OfficerArt])</f>
        <v>40</v>
      </c>
      <c r="AL125" s="430">
        <v>4.081666796E9</v>
      </c>
      <c r="AM125" s="430">
        <f t="array" ref="AM125">XLOOKUP(LCARS_Off[AbilityID],RawOfficer[AbilityID],RawOfficer[Default Order])</f>
        <v>122</v>
      </c>
    </row>
    <row r="126">
      <c r="A126" s="429" t="str">
        <f t="array" ref="A126">LEFT(XLOOKUP(LCARS_Off[AbilityID],RawOfficer[AbilityID],RawOfficer[OfficerRarity]), 1)</f>
        <v>U</v>
      </c>
      <c r="B126" s="429"/>
      <c r="C126" s="514" t="str">
        <f t="array" ref="C126">HYPERLINK("https://stfc.space/officers/" &amp; XLOOKUP(LCARS_Off[AbilityID],RawOfficer[AbilityID],RawOfficer[OfficerId]), XLOOKUP(LCARS_Off[AbilityID],RawOfficer[AbilityID],RawOfficer[OfficerName]))</f>
        <v>MÄKINEN</v>
      </c>
      <c r="D126" s="515" t="str">
        <f t="array" ref="D126">XLOOKUP(LCARS_Off[AbilityID],RawOfficer[AbilityID],RawOfficer[AbilityType])</f>
        <v>CM</v>
      </c>
      <c r="E126" s="516" t="str">
        <f t="array" ref="E126">XLOOKUP(LCARS_Off[AbilityID],RawOfficer[AbilityID],RawOfficer[Tag_PvPinSpace])</f>
        <v>➖</v>
      </c>
      <c r="F126" s="516" t="str">
        <f t="array" ref="F126">XLOOKUP(LCARS_Off[AbilityID],RawOfficer[AbilityID],RawOfficer[Tag_PvPStation])</f>
        <v>➖</v>
      </c>
      <c r="G126" s="516" t="str">
        <f t="array" ref="G126">XLOOKUP(LCARS_Off[AbilityID],RawOfficer[AbilityID],RawOfficer[Tag_NonArmadaHostiles])</f>
        <v>➖</v>
      </c>
      <c r="H126" s="516" t="str">
        <f t="array" ref="H126">XLOOKUP(LCARS_Off[AbilityID],RawOfficer[AbilityID],RawOfficer[Tag_WaveDefense])</f>
        <v>➖</v>
      </c>
      <c r="I126" s="516" t="str">
        <f t="array" ref="I126">XLOOKUP(LCARS_Off[AbilityID],RawOfficer[AbilityID],RawOfficer[Tag_QTrial])</f>
        <v>➖</v>
      </c>
      <c r="J126" s="516" t="str">
        <f t="array" ref="J126">XLOOKUP(LCARS_Off[AbilityID],RawOfficer[AbilityID],RawOfficer[Tag_MissionBosses])</f>
        <v>➖</v>
      </c>
      <c r="K126" s="516" t="str">
        <f t="array" ref="K126">XLOOKUP(LCARS_Off[AbilityID],RawOfficer[AbilityID],RawOfficer[Tag_GroupArmadas])</f>
        <v>➖</v>
      </c>
      <c r="L126" s="516" t="str">
        <f t="array" ref="L126">XLOOKUP(LCARS_Off[AbilityID],RawOfficer[AbilityID],RawOfficer[Tag_SoloArmadas])</f>
        <v>➖</v>
      </c>
      <c r="M126" s="516" t="str">
        <f t="array" ref="M126">XLOOKUP(LCARS_Off[AbilityID],RawOfficer[AbilityID],RawOfficer[Tag_InvadingEntities])</f>
        <v>➖</v>
      </c>
      <c r="N126" s="516" t="str">
        <f t="array" ref="N126">XLOOKUP(LCARS_Off[AbilityID],RawOfficer[AbilityID],RawOfficer[Tag_Assaults])</f>
        <v>➖</v>
      </c>
      <c r="O126" s="516" t="str">
        <f t="array" ref="O126">XLOOKUP(LCARS_Off[AbilityID],RawOfficer[AbilityID],RawOfficer[Tag_OutpostArmadas])</f>
        <v>➖</v>
      </c>
      <c r="P126" s="516" t="str">
        <f t="array" ref="P126">XLOOKUP(LCARS_Off[AbilityID],RawOfficer[AbilityID],RawOfficer[Tag_OutpostRetaliators])</f>
        <v>➖</v>
      </c>
      <c r="Q126" s="517" t="str">
        <f t="array" ref="Q126">XLOOKUP(LCARS_Off[AbilityID],RawOfficer[AbilityID],RawOfficer[Conditional_Reason])</f>
        <v/>
      </c>
      <c r="R126" s="518" t="str">
        <f t="array" ref="R126">XLOOKUP(LCARS_Off[AbilityID],RawOfficer[AbilityID],RawOfficer[Tag_Loot])</f>
        <v>➖</v>
      </c>
      <c r="S126" s="516" t="str">
        <f t="array" ref="S126">XLOOKUP(LCARS_Off[AbilityID],RawOfficer[AbilityID],RawOfficer[Tag_Utility])</f>
        <v>✅</v>
      </c>
      <c r="T126" s="429" t="str">
        <f t="array" ref="T126">XLOOKUP(LCARS_Off[AbilityID],RawOfficer[AbilityID],RawOfficer[OfficerSynergy])</f>
        <v>SURVEYORS &amp; MINERS</v>
      </c>
      <c r="U126" s="519" t="str">
        <f t="array" ref="U126">XLOOKUP(LCARS_Off[AbilityID],RawOfficer[AbilityID],RawOfficer[AbilityModifier])</f>
        <v>MiningRate</v>
      </c>
      <c r="V126" s="519" t="str">
        <f t="array" ref="V126">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126" s="520" t="str">
        <f t="array" ref="W126">XLOOKUP(LCARS_Off[AbilityID],RawOfficer[AbilityID],RawOfficer[AbilityConditions])</f>
        <v/>
      </c>
      <c r="X126" s="519" t="str">
        <f t="array" ref="X126">XLOOKUP(LCARS_Off[AbilityID],RawOfficer[AbilityID],RawOfficer[AbilityTrigger])</f>
        <v>ShipLaunched</v>
      </c>
      <c r="Y126" s="519" t="str">
        <f t="array" ref="Y126">XLOOKUP(LCARS_Off[AbilityID],RawOfficer[AbilityID],RawOfficer[AbilityTarget])</f>
        <v>SelfShip</v>
      </c>
      <c r="Z126" s="519" t="str">
        <f t="array" ref="Z126">XLOOKUP(LCARS_Off[AbilityID],RawOfficer[AbilityID],RawOfficer[AbilityOperation])</f>
        <v>MultiplyAdd</v>
      </c>
      <c r="AA126" s="521" t="str">
        <f t="array" ref="AA126">XLOOKUP(LCARS_Off[AbilityID],RawOfficer[AbilityID],RawOfficer[AbilityDescription])</f>
        <v>Elea Mäkinen increases the Mining Speed of the ship by X.</v>
      </c>
      <c r="AB126" s="429" t="b">
        <v>0</v>
      </c>
      <c r="AC126" s="522" t="str">
        <f t="array" ref="AC126">XLOOKUP(LCARS_Off[AbilityID],RawOfficer[AbilityID],RawOfficer[AbilityDescriptionShort])</f>
        <v>+X to base Mining Speed</v>
      </c>
      <c r="AD126" s="523"/>
      <c r="AE126" s="524"/>
      <c r="AF126" s="524"/>
      <c r="AG126" s="525" t="str">
        <f t="array" ref="AG126">XLOOKUP(LCARS_Off[AbilityID],RawOfficer[AbilityID],RawOfficer[AbilityChances])</f>
        <v>1.0, 1.0, 1.0</v>
      </c>
      <c r="AH126" s="525" t="str">
        <f t="array" ref="AH126">XLOOKUP(LCARS_Off[AbilityID],RawOfficer[AbilityID],RawOfficer[AbilityValues])</f>
        <v>0.1, 0.1, 0.2</v>
      </c>
      <c r="AI126" s="428" t="b">
        <f t="array" ref="AI126">XLOOKUP(LCARS_Off[AbilityID],RawOfficer[AbilityID],RawOfficer[AbilityHasChance])</f>
        <v>0</v>
      </c>
      <c r="AJ126" s="428" t="b">
        <f t="array" ref="AJ126">XLOOKUP(LCARS_Off[AbilityID],RawOfficer[AbilityID],RawOfficer[AbilityShowPercentage])</f>
        <v>1</v>
      </c>
      <c r="AK126" s="429">
        <f t="array" ref="AK126">XLOOKUP(LCARS_Off[AbilityID],RawOfficer[AbilityID],RawOfficer[OfficerArt])</f>
        <v>42</v>
      </c>
      <c r="AL126" s="430">
        <v>3.618813132E9</v>
      </c>
      <c r="AM126" s="430">
        <f t="array" ref="AM126">XLOOKUP(LCARS_Off[AbilityID],RawOfficer[AbilityID],RawOfficer[Default Order])</f>
        <v>123</v>
      </c>
    </row>
    <row r="127">
      <c r="A127" s="429" t="str">
        <f t="array" ref="A127">LEFT(XLOOKUP(LCARS_Off[AbilityID],RawOfficer[AbilityID],RawOfficer[OfficerRarity]), 1)</f>
        <v>U</v>
      </c>
      <c r="B127" s="429"/>
      <c r="C127" s="514" t="str">
        <f t="array" ref="C127">HYPERLINK("https://stfc.space/officers/" &amp; XLOOKUP(LCARS_Off[AbilityID],RawOfficer[AbilityID],RawOfficer[OfficerId]), XLOOKUP(LCARS_Off[AbilityID],RawOfficer[AbilityID],RawOfficer[OfficerName]))</f>
        <v>MÄKINEN</v>
      </c>
      <c r="D127" s="515" t="str">
        <f t="array" ref="D127">XLOOKUP(LCARS_Off[AbilityID],RawOfficer[AbilityID],RawOfficer[AbilityType])</f>
        <v>OA</v>
      </c>
      <c r="E127" s="516" t="str">
        <f t="array" ref="E127">XLOOKUP(LCARS_Off[AbilityID],RawOfficer[AbilityID],RawOfficer[Tag_PvPinSpace])</f>
        <v>➖</v>
      </c>
      <c r="F127" s="516" t="str">
        <f t="array" ref="F127">XLOOKUP(LCARS_Off[AbilityID],RawOfficer[AbilityID],RawOfficer[Tag_PvPStation])</f>
        <v>➖</v>
      </c>
      <c r="G127" s="516" t="str">
        <f t="array" ref="G127">XLOOKUP(LCARS_Off[AbilityID],RawOfficer[AbilityID],RawOfficer[Tag_NonArmadaHostiles])</f>
        <v>➖</v>
      </c>
      <c r="H127" s="516" t="str">
        <f t="array" ref="H127">XLOOKUP(LCARS_Off[AbilityID],RawOfficer[AbilityID],RawOfficer[Tag_WaveDefense])</f>
        <v>➖</v>
      </c>
      <c r="I127" s="516" t="str">
        <f t="array" ref="I127">XLOOKUP(LCARS_Off[AbilityID],RawOfficer[AbilityID],RawOfficer[Tag_QTrial])</f>
        <v>➖</v>
      </c>
      <c r="J127" s="516" t="str">
        <f t="array" ref="J127">XLOOKUP(LCARS_Off[AbilityID],RawOfficer[AbilityID],RawOfficer[Tag_MissionBosses])</f>
        <v>➖</v>
      </c>
      <c r="K127" s="516" t="str">
        <f t="array" ref="K127">XLOOKUP(LCARS_Off[AbilityID],RawOfficer[AbilityID],RawOfficer[Tag_GroupArmadas])</f>
        <v>➖</v>
      </c>
      <c r="L127" s="516" t="str">
        <f t="array" ref="L127">XLOOKUP(LCARS_Off[AbilityID],RawOfficer[AbilityID],RawOfficer[Tag_SoloArmadas])</f>
        <v>➖</v>
      </c>
      <c r="M127" s="516" t="str">
        <f t="array" ref="M127">XLOOKUP(LCARS_Off[AbilityID],RawOfficer[AbilityID],RawOfficer[Tag_InvadingEntities])</f>
        <v>➖</v>
      </c>
      <c r="N127" s="516" t="str">
        <f t="array" ref="N127">XLOOKUP(LCARS_Off[AbilityID],RawOfficer[AbilityID],RawOfficer[Tag_Assaults])</f>
        <v>➖</v>
      </c>
      <c r="O127" s="516" t="str">
        <f t="array" ref="O127">XLOOKUP(LCARS_Off[AbilityID],RawOfficer[AbilityID],RawOfficer[Tag_OutpostArmadas])</f>
        <v>➖</v>
      </c>
      <c r="P127" s="516" t="str">
        <f t="array" ref="P127">XLOOKUP(LCARS_Off[AbilityID],RawOfficer[AbilityID],RawOfficer[Tag_OutpostRetaliators])</f>
        <v>➖</v>
      </c>
      <c r="Q127" s="517" t="str">
        <f t="array" ref="Q127">XLOOKUP(LCARS_Off[AbilityID],RawOfficer[AbilityID],RawOfficer[Conditional_Reason])</f>
        <v/>
      </c>
      <c r="R127" s="518" t="str">
        <f t="array" ref="R127">XLOOKUP(LCARS_Off[AbilityID],RawOfficer[AbilityID],RawOfficer[Tag_Loot])</f>
        <v>➖</v>
      </c>
      <c r="S127" s="516" t="str">
        <f t="array" ref="S127">XLOOKUP(LCARS_Off[AbilityID],RawOfficer[AbilityID],RawOfficer[Tag_Utility])</f>
        <v>✅</v>
      </c>
      <c r="T127" s="429" t="str">
        <f t="array" ref="T127">XLOOKUP(LCARS_Off[AbilityID],RawOfficer[AbilityID],RawOfficer[OfficerSynergy])</f>
        <v>SURVEYORS &amp; MINERS</v>
      </c>
      <c r="U127" s="519" t="str">
        <f t="array" ref="U127">XLOOKUP(LCARS_Off[AbilityID],RawOfficer[AbilityID],RawOfficer[AbilityModifier])</f>
        <v>MiningRate</v>
      </c>
      <c r="V127" s="519" t="str">
        <f t="array" ref="V127">XLOOKUP(LCARS_Off[AbilityID],RawOfficer[AbilityID],RawOfficer[AbilityAttributes])</f>
        <v>resources=[2991010408, 2705205969, 563579678]</v>
      </c>
      <c r="W127" s="520" t="str">
        <f t="array" ref="W127">XLOOKUP(LCARS_Off[AbilityID],RawOfficer[AbilityID],RawOfficer[AbilityConditions])</f>
        <v/>
      </c>
      <c r="X127" s="519" t="str">
        <f t="array" ref="X127">XLOOKUP(LCARS_Off[AbilityID],RawOfficer[AbilityID],RawOfficer[AbilityTrigger])</f>
        <v>ShipLaunched</v>
      </c>
      <c r="Y127" s="519" t="str">
        <f t="array" ref="Y127">XLOOKUP(LCARS_Off[AbilityID],RawOfficer[AbilityID],RawOfficer[AbilityTarget])</f>
        <v>SelfShip</v>
      </c>
      <c r="Z127" s="519" t="str">
        <f t="array" ref="Z127">XLOOKUP(LCARS_Off[AbilityID],RawOfficer[AbilityID],RawOfficer[AbilityOperation])</f>
        <v>MultiplyAdd</v>
      </c>
      <c r="AA127" s="521" t="str">
        <f t="array" ref="AA127">XLOOKUP(LCARS_Off[AbilityID],RawOfficer[AbilityID],RawOfficer[AbilityDescription])</f>
        <v>Elea Mäkinen increases the rate of Isogen Mining by X.</v>
      </c>
      <c r="AB127" s="429" t="b">
        <v>0</v>
      </c>
      <c r="AC127" s="522" t="str">
        <f t="array" ref="AC127">XLOOKUP(LCARS_Off[AbilityID],RawOfficer[AbilityID],RawOfficer[AbilityDescriptionShort])</f>
        <v>+X to Isogen Mining Speed</v>
      </c>
      <c r="AD127" s="523"/>
      <c r="AE127" s="524"/>
      <c r="AF127" s="524"/>
      <c r="AG127" s="525" t="str">
        <f t="array" ref="AG127">XLOOKUP(LCARS_Off[AbilityID],RawOfficer[AbilityID],RawOfficer[AbilityChances])</f>
        <v>1.0, 1.0, 1.0, 1.0, 1.0</v>
      </c>
      <c r="AH127" s="525" t="str">
        <f t="array" ref="AH127">XLOOKUP(LCARS_Off[AbilityID],RawOfficer[AbilityID],RawOfficer[AbilityValues])</f>
        <v>0.2, 0.4, 0.6, 0.8, 1.0</v>
      </c>
      <c r="AI127" s="428" t="b">
        <f t="array" ref="AI127">XLOOKUP(LCARS_Off[AbilityID],RawOfficer[AbilityID],RawOfficer[AbilityHasChance])</f>
        <v>0</v>
      </c>
      <c r="AJ127" s="428" t="b">
        <f t="array" ref="AJ127">XLOOKUP(LCARS_Off[AbilityID],RawOfficer[AbilityID],RawOfficer[AbilityShowPercentage])</f>
        <v>1</v>
      </c>
      <c r="AK127" s="429">
        <f t="array" ref="AK127">XLOOKUP(LCARS_Off[AbilityID],RawOfficer[AbilityID],RawOfficer[OfficerArt])</f>
        <v>42</v>
      </c>
      <c r="AL127" s="430">
        <v>2.208202896E9</v>
      </c>
      <c r="AM127" s="430">
        <f t="array" ref="AM127">XLOOKUP(LCARS_Off[AbilityID],RawOfficer[AbilityID],RawOfficer[Default Order])</f>
        <v>124</v>
      </c>
    </row>
    <row r="128">
      <c r="A128" s="429" t="str">
        <f t="array" ref="A128">LEFT(XLOOKUP(LCARS_Off[AbilityID],RawOfficer[AbilityID],RawOfficer[OfficerRarity]), 1)</f>
        <v>E</v>
      </c>
      <c r="B128" s="429"/>
      <c r="C128" s="514" t="str">
        <f t="array" ref="C128">HYPERLINK("https://stfc.space/officers/" &amp; XLOOKUP(LCARS_Off[AbilityID],RawOfficer[AbilityID],RawOfficer[OfficerId]), XLOOKUP(LCARS_Off[AbilityID],RawOfficer[AbilityID],RawOfficer[OfficerName]))</f>
        <v>PIKE</v>
      </c>
      <c r="D128" s="515" t="str">
        <f t="array" ref="D128">XLOOKUP(LCARS_Off[AbilityID],RawOfficer[AbilityID],RawOfficer[AbilityType])</f>
        <v>CM</v>
      </c>
      <c r="E128" s="516" t="str">
        <f t="array" ref="E128">XLOOKUP(LCARS_Off[AbilityID],RawOfficer[AbilityID],RawOfficer[Tag_PvPinSpace])</f>
        <v>✴️</v>
      </c>
      <c r="F128" s="516" t="str">
        <f t="array" ref="F128">XLOOKUP(LCARS_Off[AbilityID],RawOfficer[AbilityID],RawOfficer[Tag_PvPStation])</f>
        <v>✴️</v>
      </c>
      <c r="G128" s="516" t="str">
        <f t="array" ref="G128">XLOOKUP(LCARS_Off[AbilityID],RawOfficer[AbilityID],RawOfficer[Tag_NonArmadaHostiles])</f>
        <v>✴️</v>
      </c>
      <c r="H128" s="516" t="str">
        <f t="array" ref="H128">XLOOKUP(LCARS_Off[AbilityID],RawOfficer[AbilityID],RawOfficer[Tag_WaveDefense])</f>
        <v>✴️</v>
      </c>
      <c r="I128" s="516" t="str">
        <f t="array" ref="I128">XLOOKUP(LCARS_Off[AbilityID],RawOfficer[AbilityID],RawOfficer[Tag_QTrial])</f>
        <v>✴️</v>
      </c>
      <c r="J128" s="516" t="str">
        <f t="array" ref="J128">XLOOKUP(LCARS_Off[AbilityID],RawOfficer[AbilityID],RawOfficer[Tag_MissionBosses])</f>
        <v>✴️</v>
      </c>
      <c r="K128" s="516" t="str">
        <f t="array" ref="K128">XLOOKUP(LCARS_Off[AbilityID],RawOfficer[AbilityID],RawOfficer[Tag_GroupArmadas])</f>
        <v>✴️</v>
      </c>
      <c r="L128" s="516" t="str">
        <f t="array" ref="L128">XLOOKUP(LCARS_Off[AbilityID],RawOfficer[AbilityID],RawOfficer[Tag_SoloArmadas])</f>
        <v>✴️</v>
      </c>
      <c r="M128" s="516" t="str">
        <f t="array" ref="M128">XLOOKUP(LCARS_Off[AbilityID],RawOfficer[AbilityID],RawOfficer[Tag_InvadingEntities])</f>
        <v>✴️</v>
      </c>
      <c r="N128" s="516" t="str">
        <f t="array" ref="N128">XLOOKUP(LCARS_Off[AbilityID],RawOfficer[AbilityID],RawOfficer[Tag_Assaults])</f>
        <v>✴️</v>
      </c>
      <c r="O128" s="516" t="str">
        <f t="array" ref="O128">XLOOKUP(LCARS_Off[AbilityID],RawOfficer[AbilityID],RawOfficer[Tag_OutpostArmadas])</f>
        <v>✴️</v>
      </c>
      <c r="P128" s="516" t="str">
        <f t="array" ref="P128">XLOOKUP(LCARS_Off[AbilityID],RawOfficer[AbilityID],RawOfficer[Tag_OutpostRetaliators])</f>
        <v>✴️</v>
      </c>
      <c r="Q128" s="517" t="str">
        <f t="array" ref="Q128">XLOOKUP(LCARS_Off[AbilityID],RawOfficer[AbilityID],RawOfficer[Conditional_Reason])</f>
        <v>target level 70 or under</v>
      </c>
      <c r="R128" s="518" t="str">
        <f t="array" ref="R128">XLOOKUP(LCARS_Off[AbilityID],RawOfficer[AbilityID],RawOfficer[Tag_Loot])</f>
        <v>➖</v>
      </c>
      <c r="S128" s="516" t="str">
        <f t="array" ref="S128">XLOOKUP(LCARS_Off[AbilityID],RawOfficer[AbilityID],RawOfficer[Tag_Utility])</f>
        <v>➖</v>
      </c>
      <c r="T128" s="429" t="str">
        <f t="array" ref="T128">XLOOKUP(LCARS_Off[AbilityID],RawOfficer[AbilityID],RawOfficer[OfficerSynergy])</f>
        <v>SHAKEDOWN CRUISE</v>
      </c>
      <c r="U128" s="519" t="str">
        <f t="array" ref="U128">XLOOKUP(LCARS_Off[AbilityID],RawOfficer[AbilityID],RawOfficer[AbilityModifier])</f>
        <v>OffAbilityEffect</v>
      </c>
      <c r="V128" s="519" t="str">
        <f t="array" ref="V128">XLOOKUP(LCARS_Off[AbilityID],RawOfficer[AbilityID],RawOfficer[AbilityAttributes])</f>
        <v>max_level=70</v>
      </c>
      <c r="W128" s="520" t="str">
        <f t="array" ref="W128">XLOOKUP(LCARS_Off[AbilityID],RawOfficer[AbilityID],RawOfficer[AbilityConditions])</f>
        <v>TargetMaxLevel</v>
      </c>
      <c r="X128" s="519" t="str">
        <f t="array" ref="X128">XLOOKUP(LCARS_Off[AbilityID],RawOfficer[AbilityID],RawOfficer[AbilityTrigger])</f>
        <v>CombatStart</v>
      </c>
      <c r="Y128" s="519" t="str">
        <f t="array" ref="Y128">XLOOKUP(LCARS_Off[AbilityID],RawOfficer[AbilityID],RawOfficer[AbilityTarget])</f>
        <v>SelfBridge</v>
      </c>
      <c r="Z128" s="519" t="str">
        <f t="array" ref="Z128">XLOOKUP(LCARS_Off[AbilityID],RawOfficer[AbilityID],RawOfficer[AbilityOperation])</f>
        <v>MultiplyAdd</v>
      </c>
      <c r="AA128" s="521" t="str">
        <f t="array" ref="AA128">XLOOKUP(LCARS_Off[AbilityID],RawOfficer[AbilityID],RawOfficer[AbilityDescription])</f>
        <v>Christopher Pike increases the effectiveness of all Officer Abilities that trigger in combat by X. Works against Hostiles of level 70 and under.</v>
      </c>
      <c r="AB128" s="429" t="b">
        <v>0</v>
      </c>
      <c r="AC128" s="522" t="str">
        <f t="array" ref="AC128">XLOOKUP(LCARS_Off[AbilityID],RawOfficer[AbilityID],RawOfficer[AbilityDescriptionShort])</f>
        <v>X increased effectiveness to Officer Abilities that activate in combat</v>
      </c>
      <c r="AD128" s="523"/>
      <c r="AE128" s="524"/>
      <c r="AF128" s="524"/>
      <c r="AG128" s="525" t="str">
        <f t="array" ref="AG128">XLOOKUP(LCARS_Off[AbilityID],RawOfficer[AbilityID],RawOfficer[AbilityChances])</f>
        <v>1.0, 1.0, 1.0</v>
      </c>
      <c r="AH128" s="525" t="str">
        <f t="array" ref="AH128">XLOOKUP(LCARS_Off[AbilityID],RawOfficer[AbilityID],RawOfficer[AbilityValues])</f>
        <v>0.4, 0.4, 0.8</v>
      </c>
      <c r="AI128" s="428" t="b">
        <f t="array" ref="AI128">XLOOKUP(LCARS_Off[AbilityID],RawOfficer[AbilityID],RawOfficer[AbilityHasChance])</f>
        <v>0</v>
      </c>
      <c r="AJ128" s="428" t="b">
        <f t="array" ref="AJ128">XLOOKUP(LCARS_Off[AbilityID],RawOfficer[AbilityID],RawOfficer[AbilityShowPercentage])</f>
        <v>1</v>
      </c>
      <c r="AK128" s="429">
        <f t="array" ref="AK128">XLOOKUP(LCARS_Off[AbilityID],RawOfficer[AbilityID],RawOfficer[OfficerArt])</f>
        <v>90</v>
      </c>
      <c r="AL128" s="430">
        <v>1.56238802E8</v>
      </c>
      <c r="AM128" s="430">
        <f t="array" ref="AM128">XLOOKUP(LCARS_Off[AbilityID],RawOfficer[AbilityID],RawOfficer[Default Order])</f>
        <v>125</v>
      </c>
    </row>
    <row r="129">
      <c r="A129" s="429" t="str">
        <f t="array" ref="A129">LEFT(XLOOKUP(LCARS_Off[AbilityID],RawOfficer[AbilityID],RawOfficer[OfficerRarity]), 1)</f>
        <v>E</v>
      </c>
      <c r="B129" s="429"/>
      <c r="C129" s="514" t="str">
        <f t="array" ref="C129">HYPERLINK("https://stfc.space/officers/" &amp; XLOOKUP(LCARS_Off[AbilityID],RawOfficer[AbilityID],RawOfficer[OfficerId]), XLOOKUP(LCARS_Off[AbilityID],RawOfficer[AbilityID],RawOfficer[OfficerName]))</f>
        <v>PIKE</v>
      </c>
      <c r="D129" s="515" t="str">
        <f t="array" ref="D129">XLOOKUP(LCARS_Off[AbilityID],RawOfficer[AbilityID],RawOfficer[AbilityType])</f>
        <v>OA</v>
      </c>
      <c r="E129" s="516" t="str">
        <f t="array" ref="E129">XLOOKUP(LCARS_Off[AbilityID],RawOfficer[AbilityID],RawOfficer[Tag_PvPinSpace])</f>
        <v>➖</v>
      </c>
      <c r="F129" s="516" t="str">
        <f t="array" ref="F129">XLOOKUP(LCARS_Off[AbilityID],RawOfficer[AbilityID],RawOfficer[Tag_PvPStation])</f>
        <v>➖</v>
      </c>
      <c r="G129" s="516" t="str">
        <f t="array" ref="G129">XLOOKUP(LCARS_Off[AbilityID],RawOfficer[AbilityID],RawOfficer[Tag_NonArmadaHostiles])</f>
        <v>➖</v>
      </c>
      <c r="H129" s="516" t="str">
        <f t="array" ref="H129">XLOOKUP(LCARS_Off[AbilityID],RawOfficer[AbilityID],RawOfficer[Tag_WaveDefense])</f>
        <v>➖</v>
      </c>
      <c r="I129" s="516" t="str">
        <f t="array" ref="I129">XLOOKUP(LCARS_Off[AbilityID],RawOfficer[AbilityID],RawOfficer[Tag_QTrial])</f>
        <v>➖</v>
      </c>
      <c r="J129" s="516" t="str">
        <f t="array" ref="J129">XLOOKUP(LCARS_Off[AbilityID],RawOfficer[AbilityID],RawOfficer[Tag_MissionBosses])</f>
        <v>➖</v>
      </c>
      <c r="K129" s="516" t="str">
        <f t="array" ref="K129">XLOOKUP(LCARS_Off[AbilityID],RawOfficer[AbilityID],RawOfficer[Tag_GroupArmadas])</f>
        <v>➖</v>
      </c>
      <c r="L129" s="516" t="str">
        <f t="array" ref="L129">XLOOKUP(LCARS_Off[AbilityID],RawOfficer[AbilityID],RawOfficer[Tag_SoloArmadas])</f>
        <v>➖</v>
      </c>
      <c r="M129" s="516" t="str">
        <f t="array" ref="M129">XLOOKUP(LCARS_Off[AbilityID],RawOfficer[AbilityID],RawOfficer[Tag_InvadingEntities])</f>
        <v>➖</v>
      </c>
      <c r="N129" s="516" t="str">
        <f t="array" ref="N129">XLOOKUP(LCARS_Off[AbilityID],RawOfficer[AbilityID],RawOfficer[Tag_Assaults])</f>
        <v>➖</v>
      </c>
      <c r="O129" s="516" t="str">
        <f t="array" ref="O129">XLOOKUP(LCARS_Off[AbilityID],RawOfficer[AbilityID],RawOfficer[Tag_OutpostArmadas])</f>
        <v>➖</v>
      </c>
      <c r="P129" s="516" t="str">
        <f t="array" ref="P129">XLOOKUP(LCARS_Off[AbilityID],RawOfficer[AbilityID],RawOfficer[Tag_OutpostRetaliators])</f>
        <v>➖</v>
      </c>
      <c r="Q129" s="517" t="str">
        <f t="array" ref="Q129">XLOOKUP(LCARS_Off[AbilityID],RawOfficer[AbilityID],RawOfficer[Conditional_Reason])</f>
        <v/>
      </c>
      <c r="R129" s="518" t="str">
        <f t="array" ref="R129">XLOOKUP(LCARS_Off[AbilityID],RawOfficer[AbilityID],RawOfficer[Tag_Loot])</f>
        <v>➖</v>
      </c>
      <c r="S129" s="516" t="str">
        <f t="array" ref="S129">XLOOKUP(LCARS_Off[AbilityID],RawOfficer[AbilityID],RawOfficer[Tag_Utility])</f>
        <v>✅</v>
      </c>
      <c r="T129" s="429" t="str">
        <f t="array" ref="T129">XLOOKUP(LCARS_Off[AbilityID],RawOfficer[AbilityID],RawOfficer[OfficerSynergy])</f>
        <v>SHAKEDOWN CRUISE</v>
      </c>
      <c r="U129" s="519" t="str">
        <f t="array" ref="U129">XLOOKUP(LCARS_Off[AbilityID],RawOfficer[AbilityID],RawOfficer[AbilityModifier])</f>
        <v>CombatXPReward</v>
      </c>
      <c r="V129" s="519" t="str">
        <f t="array" ref="V129">XLOOKUP(LCARS_Off[AbilityID],RawOfficer[AbilityID],RawOfficer[AbilityAttributes])</f>
        <v/>
      </c>
      <c r="W129" s="520" t="str">
        <f t="array" ref="W129">XLOOKUP(LCARS_Off[AbilityID],RawOfficer[AbilityID],RawOfficer[AbilityConditions])</f>
        <v/>
      </c>
      <c r="X129" s="519" t="str">
        <f t="array" ref="X129">XLOOKUP(LCARS_Off[AbilityID],RawOfficer[AbilityID],RawOfficer[AbilityTrigger])</f>
        <v>ShipLaunched</v>
      </c>
      <c r="Y129" s="519" t="str">
        <f t="array" ref="Y129">XLOOKUP(LCARS_Off[AbilityID],RawOfficer[AbilityID],RawOfficer[AbilityTarget])</f>
        <v>SelfShip</v>
      </c>
      <c r="Z129" s="519" t="str">
        <f t="array" ref="Z129">XLOOKUP(LCARS_Off[AbilityID],RawOfficer[AbilityID],RawOfficer[AbilityOperation])</f>
        <v>MultiplyAdd</v>
      </c>
      <c r="AA129" s="521" t="str">
        <f t="array" ref="AA129">XLOOKUP(LCARS_Off[AbilityID],RawOfficer[AbilityID],RawOfficer[AbilityDescription])</f>
        <v>Christopher Pike increases the Ship XP earned by combat by X. Works against Hostiles of level 70 and under.</v>
      </c>
      <c r="AB129" s="429" t="b">
        <v>0</v>
      </c>
      <c r="AC129" s="522" t="str">
        <f t="array" ref="AC129">XLOOKUP(LCARS_Off[AbilityID],RawOfficer[AbilityID],RawOfficer[AbilityDescriptionShort])</f>
        <v>+X to Ship XP earned with this ship</v>
      </c>
      <c r="AD129" s="523"/>
      <c r="AE129" s="524"/>
      <c r="AF129" s="524"/>
      <c r="AG129" s="525" t="str">
        <f t="array" ref="AG129">XLOOKUP(LCARS_Off[AbilityID],RawOfficer[AbilityID],RawOfficer[AbilityChances])</f>
        <v>1.0, 1.0, 1.0, 1.0, 1.0</v>
      </c>
      <c r="AH129" s="525" t="str">
        <f t="array" ref="AH129">XLOOKUP(LCARS_Off[AbilityID],RawOfficer[AbilityID],RawOfficer[AbilityValues])</f>
        <v>0.2, 0.3, 0.4, 0.5, 0.6</v>
      </c>
      <c r="AI129" s="428" t="b">
        <f t="array" ref="AI129">XLOOKUP(LCARS_Off[AbilityID],RawOfficer[AbilityID],RawOfficer[AbilityHasChance])</f>
        <v>0</v>
      </c>
      <c r="AJ129" s="428" t="b">
        <f t="array" ref="AJ129">XLOOKUP(LCARS_Off[AbilityID],RawOfficer[AbilityID],RawOfficer[AbilityShowPercentage])</f>
        <v>1</v>
      </c>
      <c r="AK129" s="429">
        <f t="array" ref="AK129">XLOOKUP(LCARS_Off[AbilityID],RawOfficer[AbilityID],RawOfficer[OfficerArt])</f>
        <v>90</v>
      </c>
      <c r="AL129" s="430">
        <v>2.383265567E9</v>
      </c>
      <c r="AM129" s="430">
        <f t="array" ref="AM129">XLOOKUP(LCARS_Off[AbilityID],RawOfficer[AbilityID],RawOfficer[Default Order])</f>
        <v>126</v>
      </c>
    </row>
    <row r="130">
      <c r="A130" s="429" t="str">
        <f t="array" ref="A130">LEFT(XLOOKUP(LCARS_Off[AbilityID],RawOfficer[AbilityID],RawOfficer[OfficerRarity]), 1)</f>
        <v>R</v>
      </c>
      <c r="B130" s="429"/>
      <c r="C130" s="514" t="str">
        <f t="array" ref="C130">HYPERLINK("https://stfc.space/officers/" &amp; XLOOKUP(LCARS_Off[AbilityID],RawOfficer[AbilityID],RawOfficer[OfficerId]), XLOOKUP(LCARS_Off[AbilityID],RawOfficer[AbilityID],RawOfficer[OfficerName]))</f>
        <v>MOREAU</v>
      </c>
      <c r="D130" s="515" t="str">
        <f t="array" ref="D130">XLOOKUP(LCARS_Off[AbilityID],RawOfficer[AbilityID],RawOfficer[AbilityType])</f>
        <v>CM</v>
      </c>
      <c r="E130" s="516" t="str">
        <f t="array" ref="E130">XLOOKUP(LCARS_Off[AbilityID],RawOfficer[AbilityID],RawOfficer[Tag_PvPinSpace])</f>
        <v>✅</v>
      </c>
      <c r="F130" s="516" t="str">
        <f t="array" ref="F130">XLOOKUP(LCARS_Off[AbilityID],RawOfficer[AbilityID],RawOfficer[Tag_PvPStation])</f>
        <v>✅</v>
      </c>
      <c r="G130" s="516" t="str">
        <f t="array" ref="G130">XLOOKUP(LCARS_Off[AbilityID],RawOfficer[AbilityID],RawOfficer[Tag_NonArmadaHostiles])</f>
        <v>✅</v>
      </c>
      <c r="H130" s="516" t="str">
        <f t="array" ref="H130">XLOOKUP(LCARS_Off[AbilityID],RawOfficer[AbilityID],RawOfficer[Tag_WaveDefense])</f>
        <v>✅</v>
      </c>
      <c r="I130" s="516" t="str">
        <f t="array" ref="I130">XLOOKUP(LCARS_Off[AbilityID],RawOfficer[AbilityID],RawOfficer[Tag_QTrial])</f>
        <v>✅</v>
      </c>
      <c r="J130" s="516" t="str">
        <f t="array" ref="J130">XLOOKUP(LCARS_Off[AbilityID],RawOfficer[AbilityID],RawOfficer[Tag_MissionBosses])</f>
        <v>✅</v>
      </c>
      <c r="K130" s="516" t="str">
        <f t="array" ref="K130">XLOOKUP(LCARS_Off[AbilityID],RawOfficer[AbilityID],RawOfficer[Tag_GroupArmadas])</f>
        <v>✅</v>
      </c>
      <c r="L130" s="516" t="str">
        <f t="array" ref="L130">XLOOKUP(LCARS_Off[AbilityID],RawOfficer[AbilityID],RawOfficer[Tag_SoloArmadas])</f>
        <v>✅</v>
      </c>
      <c r="M130" s="516" t="str">
        <f t="array" ref="M130">XLOOKUP(LCARS_Off[AbilityID],RawOfficer[AbilityID],RawOfficer[Tag_InvadingEntities])</f>
        <v>✅</v>
      </c>
      <c r="N130" s="516" t="str">
        <f t="array" ref="N130">XLOOKUP(LCARS_Off[AbilityID],RawOfficer[AbilityID],RawOfficer[Tag_Assaults])</f>
        <v>✅</v>
      </c>
      <c r="O130" s="516" t="str">
        <f t="array" ref="O130">XLOOKUP(LCARS_Off[AbilityID],RawOfficer[AbilityID],RawOfficer[Tag_OutpostArmadas])</f>
        <v>✅</v>
      </c>
      <c r="P130" s="516" t="str">
        <f t="array" ref="P130">XLOOKUP(LCARS_Off[AbilityID],RawOfficer[AbilityID],RawOfficer[Tag_OutpostRetaliators])</f>
        <v>✅</v>
      </c>
      <c r="Q130" s="517" t="str">
        <f t="array" ref="Q130">XLOOKUP(LCARS_Off[AbilityID],RawOfficer[AbilityID],RawOfficer[Conditional_Reason])</f>
        <v/>
      </c>
      <c r="R130" s="518" t="str">
        <f t="array" ref="R130">XLOOKUP(LCARS_Off[AbilityID],RawOfficer[AbilityID],RawOfficer[Tag_Loot])</f>
        <v>➖</v>
      </c>
      <c r="S130" s="516" t="str">
        <f t="array" ref="S130">XLOOKUP(LCARS_Off[AbilityID],RawOfficer[AbilityID],RawOfficer[Tag_Utility])</f>
        <v>➖</v>
      </c>
      <c r="T130" s="429" t="str">
        <f t="array" ref="T130">XLOOKUP(LCARS_Off[AbilityID],RawOfficer[AbilityID],RawOfficer[OfficerSynergy])</f>
        <v>SHAKEDOWN CRUISE</v>
      </c>
      <c r="U130" s="519" t="str">
        <f t="array" ref="U130">XLOOKUP(LCARS_Off[AbilityID],RawOfficer[AbilityID],RawOfficer[AbilityModifier])</f>
        <v>ShieldHPRepair</v>
      </c>
      <c r="V130" s="519" t="str">
        <f t="array" ref="V130">XLOOKUP(LCARS_Off[AbilityID],RawOfficer[AbilityID],RawOfficer[AbilityAttributes])</f>
        <v/>
      </c>
      <c r="W130" s="520" t="str">
        <f t="array" ref="W130">XLOOKUP(LCARS_Off[AbilityID],RawOfficer[AbilityID],RawOfficer[AbilityConditions])</f>
        <v/>
      </c>
      <c r="X130" s="519" t="str">
        <f t="array" ref="X130">XLOOKUP(LCARS_Off[AbilityID],RawOfficer[AbilityID],RawOfficer[AbilityTrigger])</f>
        <v>BattleWon</v>
      </c>
      <c r="Y130" s="519" t="str">
        <f t="array" ref="Y130">XLOOKUP(LCARS_Off[AbilityID],RawOfficer[AbilityID],RawOfficer[AbilityTarget])</f>
        <v>SelfShip</v>
      </c>
      <c r="Z130" s="519" t="str">
        <f t="array" ref="Z130">XLOOKUP(LCARS_Off[AbilityID],RawOfficer[AbilityID],RawOfficer[AbilityOperation])</f>
        <v>MultiplyAdd</v>
      </c>
      <c r="AA130" s="521" t="str">
        <f t="array" ref="AA130">XLOOKUP(LCARS_Off[AbilityID],RawOfficer[AbilityID],RawOfficer[AbilityDescription])</f>
        <v>After winning a battle, Moreau heals the Shield Health by X.</v>
      </c>
      <c r="AB130" s="429" t="b">
        <v>0</v>
      </c>
      <c r="AC130" s="522" t="str">
        <f t="array" ref="AC130">XLOOKUP(LCARS_Off[AbilityID],RawOfficer[AbilityID],RawOfficer[AbilityDescriptionShort])</f>
        <v>X Shield Health healed after winning</v>
      </c>
      <c r="AD130" s="523"/>
      <c r="AE130" s="524"/>
      <c r="AF130" s="524"/>
      <c r="AG130" s="525" t="str">
        <f t="array" ref="AG130">XLOOKUP(LCARS_Off[AbilityID],RawOfficer[AbilityID],RawOfficer[AbilityChances])</f>
        <v>1.0, 1.0, 1.0</v>
      </c>
      <c r="AH130" s="525" t="str">
        <f t="array" ref="AH130">XLOOKUP(LCARS_Off[AbilityID],RawOfficer[AbilityID],RawOfficer[AbilityValues])</f>
        <v>0.4, 0.1, 0.2</v>
      </c>
      <c r="AI130" s="428" t="b">
        <f t="array" ref="AI130">XLOOKUP(LCARS_Off[AbilityID],RawOfficer[AbilityID],RawOfficer[AbilityHasChance])</f>
        <v>0</v>
      </c>
      <c r="AJ130" s="428" t="b">
        <f t="array" ref="AJ130">XLOOKUP(LCARS_Off[AbilityID],RawOfficer[AbilityID],RawOfficer[AbilityShowPercentage])</f>
        <v>1</v>
      </c>
      <c r="AK130" s="429">
        <f t="array" ref="AK130">XLOOKUP(LCARS_Off[AbilityID],RawOfficer[AbilityID],RawOfficer[OfficerArt])</f>
        <v>44</v>
      </c>
      <c r="AL130" s="430">
        <v>1.0760547E7</v>
      </c>
      <c r="AM130" s="430">
        <f t="array" ref="AM130">XLOOKUP(LCARS_Off[AbilityID],RawOfficer[AbilityID],RawOfficer[Default Order])</f>
        <v>127</v>
      </c>
    </row>
    <row r="131">
      <c r="A131" s="429" t="str">
        <f t="array" ref="A131">LEFT(XLOOKUP(LCARS_Off[AbilityID],RawOfficer[AbilityID],RawOfficer[OfficerRarity]), 1)</f>
        <v>R</v>
      </c>
      <c r="B131" s="429"/>
      <c r="C131" s="514" t="str">
        <f t="array" ref="C131">HYPERLINK("https://stfc.space/officers/" &amp; XLOOKUP(LCARS_Off[AbilityID],RawOfficer[AbilityID],RawOfficer[OfficerId]), XLOOKUP(LCARS_Off[AbilityID],RawOfficer[AbilityID],RawOfficer[OfficerName]))</f>
        <v>MOREAU</v>
      </c>
      <c r="D131" s="515" t="str">
        <f t="array" ref="D131">XLOOKUP(LCARS_Off[AbilityID],RawOfficer[AbilityID],RawOfficer[AbilityType])</f>
        <v>OA</v>
      </c>
      <c r="E131" s="516" t="str">
        <f t="array" ref="E131">XLOOKUP(LCARS_Off[AbilityID],RawOfficer[AbilityID],RawOfficer[Tag_PvPinSpace])</f>
        <v>➖</v>
      </c>
      <c r="F131" s="516" t="str">
        <f t="array" ref="F131">XLOOKUP(LCARS_Off[AbilityID],RawOfficer[AbilityID],RawOfficer[Tag_PvPStation])</f>
        <v>➖</v>
      </c>
      <c r="G131" s="516" t="str">
        <f t="array" ref="G131">XLOOKUP(LCARS_Off[AbilityID],RawOfficer[AbilityID],RawOfficer[Tag_NonArmadaHostiles])</f>
        <v>✴️</v>
      </c>
      <c r="H131" s="516" t="str">
        <f t="array" ref="H131">XLOOKUP(LCARS_Off[AbilityID],RawOfficer[AbilityID],RawOfficer[Tag_WaveDefense])</f>
        <v>✴️</v>
      </c>
      <c r="I131" s="516" t="str">
        <f t="array" ref="I131">XLOOKUP(LCARS_Off[AbilityID],RawOfficer[AbilityID],RawOfficer[Tag_QTrial])</f>
        <v>✴️</v>
      </c>
      <c r="J131" s="516" t="str">
        <f t="array" ref="J131">XLOOKUP(LCARS_Off[AbilityID],RawOfficer[AbilityID],RawOfficer[Tag_MissionBosses])</f>
        <v>➖</v>
      </c>
      <c r="K131" s="516" t="str">
        <f t="array" ref="K131">XLOOKUP(LCARS_Off[AbilityID],RawOfficer[AbilityID],RawOfficer[Tag_GroupArmadas])</f>
        <v>➖</v>
      </c>
      <c r="L131" s="516" t="str">
        <f t="array" ref="L131">XLOOKUP(LCARS_Off[AbilityID],RawOfficer[AbilityID],RawOfficer[Tag_SoloArmadas])</f>
        <v>➖</v>
      </c>
      <c r="M131" s="516" t="str">
        <f t="array" ref="M131">XLOOKUP(LCARS_Off[AbilityID],RawOfficer[AbilityID],RawOfficer[Tag_InvadingEntities])</f>
        <v>➖</v>
      </c>
      <c r="N131" s="516" t="str">
        <f t="array" ref="N131">XLOOKUP(LCARS_Off[AbilityID],RawOfficer[AbilityID],RawOfficer[Tag_Assaults])</f>
        <v>➖</v>
      </c>
      <c r="O131" s="516" t="str">
        <f t="array" ref="O131">XLOOKUP(LCARS_Off[AbilityID],RawOfficer[AbilityID],RawOfficer[Tag_OutpostArmadas])</f>
        <v>➖</v>
      </c>
      <c r="P131" s="516" t="str">
        <f t="array" ref="P131">XLOOKUP(LCARS_Off[AbilityID],RawOfficer[AbilityID],RawOfficer[Tag_OutpostRetaliators])</f>
        <v>➖</v>
      </c>
      <c r="Q131" s="517" t="str">
        <f t="array" ref="Q131">XLOOKUP(LCARS_Off[AbilityID],RawOfficer[AbilityID],RawOfficer[Conditional_Reason])</f>
        <v>target level 70 or under</v>
      </c>
      <c r="R131" s="518" t="str">
        <f t="array" ref="R131">XLOOKUP(LCARS_Off[AbilityID],RawOfficer[AbilityID],RawOfficer[Tag_Loot])</f>
        <v>➖</v>
      </c>
      <c r="S131" s="516" t="str">
        <f t="array" ref="S131">XLOOKUP(LCARS_Off[AbilityID],RawOfficer[AbilityID],RawOfficer[Tag_Utility])</f>
        <v>➖</v>
      </c>
      <c r="T131" s="429" t="str">
        <f t="array" ref="T131">XLOOKUP(LCARS_Off[AbilityID],RawOfficer[AbilityID],RawOfficer[OfficerSynergy])</f>
        <v>SHAKEDOWN CRUISE</v>
      </c>
      <c r="U131" s="519" t="str">
        <f t="array" ref="U131">XLOOKUP(LCARS_Off[AbilityID],RawOfficer[AbilityID],RawOfficer[AbilityModifier])</f>
        <v>AllPiercing</v>
      </c>
      <c r="V131" s="519" t="str">
        <f t="array" ref="V131">XLOOKUP(LCARS_Off[AbilityID],RawOfficer[AbilityID],RawOfficer[AbilityAttributes])</f>
        <v>max_level=70</v>
      </c>
      <c r="W131" s="520" t="str">
        <f t="array" ref="W131">XLOOKUP(LCARS_Off[AbilityID],RawOfficer[AbilityID],RawOfficer[AbilityConditions])</f>
        <v>TargetMaxLevel, EnemyHostile, TargetNotArmada</v>
      </c>
      <c r="X131" s="519" t="str">
        <f t="array" ref="X131">XLOOKUP(LCARS_Off[AbilityID],RawOfficer[AbilityID],RawOfficer[AbilityTrigger])</f>
        <v>CombatStart</v>
      </c>
      <c r="Y131" s="519" t="str">
        <f t="array" ref="Y131">XLOOKUP(LCARS_Off[AbilityID],RawOfficer[AbilityID],RawOfficer[AbilityTarget])</f>
        <v>EnemyShip</v>
      </c>
      <c r="Z131" s="519" t="str">
        <f t="array" ref="Z131">XLOOKUP(LCARS_Off[AbilityID],RawOfficer[AbilityID],RawOfficer[AbilityOperation])</f>
        <v>MultiplySub</v>
      </c>
      <c r="AA131" s="521" t="str">
        <f t="array" ref="AA131">XLOOKUP(LCARS_Off[AbilityID],RawOfficer[AbilityID],RawOfficer[AbilityDescription])</f>
        <v>Moreau decreases the Armor Piercing, Shield Piercing and Accuracy of Hostiles by X. Works against Hostiles of level 70 and under.</v>
      </c>
      <c r="AB131" s="429" t="b">
        <v>0</v>
      </c>
      <c r="AC131" s="522" t="str">
        <f t="array" ref="AC131">XLOOKUP(LCARS_Off[AbilityID],RawOfficer[AbilityID],RawOfficer[AbilityDescriptionShort])</f>
        <v>-X to Hostiles Penetration.</v>
      </c>
      <c r="AD131" s="523"/>
      <c r="AE131" s="524"/>
      <c r="AF131" s="524"/>
      <c r="AG131" s="525" t="str">
        <f t="array" ref="AG131">XLOOKUP(LCARS_Off[AbilityID],RawOfficer[AbilityID],RawOfficer[AbilityChances])</f>
        <v>1.0, 1.0, 1.0, 1.0, 1.0</v>
      </c>
      <c r="AH131" s="525" t="str">
        <f t="array" ref="AH131">XLOOKUP(LCARS_Off[AbilityID],RawOfficer[AbilityID],RawOfficer[AbilityValues])</f>
        <v>0.3, 0.4, 0.5, 0.6, 0.7</v>
      </c>
      <c r="AI131" s="428" t="b">
        <f t="array" ref="AI131">XLOOKUP(LCARS_Off[AbilityID],RawOfficer[AbilityID],RawOfficer[AbilityHasChance])</f>
        <v>0</v>
      </c>
      <c r="AJ131" s="428" t="b">
        <f t="array" ref="AJ131">XLOOKUP(LCARS_Off[AbilityID],RawOfficer[AbilityID],RawOfficer[AbilityShowPercentage])</f>
        <v>1</v>
      </c>
      <c r="AK131" s="429">
        <f t="array" ref="AK131">XLOOKUP(LCARS_Off[AbilityID],RawOfficer[AbilityID],RawOfficer[OfficerArt])</f>
        <v>44</v>
      </c>
      <c r="AL131" s="430">
        <v>1.471408949E9</v>
      </c>
      <c r="AM131" s="430">
        <f t="array" ref="AM131">XLOOKUP(LCARS_Off[AbilityID],RawOfficer[AbilityID],RawOfficer[Default Order])</f>
        <v>128</v>
      </c>
    </row>
    <row r="132">
      <c r="A132" s="429" t="str">
        <f t="array" ref="A132">LEFT(XLOOKUP(LCARS_Off[AbilityID],RawOfficer[AbilityID],RawOfficer[OfficerRarity]), 1)</f>
        <v>U</v>
      </c>
      <c r="B132" s="429"/>
      <c r="C132" s="514" t="str">
        <f t="array" ref="C132">HYPERLINK("https://stfc.space/officers/" &amp; XLOOKUP(LCARS_Off[AbilityID],RawOfficer[AbilityID],RawOfficer[OfficerId]), XLOOKUP(LCARS_Off[AbilityID],RawOfficer[AbilityID],RawOfficer[OfficerName]))</f>
        <v>HENDORFF</v>
      </c>
      <c r="D132" s="515" t="str">
        <f t="array" ref="D132">XLOOKUP(LCARS_Off[AbilityID],RawOfficer[AbilityID],RawOfficer[AbilityType])</f>
        <v>CM</v>
      </c>
      <c r="E132" s="516" t="str">
        <f t="array" ref="E132">XLOOKUP(LCARS_Off[AbilityID],RawOfficer[AbilityID],RawOfficer[Tag_PvPinSpace])</f>
        <v>✴️</v>
      </c>
      <c r="F132" s="516" t="str">
        <f t="array" ref="F132">XLOOKUP(LCARS_Off[AbilityID],RawOfficer[AbilityID],RawOfficer[Tag_PvPStation])</f>
        <v>✴️</v>
      </c>
      <c r="G132" s="516" t="str">
        <f t="array" ref="G132">XLOOKUP(LCARS_Off[AbilityID],RawOfficer[AbilityID],RawOfficer[Tag_NonArmadaHostiles])</f>
        <v>✴️</v>
      </c>
      <c r="H132" s="516" t="str">
        <f t="array" ref="H132">XLOOKUP(LCARS_Off[AbilityID],RawOfficer[AbilityID],RawOfficer[Tag_WaveDefense])</f>
        <v>✴️</v>
      </c>
      <c r="I132" s="516" t="str">
        <f t="array" ref="I132">XLOOKUP(LCARS_Off[AbilityID],RawOfficer[AbilityID],RawOfficer[Tag_QTrial])</f>
        <v>✴️</v>
      </c>
      <c r="J132" s="516" t="str">
        <f t="array" ref="J132">XLOOKUP(LCARS_Off[AbilityID],RawOfficer[AbilityID],RawOfficer[Tag_MissionBosses])</f>
        <v>✴️</v>
      </c>
      <c r="K132" s="516" t="str">
        <f t="array" ref="K132">XLOOKUP(LCARS_Off[AbilityID],RawOfficer[AbilityID],RawOfficer[Tag_GroupArmadas])</f>
        <v>✴️</v>
      </c>
      <c r="L132" s="516" t="str">
        <f t="array" ref="L132">XLOOKUP(LCARS_Off[AbilityID],RawOfficer[AbilityID],RawOfficer[Tag_SoloArmadas])</f>
        <v>✴️</v>
      </c>
      <c r="M132" s="516" t="str">
        <f t="array" ref="M132">XLOOKUP(LCARS_Off[AbilityID],RawOfficer[AbilityID],RawOfficer[Tag_InvadingEntities])</f>
        <v>✴️</v>
      </c>
      <c r="N132" s="516" t="str">
        <f t="array" ref="N132">XLOOKUP(LCARS_Off[AbilityID],RawOfficer[AbilityID],RawOfficer[Tag_Assaults])</f>
        <v>✴️</v>
      </c>
      <c r="O132" s="516" t="str">
        <f t="array" ref="O132">XLOOKUP(LCARS_Off[AbilityID],RawOfficer[AbilityID],RawOfficer[Tag_OutpostArmadas])</f>
        <v>✴️</v>
      </c>
      <c r="P132" s="516" t="str">
        <f t="array" ref="P132">XLOOKUP(LCARS_Off[AbilityID],RawOfficer[AbilityID],RawOfficer[Tag_OutpostRetaliators])</f>
        <v>✴️</v>
      </c>
      <c r="Q132" s="517" t="str">
        <f t="array" ref="Q132">XLOOKUP(LCARS_Off[AbilityID],RawOfficer[AbilityID],RawOfficer[Conditional_Reason])</f>
        <v>HullHealthBelowStartOfCombat</v>
      </c>
      <c r="R132" s="518" t="str">
        <f t="array" ref="R132">XLOOKUP(LCARS_Off[AbilityID],RawOfficer[AbilityID],RawOfficer[Tag_Loot])</f>
        <v>➖</v>
      </c>
      <c r="S132" s="516" t="str">
        <f t="array" ref="S132">XLOOKUP(LCARS_Off[AbilityID],RawOfficer[AbilityID],RawOfficer[Tag_Utility])</f>
        <v>➖</v>
      </c>
      <c r="T132" s="429" t="str">
        <f t="array" ref="T132">XLOOKUP(LCARS_Off[AbilityID],RawOfficer[AbilityID],RawOfficer[OfficerSynergy])</f>
        <v>SHAKEDOWN CRUISE</v>
      </c>
      <c r="U132" s="519" t="str">
        <f t="array" ref="U132">XLOOKUP(LCARS_Off[AbilityID],RawOfficer[AbilityID],RawOfficer[AbilityModifier])</f>
        <v>AllDefenses</v>
      </c>
      <c r="V132" s="519" t="str">
        <f t="array" ref="V132">XLOOKUP(LCARS_Off[AbilityID],RawOfficer[AbilityID],RawOfficer[AbilityAttributes])</f>
        <v>num_rounds=1, percentage=0.5</v>
      </c>
      <c r="W132" s="520" t="str">
        <f t="array" ref="W132">XLOOKUP(LCARS_Off[AbilityID],RawOfficer[AbilityID],RawOfficer[AbilityConditions])</f>
        <v>HullHealthBelowStartOfCombat</v>
      </c>
      <c r="X132" s="519" t="str">
        <f t="array" ref="X132">XLOOKUP(LCARS_Off[AbilityID],RawOfficer[AbilityID],RawOfficer[AbilityTrigger])</f>
        <v>RoundStart</v>
      </c>
      <c r="Y132" s="519" t="str">
        <f t="array" ref="Y132">XLOOKUP(LCARS_Off[AbilityID],RawOfficer[AbilityID],RawOfficer[AbilityTarget])</f>
        <v>SelfShip</v>
      </c>
      <c r="Z132" s="519" t="str">
        <f t="array" ref="Z132">XLOOKUP(LCARS_Off[AbilityID],RawOfficer[AbilityID],RawOfficer[AbilityOperation])</f>
        <v>MultiplyAdd</v>
      </c>
      <c r="AA132" s="521" t="str">
        <f t="array" ref="AA132">XLOOKUP(LCARS_Off[AbilityID],RawOfficer[AbilityID],RawOfficer[AbilityDescription])</f>
        <v>As long as Hull Health is below 60% of its value at the start of combat, Hendorff increases Dodge, Armor and Shield Deflection by X.</v>
      </c>
      <c r="AB132" s="429" t="b">
        <v>0</v>
      </c>
      <c r="AC132" s="522" t="str">
        <f t="array" ref="AC132">XLOOKUP(LCARS_Off[AbilityID],RawOfficer[AbilityID],RawOfficer[AbilityDescriptionShort])</f>
        <v>+X to Dodge, Armor and Shield Deflection when Hull Health is below 60% of its Hull health at the start of the battle.</v>
      </c>
      <c r="AD132" s="523"/>
      <c r="AE132" s="524"/>
      <c r="AF132" s="524"/>
      <c r="AG132" s="525" t="str">
        <f t="array" ref="AG132">XLOOKUP(LCARS_Off[AbilityID],RawOfficer[AbilityID],RawOfficer[AbilityChances])</f>
        <v>1.0, 1.0, 1.0</v>
      </c>
      <c r="AH132" s="525" t="str">
        <f t="array" ref="AH132">XLOOKUP(LCARS_Off[AbilityID],RawOfficer[AbilityID],RawOfficer[AbilityValues])</f>
        <v>0.2, 0.1, 0.2</v>
      </c>
      <c r="AI132" s="428" t="b">
        <f t="array" ref="AI132">XLOOKUP(LCARS_Off[AbilityID],RawOfficer[AbilityID],RawOfficer[AbilityHasChance])</f>
        <v>0</v>
      </c>
      <c r="AJ132" s="428" t="b">
        <f t="array" ref="AJ132">XLOOKUP(LCARS_Off[AbilityID],RawOfficer[AbilityID],RawOfficer[AbilityShowPercentage])</f>
        <v>1</v>
      </c>
      <c r="AK132" s="429">
        <f t="array" ref="AK132">XLOOKUP(LCARS_Off[AbilityID],RawOfficer[AbilityID],RawOfficer[OfficerArt])</f>
        <v>45</v>
      </c>
      <c r="AL132" s="430">
        <v>1.815450665E9</v>
      </c>
      <c r="AM132" s="430">
        <f t="array" ref="AM132">XLOOKUP(LCARS_Off[AbilityID],RawOfficer[AbilityID],RawOfficer[Default Order])</f>
        <v>129</v>
      </c>
    </row>
    <row r="133">
      <c r="A133" s="429" t="str">
        <f t="array" ref="A133">LEFT(XLOOKUP(LCARS_Off[AbilityID],RawOfficer[AbilityID],RawOfficer[OfficerRarity]), 1)</f>
        <v>U</v>
      </c>
      <c r="B133" s="429"/>
      <c r="C133" s="514" t="str">
        <f t="array" ref="C133">HYPERLINK("https://stfc.space/officers/" &amp; XLOOKUP(LCARS_Off[AbilityID],RawOfficer[AbilityID],RawOfficer[OfficerId]), XLOOKUP(LCARS_Off[AbilityID],RawOfficer[AbilityID],RawOfficer[OfficerName]))</f>
        <v>HENDORFF</v>
      </c>
      <c r="D133" s="515" t="str">
        <f t="array" ref="D133">XLOOKUP(LCARS_Off[AbilityID],RawOfficer[AbilityID],RawOfficer[AbilityType])</f>
        <v>OA</v>
      </c>
      <c r="E133" s="516" t="str">
        <f t="array" ref="E133">XLOOKUP(LCARS_Off[AbilityID],RawOfficer[AbilityID],RawOfficer[Tag_PvPinSpace])</f>
        <v>➖</v>
      </c>
      <c r="F133" s="516" t="str">
        <f t="array" ref="F133">XLOOKUP(LCARS_Off[AbilityID],RawOfficer[AbilityID],RawOfficer[Tag_PvPStation])</f>
        <v>➖</v>
      </c>
      <c r="G133" s="516" t="str">
        <f t="array" ref="G133">XLOOKUP(LCARS_Off[AbilityID],RawOfficer[AbilityID],RawOfficer[Tag_NonArmadaHostiles])</f>
        <v>➖</v>
      </c>
      <c r="H133" s="516" t="str">
        <f t="array" ref="H133">XLOOKUP(LCARS_Off[AbilityID],RawOfficer[AbilityID],RawOfficer[Tag_WaveDefense])</f>
        <v>➖</v>
      </c>
      <c r="I133" s="516" t="str">
        <f t="array" ref="I133">XLOOKUP(LCARS_Off[AbilityID],RawOfficer[AbilityID],RawOfficer[Tag_QTrial])</f>
        <v>➖</v>
      </c>
      <c r="J133" s="516" t="str">
        <f t="array" ref="J133">XLOOKUP(LCARS_Off[AbilityID],RawOfficer[AbilityID],RawOfficer[Tag_MissionBosses])</f>
        <v>➖</v>
      </c>
      <c r="K133" s="516" t="str">
        <f t="array" ref="K133">XLOOKUP(LCARS_Off[AbilityID],RawOfficer[AbilityID],RawOfficer[Tag_GroupArmadas])</f>
        <v>➖</v>
      </c>
      <c r="L133" s="516" t="str">
        <f t="array" ref="L133">XLOOKUP(LCARS_Off[AbilityID],RawOfficer[AbilityID],RawOfficer[Tag_SoloArmadas])</f>
        <v>➖</v>
      </c>
      <c r="M133" s="516" t="str">
        <f t="array" ref="M133">XLOOKUP(LCARS_Off[AbilityID],RawOfficer[AbilityID],RawOfficer[Tag_InvadingEntities])</f>
        <v>➖</v>
      </c>
      <c r="N133" s="516" t="str">
        <f t="array" ref="N133">XLOOKUP(LCARS_Off[AbilityID],RawOfficer[AbilityID],RawOfficer[Tag_Assaults])</f>
        <v>➖</v>
      </c>
      <c r="O133" s="516" t="str">
        <f t="array" ref="O133">XLOOKUP(LCARS_Off[AbilityID],RawOfficer[AbilityID],RawOfficer[Tag_OutpostArmadas])</f>
        <v>➖</v>
      </c>
      <c r="P133" s="516" t="str">
        <f t="array" ref="P133">XLOOKUP(LCARS_Off[AbilityID],RawOfficer[AbilityID],RawOfficer[Tag_OutpostRetaliators])</f>
        <v>➖</v>
      </c>
      <c r="Q133" s="517" t="str">
        <f t="array" ref="Q133">XLOOKUP(LCARS_Off[AbilityID],RawOfficer[AbilityID],RawOfficer[Conditional_Reason])</f>
        <v/>
      </c>
      <c r="R133" s="518" t="str">
        <f t="array" ref="R133">XLOOKUP(LCARS_Off[AbilityID],RawOfficer[AbilityID],RawOfficer[Tag_Loot])</f>
        <v>➖</v>
      </c>
      <c r="S133" s="516" t="str">
        <f t="array" ref="S133">XLOOKUP(LCARS_Off[AbilityID],RawOfficer[AbilityID],RawOfficer[Tag_Utility])</f>
        <v>✅</v>
      </c>
      <c r="T133" s="429" t="str">
        <f t="array" ref="T133">XLOOKUP(LCARS_Off[AbilityID],RawOfficer[AbilityID],RawOfficer[OfficerSynergy])</f>
        <v>SHAKEDOWN CRUISE</v>
      </c>
      <c r="U133" s="519" t="str">
        <f t="array" ref="U133">XLOOKUP(LCARS_Off[AbilityID],RawOfficer[AbilityID],RawOfficer[AbilityModifier])</f>
        <v>CombatXPReward</v>
      </c>
      <c r="V133" s="519" t="str">
        <f t="array" ref="V133">XLOOKUP(LCARS_Off[AbilityID],RawOfficer[AbilityID],RawOfficer[AbilityAttributes])</f>
        <v/>
      </c>
      <c r="W133" s="520" t="str">
        <f t="array" ref="W133">XLOOKUP(LCARS_Off[AbilityID],RawOfficer[AbilityID],RawOfficer[AbilityConditions])</f>
        <v>SelfExplorer</v>
      </c>
      <c r="X133" s="519" t="str">
        <f t="array" ref="X133">XLOOKUP(LCARS_Off[AbilityID],RawOfficer[AbilityID],RawOfficer[AbilityTrigger])</f>
        <v>ShipLaunched</v>
      </c>
      <c r="Y133" s="519" t="str">
        <f t="array" ref="Y133">XLOOKUP(LCARS_Off[AbilityID],RawOfficer[AbilityID],RawOfficer[AbilityTarget])</f>
        <v>SelfShip</v>
      </c>
      <c r="Z133" s="519" t="str">
        <f t="array" ref="Z133">XLOOKUP(LCARS_Off[AbilityID],RawOfficer[AbilityID],RawOfficer[AbilityOperation])</f>
        <v>MultiplyAdd</v>
      </c>
      <c r="AA133" s="521" t="str">
        <f t="array" ref="AA133">XLOOKUP(LCARS_Off[AbilityID],RawOfficer[AbilityID],RawOfficer[AbilityDescription])</f>
        <v>Hendorff increases the Ship Experience gained on Explorers by X</v>
      </c>
      <c r="AB133" s="429" t="b">
        <v>0</v>
      </c>
      <c r="AC133" s="522" t="str">
        <f t="array" ref="AC133">XLOOKUP(LCARS_Off[AbilityID],RawOfficer[AbilityID],RawOfficer[AbilityDescriptionShort])</f>
        <v>+X to Ship XP on Explorers</v>
      </c>
      <c r="AD133" s="523"/>
      <c r="AE133" s="524"/>
      <c r="AF133" s="524"/>
      <c r="AG133" s="525" t="str">
        <f t="array" ref="AG133">XLOOKUP(LCARS_Off[AbilityID],RawOfficer[AbilityID],RawOfficer[AbilityChances])</f>
        <v>1.0, 1.0, 1.0, 1.0, 1.0</v>
      </c>
      <c r="AH133" s="525" t="str">
        <f t="array" ref="AH133">XLOOKUP(LCARS_Off[AbilityID],RawOfficer[AbilityID],RawOfficer[AbilityValues])</f>
        <v>0.2, 0.3, 0.4, 0.5, 0.6</v>
      </c>
      <c r="AI133" s="428" t="b">
        <f t="array" ref="AI133">XLOOKUP(LCARS_Off[AbilityID],RawOfficer[AbilityID],RawOfficer[AbilityHasChance])</f>
        <v>0</v>
      </c>
      <c r="AJ133" s="428" t="b">
        <f t="array" ref="AJ133">XLOOKUP(LCARS_Off[AbilityID],RawOfficer[AbilityID],RawOfficer[AbilityShowPercentage])</f>
        <v>1</v>
      </c>
      <c r="AK133" s="429">
        <f t="array" ref="AK133">XLOOKUP(LCARS_Off[AbilityID],RawOfficer[AbilityID],RawOfficer[OfficerArt])</f>
        <v>45</v>
      </c>
      <c r="AL133" s="430">
        <v>4.056050786E9</v>
      </c>
      <c r="AM133" s="430">
        <f t="array" ref="AM133">XLOOKUP(LCARS_Off[AbilityID],RawOfficer[AbilityID],RawOfficer[Default Order])</f>
        <v>130</v>
      </c>
    </row>
    <row r="134">
      <c r="A134" s="429" t="str">
        <f t="array" ref="A134">LEFT(XLOOKUP(LCARS_Off[AbilityID],RawOfficer[AbilityID],RawOfficer[OfficerRarity]), 1)</f>
        <v>C</v>
      </c>
      <c r="B134" s="429"/>
      <c r="C134" s="514" t="str">
        <f t="array" ref="C134">HYPERLINK("https://stfc.space/officers/" &amp; XLOOKUP(LCARS_Off[AbilityID],RawOfficer[AbilityID],RawOfficer[OfficerId]), XLOOKUP(LCARS_Off[AbilityID],RawOfficer[AbilityID],RawOfficer[OfficerName]))</f>
        <v>HADLEY</v>
      </c>
      <c r="D134" s="515" t="str">
        <f t="array" ref="D134">XLOOKUP(LCARS_Off[AbilityID],RawOfficer[AbilityID],RawOfficer[AbilityType])</f>
        <v>CM</v>
      </c>
      <c r="E134" s="516" t="str">
        <f t="array" ref="E134">XLOOKUP(LCARS_Off[AbilityID],RawOfficer[AbilityID],RawOfficer[Tag_PvPinSpace])</f>
        <v>➖</v>
      </c>
      <c r="F134" s="516" t="str">
        <f t="array" ref="F134">XLOOKUP(LCARS_Off[AbilityID],RawOfficer[AbilityID],RawOfficer[Tag_PvPStation])</f>
        <v>➖</v>
      </c>
      <c r="G134" s="516" t="str">
        <f t="array" ref="G134">XLOOKUP(LCARS_Off[AbilityID],RawOfficer[AbilityID],RawOfficer[Tag_NonArmadaHostiles])</f>
        <v>➖</v>
      </c>
      <c r="H134" s="516" t="str">
        <f t="array" ref="H134">XLOOKUP(LCARS_Off[AbilityID],RawOfficer[AbilityID],RawOfficer[Tag_WaveDefense])</f>
        <v>➖</v>
      </c>
      <c r="I134" s="516" t="str">
        <f t="array" ref="I134">XLOOKUP(LCARS_Off[AbilityID],RawOfficer[AbilityID],RawOfficer[Tag_QTrial])</f>
        <v>➖</v>
      </c>
      <c r="J134" s="516" t="str">
        <f t="array" ref="J134">XLOOKUP(LCARS_Off[AbilityID],RawOfficer[AbilityID],RawOfficer[Tag_MissionBosses])</f>
        <v>➖</v>
      </c>
      <c r="K134" s="516" t="str">
        <f t="array" ref="K134">XLOOKUP(LCARS_Off[AbilityID],RawOfficer[AbilityID],RawOfficer[Tag_GroupArmadas])</f>
        <v>➖</v>
      </c>
      <c r="L134" s="516" t="str">
        <f t="array" ref="L134">XLOOKUP(LCARS_Off[AbilityID],RawOfficer[AbilityID],RawOfficer[Tag_SoloArmadas])</f>
        <v>➖</v>
      </c>
      <c r="M134" s="516" t="str">
        <f t="array" ref="M134">XLOOKUP(LCARS_Off[AbilityID],RawOfficer[AbilityID],RawOfficer[Tag_InvadingEntities])</f>
        <v>➖</v>
      </c>
      <c r="N134" s="516" t="str">
        <f t="array" ref="N134">XLOOKUP(LCARS_Off[AbilityID],RawOfficer[AbilityID],RawOfficer[Tag_Assaults])</f>
        <v>➖</v>
      </c>
      <c r="O134" s="516" t="str">
        <f t="array" ref="O134">XLOOKUP(LCARS_Off[AbilityID],RawOfficer[AbilityID],RawOfficer[Tag_OutpostArmadas])</f>
        <v>➖</v>
      </c>
      <c r="P134" s="516" t="str">
        <f t="array" ref="P134">XLOOKUP(LCARS_Off[AbilityID],RawOfficer[AbilityID],RawOfficer[Tag_OutpostRetaliators])</f>
        <v>➖</v>
      </c>
      <c r="Q134" s="517" t="str">
        <f t="array" ref="Q134">XLOOKUP(LCARS_Off[AbilityID],RawOfficer[AbilityID],RawOfficer[Conditional_Reason])</f>
        <v/>
      </c>
      <c r="R134" s="518" t="str">
        <f t="array" ref="R134">XLOOKUP(LCARS_Off[AbilityID],RawOfficer[AbilityID],RawOfficer[Tag_Loot])</f>
        <v>➖</v>
      </c>
      <c r="S134" s="516" t="str">
        <f t="array" ref="S134">XLOOKUP(LCARS_Off[AbilityID],RawOfficer[AbilityID],RawOfficer[Tag_Utility])</f>
        <v>✅</v>
      </c>
      <c r="T134" s="429" t="str">
        <f t="array" ref="T134">XLOOKUP(LCARS_Off[AbilityID],RawOfficer[AbilityID],RawOfficer[OfficerSynergy])</f>
        <v>SHAKEDOWN CRUISE</v>
      </c>
      <c r="U134" s="519" t="str">
        <f t="array" ref="U134">XLOOKUP(LCARS_Off[AbilityID],RawOfficer[AbilityID],RawOfficer[AbilityModifier])</f>
        <v>WarpSpeed</v>
      </c>
      <c r="V134" s="519" t="str">
        <f t="array" ref="V134">XLOOKUP(LCARS_Off[AbilityID],RawOfficer[AbilityID],RawOfficer[AbilityAttributes])</f>
        <v/>
      </c>
      <c r="W134" s="520" t="str">
        <f t="array" ref="W134">XLOOKUP(LCARS_Off[AbilityID],RawOfficer[AbilityID],RawOfficer[AbilityConditions])</f>
        <v/>
      </c>
      <c r="X134" s="519" t="str">
        <f t="array" ref="X134">XLOOKUP(LCARS_Off[AbilityID],RawOfficer[AbilityID],RawOfficer[AbilityTrigger])</f>
        <v>ShipLaunched</v>
      </c>
      <c r="Y134" s="519" t="str">
        <f t="array" ref="Y134">XLOOKUP(LCARS_Off[AbilityID],RawOfficer[AbilityID],RawOfficer[AbilityTarget])</f>
        <v>SelfShip</v>
      </c>
      <c r="Z134" s="519" t="str">
        <f t="array" ref="Z134">XLOOKUP(LCARS_Off[AbilityID],RawOfficer[AbilityID],RawOfficer[AbilityOperation])</f>
        <v>MultiplyAdd</v>
      </c>
      <c r="AA134" s="521" t="str">
        <f t="array" ref="AA134">XLOOKUP(LCARS_Off[AbilityID],RawOfficer[AbilityID],RawOfficer[AbilityDescription])</f>
        <v>Hadley increases the Warp Speed of the ship by X.</v>
      </c>
      <c r="AB134" s="429" t="b">
        <v>0</v>
      </c>
      <c r="AC134" s="522" t="str">
        <f t="array" ref="AC134">XLOOKUP(LCARS_Off[AbilityID],RawOfficer[AbilityID],RawOfficer[AbilityDescriptionShort])</f>
        <v>+X Officer XP gained from combat</v>
      </c>
      <c r="AD134" s="523"/>
      <c r="AE134" s="524"/>
      <c r="AF134" s="524"/>
      <c r="AG134" s="525" t="str">
        <f t="array" ref="AG134">XLOOKUP(LCARS_Off[AbilityID],RawOfficer[AbilityID],RawOfficer[AbilityChances])</f>
        <v>1.0, 1.0, 1.0</v>
      </c>
      <c r="AH134" s="525" t="str">
        <f t="array" ref="AH134">XLOOKUP(LCARS_Off[AbilityID],RawOfficer[AbilityID],RawOfficer[AbilityValues])</f>
        <v>0.15, 0.1, 0.15</v>
      </c>
      <c r="AI134" s="428" t="b">
        <f t="array" ref="AI134">XLOOKUP(LCARS_Off[AbilityID],RawOfficer[AbilityID],RawOfficer[AbilityHasChance])</f>
        <v>0</v>
      </c>
      <c r="AJ134" s="428" t="b">
        <f t="array" ref="AJ134">XLOOKUP(LCARS_Off[AbilityID],RawOfficer[AbilityID],RawOfficer[AbilityShowPercentage])</f>
        <v>1</v>
      </c>
      <c r="AK134" s="429">
        <f t="array" ref="AK134">XLOOKUP(LCARS_Off[AbilityID],RawOfficer[AbilityID],RawOfficer[OfficerArt])</f>
        <v>48</v>
      </c>
      <c r="AL134" s="430">
        <v>5.11272321E8</v>
      </c>
      <c r="AM134" s="430">
        <f t="array" ref="AM134">XLOOKUP(LCARS_Off[AbilityID],RawOfficer[AbilityID],RawOfficer[Default Order])</f>
        <v>131</v>
      </c>
    </row>
    <row r="135">
      <c r="A135" s="429" t="str">
        <f t="array" ref="A135">LEFT(XLOOKUP(LCARS_Off[AbilityID],RawOfficer[AbilityID],RawOfficer[OfficerRarity]), 1)</f>
        <v>C</v>
      </c>
      <c r="B135" s="429"/>
      <c r="C135" s="514" t="str">
        <f t="array" ref="C135">HYPERLINK("https://stfc.space/officers/" &amp; XLOOKUP(LCARS_Off[AbilityID],RawOfficer[AbilityID],RawOfficer[OfficerId]), XLOOKUP(LCARS_Off[AbilityID],RawOfficer[AbilityID],RawOfficer[OfficerName]))</f>
        <v>HADLEY</v>
      </c>
      <c r="D135" s="515" t="str">
        <f t="array" ref="D135">XLOOKUP(LCARS_Off[AbilityID],RawOfficer[AbilityID],RawOfficer[AbilityType])</f>
        <v>OA</v>
      </c>
      <c r="E135" s="516" t="str">
        <f t="array" ref="E135">XLOOKUP(LCARS_Off[AbilityID],RawOfficer[AbilityID],RawOfficer[Tag_PvPinSpace])</f>
        <v>➖</v>
      </c>
      <c r="F135" s="516" t="str">
        <f t="array" ref="F135">XLOOKUP(LCARS_Off[AbilityID],RawOfficer[AbilityID],RawOfficer[Tag_PvPStation])</f>
        <v>➖</v>
      </c>
      <c r="G135" s="516" t="str">
        <f t="array" ref="G135">XLOOKUP(LCARS_Off[AbilityID],RawOfficer[AbilityID],RawOfficer[Tag_NonArmadaHostiles])</f>
        <v>➖</v>
      </c>
      <c r="H135" s="516" t="str">
        <f t="array" ref="H135">XLOOKUP(LCARS_Off[AbilityID],RawOfficer[AbilityID],RawOfficer[Tag_WaveDefense])</f>
        <v>➖</v>
      </c>
      <c r="I135" s="516" t="str">
        <f t="array" ref="I135">XLOOKUP(LCARS_Off[AbilityID],RawOfficer[AbilityID],RawOfficer[Tag_QTrial])</f>
        <v>➖</v>
      </c>
      <c r="J135" s="516" t="str">
        <f t="array" ref="J135">XLOOKUP(LCARS_Off[AbilityID],RawOfficer[AbilityID],RawOfficer[Tag_MissionBosses])</f>
        <v>➖</v>
      </c>
      <c r="K135" s="516" t="str">
        <f t="array" ref="K135">XLOOKUP(LCARS_Off[AbilityID],RawOfficer[AbilityID],RawOfficer[Tag_GroupArmadas])</f>
        <v>➖</v>
      </c>
      <c r="L135" s="516" t="str">
        <f t="array" ref="L135">XLOOKUP(LCARS_Off[AbilityID],RawOfficer[AbilityID],RawOfficer[Tag_SoloArmadas])</f>
        <v>➖</v>
      </c>
      <c r="M135" s="516" t="str">
        <f t="array" ref="M135">XLOOKUP(LCARS_Off[AbilityID],RawOfficer[AbilityID],RawOfficer[Tag_InvadingEntities])</f>
        <v>➖</v>
      </c>
      <c r="N135" s="516" t="str">
        <f t="array" ref="N135">XLOOKUP(LCARS_Off[AbilityID],RawOfficer[AbilityID],RawOfficer[Tag_Assaults])</f>
        <v>➖</v>
      </c>
      <c r="O135" s="516" t="str">
        <f t="array" ref="O135">XLOOKUP(LCARS_Off[AbilityID],RawOfficer[AbilityID],RawOfficer[Tag_OutpostArmadas])</f>
        <v>➖</v>
      </c>
      <c r="P135" s="516" t="str">
        <f t="array" ref="P135">XLOOKUP(LCARS_Off[AbilityID],RawOfficer[AbilityID],RawOfficer[Tag_OutpostRetaliators])</f>
        <v>➖</v>
      </c>
      <c r="Q135" s="517" t="str">
        <f t="array" ref="Q135">XLOOKUP(LCARS_Off[AbilityID],RawOfficer[AbilityID],RawOfficer[Conditional_Reason])</f>
        <v/>
      </c>
      <c r="R135" s="518" t="str">
        <f t="array" ref="R135">XLOOKUP(LCARS_Off[AbilityID],RawOfficer[AbilityID],RawOfficer[Tag_Loot])</f>
        <v>➖</v>
      </c>
      <c r="S135" s="516" t="str">
        <f t="array" ref="S135">XLOOKUP(LCARS_Off[AbilityID],RawOfficer[AbilityID],RawOfficer[Tag_Utility])</f>
        <v>✅</v>
      </c>
      <c r="T135" s="429" t="str">
        <f t="array" ref="T135">XLOOKUP(LCARS_Off[AbilityID],RawOfficer[AbilityID],RawOfficer[OfficerSynergy])</f>
        <v>SHAKEDOWN CRUISE</v>
      </c>
      <c r="U135" s="519" t="str">
        <f t="array" ref="U135">XLOOKUP(LCARS_Off[AbilityID],RawOfficer[AbilityID],RawOfficer[AbilityModifier])</f>
        <v>CombatXPReward</v>
      </c>
      <c r="V135" s="519" t="str">
        <f t="array" ref="V135">XLOOKUP(LCARS_Off[AbilityID],RawOfficer[AbilityID],RawOfficer[AbilityAttributes])</f>
        <v/>
      </c>
      <c r="W135" s="520" t="str">
        <f t="array" ref="W135">XLOOKUP(LCARS_Off[AbilityID],RawOfficer[AbilityID],RawOfficer[AbilityConditions])</f>
        <v>SelfSurveyor</v>
      </c>
      <c r="X135" s="519" t="str">
        <f t="array" ref="X135">XLOOKUP(LCARS_Off[AbilityID],RawOfficer[AbilityID],RawOfficer[AbilityTrigger])</f>
        <v>ShipLaunched</v>
      </c>
      <c r="Y135" s="519" t="str">
        <f t="array" ref="Y135">XLOOKUP(LCARS_Off[AbilityID],RawOfficer[AbilityID],RawOfficer[AbilityTarget])</f>
        <v>SelfShip</v>
      </c>
      <c r="Z135" s="519" t="str">
        <f t="array" ref="Z135">XLOOKUP(LCARS_Off[AbilityID],RawOfficer[AbilityID],RawOfficer[AbilityOperation])</f>
        <v>MultiplyAdd</v>
      </c>
      <c r="AA135" s="521" t="str">
        <f t="array" ref="AA135">XLOOKUP(LCARS_Off[AbilityID],RawOfficer[AbilityID],RawOfficer[AbilityDescription])</f>
        <v>Hadley increases Ship Experience gained on Survey ships by X.</v>
      </c>
      <c r="AB135" s="429" t="b">
        <v>0</v>
      </c>
      <c r="AC135" s="522" t="str">
        <f t="array" ref="AC135">XLOOKUP(LCARS_Off[AbilityID],RawOfficer[AbilityID],RawOfficer[AbilityDescriptionShort])</f>
        <v>+X to Experience gained on Survey ships</v>
      </c>
      <c r="AD135" s="523"/>
      <c r="AE135" s="524"/>
      <c r="AF135" s="524"/>
      <c r="AG135" s="525" t="str">
        <f t="array" ref="AG135">XLOOKUP(LCARS_Off[AbilityID],RawOfficer[AbilityID],RawOfficer[AbilityChances])</f>
        <v>1.0, 1.0, 1.0, 1.0, 1.0</v>
      </c>
      <c r="AH135" s="525" t="str">
        <f t="array" ref="AH135">XLOOKUP(LCARS_Off[AbilityID],RawOfficer[AbilityID],RawOfficer[AbilityValues])</f>
        <v>0.2, 0.3, 0.4, 0.5, 0.6</v>
      </c>
      <c r="AI135" s="428" t="b">
        <f t="array" ref="AI135">XLOOKUP(LCARS_Off[AbilityID],RawOfficer[AbilityID],RawOfficer[AbilityHasChance])</f>
        <v>0</v>
      </c>
      <c r="AJ135" s="428" t="b">
        <f t="array" ref="AJ135">XLOOKUP(LCARS_Off[AbilityID],RawOfficer[AbilityID],RawOfficer[AbilityShowPercentage])</f>
        <v>1</v>
      </c>
      <c r="AK135" s="429">
        <f t="array" ref="AK135">XLOOKUP(LCARS_Off[AbilityID],RawOfficer[AbilityID],RawOfficer[OfficerArt])</f>
        <v>48</v>
      </c>
      <c r="AL135" s="430">
        <v>2.331408146E9</v>
      </c>
      <c r="AM135" s="430">
        <f t="array" ref="AM135">XLOOKUP(LCARS_Off[AbilityID],RawOfficer[AbilityID],RawOfficer[Default Order])</f>
        <v>132</v>
      </c>
    </row>
    <row r="136">
      <c r="A136" s="429" t="str">
        <f t="array" ref="A136">LEFT(XLOOKUP(LCARS_Off[AbilityID],RawOfficer[AbilityID],RawOfficer[OfficerRarity]), 1)</f>
        <v>E</v>
      </c>
      <c r="B136" s="429"/>
      <c r="C136" s="514" t="str">
        <f t="array" ref="C136">HYPERLINK("https://stfc.space/officers/" &amp; XLOOKUP(LCARS_Off[AbilityID],RawOfficer[AbilityID],RawOfficer[OfficerId]), XLOOKUP(LCARS_Off[AbilityID],RawOfficer[AbilityID],RawOfficer[OfficerName]))</f>
        <v>CAROL</v>
      </c>
      <c r="D136" s="515" t="str">
        <f t="array" ref="D136">XLOOKUP(LCARS_Off[AbilityID],RawOfficer[AbilityID],RawOfficer[AbilityType])</f>
        <v>CM</v>
      </c>
      <c r="E136" s="516" t="str">
        <f t="array" ref="E136">XLOOKUP(LCARS_Off[AbilityID],RawOfficer[AbilityID],RawOfficer[Tag_PvPinSpace])</f>
        <v>✅</v>
      </c>
      <c r="F136" s="516" t="str">
        <f t="array" ref="F136">XLOOKUP(LCARS_Off[AbilityID],RawOfficer[AbilityID],RawOfficer[Tag_PvPStation])</f>
        <v>✅</v>
      </c>
      <c r="G136" s="516" t="str">
        <f t="array" ref="G136">XLOOKUP(LCARS_Off[AbilityID],RawOfficer[AbilityID],RawOfficer[Tag_NonArmadaHostiles])</f>
        <v>➖</v>
      </c>
      <c r="H136" s="516" t="str">
        <f t="array" ref="H136">XLOOKUP(LCARS_Off[AbilityID],RawOfficer[AbilityID],RawOfficer[Tag_WaveDefense])</f>
        <v>➖</v>
      </c>
      <c r="I136" s="516" t="str">
        <f t="array" ref="I136">XLOOKUP(LCARS_Off[AbilityID],RawOfficer[AbilityID],RawOfficer[Tag_QTrial])</f>
        <v>➖</v>
      </c>
      <c r="J136" s="516" t="str">
        <f t="array" ref="J136">XLOOKUP(LCARS_Off[AbilityID],RawOfficer[AbilityID],RawOfficer[Tag_MissionBosses])</f>
        <v>➖</v>
      </c>
      <c r="K136" s="516" t="str">
        <f t="array" ref="K136">XLOOKUP(LCARS_Off[AbilityID],RawOfficer[AbilityID],RawOfficer[Tag_GroupArmadas])</f>
        <v>➖</v>
      </c>
      <c r="L136" s="516" t="str">
        <f t="array" ref="L136">XLOOKUP(LCARS_Off[AbilityID],RawOfficer[AbilityID],RawOfficer[Tag_SoloArmadas])</f>
        <v>➖</v>
      </c>
      <c r="M136" s="516" t="str">
        <f t="array" ref="M136">XLOOKUP(LCARS_Off[AbilityID],RawOfficer[AbilityID],RawOfficer[Tag_InvadingEntities])</f>
        <v>➖</v>
      </c>
      <c r="N136" s="516" t="str">
        <f t="array" ref="N136">XLOOKUP(LCARS_Off[AbilityID],RawOfficer[AbilityID],RawOfficer[Tag_Assaults])</f>
        <v>➖</v>
      </c>
      <c r="O136" s="516" t="str">
        <f t="array" ref="O136">XLOOKUP(LCARS_Off[AbilityID],RawOfficer[AbilityID],RawOfficer[Tag_OutpostArmadas])</f>
        <v>➖</v>
      </c>
      <c r="P136" s="516" t="str">
        <f t="array" ref="P136">XLOOKUP(LCARS_Off[AbilityID],RawOfficer[AbilityID],RawOfficer[Tag_OutpostRetaliators])</f>
        <v>➖</v>
      </c>
      <c r="Q136" s="517" t="str">
        <f t="array" ref="Q136">XLOOKUP(LCARS_Off[AbilityID],RawOfficer[AbilityID],RawOfficer[Conditional_Reason])</f>
        <v/>
      </c>
      <c r="R136" s="518" t="str">
        <f t="array" ref="R136">XLOOKUP(LCARS_Off[AbilityID],RawOfficer[AbilityID],RawOfficer[Tag_Loot])</f>
        <v>➖</v>
      </c>
      <c r="S136" s="516" t="str">
        <f t="array" ref="S136">XLOOKUP(LCARS_Off[AbilityID],RawOfficer[AbilityID],RawOfficer[Tag_Utility])</f>
        <v>➖</v>
      </c>
      <c r="T136" s="429" t="str">
        <f t="array" ref="T136">XLOOKUP(LCARS_Off[AbilityID],RawOfficer[AbilityID],RawOfficer[OfficerSynergy])</f>
        <v>AUXILIARY CONTROLS</v>
      </c>
      <c r="U136" s="519" t="str">
        <f t="array" ref="U136">XLOOKUP(LCARS_Off[AbilityID],RawOfficer[AbilityID],RawOfficer[AbilityModifier])</f>
        <v>AllDamage</v>
      </c>
      <c r="V136" s="519" t="str">
        <f t="array" ref="V136">XLOOKUP(LCARS_Off[AbilityID],RawOfficer[AbilityID],RawOfficer[AbilityAttributes])</f>
        <v/>
      </c>
      <c r="W136" s="520" t="str">
        <f t="array" ref="W136">XLOOKUP(LCARS_Off[AbilityID],RawOfficer[AbilityID],RawOfficer[AbilityConditions])</f>
        <v>EnemyPlayer, SelfDefending</v>
      </c>
      <c r="X136" s="519" t="str">
        <f t="array" ref="X136">XLOOKUP(LCARS_Off[AbilityID],RawOfficer[AbilityID],RawOfficer[AbilityTrigger])</f>
        <v>CombatStart</v>
      </c>
      <c r="Y136" s="519" t="str">
        <f t="array" ref="Y136">XLOOKUP(LCARS_Off[AbilityID],RawOfficer[AbilityID],RawOfficer[AbilityTarget])</f>
        <v>EnemyShip</v>
      </c>
      <c r="Z136" s="519" t="str">
        <f t="array" ref="Z136">XLOOKUP(LCARS_Off[AbilityID],RawOfficer[AbilityID],RawOfficer[AbilityOperation])</f>
        <v>MultiplySub</v>
      </c>
      <c r="AA136" s="521" t="str">
        <f t="array" ref="AA136">XLOOKUP(LCARS_Off[AbilityID],RawOfficer[AbilityID],RawOfficer[AbilityDescription])</f>
        <v>When defending in battle against a player, Carol decreases the Weapon Damage from opponents by X.</v>
      </c>
      <c r="AB136" s="429" t="b">
        <v>0</v>
      </c>
      <c r="AC136" s="522" t="str">
        <f t="array" ref="AC136">XLOOKUP(LCARS_Off[AbilityID],RawOfficer[AbilityID],RawOfficer[AbilityDescriptionShort])</f>
        <v>-X To Opponent Damage when defending in battle</v>
      </c>
      <c r="AD136" s="523"/>
      <c r="AE136" s="524"/>
      <c r="AF136" s="524"/>
      <c r="AG136" s="525" t="str">
        <f t="array" ref="AG136">XLOOKUP(LCARS_Off[AbilityID],RawOfficer[AbilityID],RawOfficer[AbilityChances])</f>
        <v>1.0, 1.0, 1.0</v>
      </c>
      <c r="AH136" s="525" t="str">
        <f t="array" ref="AH136">XLOOKUP(LCARS_Off[AbilityID],RawOfficer[AbilityID],RawOfficer[AbilityValues])</f>
        <v>0.4, 0.05, 0.1</v>
      </c>
      <c r="AI136" s="428" t="b">
        <f t="array" ref="AI136">XLOOKUP(LCARS_Off[AbilityID],RawOfficer[AbilityID],RawOfficer[AbilityHasChance])</f>
        <v>0</v>
      </c>
      <c r="AJ136" s="428" t="b">
        <f t="array" ref="AJ136">XLOOKUP(LCARS_Off[AbilityID],RawOfficer[AbilityID],RawOfficer[AbilityShowPercentage])</f>
        <v>1</v>
      </c>
      <c r="AK136" s="429">
        <f t="array" ref="AK136">XLOOKUP(LCARS_Off[AbilityID],RawOfficer[AbilityID],RawOfficer[OfficerArt])</f>
        <v>92</v>
      </c>
      <c r="AL136" s="430">
        <v>2.068090718E9</v>
      </c>
      <c r="AM136" s="430">
        <f t="array" ref="AM136">XLOOKUP(LCARS_Off[AbilityID],RawOfficer[AbilityID],RawOfficer[Default Order])</f>
        <v>133</v>
      </c>
    </row>
    <row r="137">
      <c r="A137" s="429" t="str">
        <f t="array" ref="A137">LEFT(XLOOKUP(LCARS_Off[AbilityID],RawOfficer[AbilityID],RawOfficer[OfficerRarity]), 1)</f>
        <v>E</v>
      </c>
      <c r="B137" s="429"/>
      <c r="C137" s="514" t="str">
        <f t="array" ref="C137">HYPERLINK("https://stfc.space/officers/" &amp; XLOOKUP(LCARS_Off[AbilityID],RawOfficer[AbilityID],RawOfficer[OfficerId]), XLOOKUP(LCARS_Off[AbilityID],RawOfficer[AbilityID],RawOfficer[OfficerName]))</f>
        <v>CAROL</v>
      </c>
      <c r="D137" s="515" t="str">
        <f t="array" ref="D137">XLOOKUP(LCARS_Off[AbilityID],RawOfficer[AbilityID],RawOfficer[AbilityType])</f>
        <v>OA</v>
      </c>
      <c r="E137" s="516" t="str">
        <f t="array" ref="E137">XLOOKUP(LCARS_Off[AbilityID],RawOfficer[AbilityID],RawOfficer[Tag_PvPinSpace])</f>
        <v>✅</v>
      </c>
      <c r="F137" s="516" t="str">
        <f t="array" ref="F137">XLOOKUP(LCARS_Off[AbilityID],RawOfficer[AbilityID],RawOfficer[Tag_PvPStation])</f>
        <v>✅</v>
      </c>
      <c r="G137" s="516" t="str">
        <f t="array" ref="G137">XLOOKUP(LCARS_Off[AbilityID],RawOfficer[AbilityID],RawOfficer[Tag_NonArmadaHostiles])</f>
        <v>✅</v>
      </c>
      <c r="H137" s="516" t="str">
        <f t="array" ref="H137">XLOOKUP(LCARS_Off[AbilityID],RawOfficer[AbilityID],RawOfficer[Tag_WaveDefense])</f>
        <v>✅</v>
      </c>
      <c r="I137" s="516" t="str">
        <f t="array" ref="I137">XLOOKUP(LCARS_Off[AbilityID],RawOfficer[AbilityID],RawOfficer[Tag_QTrial])</f>
        <v>✅</v>
      </c>
      <c r="J137" s="516" t="str">
        <f t="array" ref="J137">XLOOKUP(LCARS_Off[AbilityID],RawOfficer[AbilityID],RawOfficer[Tag_MissionBosses])</f>
        <v>✅</v>
      </c>
      <c r="K137" s="516" t="str">
        <f t="array" ref="K137">XLOOKUP(LCARS_Off[AbilityID],RawOfficer[AbilityID],RawOfficer[Tag_GroupArmadas])</f>
        <v>✅</v>
      </c>
      <c r="L137" s="516" t="str">
        <f t="array" ref="L137">XLOOKUP(LCARS_Off[AbilityID],RawOfficer[AbilityID],RawOfficer[Tag_SoloArmadas])</f>
        <v>✅</v>
      </c>
      <c r="M137" s="516" t="str">
        <f t="array" ref="M137">XLOOKUP(LCARS_Off[AbilityID],RawOfficer[AbilityID],RawOfficer[Tag_InvadingEntities])</f>
        <v>✅</v>
      </c>
      <c r="N137" s="516" t="str">
        <f t="array" ref="N137">XLOOKUP(LCARS_Off[AbilityID],RawOfficer[AbilityID],RawOfficer[Tag_Assaults])</f>
        <v>✅</v>
      </c>
      <c r="O137" s="516" t="str">
        <f t="array" ref="O137">XLOOKUP(LCARS_Off[AbilityID],RawOfficer[AbilityID],RawOfficer[Tag_OutpostArmadas])</f>
        <v>✅</v>
      </c>
      <c r="P137" s="516" t="str">
        <f t="array" ref="P137">XLOOKUP(LCARS_Off[AbilityID],RawOfficer[AbilityID],RawOfficer[Tag_OutpostRetaliators])</f>
        <v>✅</v>
      </c>
      <c r="Q137" s="517" t="str">
        <f t="array" ref="Q137">XLOOKUP(LCARS_Off[AbilityID],RawOfficer[AbilityID],RawOfficer[Conditional_Reason])</f>
        <v/>
      </c>
      <c r="R137" s="518" t="str">
        <f t="array" ref="R137">XLOOKUP(LCARS_Off[AbilityID],RawOfficer[AbilityID],RawOfficer[Tag_Loot])</f>
        <v>➖</v>
      </c>
      <c r="S137" s="516" t="str">
        <f t="array" ref="S137">XLOOKUP(LCARS_Off[AbilityID],RawOfficer[AbilityID],RawOfficer[Tag_Utility])</f>
        <v>➖</v>
      </c>
      <c r="T137" s="429" t="str">
        <f t="array" ref="T137">XLOOKUP(LCARS_Off[AbilityID],RawOfficer[AbilityID],RawOfficer[OfficerSynergy])</f>
        <v>AUXILIARY CONTROLS</v>
      </c>
      <c r="U137" s="519" t="str">
        <f t="array" ref="U137">XLOOKUP(LCARS_Off[AbilityID],RawOfficer[AbilityID],RawOfficer[AbilityModifier])</f>
        <v>AllDamage</v>
      </c>
      <c r="V137" s="519" t="str">
        <f t="array" ref="V137">XLOOKUP(LCARS_Off[AbilityID],RawOfficer[AbilityID],RawOfficer[AbilityAttributes])</f>
        <v/>
      </c>
      <c r="W137" s="520" t="str">
        <f t="array" ref="W137">XLOOKUP(LCARS_Off[AbilityID],RawOfficer[AbilityID],RawOfficer[AbilityConditions])</f>
        <v/>
      </c>
      <c r="X137" s="519" t="str">
        <f t="array" ref="X137">XLOOKUP(LCARS_Off[AbilityID],RawOfficer[AbilityID],RawOfficer[AbilityTrigger])</f>
        <v>ShipLaunched</v>
      </c>
      <c r="Y137" s="519" t="str">
        <f t="array" ref="Y137">XLOOKUP(LCARS_Off[AbilityID],RawOfficer[AbilityID],RawOfficer[AbilityTarget])</f>
        <v>SelfShip</v>
      </c>
      <c r="Z137" s="519" t="str">
        <f t="array" ref="Z137">XLOOKUP(LCARS_Off[AbilityID],RawOfficer[AbilityID],RawOfficer[AbilityOperation])</f>
        <v>MultiplyAdd</v>
      </c>
      <c r="AA137" s="521" t="str">
        <f t="array" ref="AA137">XLOOKUP(LCARS_Off[AbilityID],RawOfficer[AbilityID],RawOfficer[AbilityDescription])</f>
        <v>Carol increases the Weapon Damage by X.</v>
      </c>
      <c r="AB137" s="429" t="b">
        <v>0</v>
      </c>
      <c r="AC137" s="522" t="str">
        <f t="array" ref="AC137">XLOOKUP(LCARS_Off[AbilityID],RawOfficer[AbilityID],RawOfficer[AbilityDescriptionShort])</f>
        <v>+X to Weapon Damage</v>
      </c>
      <c r="AD137" s="523"/>
      <c r="AE137" s="524"/>
      <c r="AF137" s="524"/>
      <c r="AG137" s="525" t="str">
        <f t="array" ref="AG137">XLOOKUP(LCARS_Off[AbilityID],RawOfficer[AbilityID],RawOfficer[AbilityChances])</f>
        <v>1.0, 1.0, 1.0, 1.0, 1.0</v>
      </c>
      <c r="AH137" s="525" t="str">
        <f t="array" ref="AH137">XLOOKUP(LCARS_Off[AbilityID],RawOfficer[AbilityID],RawOfficer[AbilityValues])</f>
        <v>0.2, 0.25, 0.3, 0.35, 0.4</v>
      </c>
      <c r="AI137" s="428" t="b">
        <f t="array" ref="AI137">XLOOKUP(LCARS_Off[AbilityID],RawOfficer[AbilityID],RawOfficer[AbilityHasChance])</f>
        <v>0</v>
      </c>
      <c r="AJ137" s="428" t="b">
        <f t="array" ref="AJ137">XLOOKUP(LCARS_Off[AbilityID],RawOfficer[AbilityID],RawOfficer[AbilityShowPercentage])</f>
        <v>1</v>
      </c>
      <c r="AK137" s="429">
        <f t="array" ref="AK137">XLOOKUP(LCARS_Off[AbilityID],RawOfficer[AbilityID],RawOfficer[OfficerArt])</f>
        <v>92</v>
      </c>
      <c r="AL137" s="430">
        <v>2.541302043E9</v>
      </c>
      <c r="AM137" s="430">
        <f t="array" ref="AM137">XLOOKUP(LCARS_Off[AbilityID],RawOfficer[AbilityID],RawOfficer[Default Order])</f>
        <v>134</v>
      </c>
    </row>
    <row r="138">
      <c r="A138" s="429" t="str">
        <f t="array" ref="A138">LEFT(XLOOKUP(LCARS_Off[AbilityID],RawOfficer[AbilityID],RawOfficer[OfficerRarity]), 1)</f>
        <v>C</v>
      </c>
      <c r="B138" s="429"/>
      <c r="C138" s="514" t="str">
        <f t="array" ref="C138">HYPERLINK("https://stfc.space/officers/" &amp; XLOOKUP(LCARS_Off[AbilityID],RawOfficer[AbilityID],RawOfficer[OfficerId]), XLOOKUP(LCARS_Off[AbilityID],RawOfficer[AbilityID],RawOfficer[OfficerName]))</f>
        <v>ZAHRA</v>
      </c>
      <c r="D138" s="515" t="str">
        <f t="array" ref="D138">XLOOKUP(LCARS_Off[AbilityID],RawOfficer[AbilityID],RawOfficer[AbilityType])</f>
        <v>CM</v>
      </c>
      <c r="E138" s="516" t="str">
        <f t="array" ref="E138">XLOOKUP(LCARS_Off[AbilityID],RawOfficer[AbilityID],RawOfficer[Tag_PvPinSpace])</f>
        <v>➖</v>
      </c>
      <c r="F138" s="516" t="str">
        <f t="array" ref="F138">XLOOKUP(LCARS_Off[AbilityID],RawOfficer[AbilityID],RawOfficer[Tag_PvPStation])</f>
        <v>✅</v>
      </c>
      <c r="G138" s="516" t="str">
        <f t="array" ref="G138">XLOOKUP(LCARS_Off[AbilityID],RawOfficer[AbilityID],RawOfficer[Tag_NonArmadaHostiles])</f>
        <v>➖</v>
      </c>
      <c r="H138" s="516" t="str">
        <f t="array" ref="H138">XLOOKUP(LCARS_Off[AbilityID],RawOfficer[AbilityID],RawOfficer[Tag_WaveDefense])</f>
        <v>➖</v>
      </c>
      <c r="I138" s="516" t="str">
        <f t="array" ref="I138">XLOOKUP(LCARS_Off[AbilityID],RawOfficer[AbilityID],RawOfficer[Tag_QTrial])</f>
        <v>➖</v>
      </c>
      <c r="J138" s="516" t="str">
        <f t="array" ref="J138">XLOOKUP(LCARS_Off[AbilityID],RawOfficer[AbilityID],RawOfficer[Tag_MissionBosses])</f>
        <v>➖</v>
      </c>
      <c r="K138" s="516" t="str">
        <f t="array" ref="K138">XLOOKUP(LCARS_Off[AbilityID],RawOfficer[AbilityID],RawOfficer[Tag_GroupArmadas])</f>
        <v>➖</v>
      </c>
      <c r="L138" s="516" t="str">
        <f t="array" ref="L138">XLOOKUP(LCARS_Off[AbilityID],RawOfficer[AbilityID],RawOfficer[Tag_SoloArmadas])</f>
        <v>➖</v>
      </c>
      <c r="M138" s="516" t="str">
        <f t="array" ref="M138">XLOOKUP(LCARS_Off[AbilityID],RawOfficer[AbilityID],RawOfficer[Tag_InvadingEntities])</f>
        <v>➖</v>
      </c>
      <c r="N138" s="516" t="str">
        <f t="array" ref="N138">XLOOKUP(LCARS_Off[AbilityID],RawOfficer[AbilityID],RawOfficer[Tag_Assaults])</f>
        <v>➖</v>
      </c>
      <c r="O138" s="516" t="str">
        <f t="array" ref="O138">XLOOKUP(LCARS_Off[AbilityID],RawOfficer[AbilityID],RawOfficer[Tag_OutpostArmadas])</f>
        <v>➖</v>
      </c>
      <c r="P138" s="516" t="str">
        <f t="array" ref="P138">XLOOKUP(LCARS_Off[AbilityID],RawOfficer[AbilityID],RawOfficer[Tag_OutpostRetaliators])</f>
        <v>➖</v>
      </c>
      <c r="Q138" s="517" t="str">
        <f t="array" ref="Q138">XLOOKUP(LCARS_Off[AbilityID],RawOfficer[AbilityID],RawOfficer[Conditional_Reason])</f>
        <v/>
      </c>
      <c r="R138" s="518" t="str">
        <f t="array" ref="R138">XLOOKUP(LCARS_Off[AbilityID],RawOfficer[AbilityID],RawOfficer[Tag_Loot])</f>
        <v>➖</v>
      </c>
      <c r="S138" s="516" t="str">
        <f t="array" ref="S138">XLOOKUP(LCARS_Off[AbilityID],RawOfficer[AbilityID],RawOfficer[Tag_Utility])</f>
        <v>➖</v>
      </c>
      <c r="T138" s="429" t="str">
        <f t="array" ref="T138">XLOOKUP(LCARS_Off[AbilityID],RawOfficer[AbilityID],RawOfficer[OfficerSynergy])</f>
        <v>AUXILIARY CONTROLS</v>
      </c>
      <c r="U138" s="519" t="str">
        <f t="array" ref="U138">XLOOKUP(LCARS_Off[AbilityID],RawOfficer[AbilityID],RawOfficer[AbilityModifier])</f>
        <v>HullHPMax</v>
      </c>
      <c r="V138" s="519" t="str">
        <f t="array" ref="V138">XLOOKUP(LCARS_Off[AbilityID],RawOfficer[AbilityID],RawOfficer[AbilityAttributes])</f>
        <v/>
      </c>
      <c r="W138" s="520" t="str">
        <f t="array" ref="W138">XLOOKUP(LCARS_Off[AbilityID],RawOfficer[AbilityID],RawOfficer[AbilityConditions])</f>
        <v>SelfAtStation</v>
      </c>
      <c r="X138" s="519" t="str">
        <f t="array" ref="X138">XLOOKUP(LCARS_Off[AbilityID],RawOfficer[AbilityID],RawOfficer[AbilityTrigger])</f>
        <v>ShipLaunched</v>
      </c>
      <c r="Y138" s="519" t="str">
        <f t="array" ref="Y138">XLOOKUP(LCARS_Off[AbilityID],RawOfficer[AbilityID],RawOfficer[AbilityTarget])</f>
        <v>SelfShip</v>
      </c>
      <c r="Z138" s="519" t="str">
        <f t="array" ref="Z138">XLOOKUP(LCARS_Off[AbilityID],RawOfficer[AbilityID],RawOfficer[AbilityOperation])</f>
        <v>MultiplyAdd</v>
      </c>
      <c r="AA138" s="521" t="str">
        <f t="array" ref="AA138">XLOOKUP(LCARS_Off[AbilityID],RawOfficer[AbilityID],RawOfficer[AbilityDescription])</f>
        <v>When defending the Station, Zahra increases the ship's Hull Health by X.</v>
      </c>
      <c r="AB138" s="429" t="b">
        <v>0</v>
      </c>
      <c r="AC138" s="522" t="str">
        <f t="array" ref="AC138">XLOOKUP(LCARS_Off[AbilityID],RawOfficer[AbilityID],RawOfficer[AbilityDescriptionShort])</f>
        <v>+X to ship Hull Health when defending the Station</v>
      </c>
      <c r="AD138" s="523"/>
      <c r="AE138" s="524"/>
      <c r="AF138" s="524"/>
      <c r="AG138" s="525" t="str">
        <f t="array" ref="AG138">XLOOKUP(LCARS_Off[AbilityID],RawOfficer[AbilityID],RawOfficer[AbilityChances])</f>
        <v>1.0, 1.0, 1.0</v>
      </c>
      <c r="AH138" s="525" t="str">
        <f t="array" ref="AH138">XLOOKUP(LCARS_Off[AbilityID],RawOfficer[AbilityID],RawOfficer[AbilityValues])</f>
        <v>0.1, 0.05, 0.1</v>
      </c>
      <c r="AI138" s="428" t="b">
        <f t="array" ref="AI138">XLOOKUP(LCARS_Off[AbilityID],RawOfficer[AbilityID],RawOfficer[AbilityHasChance])</f>
        <v>0</v>
      </c>
      <c r="AJ138" s="428" t="b">
        <f t="array" ref="AJ138">XLOOKUP(LCARS_Off[AbilityID],RawOfficer[AbilityID],RawOfficer[AbilityShowPercentage])</f>
        <v>1</v>
      </c>
      <c r="AK138" s="429">
        <f t="array" ref="AK138">XLOOKUP(LCARS_Off[AbilityID],RawOfficer[AbilityID],RawOfficer[OfficerArt])</f>
        <v>59</v>
      </c>
      <c r="AL138" s="430">
        <v>4.231113561E9</v>
      </c>
      <c r="AM138" s="430">
        <f t="array" ref="AM138">XLOOKUP(LCARS_Off[AbilityID],RawOfficer[AbilityID],RawOfficer[Default Order])</f>
        <v>135</v>
      </c>
    </row>
    <row r="139">
      <c r="A139" s="429" t="str">
        <f t="array" ref="A139">LEFT(XLOOKUP(LCARS_Off[AbilityID],RawOfficer[AbilityID],RawOfficer[OfficerRarity]), 1)</f>
        <v>C</v>
      </c>
      <c r="B139" s="429"/>
      <c r="C139" s="514" t="str">
        <f t="array" ref="C139">HYPERLINK("https://stfc.space/officers/" &amp; XLOOKUP(LCARS_Off[AbilityID],RawOfficer[AbilityID],RawOfficer[OfficerId]), XLOOKUP(LCARS_Off[AbilityID],RawOfficer[AbilityID],RawOfficer[OfficerName]))</f>
        <v>ZAHRA</v>
      </c>
      <c r="D139" s="515" t="str">
        <f t="array" ref="D139">XLOOKUP(LCARS_Off[AbilityID],RawOfficer[AbilityID],RawOfficer[AbilityType])</f>
        <v>OA</v>
      </c>
      <c r="E139" s="516" t="str">
        <f t="array" ref="E139">XLOOKUP(LCARS_Off[AbilityID],RawOfficer[AbilityID],RawOfficer[Tag_PvPinSpace])</f>
        <v>➖</v>
      </c>
      <c r="F139" s="516" t="str">
        <f t="array" ref="F139">XLOOKUP(LCARS_Off[AbilityID],RawOfficer[AbilityID],RawOfficer[Tag_PvPStation])</f>
        <v>✅</v>
      </c>
      <c r="G139" s="516" t="str">
        <f t="array" ref="G139">XLOOKUP(LCARS_Off[AbilityID],RawOfficer[AbilityID],RawOfficer[Tag_NonArmadaHostiles])</f>
        <v>➖</v>
      </c>
      <c r="H139" s="516" t="str">
        <f t="array" ref="H139">XLOOKUP(LCARS_Off[AbilityID],RawOfficer[AbilityID],RawOfficer[Tag_WaveDefense])</f>
        <v>➖</v>
      </c>
      <c r="I139" s="516" t="str">
        <f t="array" ref="I139">XLOOKUP(LCARS_Off[AbilityID],RawOfficer[AbilityID],RawOfficer[Tag_QTrial])</f>
        <v>➖</v>
      </c>
      <c r="J139" s="516" t="str">
        <f t="array" ref="J139">XLOOKUP(LCARS_Off[AbilityID],RawOfficer[AbilityID],RawOfficer[Tag_MissionBosses])</f>
        <v>➖</v>
      </c>
      <c r="K139" s="516" t="str">
        <f t="array" ref="K139">XLOOKUP(LCARS_Off[AbilityID],RawOfficer[AbilityID],RawOfficer[Tag_GroupArmadas])</f>
        <v>➖</v>
      </c>
      <c r="L139" s="516" t="str">
        <f t="array" ref="L139">XLOOKUP(LCARS_Off[AbilityID],RawOfficer[AbilityID],RawOfficer[Tag_SoloArmadas])</f>
        <v>➖</v>
      </c>
      <c r="M139" s="516" t="str">
        <f t="array" ref="M139">XLOOKUP(LCARS_Off[AbilityID],RawOfficer[AbilityID],RawOfficer[Tag_InvadingEntities])</f>
        <v>➖</v>
      </c>
      <c r="N139" s="516" t="str">
        <f t="array" ref="N139">XLOOKUP(LCARS_Off[AbilityID],RawOfficer[AbilityID],RawOfficer[Tag_Assaults])</f>
        <v>➖</v>
      </c>
      <c r="O139" s="516" t="str">
        <f t="array" ref="O139">XLOOKUP(LCARS_Off[AbilityID],RawOfficer[AbilityID],RawOfficer[Tag_OutpostArmadas])</f>
        <v>➖</v>
      </c>
      <c r="P139" s="516" t="str">
        <f t="array" ref="P139">XLOOKUP(LCARS_Off[AbilityID],RawOfficer[AbilityID],RawOfficer[Tag_OutpostRetaliators])</f>
        <v>➖</v>
      </c>
      <c r="Q139" s="517" t="str">
        <f t="array" ref="Q139">XLOOKUP(LCARS_Off[AbilityID],RawOfficer[AbilityID],RawOfficer[Conditional_Reason])</f>
        <v/>
      </c>
      <c r="R139" s="518" t="str">
        <f t="array" ref="R139">XLOOKUP(LCARS_Off[AbilityID],RawOfficer[AbilityID],RawOfficer[Tag_Loot])</f>
        <v>➖</v>
      </c>
      <c r="S139" s="516" t="str">
        <f t="array" ref="S139">XLOOKUP(LCARS_Off[AbilityID],RawOfficer[AbilityID],RawOfficer[Tag_Utility])</f>
        <v>➖</v>
      </c>
      <c r="T139" s="429" t="str">
        <f t="array" ref="T139">XLOOKUP(LCARS_Off[AbilityID],RawOfficer[AbilityID],RawOfficer[OfficerSynergy])</f>
        <v>AUXILIARY CONTROLS</v>
      </c>
      <c r="U139" s="519" t="str">
        <f t="array" ref="U139">XLOOKUP(LCARS_Off[AbilityID],RawOfficer[AbilityID],RawOfficer[AbilityModifier])</f>
        <v>AllDamage</v>
      </c>
      <c r="V139" s="519" t="str">
        <f t="array" ref="V139">XLOOKUP(LCARS_Off[AbilityID],RawOfficer[AbilityID],RawOfficer[AbilityAttributes])</f>
        <v/>
      </c>
      <c r="W139" s="520" t="str">
        <f t="array" ref="W139">XLOOKUP(LCARS_Off[AbilityID],RawOfficer[AbilityID],RawOfficer[AbilityConditions])</f>
        <v>SelfAtStation</v>
      </c>
      <c r="X139" s="519" t="str">
        <f t="array" ref="X139">XLOOKUP(LCARS_Off[AbilityID],RawOfficer[AbilityID],RawOfficer[AbilityTrigger])</f>
        <v>ShipLaunched</v>
      </c>
      <c r="Y139" s="519" t="str">
        <f t="array" ref="Y139">XLOOKUP(LCARS_Off[AbilityID],RawOfficer[AbilityID],RawOfficer[AbilityTarget])</f>
        <v>SelfShip</v>
      </c>
      <c r="Z139" s="519" t="str">
        <f t="array" ref="Z139">XLOOKUP(LCARS_Off[AbilityID],RawOfficer[AbilityID],RawOfficer[AbilityOperation])</f>
        <v>MultiplyAdd</v>
      </c>
      <c r="AA139" s="521" t="str">
        <f t="array" ref="AA139">XLOOKUP(LCARS_Off[AbilityID],RawOfficer[AbilityID],RawOfficer[AbilityDescription])</f>
        <v>When defending the Station, Zahra increases the Weapon Damage by X.</v>
      </c>
      <c r="AB139" s="429" t="b">
        <v>0</v>
      </c>
      <c r="AC139" s="522" t="str">
        <f t="array" ref="AC139">XLOOKUP(LCARS_Off[AbilityID],RawOfficer[AbilityID],RawOfficer[AbilityDescriptionShort])</f>
        <v>+X to Damage dealt when defending the Station</v>
      </c>
      <c r="AD139" s="523"/>
      <c r="AE139" s="524"/>
      <c r="AF139" s="524"/>
      <c r="AG139" s="525" t="str">
        <f t="array" ref="AG139">XLOOKUP(LCARS_Off[AbilityID],RawOfficer[AbilityID],RawOfficer[AbilityChances])</f>
        <v>1.0, 1.0, 1.0, 1.0, 1.0</v>
      </c>
      <c r="AH139" s="525" t="str">
        <f t="array" ref="AH139">XLOOKUP(LCARS_Off[AbilityID],RawOfficer[AbilityID],RawOfficer[AbilityValues])</f>
        <v>0.05, 0.08, 0.1, 0.15, 0.2</v>
      </c>
      <c r="AI139" s="428" t="b">
        <f t="array" ref="AI139">XLOOKUP(LCARS_Off[AbilityID],RawOfficer[AbilityID],RawOfficer[AbilityHasChance])</f>
        <v>0</v>
      </c>
      <c r="AJ139" s="428" t="b">
        <f t="array" ref="AJ139">XLOOKUP(LCARS_Off[AbilityID],RawOfficer[AbilityID],RawOfficer[AbilityShowPercentage])</f>
        <v>1</v>
      </c>
      <c r="AK139" s="429">
        <f t="array" ref="AK139">XLOOKUP(LCARS_Off[AbilityID],RawOfficer[AbilityID],RawOfficer[OfficerArt])</f>
        <v>59</v>
      </c>
      <c r="AL139" s="430">
        <v>2.43472742E8</v>
      </c>
      <c r="AM139" s="430">
        <f t="array" ref="AM139">XLOOKUP(LCARS_Off[AbilityID],RawOfficer[AbilityID],RawOfficer[Default Order])</f>
        <v>136</v>
      </c>
    </row>
    <row r="140">
      <c r="A140" s="429" t="str">
        <f t="array" ref="A140">LEFT(XLOOKUP(LCARS_Off[AbilityID],RawOfficer[AbilityID],RawOfficer[OfficerRarity]), 1)</f>
        <v>E</v>
      </c>
      <c r="B140" s="429"/>
      <c r="C140" s="514" t="str">
        <f t="array" ref="C140">HYPERLINK("https://stfc.space/officers/" &amp; XLOOKUP(LCARS_Off[AbilityID],RawOfficer[AbilityID],RawOfficer[OfficerId]), XLOOKUP(LCARS_Off[AbilityID],RawOfficer[AbilityID],RawOfficer[OfficerName]))</f>
        <v>KHAN</v>
      </c>
      <c r="D140" s="515" t="str">
        <f t="array" ref="D140">XLOOKUP(LCARS_Off[AbilityID],RawOfficer[AbilityID],RawOfficer[AbilityType])</f>
        <v>CM</v>
      </c>
      <c r="E140" s="516" t="str">
        <f t="array" ref="E140">XLOOKUP(LCARS_Off[AbilityID],RawOfficer[AbilityID],RawOfficer[Tag_PvPinSpace])</f>
        <v>➖</v>
      </c>
      <c r="F140" s="516" t="str">
        <f t="array" ref="F140">XLOOKUP(LCARS_Off[AbilityID],RawOfficer[AbilityID],RawOfficer[Tag_PvPStation])</f>
        <v>✅</v>
      </c>
      <c r="G140" s="516" t="str">
        <f t="array" ref="G140">XLOOKUP(LCARS_Off[AbilityID],RawOfficer[AbilityID],RawOfficer[Tag_NonArmadaHostiles])</f>
        <v>➖</v>
      </c>
      <c r="H140" s="516" t="str">
        <f t="array" ref="H140">XLOOKUP(LCARS_Off[AbilityID],RawOfficer[AbilityID],RawOfficer[Tag_WaveDefense])</f>
        <v>➖</v>
      </c>
      <c r="I140" s="516" t="str">
        <f t="array" ref="I140">XLOOKUP(LCARS_Off[AbilityID],RawOfficer[AbilityID],RawOfficer[Tag_QTrial])</f>
        <v>➖</v>
      </c>
      <c r="J140" s="516" t="str">
        <f t="array" ref="J140">XLOOKUP(LCARS_Off[AbilityID],RawOfficer[AbilityID],RawOfficer[Tag_MissionBosses])</f>
        <v>➖</v>
      </c>
      <c r="K140" s="516" t="str">
        <f t="array" ref="K140">XLOOKUP(LCARS_Off[AbilityID],RawOfficer[AbilityID],RawOfficer[Tag_GroupArmadas])</f>
        <v>➖</v>
      </c>
      <c r="L140" s="516" t="str">
        <f t="array" ref="L140">XLOOKUP(LCARS_Off[AbilityID],RawOfficer[AbilityID],RawOfficer[Tag_SoloArmadas])</f>
        <v>➖</v>
      </c>
      <c r="M140" s="516" t="str">
        <f t="array" ref="M140">XLOOKUP(LCARS_Off[AbilityID],RawOfficer[AbilityID],RawOfficer[Tag_InvadingEntities])</f>
        <v>➖</v>
      </c>
      <c r="N140" s="516" t="str">
        <f t="array" ref="N140">XLOOKUP(LCARS_Off[AbilityID],RawOfficer[AbilityID],RawOfficer[Tag_Assaults])</f>
        <v>➖</v>
      </c>
      <c r="O140" s="516" t="str">
        <f t="array" ref="O140">XLOOKUP(LCARS_Off[AbilityID],RawOfficer[AbilityID],RawOfficer[Tag_OutpostArmadas])</f>
        <v>➖</v>
      </c>
      <c r="P140" s="516" t="str">
        <f t="array" ref="P140">XLOOKUP(LCARS_Off[AbilityID],RawOfficer[AbilityID],RawOfficer[Tag_OutpostRetaliators])</f>
        <v>➖</v>
      </c>
      <c r="Q140" s="517" t="str">
        <f t="array" ref="Q140">XLOOKUP(LCARS_Off[AbilityID],RawOfficer[AbilityID],RawOfficer[Conditional_Reason])</f>
        <v/>
      </c>
      <c r="R140" s="518" t="str">
        <f t="array" ref="R140">XLOOKUP(LCARS_Off[AbilityID],RawOfficer[AbilityID],RawOfficer[Tag_Loot])</f>
        <v>➖</v>
      </c>
      <c r="S140" s="516" t="str">
        <f t="array" ref="S140">XLOOKUP(LCARS_Off[AbilityID],RawOfficer[AbilityID],RawOfficer[Tag_Utility])</f>
        <v>➖</v>
      </c>
      <c r="T140" s="429" t="str">
        <f t="array" ref="T140">XLOOKUP(LCARS_Off[AbilityID],RawOfficer[AbilityID],RawOfficer[OfficerSynergy])</f>
        <v>KHAN'S CREW</v>
      </c>
      <c r="U140" s="519" t="str">
        <f t="array" ref="U140">XLOOKUP(LCARS_Off[AbilityID],RawOfficer[AbilityID],RawOfficer[AbilityModifier])</f>
        <v>AllDefenses</v>
      </c>
      <c r="V140" s="519" t="str">
        <f t="array" ref="V140">XLOOKUP(LCARS_Off[AbilityID],RawOfficer[AbilityID],RawOfficer[AbilityAttributes])</f>
        <v>num_rounds=2</v>
      </c>
      <c r="W140" s="520" t="str">
        <f t="array" ref="W140">XLOOKUP(LCARS_Off[AbilityID],RawOfficer[AbilityID],RawOfficer[AbilityConditions])</f>
        <v>TargetNotASB, EnemySentinel</v>
      </c>
      <c r="X140" s="519" t="str">
        <f t="array" ref="X140">XLOOKUP(LCARS_Off[AbilityID],RawOfficer[AbilityID],RawOfficer[AbilityTrigger])</f>
        <v>CombatStart</v>
      </c>
      <c r="Y140" s="519" t="str">
        <f t="array" ref="Y140">XLOOKUP(LCARS_Off[AbilityID],RawOfficer[AbilityID],RawOfficer[AbilityTarget])</f>
        <v>EnemyAllShips</v>
      </c>
      <c r="Z140" s="519" t="str">
        <f t="array" ref="Z140">XLOOKUP(LCARS_Off[AbilityID],RawOfficer[AbilityID],RawOfficer[AbilityOperation])</f>
        <v>MultiplySub</v>
      </c>
      <c r="AA140" s="521" t="str">
        <f t="array" ref="AA140">XLOOKUP(LCARS_Off[AbilityID],RawOfficer[AbilityID],RawOfficer[AbilityDescription])</f>
        <v>When attacking a Station, Khan has X chances of drastically reducing the mitigation of all opponent's ships and defense platforms for two rounds.</v>
      </c>
      <c r="AB140" s="429" t="b">
        <v>0</v>
      </c>
      <c r="AC140" s="522" t="str">
        <f t="array" ref="AC140">XLOOKUP(LCARS_Off[AbilityID],RawOfficer[AbilityID],RawOfficer[AbilityDescriptionShort])</f>
        <v>X chances to drastically reduce the opponent's station and ships Mitigation for 2 rounds</v>
      </c>
      <c r="AD140" s="523"/>
      <c r="AE140" s="524"/>
      <c r="AF140" s="524"/>
      <c r="AG140" s="525" t="str">
        <f t="array" ref="AG140">XLOOKUP(LCARS_Off[AbilityID],RawOfficer[AbilityID],RawOfficer[AbilityChances])</f>
        <v>0.5, 0.1, 0.25</v>
      </c>
      <c r="AH140" s="525" t="str">
        <f t="array" ref="AH140">XLOOKUP(LCARS_Off[AbilityID],RawOfficer[AbilityID],RawOfficer[AbilityValues])</f>
        <v>10.0, 0.0, 0.0</v>
      </c>
      <c r="AI140" s="428" t="b">
        <f t="array" ref="AI140">XLOOKUP(LCARS_Off[AbilityID],RawOfficer[AbilityID],RawOfficer[AbilityHasChance])</f>
        <v>1</v>
      </c>
      <c r="AJ140" s="428" t="b">
        <f t="array" ref="AJ140">XLOOKUP(LCARS_Off[AbilityID],RawOfficer[AbilityID],RawOfficer[AbilityShowPercentage])</f>
        <v>1</v>
      </c>
      <c r="AK140" s="429">
        <f t="array" ref="AK140">XLOOKUP(LCARS_Off[AbilityID],RawOfficer[AbilityID],RawOfficer[OfficerArt])</f>
        <v>60</v>
      </c>
      <c r="AL140" s="430">
        <v>1.479384085E9</v>
      </c>
      <c r="AM140" s="430">
        <f t="array" ref="AM140">XLOOKUP(LCARS_Off[AbilityID],RawOfficer[AbilityID],RawOfficer[Default Order])</f>
        <v>137</v>
      </c>
    </row>
    <row r="141">
      <c r="A141" s="429" t="str">
        <f t="array" ref="A141">LEFT(XLOOKUP(LCARS_Off[AbilityID],RawOfficer[AbilityID],RawOfficer[OfficerRarity]), 1)</f>
        <v>E</v>
      </c>
      <c r="B141" s="429"/>
      <c r="C141" s="514" t="str">
        <f t="array" ref="C141">HYPERLINK("https://stfc.space/officers/" &amp; XLOOKUP(LCARS_Off[AbilityID],RawOfficer[AbilityID],RawOfficer[OfficerId]), XLOOKUP(LCARS_Off[AbilityID],RawOfficer[AbilityID],RawOfficer[OfficerName]))</f>
        <v>KHAN</v>
      </c>
      <c r="D141" s="515" t="str">
        <f t="array" ref="D141">XLOOKUP(LCARS_Off[AbilityID],RawOfficer[AbilityID],RawOfficer[AbilityType])</f>
        <v>OA</v>
      </c>
      <c r="E141" s="516" t="str">
        <f t="array" ref="E141">XLOOKUP(LCARS_Off[AbilityID],RawOfficer[AbilityID],RawOfficer[Tag_PvPinSpace])</f>
        <v>✅</v>
      </c>
      <c r="F141" s="516" t="str">
        <f t="array" ref="F141">XLOOKUP(LCARS_Off[AbilityID],RawOfficer[AbilityID],RawOfficer[Tag_PvPStation])</f>
        <v>✅</v>
      </c>
      <c r="G141" s="516" t="str">
        <f t="array" ref="G141">XLOOKUP(LCARS_Off[AbilityID],RawOfficer[AbilityID],RawOfficer[Tag_NonArmadaHostiles])</f>
        <v>✅</v>
      </c>
      <c r="H141" s="516" t="str">
        <f t="array" ref="H141">XLOOKUP(LCARS_Off[AbilityID],RawOfficer[AbilityID],RawOfficer[Tag_WaveDefense])</f>
        <v>✅</v>
      </c>
      <c r="I141" s="516" t="str">
        <f t="array" ref="I141">XLOOKUP(LCARS_Off[AbilityID],RawOfficer[AbilityID],RawOfficer[Tag_QTrial])</f>
        <v>✅</v>
      </c>
      <c r="J141" s="516" t="str">
        <f t="array" ref="J141">XLOOKUP(LCARS_Off[AbilityID],RawOfficer[AbilityID],RawOfficer[Tag_MissionBosses])</f>
        <v>✅</v>
      </c>
      <c r="K141" s="516" t="str">
        <f t="array" ref="K141">XLOOKUP(LCARS_Off[AbilityID],RawOfficer[AbilityID],RawOfficer[Tag_GroupArmadas])</f>
        <v>✅</v>
      </c>
      <c r="L141" s="516" t="str">
        <f t="array" ref="L141">XLOOKUP(LCARS_Off[AbilityID],RawOfficer[AbilityID],RawOfficer[Tag_SoloArmadas])</f>
        <v>✅</v>
      </c>
      <c r="M141" s="516" t="str">
        <f t="array" ref="M141">XLOOKUP(LCARS_Off[AbilityID],RawOfficer[AbilityID],RawOfficer[Tag_InvadingEntities])</f>
        <v>✅</v>
      </c>
      <c r="N141" s="516" t="str">
        <f t="array" ref="N141">XLOOKUP(LCARS_Off[AbilityID],RawOfficer[AbilityID],RawOfficer[Tag_Assaults])</f>
        <v>✅</v>
      </c>
      <c r="O141" s="516" t="str">
        <f t="array" ref="O141">XLOOKUP(LCARS_Off[AbilityID],RawOfficer[AbilityID],RawOfficer[Tag_OutpostArmadas])</f>
        <v>✅</v>
      </c>
      <c r="P141" s="516" t="str">
        <f t="array" ref="P141">XLOOKUP(LCARS_Off[AbilityID],RawOfficer[AbilityID],RawOfficer[Tag_OutpostRetaliators])</f>
        <v>✅</v>
      </c>
      <c r="Q141" s="517" t="str">
        <f t="array" ref="Q141">XLOOKUP(LCARS_Off[AbilityID],RawOfficer[AbilityID],RawOfficer[Conditional_Reason])</f>
        <v/>
      </c>
      <c r="R141" s="518" t="str">
        <f t="array" ref="R141">XLOOKUP(LCARS_Off[AbilityID],RawOfficer[AbilityID],RawOfficer[Tag_Loot])</f>
        <v>➖</v>
      </c>
      <c r="S141" s="516" t="str">
        <f t="array" ref="S141">XLOOKUP(LCARS_Off[AbilityID],RawOfficer[AbilityID],RawOfficer[Tag_Utility])</f>
        <v>➖</v>
      </c>
      <c r="T141" s="429" t="str">
        <f t="array" ref="T141">XLOOKUP(LCARS_Off[AbilityID],RawOfficer[AbilityID],RawOfficer[OfficerSynergy])</f>
        <v>KHAN'S CREW</v>
      </c>
      <c r="U141" s="519" t="str">
        <f t="array" ref="U141">XLOOKUP(LCARS_Off[AbilityID],RawOfficer[AbilityID],RawOfficer[AbilityModifier])</f>
        <v>CritChance</v>
      </c>
      <c r="V141" s="519" t="str">
        <f t="array" ref="V141">XLOOKUP(LCARS_Off[AbilityID],RawOfficer[AbilityID],RawOfficer[AbilityAttributes])</f>
        <v/>
      </c>
      <c r="W141" s="520" t="str">
        <f t="array" ref="W141">XLOOKUP(LCARS_Off[AbilityID],RawOfficer[AbilityID],RawOfficer[AbilityConditions])</f>
        <v/>
      </c>
      <c r="X141" s="519" t="str">
        <f t="array" ref="X141">XLOOKUP(LCARS_Off[AbilityID],RawOfficer[AbilityID],RawOfficer[AbilityTrigger])</f>
        <v>HullDamageTaken</v>
      </c>
      <c r="Y141" s="519" t="str">
        <f t="array" ref="Y141">XLOOKUP(LCARS_Off[AbilityID],RawOfficer[AbilityID],RawOfficer[AbilityTarget])</f>
        <v>SelfShip</v>
      </c>
      <c r="Z141" s="519" t="str">
        <f t="array" ref="Z141">XLOOKUP(LCARS_Off[AbilityID],RawOfficer[AbilityID],RawOfficer[AbilityOperation])</f>
        <v>Add</v>
      </c>
      <c r="AA141" s="521" t="str">
        <f t="array" ref="AA141">XLOOKUP(LCARS_Off[AbilityID],RawOfficer[AbilityID],RawOfficer[AbilityDescription])</f>
        <v>Every time the Ship is hit by a Ship or Defense Platform weapon attack, Khan increases the Critical Hit Chances by X (cumulative). -- (Weapons with multiple shots will only trigger this ability once per attack.)</v>
      </c>
      <c r="AB141" s="429" t="b">
        <v>1</v>
      </c>
      <c r="AC141" s="522" t="str">
        <f t="array" ref="AC141">XLOOKUP(LCARS_Off[AbilityID],RawOfficer[AbilityID],RawOfficer[AbilityDescriptionShort])</f>
        <v>+X to Critical Hit chances every time the ship gets hit</v>
      </c>
      <c r="AD141" s="523"/>
      <c r="AE141" s="521" t="s">
        <v>565</v>
      </c>
      <c r="AF141" s="521" t="s">
        <v>566</v>
      </c>
      <c r="AG141" s="525" t="str">
        <f t="array" ref="AG141">XLOOKUP(LCARS_Off[AbilityID],RawOfficer[AbilityID],RawOfficer[AbilityChances])</f>
        <v>1.0, 1.0, 1.0, 1.0, 1.0</v>
      </c>
      <c r="AH141" s="525" t="str">
        <f t="array" ref="AH141">XLOOKUP(LCARS_Off[AbilityID],RawOfficer[AbilityID],RawOfficer[AbilityValues])</f>
        <v>0.01, 0.02, 0.03, 0.04, 0.05</v>
      </c>
      <c r="AI141" s="428" t="b">
        <f t="array" ref="AI141">XLOOKUP(LCARS_Off[AbilityID],RawOfficer[AbilityID],RawOfficer[AbilityHasChance])</f>
        <v>0</v>
      </c>
      <c r="AJ141" s="428" t="b">
        <f t="array" ref="AJ141">XLOOKUP(LCARS_Off[AbilityID],RawOfficer[AbilityID],RawOfficer[AbilityShowPercentage])</f>
        <v>0</v>
      </c>
      <c r="AK141" s="429">
        <f t="array" ref="AK141">XLOOKUP(LCARS_Off[AbilityID],RawOfficer[AbilityID],RawOfficer[OfficerArt])</f>
        <v>60</v>
      </c>
      <c r="AL141" s="430">
        <v>4.235813457E9</v>
      </c>
      <c r="AM141" s="430">
        <f t="array" ref="AM141">XLOOKUP(LCARS_Off[AbilityID],RawOfficer[AbilityID],RawOfficer[Default Order])</f>
        <v>138</v>
      </c>
    </row>
    <row r="142">
      <c r="A142" s="429" t="str">
        <f t="array" ref="A142">LEFT(XLOOKUP(LCARS_Off[AbilityID],RawOfficer[AbilityID],RawOfficer[OfficerRarity]), 1)</f>
        <v>R</v>
      </c>
      <c r="B142" s="429"/>
      <c r="C142" s="514" t="str">
        <f t="array" ref="C142">HYPERLINK("https://stfc.space/officers/" &amp; XLOOKUP(LCARS_Off[AbilityID],RawOfficer[AbilityID],RawOfficer[OfficerId]), XLOOKUP(LCARS_Off[AbilityID],RawOfficer[AbilityID],RawOfficer[OfficerName]))</f>
        <v>JOACHIM</v>
      </c>
      <c r="D142" s="515" t="str">
        <f t="array" ref="D142">XLOOKUP(LCARS_Off[AbilityID],RawOfficer[AbilityID],RawOfficer[AbilityType])</f>
        <v>CM</v>
      </c>
      <c r="E142" s="516" t="str">
        <f t="array" ref="E142">XLOOKUP(LCARS_Off[AbilityID],RawOfficer[AbilityID],RawOfficer[Tag_PvPinSpace])</f>
        <v>➖</v>
      </c>
      <c r="F142" s="516" t="str">
        <f t="array" ref="F142">XLOOKUP(LCARS_Off[AbilityID],RawOfficer[AbilityID],RawOfficer[Tag_PvPStation])</f>
        <v>✅</v>
      </c>
      <c r="G142" s="516" t="str">
        <f t="array" ref="G142">XLOOKUP(LCARS_Off[AbilityID],RawOfficer[AbilityID],RawOfficer[Tag_NonArmadaHostiles])</f>
        <v>➖</v>
      </c>
      <c r="H142" s="516" t="str">
        <f t="array" ref="H142">XLOOKUP(LCARS_Off[AbilityID],RawOfficer[AbilityID],RawOfficer[Tag_WaveDefense])</f>
        <v>➖</v>
      </c>
      <c r="I142" s="516" t="str">
        <f t="array" ref="I142">XLOOKUP(LCARS_Off[AbilityID],RawOfficer[AbilityID],RawOfficer[Tag_QTrial])</f>
        <v>➖</v>
      </c>
      <c r="J142" s="516" t="str">
        <f t="array" ref="J142">XLOOKUP(LCARS_Off[AbilityID],RawOfficer[AbilityID],RawOfficer[Tag_MissionBosses])</f>
        <v>➖</v>
      </c>
      <c r="K142" s="516" t="str">
        <f t="array" ref="K142">XLOOKUP(LCARS_Off[AbilityID],RawOfficer[AbilityID],RawOfficer[Tag_GroupArmadas])</f>
        <v>➖</v>
      </c>
      <c r="L142" s="516" t="str">
        <f t="array" ref="L142">XLOOKUP(LCARS_Off[AbilityID],RawOfficer[AbilityID],RawOfficer[Tag_SoloArmadas])</f>
        <v>➖</v>
      </c>
      <c r="M142" s="516" t="str">
        <f t="array" ref="M142">XLOOKUP(LCARS_Off[AbilityID],RawOfficer[AbilityID],RawOfficer[Tag_InvadingEntities])</f>
        <v>➖</v>
      </c>
      <c r="N142" s="516" t="str">
        <f t="array" ref="N142">XLOOKUP(LCARS_Off[AbilityID],RawOfficer[AbilityID],RawOfficer[Tag_Assaults])</f>
        <v>➖</v>
      </c>
      <c r="O142" s="516" t="str">
        <f t="array" ref="O142">XLOOKUP(LCARS_Off[AbilityID],RawOfficer[AbilityID],RawOfficer[Tag_OutpostArmadas])</f>
        <v>➖</v>
      </c>
      <c r="P142" s="516" t="str">
        <f t="array" ref="P142">XLOOKUP(LCARS_Off[AbilityID],RawOfficer[AbilityID],RawOfficer[Tag_OutpostRetaliators])</f>
        <v>➖</v>
      </c>
      <c r="Q142" s="517" t="str">
        <f t="array" ref="Q142">XLOOKUP(LCARS_Off[AbilityID],RawOfficer[AbilityID],RawOfficer[Conditional_Reason])</f>
        <v/>
      </c>
      <c r="R142" s="518" t="str">
        <f t="array" ref="R142">XLOOKUP(LCARS_Off[AbilityID],RawOfficer[AbilityID],RawOfficer[Tag_Loot])</f>
        <v>➖</v>
      </c>
      <c r="S142" s="516" t="str">
        <f t="array" ref="S142">XLOOKUP(LCARS_Off[AbilityID],RawOfficer[AbilityID],RawOfficer[Tag_Utility])</f>
        <v>➖</v>
      </c>
      <c r="T142" s="429" t="str">
        <f t="array" ref="T142">XLOOKUP(LCARS_Off[AbilityID],RawOfficer[AbilityID],RawOfficer[OfficerSynergy])</f>
        <v>KHAN'S CREW</v>
      </c>
      <c r="U142" s="519" t="str">
        <f t="array" ref="U142">XLOOKUP(LCARS_Off[AbilityID],RawOfficer[AbilityID],RawOfficer[AbilityModifier])</f>
        <v>AllDefenses</v>
      </c>
      <c r="V142" s="519" t="str">
        <f t="array" ref="V142">XLOOKUP(LCARS_Off[AbilityID],RawOfficer[AbilityID],RawOfficer[AbilityAttributes])</f>
        <v>num_rounds=1</v>
      </c>
      <c r="W142" s="520" t="str">
        <f t="array" ref="W142">XLOOKUP(LCARS_Off[AbilityID],RawOfficer[AbilityID],RawOfficer[AbilityConditions])</f>
        <v>TargetNotASB, EnemySentinel</v>
      </c>
      <c r="X142" s="519" t="str">
        <f t="array" ref="X142">XLOOKUP(LCARS_Off[AbilityID],RawOfficer[AbilityID],RawOfficer[AbilityTrigger])</f>
        <v>CombatStart</v>
      </c>
      <c r="Y142" s="519" t="str">
        <f t="array" ref="Y142">XLOOKUP(LCARS_Off[AbilityID],RawOfficer[AbilityID],RawOfficer[AbilityTarget])</f>
        <v>SelfShip</v>
      </c>
      <c r="Z142" s="519" t="str">
        <f t="array" ref="Z142">XLOOKUP(LCARS_Off[AbilityID],RawOfficer[AbilityID],RawOfficer[AbilityOperation])</f>
        <v>Add</v>
      </c>
      <c r="AA142" s="521" t="str">
        <f t="array" ref="AA142">XLOOKUP(LCARS_Off[AbilityID],RawOfficer[AbilityID],RawOfficer[AbilityDescription])</f>
        <v>When attacking a Station, Joachim has X chances of greatly increasing the mitigation of the ship for the first round of combat.</v>
      </c>
      <c r="AB142" s="429" t="b">
        <v>0</v>
      </c>
      <c r="AC142" s="522" t="str">
        <f t="array" ref="AC142">XLOOKUP(LCARS_Off[AbilityID],RawOfficer[AbilityID],RawOfficer[AbilityDescriptionShort])</f>
        <v>X chances to drastically increase the ship's mitigation against a Station for the first round.</v>
      </c>
      <c r="AD142" s="523"/>
      <c r="AE142" s="521" t="s">
        <v>567</v>
      </c>
      <c r="AF142" s="524"/>
      <c r="AG142" s="525" t="str">
        <f t="array" ref="AG142">XLOOKUP(LCARS_Off[AbilityID],RawOfficer[AbilityID],RawOfficer[AbilityChances])</f>
        <v>0.5, 0.1, 0.25</v>
      </c>
      <c r="AH142" s="525" t="str">
        <f t="array" ref="AH142">XLOOKUP(LCARS_Off[AbilityID],RawOfficer[AbilityID],RawOfficer[AbilityValues])</f>
        <v>10000000.0, 0.0, 0.0</v>
      </c>
      <c r="AI142" s="428" t="b">
        <f t="array" ref="AI142">XLOOKUP(LCARS_Off[AbilityID],RawOfficer[AbilityID],RawOfficer[AbilityHasChance])</f>
        <v>1</v>
      </c>
      <c r="AJ142" s="428" t="b">
        <f t="array" ref="AJ142">XLOOKUP(LCARS_Off[AbilityID],RawOfficer[AbilityID],RawOfficer[AbilityShowPercentage])</f>
        <v>1</v>
      </c>
      <c r="AK142" s="429">
        <f t="array" ref="AK142">XLOOKUP(LCARS_Off[AbilityID],RawOfficer[AbilityID],RawOfficer[OfficerArt])</f>
        <v>61</v>
      </c>
      <c r="AL142" s="430">
        <v>4.1695482E8</v>
      </c>
      <c r="AM142" s="430">
        <f t="array" ref="AM142">XLOOKUP(LCARS_Off[AbilityID],RawOfficer[AbilityID],RawOfficer[Default Order])</f>
        <v>139</v>
      </c>
    </row>
    <row r="143">
      <c r="A143" s="429" t="str">
        <f t="array" ref="A143">LEFT(XLOOKUP(LCARS_Off[AbilityID],RawOfficer[AbilityID],RawOfficer[OfficerRarity]), 1)</f>
        <v>R</v>
      </c>
      <c r="B143" s="429"/>
      <c r="C143" s="514" t="str">
        <f t="array" ref="C143">HYPERLINK("https://stfc.space/officers/" &amp; XLOOKUP(LCARS_Off[AbilityID],RawOfficer[AbilityID],RawOfficer[OfficerId]), XLOOKUP(LCARS_Off[AbilityID],RawOfficer[AbilityID],RawOfficer[OfficerName]))</f>
        <v>JOACHIM</v>
      </c>
      <c r="D143" s="515" t="str">
        <f t="array" ref="D143">XLOOKUP(LCARS_Off[AbilityID],RawOfficer[AbilityID],RawOfficer[AbilityType])</f>
        <v>OA</v>
      </c>
      <c r="E143" s="516" t="str">
        <f t="array" ref="E143">XLOOKUP(LCARS_Off[AbilityID],RawOfficer[AbilityID],RawOfficer[Tag_PvPinSpace])</f>
        <v>➖</v>
      </c>
      <c r="F143" s="516" t="str">
        <f t="array" ref="F143">XLOOKUP(LCARS_Off[AbilityID],RawOfficer[AbilityID],RawOfficer[Tag_PvPStation])</f>
        <v>✅</v>
      </c>
      <c r="G143" s="516" t="str">
        <f t="array" ref="G143">XLOOKUP(LCARS_Off[AbilityID],RawOfficer[AbilityID],RawOfficer[Tag_NonArmadaHostiles])</f>
        <v>➖</v>
      </c>
      <c r="H143" s="516" t="str">
        <f t="array" ref="H143">XLOOKUP(LCARS_Off[AbilityID],RawOfficer[AbilityID],RawOfficer[Tag_WaveDefense])</f>
        <v>➖</v>
      </c>
      <c r="I143" s="516" t="str">
        <f t="array" ref="I143">XLOOKUP(LCARS_Off[AbilityID],RawOfficer[AbilityID],RawOfficer[Tag_QTrial])</f>
        <v>➖</v>
      </c>
      <c r="J143" s="516" t="str">
        <f t="array" ref="J143">XLOOKUP(LCARS_Off[AbilityID],RawOfficer[AbilityID],RawOfficer[Tag_MissionBosses])</f>
        <v>➖</v>
      </c>
      <c r="K143" s="516" t="str">
        <f t="array" ref="K143">XLOOKUP(LCARS_Off[AbilityID],RawOfficer[AbilityID],RawOfficer[Tag_GroupArmadas])</f>
        <v>➖</v>
      </c>
      <c r="L143" s="516" t="str">
        <f t="array" ref="L143">XLOOKUP(LCARS_Off[AbilityID],RawOfficer[AbilityID],RawOfficer[Tag_SoloArmadas])</f>
        <v>➖</v>
      </c>
      <c r="M143" s="516" t="str">
        <f t="array" ref="M143">XLOOKUP(LCARS_Off[AbilityID],RawOfficer[AbilityID],RawOfficer[Tag_InvadingEntities])</f>
        <v>➖</v>
      </c>
      <c r="N143" s="516" t="str">
        <f t="array" ref="N143">XLOOKUP(LCARS_Off[AbilityID],RawOfficer[AbilityID],RawOfficer[Tag_Assaults])</f>
        <v>➖</v>
      </c>
      <c r="O143" s="516" t="str">
        <f t="array" ref="O143">XLOOKUP(LCARS_Off[AbilityID],RawOfficer[AbilityID],RawOfficer[Tag_OutpostArmadas])</f>
        <v>➖</v>
      </c>
      <c r="P143" s="516" t="str">
        <f t="array" ref="P143">XLOOKUP(LCARS_Off[AbilityID],RawOfficer[AbilityID],RawOfficer[Tag_OutpostRetaliators])</f>
        <v>➖</v>
      </c>
      <c r="Q143" s="517" t="str">
        <f t="array" ref="Q143">XLOOKUP(LCARS_Off[AbilityID],RawOfficer[AbilityID],RawOfficer[Conditional_Reason])</f>
        <v/>
      </c>
      <c r="R143" s="518" t="str">
        <f t="array" ref="R143">XLOOKUP(LCARS_Off[AbilityID],RawOfficer[AbilityID],RawOfficer[Tag_Loot])</f>
        <v>➖</v>
      </c>
      <c r="S143" s="516" t="str">
        <f t="array" ref="S143">XLOOKUP(LCARS_Off[AbilityID],RawOfficer[AbilityID],RawOfficer[Tag_Utility])</f>
        <v>➖</v>
      </c>
      <c r="T143" s="429" t="str">
        <f t="array" ref="T143">XLOOKUP(LCARS_Off[AbilityID],RawOfficer[AbilityID],RawOfficer[OfficerSynergy])</f>
        <v>KHAN'S CREW</v>
      </c>
      <c r="U143" s="519" t="str">
        <f t="array" ref="U143">XLOOKUP(LCARS_Off[AbilityID],RawOfficer[AbilityID],RawOfficer[AbilityModifier])</f>
        <v>AllDamage</v>
      </c>
      <c r="V143" s="519" t="str">
        <f t="array" ref="V143">XLOOKUP(LCARS_Off[AbilityID],RawOfficer[AbilityID],RawOfficer[AbilityAttributes])</f>
        <v/>
      </c>
      <c r="W143" s="520" t="str">
        <f t="array" ref="W143">XLOOKUP(LCARS_Off[AbilityID],RawOfficer[AbilityID],RawOfficer[AbilityConditions])</f>
        <v>TargetNotASB, EnemySentinel</v>
      </c>
      <c r="X143" s="519" t="str">
        <f t="array" ref="X143">XLOOKUP(LCARS_Off[AbilityID],RawOfficer[AbilityID],RawOfficer[AbilityTrigger])</f>
        <v>CombatStart</v>
      </c>
      <c r="Y143" s="519" t="str">
        <f t="array" ref="Y143">XLOOKUP(LCARS_Off[AbilityID],RawOfficer[AbilityID],RawOfficer[AbilityTarget])</f>
        <v>EnemyAllShips</v>
      </c>
      <c r="Z143" s="519" t="str">
        <f t="array" ref="Z143">XLOOKUP(LCARS_Off[AbilityID],RawOfficer[AbilityID],RawOfficer[AbilityOperation])</f>
        <v>MultiplySub</v>
      </c>
      <c r="AA143" s="521" t="str">
        <f t="array" ref="AA143">XLOOKUP(LCARS_Off[AbilityID],RawOfficer[AbilityID],RawOfficer[AbilityDescription])</f>
        <v>When attacking a Station, Joachim decreases the Weapon Damage of all opponent's Ships and Defense Platforms by X</v>
      </c>
      <c r="AB143" s="429" t="b">
        <v>0</v>
      </c>
      <c r="AC143" s="522" t="str">
        <f t="array" ref="AC143">XLOOKUP(LCARS_Off[AbilityID],RawOfficer[AbilityID],RawOfficer[AbilityDescriptionShort])</f>
        <v>-X to all opponent's ships and defense platforms damage in Station Combat</v>
      </c>
      <c r="AD143" s="523"/>
      <c r="AE143" s="524"/>
      <c r="AF143" s="524"/>
      <c r="AG143" s="525" t="str">
        <f t="array" ref="AG143">XLOOKUP(LCARS_Off[AbilityID],RawOfficer[AbilityID],RawOfficer[AbilityChances])</f>
        <v>1.0, 1.0, 1.0, 1.0, 1.0</v>
      </c>
      <c r="AH143" s="525" t="str">
        <f t="array" ref="AH143">XLOOKUP(LCARS_Off[AbilityID],RawOfficer[AbilityID],RawOfficer[AbilityValues])</f>
        <v>0.1, 0.15, 0.2, 0.25, 0.3</v>
      </c>
      <c r="AI143" s="428" t="b">
        <f t="array" ref="AI143">XLOOKUP(LCARS_Off[AbilityID],RawOfficer[AbilityID],RawOfficer[AbilityHasChance])</f>
        <v>0</v>
      </c>
      <c r="AJ143" s="428" t="b">
        <f t="array" ref="AJ143">XLOOKUP(LCARS_Off[AbilityID],RawOfficer[AbilityID],RawOfficer[AbilityShowPercentage])</f>
        <v>1</v>
      </c>
      <c r="AK143" s="429">
        <f t="array" ref="AK143">XLOOKUP(LCARS_Off[AbilityID],RawOfficer[AbilityID],RawOfficer[OfficerArt])</f>
        <v>61</v>
      </c>
      <c r="AL143" s="430">
        <v>5.56660994E8</v>
      </c>
      <c r="AM143" s="430">
        <f t="array" ref="AM143">XLOOKUP(LCARS_Off[AbilityID],RawOfficer[AbilityID],RawOfficer[Default Order])</f>
        <v>140</v>
      </c>
    </row>
    <row r="144">
      <c r="A144" s="429" t="str">
        <f t="array" ref="A144">LEFT(XLOOKUP(LCARS_Off[AbilityID],RawOfficer[AbilityID],RawOfficer[OfficerRarity]), 1)</f>
        <v>R</v>
      </c>
      <c r="B144" s="429"/>
      <c r="C144" s="514" t="str">
        <f t="array" ref="C144">HYPERLINK("https://stfc.space/officers/" &amp; XLOOKUP(LCARS_Off[AbilityID],RawOfficer[AbilityID],RawOfficer[OfficerId]), XLOOKUP(LCARS_Off[AbilityID],RawOfficer[AbilityID],RawOfficer[OfficerName]))</f>
        <v>MARLA</v>
      </c>
      <c r="D144" s="515" t="str">
        <f t="array" ref="D144">XLOOKUP(LCARS_Off[AbilityID],RawOfficer[AbilityID],RawOfficer[AbilityType])</f>
        <v>CM</v>
      </c>
      <c r="E144" s="516" t="str">
        <f t="array" ref="E144">XLOOKUP(LCARS_Off[AbilityID],RawOfficer[AbilityID],RawOfficer[Tag_PvPinSpace])</f>
        <v>➖</v>
      </c>
      <c r="F144" s="516" t="str">
        <f t="array" ref="F144">XLOOKUP(LCARS_Off[AbilityID],RawOfficer[AbilityID],RawOfficer[Tag_PvPStation])</f>
        <v>➖</v>
      </c>
      <c r="G144" s="516" t="str">
        <f t="array" ref="G144">XLOOKUP(LCARS_Off[AbilityID],RawOfficer[AbilityID],RawOfficer[Tag_NonArmadaHostiles])</f>
        <v>➖</v>
      </c>
      <c r="H144" s="516" t="str">
        <f t="array" ref="H144">XLOOKUP(LCARS_Off[AbilityID],RawOfficer[AbilityID],RawOfficer[Tag_WaveDefense])</f>
        <v>➖</v>
      </c>
      <c r="I144" s="516" t="str">
        <f t="array" ref="I144">XLOOKUP(LCARS_Off[AbilityID],RawOfficer[AbilityID],RawOfficer[Tag_QTrial])</f>
        <v>➖</v>
      </c>
      <c r="J144" s="516" t="str">
        <f t="array" ref="J144">XLOOKUP(LCARS_Off[AbilityID],RawOfficer[AbilityID],RawOfficer[Tag_MissionBosses])</f>
        <v>➖</v>
      </c>
      <c r="K144" s="516" t="str">
        <f t="array" ref="K144">XLOOKUP(LCARS_Off[AbilityID],RawOfficer[AbilityID],RawOfficer[Tag_GroupArmadas])</f>
        <v>➖</v>
      </c>
      <c r="L144" s="516" t="str">
        <f t="array" ref="L144">XLOOKUP(LCARS_Off[AbilityID],RawOfficer[AbilityID],RawOfficer[Tag_SoloArmadas])</f>
        <v>➖</v>
      </c>
      <c r="M144" s="516" t="str">
        <f t="array" ref="M144">XLOOKUP(LCARS_Off[AbilityID],RawOfficer[AbilityID],RawOfficer[Tag_InvadingEntities])</f>
        <v>➖</v>
      </c>
      <c r="N144" s="516" t="str">
        <f t="array" ref="N144">XLOOKUP(LCARS_Off[AbilityID],RawOfficer[AbilityID],RawOfficer[Tag_Assaults])</f>
        <v>➖</v>
      </c>
      <c r="O144" s="516" t="str">
        <f t="array" ref="O144">XLOOKUP(LCARS_Off[AbilityID],RawOfficer[AbilityID],RawOfficer[Tag_OutpostArmadas])</f>
        <v>➖</v>
      </c>
      <c r="P144" s="516" t="str">
        <f t="array" ref="P144">XLOOKUP(LCARS_Off[AbilityID],RawOfficer[AbilityID],RawOfficer[Tag_OutpostRetaliators])</f>
        <v>➖</v>
      </c>
      <c r="Q144" s="517" t="str">
        <f t="array" ref="Q144">XLOOKUP(LCARS_Off[AbilityID],RawOfficer[AbilityID],RawOfficer[Conditional_Reason])</f>
        <v/>
      </c>
      <c r="R144" s="518" t="str">
        <f t="array" ref="R144">XLOOKUP(LCARS_Off[AbilityID],RawOfficer[AbilityID],RawOfficer[Tag_Loot])</f>
        <v>➖</v>
      </c>
      <c r="S144" s="516" t="str">
        <f t="array" ref="S144">XLOOKUP(LCARS_Off[AbilityID],RawOfficer[AbilityID],RawOfficer[Tag_Utility])</f>
        <v>✅</v>
      </c>
      <c r="T144" s="429" t="str">
        <f t="array" ref="T144">XLOOKUP(LCARS_Off[AbilityID],RawOfficer[AbilityID],RawOfficer[OfficerSynergy])</f>
        <v>KHAN'S CREW</v>
      </c>
      <c r="U144" s="519" t="str">
        <f t="array" ref="U144">XLOOKUP(LCARS_Off[AbilityID],RawOfficer[AbilityID],RawOfficer[AbilityModifier])</f>
        <v>RepairTime</v>
      </c>
      <c r="V144" s="519" t="str">
        <f t="array" ref="V144">XLOOKUP(LCARS_Off[AbilityID],RawOfficer[AbilityID],RawOfficer[AbilityAttributes])</f>
        <v/>
      </c>
      <c r="W144" s="520" t="str">
        <f t="array" ref="W144">XLOOKUP(LCARS_Off[AbilityID],RawOfficer[AbilityID],RawOfficer[AbilityConditions])</f>
        <v/>
      </c>
      <c r="X144" s="519" t="str">
        <f t="array" ref="X144">XLOOKUP(LCARS_Off[AbilityID],RawOfficer[AbilityID],RawOfficer[AbilityTrigger])</f>
        <v>ShipLaunched</v>
      </c>
      <c r="Y144" s="519" t="str">
        <f t="array" ref="Y144">XLOOKUP(LCARS_Off[AbilityID],RawOfficer[AbilityID],RawOfficer[AbilityTarget])</f>
        <v>SelfShip</v>
      </c>
      <c r="Z144" s="519" t="str">
        <f t="array" ref="Z144">XLOOKUP(LCARS_Off[AbilityID],RawOfficer[AbilityID],RawOfficer[AbilityOperation])</f>
        <v>MultiplyAdd</v>
      </c>
      <c r="AA144" s="521" t="str">
        <f t="array" ref="AA144">XLOOKUP(LCARS_Off[AbilityID],RawOfficer[AbilityID],RawOfficer[AbilityDescription])</f>
        <v>Marla increases the Repair Speed of the ship by X.</v>
      </c>
      <c r="AB144" s="429" t="b">
        <v>0</v>
      </c>
      <c r="AC144" s="522" t="str">
        <f t="array" ref="AC144">XLOOKUP(LCARS_Off[AbilityID],RawOfficer[AbilityID],RawOfficer[AbilityDescriptionShort])</f>
        <v>+X to this ship's Repair Speed</v>
      </c>
      <c r="AD144" s="523"/>
      <c r="AE144" s="524"/>
      <c r="AF144" s="524"/>
      <c r="AG144" s="525" t="str">
        <f t="array" ref="AG144">XLOOKUP(LCARS_Off[AbilityID],RawOfficer[AbilityID],RawOfficer[AbilityChances])</f>
        <v>1.0, 1.0, 1.0</v>
      </c>
      <c r="AH144" s="525" t="str">
        <f t="array" ref="AH144">XLOOKUP(LCARS_Off[AbilityID],RawOfficer[AbilityID],RawOfficer[AbilityValues])</f>
        <v>0.2, 0.05, 0.15</v>
      </c>
      <c r="AI144" s="428" t="b">
        <f t="array" ref="AI144">XLOOKUP(LCARS_Off[AbilityID],RawOfficer[AbilityID],RawOfficer[AbilityHasChance])</f>
        <v>0</v>
      </c>
      <c r="AJ144" s="428" t="b">
        <f t="array" ref="AJ144">XLOOKUP(LCARS_Off[AbilityID],RawOfficer[AbilityID],RawOfficer[AbilityShowPercentage])</f>
        <v>1</v>
      </c>
      <c r="AK144" s="429">
        <f t="array" ref="AK144">XLOOKUP(LCARS_Off[AbilityID],RawOfficer[AbilityID],RawOfficer[OfficerArt])</f>
        <v>62</v>
      </c>
      <c r="AL144" s="430">
        <v>2.905060077E9</v>
      </c>
      <c r="AM144" s="430">
        <f t="array" ref="AM144">XLOOKUP(LCARS_Off[AbilityID],RawOfficer[AbilityID],RawOfficer[Default Order])</f>
        <v>141</v>
      </c>
    </row>
    <row r="145">
      <c r="A145" s="429" t="str">
        <f t="array" ref="A145">LEFT(XLOOKUP(LCARS_Off[AbilityID],RawOfficer[AbilityID],RawOfficer[OfficerRarity]), 1)</f>
        <v>R</v>
      </c>
      <c r="B145" s="429"/>
      <c r="C145" s="514" t="str">
        <f t="array" ref="C145">HYPERLINK("https://stfc.space/officers/" &amp; XLOOKUP(LCARS_Off[AbilityID],RawOfficer[AbilityID],RawOfficer[OfficerId]), XLOOKUP(LCARS_Off[AbilityID],RawOfficer[AbilityID],RawOfficer[OfficerName]))</f>
        <v>MARLA</v>
      </c>
      <c r="D145" s="515" t="str">
        <f t="array" ref="D145">XLOOKUP(LCARS_Off[AbilityID],RawOfficer[AbilityID],RawOfficer[AbilityType])</f>
        <v>OA</v>
      </c>
      <c r="E145" s="516" t="str">
        <f t="array" ref="E145">XLOOKUP(LCARS_Off[AbilityID],RawOfficer[AbilityID],RawOfficer[Tag_PvPinSpace])</f>
        <v>✅</v>
      </c>
      <c r="F145" s="516" t="str">
        <f t="array" ref="F145">XLOOKUP(LCARS_Off[AbilityID],RawOfficer[AbilityID],RawOfficer[Tag_PvPStation])</f>
        <v>✅</v>
      </c>
      <c r="G145" s="516" t="str">
        <f t="array" ref="G145">XLOOKUP(LCARS_Off[AbilityID],RawOfficer[AbilityID],RawOfficer[Tag_NonArmadaHostiles])</f>
        <v>✅</v>
      </c>
      <c r="H145" s="516" t="str">
        <f t="array" ref="H145">XLOOKUP(LCARS_Off[AbilityID],RawOfficer[AbilityID],RawOfficer[Tag_WaveDefense])</f>
        <v>✅</v>
      </c>
      <c r="I145" s="516" t="str">
        <f t="array" ref="I145">XLOOKUP(LCARS_Off[AbilityID],RawOfficer[AbilityID],RawOfficer[Tag_QTrial])</f>
        <v>✅</v>
      </c>
      <c r="J145" s="516" t="str">
        <f t="array" ref="J145">XLOOKUP(LCARS_Off[AbilityID],RawOfficer[AbilityID],RawOfficer[Tag_MissionBosses])</f>
        <v>✅</v>
      </c>
      <c r="K145" s="516" t="str">
        <f t="array" ref="K145">XLOOKUP(LCARS_Off[AbilityID],RawOfficer[AbilityID],RawOfficer[Tag_GroupArmadas])</f>
        <v>✅</v>
      </c>
      <c r="L145" s="516" t="str">
        <f t="array" ref="L145">XLOOKUP(LCARS_Off[AbilityID],RawOfficer[AbilityID],RawOfficer[Tag_SoloArmadas])</f>
        <v>✅</v>
      </c>
      <c r="M145" s="516" t="str">
        <f t="array" ref="M145">XLOOKUP(LCARS_Off[AbilityID],RawOfficer[AbilityID],RawOfficer[Tag_InvadingEntities])</f>
        <v>✅</v>
      </c>
      <c r="N145" s="516" t="str">
        <f t="array" ref="N145">XLOOKUP(LCARS_Off[AbilityID],RawOfficer[AbilityID],RawOfficer[Tag_Assaults])</f>
        <v>✅</v>
      </c>
      <c r="O145" s="516" t="str">
        <f t="array" ref="O145">XLOOKUP(LCARS_Off[AbilityID],RawOfficer[AbilityID],RawOfficer[Tag_OutpostArmadas])</f>
        <v>✅</v>
      </c>
      <c r="P145" s="516" t="str">
        <f t="array" ref="P145">XLOOKUP(LCARS_Off[AbilityID],RawOfficer[AbilityID],RawOfficer[Tag_OutpostRetaliators])</f>
        <v>✅</v>
      </c>
      <c r="Q145" s="517" t="str">
        <f t="array" ref="Q145">XLOOKUP(LCARS_Off[AbilityID],RawOfficer[AbilityID],RawOfficer[Conditional_Reason])</f>
        <v/>
      </c>
      <c r="R145" s="518" t="str">
        <f t="array" ref="R145">XLOOKUP(LCARS_Off[AbilityID],RawOfficer[AbilityID],RawOfficer[Tag_Loot])</f>
        <v>➖</v>
      </c>
      <c r="S145" s="516" t="str">
        <f t="array" ref="S145">XLOOKUP(LCARS_Off[AbilityID],RawOfficer[AbilityID],RawOfficer[Tag_Utility])</f>
        <v>➖</v>
      </c>
      <c r="T145" s="429" t="str">
        <f t="array" ref="T145">XLOOKUP(LCARS_Off[AbilityID],RawOfficer[AbilityID],RawOfficer[OfficerSynergy])</f>
        <v>KHAN'S CREW</v>
      </c>
      <c r="U145" s="519" t="str">
        <f t="array" ref="U145">XLOOKUP(LCARS_Off[AbilityID],RawOfficer[AbilityID],RawOfficer[AbilityModifier])</f>
        <v>OfficerStatAll</v>
      </c>
      <c r="V145" s="519" t="str">
        <f t="array" ref="V145">XLOOKUP(LCARS_Off[AbilityID],RawOfficer[AbilityID],RawOfficer[AbilityAttributes])</f>
        <v/>
      </c>
      <c r="W145" s="520" t="str">
        <f t="array" ref="W145">XLOOKUP(LCARS_Off[AbilityID],RawOfficer[AbilityID],RawOfficer[AbilityConditions])</f>
        <v/>
      </c>
      <c r="X145" s="519" t="str">
        <f t="array" ref="X145">XLOOKUP(LCARS_Off[AbilityID],RawOfficer[AbilityID],RawOfficer[AbilityTrigger])</f>
        <v>ShipLaunched</v>
      </c>
      <c r="Y145" s="519" t="str">
        <f t="array" ref="Y145">XLOOKUP(LCARS_Off[AbilityID],RawOfficer[AbilityID],RawOfficer[AbilityTarget])</f>
        <v>SelfCaptain</v>
      </c>
      <c r="Z145" s="519" t="str">
        <f t="array" ref="Z145">XLOOKUP(LCARS_Off[AbilityID],RawOfficer[AbilityID],RawOfficer[AbilityOperation])</f>
        <v>MultiplyAdd</v>
      </c>
      <c r="AA145" s="521" t="str">
        <f t="array" ref="AA145">XLOOKUP(LCARS_Off[AbilityID],RawOfficer[AbilityID],RawOfficer[AbilityDescription])</f>
        <v>Marla increases the Attack, Defense and Health of the captain by X</v>
      </c>
      <c r="AB145" s="429" t="b">
        <v>0</v>
      </c>
      <c r="AC145" s="522" t="str">
        <f t="array" ref="AC145">XLOOKUP(LCARS_Off[AbilityID],RawOfficer[AbilityID],RawOfficer[AbilityDescriptionShort])</f>
        <v>+X to this ship's Captain stats</v>
      </c>
      <c r="AD145" s="523"/>
      <c r="AE145" s="524"/>
      <c r="AF145" s="524"/>
      <c r="AG145" s="525" t="str">
        <f t="array" ref="AG145">XLOOKUP(LCARS_Off[AbilityID],RawOfficer[AbilityID],RawOfficer[AbilityChances])</f>
        <v>1.0, 1.0, 1.0, 1.0, 1.0</v>
      </c>
      <c r="AH145" s="525" t="str">
        <f t="array" ref="AH145">XLOOKUP(LCARS_Off[AbilityID],RawOfficer[AbilityID],RawOfficer[AbilityValues])</f>
        <v>0.5, 0.6, 0.7, 0.8, 0.9</v>
      </c>
      <c r="AI145" s="428" t="b">
        <f t="array" ref="AI145">XLOOKUP(LCARS_Off[AbilityID],RawOfficer[AbilityID],RawOfficer[AbilityHasChance])</f>
        <v>0</v>
      </c>
      <c r="AJ145" s="428" t="b">
        <f t="array" ref="AJ145">XLOOKUP(LCARS_Off[AbilityID],RawOfficer[AbilityID],RawOfficer[AbilityShowPercentage])</f>
        <v>1</v>
      </c>
      <c r="AK145" s="429">
        <f t="array" ref="AK145">XLOOKUP(LCARS_Off[AbilityID],RawOfficer[AbilityID],RawOfficer[OfficerArt])</f>
        <v>62</v>
      </c>
      <c r="AL145" s="430">
        <v>1.434879169E9</v>
      </c>
      <c r="AM145" s="430">
        <f t="array" ref="AM145">XLOOKUP(LCARS_Off[AbilityID],RawOfficer[AbilityID],RawOfficer[Default Order])</f>
        <v>142</v>
      </c>
    </row>
    <row r="146">
      <c r="A146" s="429" t="str">
        <f t="array" ref="A146">LEFT(XLOOKUP(LCARS_Off[AbilityID],RawOfficer[AbilityID],RawOfficer[OfficerRarity]), 1)</f>
        <v>U</v>
      </c>
      <c r="B146" s="429"/>
      <c r="C146" s="514" t="str">
        <f t="array" ref="C146">HYPERLINK("https://stfc.space/officers/" &amp; XLOOKUP(LCARS_Off[AbilityID],RawOfficer[AbilityID],RawOfficer[OfficerId]), XLOOKUP(LCARS_Off[AbilityID],RawOfficer[AbilityID],RawOfficer[OfficerName]))</f>
        <v>JOAQUIN</v>
      </c>
      <c r="D146" s="515" t="str">
        <f t="array" ref="D146">XLOOKUP(LCARS_Off[AbilityID],RawOfficer[AbilityID],RawOfficer[AbilityType])</f>
        <v>CM</v>
      </c>
      <c r="E146" s="516" t="str">
        <f t="array" ref="E146">XLOOKUP(LCARS_Off[AbilityID],RawOfficer[AbilityID],RawOfficer[Tag_PvPinSpace])</f>
        <v>➖</v>
      </c>
      <c r="F146" s="516" t="str">
        <f t="array" ref="F146">XLOOKUP(LCARS_Off[AbilityID],RawOfficer[AbilityID],RawOfficer[Tag_PvPStation])</f>
        <v>➖</v>
      </c>
      <c r="G146" s="516" t="str">
        <f t="array" ref="G146">XLOOKUP(LCARS_Off[AbilityID],RawOfficer[AbilityID],RawOfficer[Tag_NonArmadaHostiles])</f>
        <v>➖</v>
      </c>
      <c r="H146" s="516" t="str">
        <f t="array" ref="H146">XLOOKUP(LCARS_Off[AbilityID],RawOfficer[AbilityID],RawOfficer[Tag_WaveDefense])</f>
        <v>➖</v>
      </c>
      <c r="I146" s="516" t="str">
        <f t="array" ref="I146">XLOOKUP(LCARS_Off[AbilityID],RawOfficer[AbilityID],RawOfficer[Tag_QTrial])</f>
        <v>➖</v>
      </c>
      <c r="J146" s="516" t="str">
        <f t="array" ref="J146">XLOOKUP(LCARS_Off[AbilityID],RawOfficer[AbilityID],RawOfficer[Tag_MissionBosses])</f>
        <v>➖</v>
      </c>
      <c r="K146" s="516" t="str">
        <f t="array" ref="K146">XLOOKUP(LCARS_Off[AbilityID],RawOfficer[AbilityID],RawOfficer[Tag_GroupArmadas])</f>
        <v>➖</v>
      </c>
      <c r="L146" s="516" t="str">
        <f t="array" ref="L146">XLOOKUP(LCARS_Off[AbilityID],RawOfficer[AbilityID],RawOfficer[Tag_SoloArmadas])</f>
        <v>➖</v>
      </c>
      <c r="M146" s="516" t="str">
        <f t="array" ref="M146">XLOOKUP(LCARS_Off[AbilityID],RawOfficer[AbilityID],RawOfficer[Tag_InvadingEntities])</f>
        <v>➖</v>
      </c>
      <c r="N146" s="516" t="str">
        <f t="array" ref="N146">XLOOKUP(LCARS_Off[AbilityID],RawOfficer[AbilityID],RawOfficer[Tag_Assaults])</f>
        <v>➖</v>
      </c>
      <c r="O146" s="516" t="str">
        <f t="array" ref="O146">XLOOKUP(LCARS_Off[AbilityID],RawOfficer[AbilityID],RawOfficer[Tag_OutpostArmadas])</f>
        <v>➖</v>
      </c>
      <c r="P146" s="516" t="str">
        <f t="array" ref="P146">XLOOKUP(LCARS_Off[AbilityID],RawOfficer[AbilityID],RawOfficer[Tag_OutpostRetaliators])</f>
        <v>➖</v>
      </c>
      <c r="Q146" s="517" t="str">
        <f t="array" ref="Q146">XLOOKUP(LCARS_Off[AbilityID],RawOfficer[AbilityID],RawOfficer[Conditional_Reason])</f>
        <v/>
      </c>
      <c r="R146" s="518" t="str">
        <f t="array" ref="R146">XLOOKUP(LCARS_Off[AbilityID],RawOfficer[AbilityID],RawOfficer[Tag_Loot])</f>
        <v>➖</v>
      </c>
      <c r="S146" s="516" t="str">
        <f t="array" ref="S146">XLOOKUP(LCARS_Off[AbilityID],RawOfficer[AbilityID],RawOfficer[Tag_Utility])</f>
        <v>✅</v>
      </c>
      <c r="T146" s="429" t="str">
        <f t="array" ref="T146">XLOOKUP(LCARS_Off[AbilityID],RawOfficer[AbilityID],RawOfficer[OfficerSynergy])</f>
        <v>KHAN'S CREW</v>
      </c>
      <c r="U146" s="519" t="str">
        <f t="array" ref="U146">XLOOKUP(LCARS_Off[AbilityID],RawOfficer[AbilityID],RawOfficer[AbilityModifier])</f>
        <v>CargoProtection</v>
      </c>
      <c r="V146" s="519" t="str">
        <f t="array" ref="V146">XLOOKUP(LCARS_Off[AbilityID],RawOfficer[AbilityID],RawOfficer[AbilityAttributes])</f>
        <v/>
      </c>
      <c r="W146" s="520" t="str">
        <f t="array" ref="W146">XLOOKUP(LCARS_Off[AbilityID],RawOfficer[AbilityID],RawOfficer[AbilityConditions])</f>
        <v/>
      </c>
      <c r="X146" s="519" t="str">
        <f t="array" ref="X146">XLOOKUP(LCARS_Off[AbilityID],RawOfficer[AbilityID],RawOfficer[AbilityTrigger])</f>
        <v>ShipLaunched</v>
      </c>
      <c r="Y146" s="519" t="str">
        <f t="array" ref="Y146">XLOOKUP(LCARS_Off[AbilityID],RawOfficer[AbilityID],RawOfficer[AbilityTarget])</f>
        <v>SelfShip</v>
      </c>
      <c r="Z146" s="519" t="str">
        <f t="array" ref="Z146">XLOOKUP(LCARS_Off[AbilityID],RawOfficer[AbilityID],RawOfficer[AbilityOperation])</f>
        <v>MultiplyAdd</v>
      </c>
      <c r="AA146" s="521" t="str">
        <f t="array" ref="AA146">XLOOKUP(LCARS_Off[AbilityID],RawOfficer[AbilityID],RawOfficer[AbilityDescription])</f>
        <v>Joaquin increases the Protected Cargo of the ship by X</v>
      </c>
      <c r="AB146" s="429" t="b">
        <v>0</v>
      </c>
      <c r="AC146" s="522" t="str">
        <f t="array" ref="AC146">XLOOKUP(LCARS_Off[AbilityID],RawOfficer[AbilityID],RawOfficer[AbilityDescriptionShort])</f>
        <v>+X to this ship's Protected Cargo</v>
      </c>
      <c r="AD146" s="523"/>
      <c r="AE146" s="524"/>
      <c r="AF146" s="524"/>
      <c r="AG146" s="525" t="str">
        <f t="array" ref="AG146">XLOOKUP(LCARS_Off[AbilityID],RawOfficer[AbilityID],RawOfficer[AbilityChances])</f>
        <v>1.0, 1.0, 1.0</v>
      </c>
      <c r="AH146" s="525" t="str">
        <f t="array" ref="AH146">XLOOKUP(LCARS_Off[AbilityID],RawOfficer[AbilityID],RawOfficer[AbilityValues])</f>
        <v>0.5, 0.15, 0.25</v>
      </c>
      <c r="AI146" s="428" t="b">
        <f t="array" ref="AI146">XLOOKUP(LCARS_Off[AbilityID],RawOfficer[AbilityID],RawOfficer[AbilityHasChance])</f>
        <v>0</v>
      </c>
      <c r="AJ146" s="428" t="b">
        <f t="array" ref="AJ146">XLOOKUP(LCARS_Off[AbilityID],RawOfficer[AbilityID],RawOfficer[AbilityShowPercentage])</f>
        <v>1</v>
      </c>
      <c r="AK146" s="429">
        <f t="array" ref="AK146">XLOOKUP(LCARS_Off[AbilityID],RawOfficer[AbilityID],RawOfficer[OfficerArt])</f>
        <v>63</v>
      </c>
      <c r="AL146" s="430">
        <v>1.585093811E9</v>
      </c>
      <c r="AM146" s="430">
        <f t="array" ref="AM146">XLOOKUP(LCARS_Off[AbilityID],RawOfficer[AbilityID],RawOfficer[Default Order])</f>
        <v>143</v>
      </c>
    </row>
    <row r="147">
      <c r="A147" s="429" t="str">
        <f t="array" ref="A147">LEFT(XLOOKUP(LCARS_Off[AbilityID],RawOfficer[AbilityID],RawOfficer[OfficerRarity]), 1)</f>
        <v>U</v>
      </c>
      <c r="B147" s="429"/>
      <c r="C147" s="514" t="str">
        <f t="array" ref="C147">HYPERLINK("https://stfc.space/officers/" &amp; XLOOKUP(LCARS_Off[AbilityID],RawOfficer[AbilityID],RawOfficer[OfficerId]), XLOOKUP(LCARS_Off[AbilityID],RawOfficer[AbilityID],RawOfficer[OfficerName]))</f>
        <v>JOAQUIN</v>
      </c>
      <c r="D147" s="515" t="str">
        <f t="array" ref="D147">XLOOKUP(LCARS_Off[AbilityID],RawOfficer[AbilityID],RawOfficer[AbilityType])</f>
        <v>OA</v>
      </c>
      <c r="E147" s="516" t="str">
        <f t="array" ref="E147">XLOOKUP(LCARS_Off[AbilityID],RawOfficer[AbilityID],RawOfficer[Tag_PvPinSpace])</f>
        <v>➖</v>
      </c>
      <c r="F147" s="516" t="str">
        <f t="array" ref="F147">XLOOKUP(LCARS_Off[AbilityID],RawOfficer[AbilityID],RawOfficer[Tag_PvPStation])</f>
        <v>➖</v>
      </c>
      <c r="G147" s="516" t="str">
        <f t="array" ref="G147">XLOOKUP(LCARS_Off[AbilityID],RawOfficer[AbilityID],RawOfficer[Tag_NonArmadaHostiles])</f>
        <v>➖</v>
      </c>
      <c r="H147" s="516" t="str">
        <f t="array" ref="H147">XLOOKUP(LCARS_Off[AbilityID],RawOfficer[AbilityID],RawOfficer[Tag_WaveDefense])</f>
        <v>➖</v>
      </c>
      <c r="I147" s="516" t="str">
        <f t="array" ref="I147">XLOOKUP(LCARS_Off[AbilityID],RawOfficer[AbilityID],RawOfficer[Tag_QTrial])</f>
        <v>➖</v>
      </c>
      <c r="J147" s="516" t="str">
        <f t="array" ref="J147">XLOOKUP(LCARS_Off[AbilityID],RawOfficer[AbilityID],RawOfficer[Tag_MissionBosses])</f>
        <v>➖</v>
      </c>
      <c r="K147" s="516" t="str">
        <f t="array" ref="K147">XLOOKUP(LCARS_Off[AbilityID],RawOfficer[AbilityID],RawOfficer[Tag_GroupArmadas])</f>
        <v>➖</v>
      </c>
      <c r="L147" s="516" t="str">
        <f t="array" ref="L147">XLOOKUP(LCARS_Off[AbilityID],RawOfficer[AbilityID],RawOfficer[Tag_SoloArmadas])</f>
        <v>➖</v>
      </c>
      <c r="M147" s="516" t="str">
        <f t="array" ref="M147">XLOOKUP(LCARS_Off[AbilityID],RawOfficer[AbilityID],RawOfficer[Tag_InvadingEntities])</f>
        <v>➖</v>
      </c>
      <c r="N147" s="516" t="str">
        <f t="array" ref="N147">XLOOKUP(LCARS_Off[AbilityID],RawOfficer[AbilityID],RawOfficer[Tag_Assaults])</f>
        <v>➖</v>
      </c>
      <c r="O147" s="516" t="str">
        <f t="array" ref="O147">XLOOKUP(LCARS_Off[AbilityID],RawOfficer[AbilityID],RawOfficer[Tag_OutpostArmadas])</f>
        <v>➖</v>
      </c>
      <c r="P147" s="516" t="str">
        <f t="array" ref="P147">XLOOKUP(LCARS_Off[AbilityID],RawOfficer[AbilityID],RawOfficer[Tag_OutpostRetaliators])</f>
        <v>➖</v>
      </c>
      <c r="Q147" s="517" t="str">
        <f t="array" ref="Q147">XLOOKUP(LCARS_Off[AbilityID],RawOfficer[AbilityID],RawOfficer[Conditional_Reason])</f>
        <v/>
      </c>
      <c r="R147" s="518" t="str">
        <f t="array" ref="R147">XLOOKUP(LCARS_Off[AbilityID],RawOfficer[AbilityID],RawOfficer[Tag_Loot])</f>
        <v>➖</v>
      </c>
      <c r="S147" s="516" t="str">
        <f t="array" ref="S147">XLOOKUP(LCARS_Off[AbilityID],RawOfficer[AbilityID],RawOfficer[Tag_Utility])</f>
        <v>✅</v>
      </c>
      <c r="T147" s="429" t="str">
        <f t="array" ref="T147">XLOOKUP(LCARS_Off[AbilityID],RawOfficer[AbilityID],RawOfficer[OfficerSynergy])</f>
        <v>KHAN'S CREW</v>
      </c>
      <c r="U147" s="519" t="str">
        <f t="array" ref="U147">XLOOKUP(LCARS_Off[AbilityID],RawOfficer[AbilityID],RawOfficer[AbilityModifier])</f>
        <v>MiningRate</v>
      </c>
      <c r="V147" s="519" t="str">
        <f t="array" ref="V147">XLOOKUP(LCARS_Off[AbilityID],RawOfficer[AbilityID],RawOfficer[AbilityAttributes])</f>
        <v>resources=[1600760006, 2166628666]</v>
      </c>
      <c r="W147" s="520" t="str">
        <f t="array" ref="W147">XLOOKUP(LCARS_Off[AbilityID],RawOfficer[AbilityID],RawOfficer[AbilityConditions])</f>
        <v/>
      </c>
      <c r="X147" s="519" t="str">
        <f t="array" ref="X147">XLOOKUP(LCARS_Off[AbilityID],RawOfficer[AbilityID],RawOfficer[AbilityTrigger])</f>
        <v>ShipLaunched</v>
      </c>
      <c r="Y147" s="519" t="str">
        <f t="array" ref="Y147">XLOOKUP(LCARS_Off[AbilityID],RawOfficer[AbilityID],RawOfficer[AbilityTarget])</f>
        <v>SelfShip</v>
      </c>
      <c r="Z147" s="519" t="str">
        <f t="array" ref="Z147">XLOOKUP(LCARS_Off[AbilityID],RawOfficer[AbilityID],RawOfficer[AbilityOperation])</f>
        <v>MultiplyAdd</v>
      </c>
      <c r="AA147" s="521" t="str">
        <f t="array" ref="AA147">XLOOKUP(LCARS_Off[AbilityID],RawOfficer[AbilityID],RawOfficer[AbilityDescription])</f>
        <v>Joaquin increases the Mining Rate of the ship by  X when mining Corrupted Data and Decoded Data.</v>
      </c>
      <c r="AB147" s="429" t="b">
        <v>0</v>
      </c>
      <c r="AC147" s="522" t="str">
        <f t="array" ref="AC147">XLOOKUP(LCARS_Off[AbilityID],RawOfficer[AbilityID],RawOfficer[AbilityDescriptionShort])</f>
        <v>+X to Corrupted and Decoded Data Mining Speed</v>
      </c>
      <c r="AD147" s="523"/>
      <c r="AE147" s="524"/>
      <c r="AF147" s="524"/>
      <c r="AG147" s="525" t="str">
        <f t="array" ref="AG147">XLOOKUP(LCARS_Off[AbilityID],RawOfficer[AbilityID],RawOfficer[AbilityChances])</f>
        <v>1.0, 1.0, 1.0, 1.0, 1.0</v>
      </c>
      <c r="AH147" s="525" t="str">
        <f t="array" ref="AH147">XLOOKUP(LCARS_Off[AbilityID],RawOfficer[AbilityID],RawOfficer[AbilityValues])</f>
        <v>0.4, 0.6, 0.8, 1.0, 1.25</v>
      </c>
      <c r="AI147" s="428" t="b">
        <f t="array" ref="AI147">XLOOKUP(LCARS_Off[AbilityID],RawOfficer[AbilityID],RawOfficer[AbilityHasChance])</f>
        <v>0</v>
      </c>
      <c r="AJ147" s="428" t="b">
        <f t="array" ref="AJ147">XLOOKUP(LCARS_Off[AbilityID],RawOfficer[AbilityID],RawOfficer[AbilityShowPercentage])</f>
        <v>1</v>
      </c>
      <c r="AK147" s="429">
        <f t="array" ref="AK147">XLOOKUP(LCARS_Off[AbilityID],RawOfficer[AbilityID],RawOfficer[OfficerArt])</f>
        <v>63</v>
      </c>
      <c r="AL147" s="430">
        <v>1.24441374E9</v>
      </c>
      <c r="AM147" s="430">
        <f t="array" ref="AM147">XLOOKUP(LCARS_Off[AbilityID],RawOfficer[AbilityID],RawOfficer[Default Order])</f>
        <v>144</v>
      </c>
    </row>
    <row r="148">
      <c r="A148" s="429" t="str">
        <f t="array" ref="A148">LEFT(XLOOKUP(LCARS_Off[AbilityID],RawOfficer[AbilityID],RawOfficer[OfficerRarity]), 1)</f>
        <v>U</v>
      </c>
      <c r="B148" s="429"/>
      <c r="C148" s="514" t="str">
        <f t="array" ref="C148">HYPERLINK("https://stfc.space/officers/" &amp; XLOOKUP(LCARS_Off[AbilityID],RawOfficer[AbilityID],RawOfficer[OfficerId]), XLOOKUP(LCARS_Off[AbilityID],RawOfficer[AbilityID],RawOfficer[OfficerName]))</f>
        <v>OTTO</v>
      </c>
      <c r="D148" s="515" t="str">
        <f t="array" ref="D148">XLOOKUP(LCARS_Off[AbilityID],RawOfficer[AbilityID],RawOfficer[AbilityType])</f>
        <v>CM</v>
      </c>
      <c r="E148" s="516" t="str">
        <f t="array" ref="E148">XLOOKUP(LCARS_Off[AbilityID],RawOfficer[AbilityID],RawOfficer[Tag_PvPinSpace])</f>
        <v>➖</v>
      </c>
      <c r="F148" s="516" t="str">
        <f t="array" ref="F148">XLOOKUP(LCARS_Off[AbilityID],RawOfficer[AbilityID],RawOfficer[Tag_PvPStation])</f>
        <v>✅</v>
      </c>
      <c r="G148" s="516" t="str">
        <f t="array" ref="G148">XLOOKUP(LCARS_Off[AbilityID],RawOfficer[AbilityID],RawOfficer[Tag_NonArmadaHostiles])</f>
        <v>➖</v>
      </c>
      <c r="H148" s="516" t="str">
        <f t="array" ref="H148">XLOOKUP(LCARS_Off[AbilityID],RawOfficer[AbilityID],RawOfficer[Tag_WaveDefense])</f>
        <v>➖</v>
      </c>
      <c r="I148" s="516" t="str">
        <f t="array" ref="I148">XLOOKUP(LCARS_Off[AbilityID],RawOfficer[AbilityID],RawOfficer[Tag_QTrial])</f>
        <v>➖</v>
      </c>
      <c r="J148" s="516" t="str">
        <f t="array" ref="J148">XLOOKUP(LCARS_Off[AbilityID],RawOfficer[AbilityID],RawOfficer[Tag_MissionBosses])</f>
        <v>➖</v>
      </c>
      <c r="K148" s="516" t="str">
        <f t="array" ref="K148">XLOOKUP(LCARS_Off[AbilityID],RawOfficer[AbilityID],RawOfficer[Tag_GroupArmadas])</f>
        <v>➖</v>
      </c>
      <c r="L148" s="516" t="str">
        <f t="array" ref="L148">XLOOKUP(LCARS_Off[AbilityID],RawOfficer[AbilityID],RawOfficer[Tag_SoloArmadas])</f>
        <v>➖</v>
      </c>
      <c r="M148" s="516" t="str">
        <f t="array" ref="M148">XLOOKUP(LCARS_Off[AbilityID],RawOfficer[AbilityID],RawOfficer[Tag_InvadingEntities])</f>
        <v>➖</v>
      </c>
      <c r="N148" s="516" t="str">
        <f t="array" ref="N148">XLOOKUP(LCARS_Off[AbilityID],RawOfficer[AbilityID],RawOfficer[Tag_Assaults])</f>
        <v>➖</v>
      </c>
      <c r="O148" s="516" t="str">
        <f t="array" ref="O148">XLOOKUP(LCARS_Off[AbilityID],RawOfficer[AbilityID],RawOfficer[Tag_OutpostArmadas])</f>
        <v>➖</v>
      </c>
      <c r="P148" s="516" t="str">
        <f t="array" ref="P148">XLOOKUP(LCARS_Off[AbilityID],RawOfficer[AbilityID],RawOfficer[Tag_OutpostRetaliators])</f>
        <v>➖</v>
      </c>
      <c r="Q148" s="517" t="str">
        <f t="array" ref="Q148">XLOOKUP(LCARS_Off[AbilityID],RawOfficer[AbilityID],RawOfficer[Conditional_Reason])</f>
        <v/>
      </c>
      <c r="R148" s="518" t="str">
        <f t="array" ref="R148">XLOOKUP(LCARS_Off[AbilityID],RawOfficer[AbilityID],RawOfficer[Tag_Loot])</f>
        <v>➖</v>
      </c>
      <c r="S148" s="516" t="str">
        <f t="array" ref="S148">XLOOKUP(LCARS_Off[AbilityID],RawOfficer[AbilityID],RawOfficer[Tag_Utility])</f>
        <v>➖</v>
      </c>
      <c r="T148" s="429" t="str">
        <f t="array" ref="T148">XLOOKUP(LCARS_Off[AbilityID],RawOfficer[AbilityID],RawOfficer[OfficerSynergy])</f>
        <v>KHAN'S CREW</v>
      </c>
      <c r="U148" s="519" t="str">
        <f t="array" ref="U148">XLOOKUP(LCARS_Off[AbilityID],RawOfficer[AbilityID],RawOfficer[AbilityModifier])</f>
        <v>AllDamage</v>
      </c>
      <c r="V148" s="519" t="str">
        <f t="array" ref="V148">XLOOKUP(LCARS_Off[AbilityID],RawOfficer[AbilityID],RawOfficer[AbilityAttributes])</f>
        <v>num_rounds=1</v>
      </c>
      <c r="W148" s="520" t="str">
        <f t="array" ref="W148">XLOOKUP(LCARS_Off[AbilityID],RawOfficer[AbilityID],RawOfficer[AbilityConditions])</f>
        <v>EnemySentinel, TargetNotASB</v>
      </c>
      <c r="X148" s="519" t="str">
        <f t="array" ref="X148">XLOOKUP(LCARS_Off[AbilityID],RawOfficer[AbilityID],RawOfficer[AbilityTrigger])</f>
        <v>RoundStart</v>
      </c>
      <c r="Y148" s="519" t="str">
        <f t="array" ref="Y148">XLOOKUP(LCARS_Off[AbilityID],RawOfficer[AbilityID],RawOfficer[AbilityTarget])</f>
        <v>SelfShip</v>
      </c>
      <c r="Z148" s="519" t="str">
        <f t="array" ref="Z148">XLOOKUP(LCARS_Off[AbilityID],RawOfficer[AbilityID],RawOfficer[AbilityOperation])</f>
        <v>MultiplyAdd</v>
      </c>
      <c r="AA148" s="521" t="str">
        <f t="array" ref="AA148">XLOOKUP(LCARS_Off[AbilityID],RawOfficer[AbilityID],RawOfficer[AbilityDescription])</f>
        <v>At the start of each round, if the target of the ship is a Defense Platform, Otto increases the damage of the ship by X for that round.</v>
      </c>
      <c r="AB148" s="429" t="b">
        <v>0</v>
      </c>
      <c r="AC148" s="522" t="str">
        <f t="array" ref="AC148">XLOOKUP(LCARS_Off[AbilityID],RawOfficer[AbilityID],RawOfficer[AbilityDescriptionShort])</f>
        <v>+X damage to Defense Platforms</v>
      </c>
      <c r="AD148" s="523"/>
      <c r="AE148" s="524"/>
      <c r="AF148" s="524"/>
      <c r="AG148" s="525" t="str">
        <f t="array" ref="AG148">XLOOKUP(LCARS_Off[AbilityID],RawOfficer[AbilityID],RawOfficer[AbilityChances])</f>
        <v>1.0, 1.0, 1.0</v>
      </c>
      <c r="AH148" s="525" t="str">
        <f t="array" ref="AH148">XLOOKUP(LCARS_Off[AbilityID],RawOfficer[AbilityID],RawOfficer[AbilityValues])</f>
        <v>0.2, 0.05, 0.1</v>
      </c>
      <c r="AI148" s="428" t="b">
        <f t="array" ref="AI148">XLOOKUP(LCARS_Off[AbilityID],RawOfficer[AbilityID],RawOfficer[AbilityHasChance])</f>
        <v>0</v>
      </c>
      <c r="AJ148" s="428" t="b">
        <f t="array" ref="AJ148">XLOOKUP(LCARS_Off[AbilityID],RawOfficer[AbilityID],RawOfficer[AbilityShowPercentage])</f>
        <v>1</v>
      </c>
      <c r="AK148" s="429">
        <f t="array" ref="AK148">XLOOKUP(LCARS_Off[AbilityID],RawOfficer[AbilityID],RawOfficer[OfficerArt])</f>
        <v>64</v>
      </c>
      <c r="AL148" s="430">
        <v>9.35457644E8</v>
      </c>
      <c r="AM148" s="430">
        <f t="array" ref="AM148">XLOOKUP(LCARS_Off[AbilityID],RawOfficer[AbilityID],RawOfficer[Default Order])</f>
        <v>145</v>
      </c>
    </row>
    <row r="149">
      <c r="A149" s="429" t="str">
        <f t="array" ref="A149">LEFT(XLOOKUP(LCARS_Off[AbilityID],RawOfficer[AbilityID],RawOfficer[OfficerRarity]), 1)</f>
        <v>U</v>
      </c>
      <c r="B149" s="429"/>
      <c r="C149" s="514" t="str">
        <f t="array" ref="C149">HYPERLINK("https://stfc.space/officers/" &amp; XLOOKUP(LCARS_Off[AbilityID],RawOfficer[AbilityID],RawOfficer[OfficerId]), XLOOKUP(LCARS_Off[AbilityID],RawOfficer[AbilityID],RawOfficer[OfficerName]))</f>
        <v>OTTO</v>
      </c>
      <c r="D149" s="515" t="str">
        <f t="array" ref="D149">XLOOKUP(LCARS_Off[AbilityID],RawOfficer[AbilityID],RawOfficer[AbilityType])</f>
        <v>OA</v>
      </c>
      <c r="E149" s="516" t="str">
        <f t="array" ref="E149">XLOOKUP(LCARS_Off[AbilityID],RawOfficer[AbilityID],RawOfficer[Tag_PvPinSpace])</f>
        <v>✅</v>
      </c>
      <c r="F149" s="516" t="str">
        <f t="array" ref="F149">XLOOKUP(LCARS_Off[AbilityID],RawOfficer[AbilityID],RawOfficer[Tag_PvPStation])</f>
        <v>✅</v>
      </c>
      <c r="G149" s="516" t="str">
        <f t="array" ref="G149">XLOOKUP(LCARS_Off[AbilityID],RawOfficer[AbilityID],RawOfficer[Tag_NonArmadaHostiles])</f>
        <v>✅</v>
      </c>
      <c r="H149" s="516" t="str">
        <f t="array" ref="H149">XLOOKUP(LCARS_Off[AbilityID],RawOfficer[AbilityID],RawOfficer[Tag_WaveDefense])</f>
        <v>✅</v>
      </c>
      <c r="I149" s="516" t="str">
        <f t="array" ref="I149">XLOOKUP(LCARS_Off[AbilityID],RawOfficer[AbilityID],RawOfficer[Tag_QTrial])</f>
        <v>✅</v>
      </c>
      <c r="J149" s="516" t="str">
        <f t="array" ref="J149">XLOOKUP(LCARS_Off[AbilityID],RawOfficer[AbilityID],RawOfficer[Tag_MissionBosses])</f>
        <v>✅</v>
      </c>
      <c r="K149" s="516" t="str">
        <f t="array" ref="K149">XLOOKUP(LCARS_Off[AbilityID],RawOfficer[AbilityID],RawOfficer[Tag_GroupArmadas])</f>
        <v>✅</v>
      </c>
      <c r="L149" s="516" t="str">
        <f t="array" ref="L149">XLOOKUP(LCARS_Off[AbilityID],RawOfficer[AbilityID],RawOfficer[Tag_SoloArmadas])</f>
        <v>✅</v>
      </c>
      <c r="M149" s="516" t="str">
        <f t="array" ref="M149">XLOOKUP(LCARS_Off[AbilityID],RawOfficer[AbilityID],RawOfficer[Tag_InvadingEntities])</f>
        <v>✅</v>
      </c>
      <c r="N149" s="516" t="str">
        <f t="array" ref="N149">XLOOKUP(LCARS_Off[AbilityID],RawOfficer[AbilityID],RawOfficer[Tag_Assaults])</f>
        <v>✅</v>
      </c>
      <c r="O149" s="516" t="str">
        <f t="array" ref="O149">XLOOKUP(LCARS_Off[AbilityID],RawOfficer[AbilityID],RawOfficer[Tag_OutpostArmadas])</f>
        <v>✅</v>
      </c>
      <c r="P149" s="516" t="str">
        <f t="array" ref="P149">XLOOKUP(LCARS_Off[AbilityID],RawOfficer[AbilityID],RawOfficer[Tag_OutpostRetaliators])</f>
        <v>✅</v>
      </c>
      <c r="Q149" s="517" t="str">
        <f t="array" ref="Q149">XLOOKUP(LCARS_Off[AbilityID],RawOfficer[AbilityID],RawOfficer[Conditional_Reason])</f>
        <v/>
      </c>
      <c r="R149" s="518" t="str">
        <f t="array" ref="R149">XLOOKUP(LCARS_Off[AbilityID],RawOfficer[AbilityID],RawOfficer[Tag_Loot])</f>
        <v>➖</v>
      </c>
      <c r="S149" s="516" t="str">
        <f t="array" ref="S149">XLOOKUP(LCARS_Off[AbilityID],RawOfficer[AbilityID],RawOfficer[Tag_Utility])</f>
        <v>➖</v>
      </c>
      <c r="T149" s="429" t="str">
        <f t="array" ref="T149">XLOOKUP(LCARS_Off[AbilityID],RawOfficer[AbilityID],RawOfficer[OfficerSynergy])</f>
        <v>KHAN'S CREW</v>
      </c>
      <c r="U149" s="519" t="str">
        <f t="array" ref="U149">XLOOKUP(LCARS_Off[AbilityID],RawOfficer[AbilityID],RawOfficer[AbilityModifier])</f>
        <v>OfficerStatAttack</v>
      </c>
      <c r="V149" s="519" t="str">
        <f t="array" ref="V149">XLOOKUP(LCARS_Off[AbilityID],RawOfficer[AbilityID],RawOfficer[AbilityAttributes])</f>
        <v/>
      </c>
      <c r="W149" s="520" t="str">
        <f t="array" ref="W149">XLOOKUP(LCARS_Off[AbilityID],RawOfficer[AbilityID],RawOfficer[AbilityConditions])</f>
        <v/>
      </c>
      <c r="X149" s="519" t="str">
        <f t="array" ref="X149">XLOOKUP(LCARS_Off[AbilityID],RawOfficer[AbilityID],RawOfficer[AbilityTrigger])</f>
        <v>ShipLaunched</v>
      </c>
      <c r="Y149" s="519" t="str">
        <f t="array" ref="Y149">XLOOKUP(LCARS_Off[AbilityID],RawOfficer[AbilityID],RawOfficer[AbilityTarget])</f>
        <v>SelfBridge</v>
      </c>
      <c r="Z149" s="519" t="str">
        <f t="array" ref="Z149">XLOOKUP(LCARS_Off[AbilityID],RawOfficer[AbilityID],RawOfficer[AbilityOperation])</f>
        <v>MultiplyAdd</v>
      </c>
      <c r="AA149" s="521" t="str">
        <f t="array" ref="AA149">XLOOKUP(LCARS_Off[AbilityID],RawOfficer[AbilityID],RawOfficer[AbilityDescription])</f>
        <v>Otto increases the Attack of each officer on the Bridge of the ship by X.</v>
      </c>
      <c r="AB149" s="429" t="b">
        <v>0</v>
      </c>
      <c r="AC149" s="522" t="str">
        <f t="array" ref="AC149">XLOOKUP(LCARS_Off[AbilityID],RawOfficer[AbilityID],RawOfficer[AbilityDescriptionShort])</f>
        <v>+X Attack to every Officer on the Bridge of the ship</v>
      </c>
      <c r="AD149" s="523"/>
      <c r="AE149" s="524"/>
      <c r="AF149" s="524"/>
      <c r="AG149" s="525" t="str">
        <f t="array" ref="AG149">XLOOKUP(LCARS_Off[AbilityID],RawOfficer[AbilityID],RawOfficer[AbilityChances])</f>
        <v>1.0, 1.0, 1.0, 1.0, 1.0</v>
      </c>
      <c r="AH149" s="525" t="str">
        <f t="array" ref="AH149">XLOOKUP(LCARS_Off[AbilityID],RawOfficer[AbilityID],RawOfficer[AbilityValues])</f>
        <v>0.2, 0.3, 0.4, 0.5, 0.6</v>
      </c>
      <c r="AI149" s="428" t="b">
        <f t="array" ref="AI149">XLOOKUP(LCARS_Off[AbilityID],RawOfficer[AbilityID],RawOfficer[AbilityHasChance])</f>
        <v>0</v>
      </c>
      <c r="AJ149" s="428" t="b">
        <f t="array" ref="AJ149">XLOOKUP(LCARS_Off[AbilityID],RawOfficer[AbilityID],RawOfficer[AbilityShowPercentage])</f>
        <v>1</v>
      </c>
      <c r="AK149" s="429">
        <f t="array" ref="AK149">XLOOKUP(LCARS_Off[AbilityID],RawOfficer[AbilityID],RawOfficer[OfficerArt])</f>
        <v>64</v>
      </c>
      <c r="AL149" s="430">
        <v>2.283189229E9</v>
      </c>
      <c r="AM149" s="430">
        <f t="array" ref="AM149">XLOOKUP(LCARS_Off[AbilityID],RawOfficer[AbilityID],RawOfficer[Default Order])</f>
        <v>146</v>
      </c>
    </row>
    <row r="150">
      <c r="A150" s="429" t="str">
        <f t="array" ref="A150">LEFT(XLOOKUP(LCARS_Off[AbilityID],RawOfficer[AbilityID],RawOfficer[OfficerRarity]), 1)</f>
        <v>U</v>
      </c>
      <c r="B150" s="429"/>
      <c r="C150" s="514" t="str">
        <f t="array" ref="C150">HYPERLINK("https://stfc.space/officers/" &amp; XLOOKUP(LCARS_Off[AbilityID],RawOfficer[AbilityID],RawOfficer[OfficerId]), XLOOKUP(LCARS_Off[AbilityID],RawOfficer[AbilityID],RawOfficer[OfficerName]))</f>
        <v>KATI</v>
      </c>
      <c r="D150" s="515" t="str">
        <f t="array" ref="D150">XLOOKUP(LCARS_Off[AbilityID],RawOfficer[AbilityID],RawOfficer[AbilityType])</f>
        <v>CM</v>
      </c>
      <c r="E150" s="516" t="str">
        <f t="array" ref="E150">XLOOKUP(LCARS_Off[AbilityID],RawOfficer[AbilityID],RawOfficer[Tag_PvPinSpace])</f>
        <v>➖</v>
      </c>
      <c r="F150" s="516" t="str">
        <f t="array" ref="F150">XLOOKUP(LCARS_Off[AbilityID],RawOfficer[AbilityID],RawOfficer[Tag_PvPStation])</f>
        <v>✅</v>
      </c>
      <c r="G150" s="516" t="str">
        <f t="array" ref="G150">XLOOKUP(LCARS_Off[AbilityID],RawOfficer[AbilityID],RawOfficer[Tag_NonArmadaHostiles])</f>
        <v>➖</v>
      </c>
      <c r="H150" s="516" t="str">
        <f t="array" ref="H150">XLOOKUP(LCARS_Off[AbilityID],RawOfficer[AbilityID],RawOfficer[Tag_WaveDefense])</f>
        <v>➖</v>
      </c>
      <c r="I150" s="516" t="str">
        <f t="array" ref="I150">XLOOKUP(LCARS_Off[AbilityID],RawOfficer[AbilityID],RawOfficer[Tag_QTrial])</f>
        <v>➖</v>
      </c>
      <c r="J150" s="516" t="str">
        <f t="array" ref="J150">XLOOKUP(LCARS_Off[AbilityID],RawOfficer[AbilityID],RawOfficer[Tag_MissionBosses])</f>
        <v>➖</v>
      </c>
      <c r="K150" s="516" t="str">
        <f t="array" ref="K150">XLOOKUP(LCARS_Off[AbilityID],RawOfficer[AbilityID],RawOfficer[Tag_GroupArmadas])</f>
        <v>➖</v>
      </c>
      <c r="L150" s="516" t="str">
        <f t="array" ref="L150">XLOOKUP(LCARS_Off[AbilityID],RawOfficer[AbilityID],RawOfficer[Tag_SoloArmadas])</f>
        <v>➖</v>
      </c>
      <c r="M150" s="516" t="str">
        <f t="array" ref="M150">XLOOKUP(LCARS_Off[AbilityID],RawOfficer[AbilityID],RawOfficer[Tag_InvadingEntities])</f>
        <v>➖</v>
      </c>
      <c r="N150" s="516" t="str">
        <f t="array" ref="N150">XLOOKUP(LCARS_Off[AbilityID],RawOfficer[AbilityID],RawOfficer[Tag_Assaults])</f>
        <v>➖</v>
      </c>
      <c r="O150" s="516" t="str">
        <f t="array" ref="O150">XLOOKUP(LCARS_Off[AbilityID],RawOfficer[AbilityID],RawOfficer[Tag_OutpostArmadas])</f>
        <v>➖</v>
      </c>
      <c r="P150" s="516" t="str">
        <f t="array" ref="P150">XLOOKUP(LCARS_Off[AbilityID],RawOfficer[AbilityID],RawOfficer[Tag_OutpostRetaliators])</f>
        <v>➖</v>
      </c>
      <c r="Q150" s="517" t="str">
        <f t="array" ref="Q150">XLOOKUP(LCARS_Off[AbilityID],RawOfficer[AbilityID],RawOfficer[Conditional_Reason])</f>
        <v/>
      </c>
      <c r="R150" s="518" t="str">
        <f t="array" ref="R150">XLOOKUP(LCARS_Off[AbilityID],RawOfficer[AbilityID],RawOfficer[Tag_Loot])</f>
        <v>➖</v>
      </c>
      <c r="S150" s="516" t="str">
        <f t="array" ref="S150">XLOOKUP(LCARS_Off[AbilityID],RawOfficer[AbilityID],RawOfficer[Tag_Utility])</f>
        <v>➖</v>
      </c>
      <c r="T150" s="429" t="str">
        <f t="array" ref="T150">XLOOKUP(LCARS_Off[AbilityID],RawOfficer[AbilityID],RawOfficer[OfficerSynergy])</f>
        <v>KHAN'S CREW</v>
      </c>
      <c r="U150" s="519" t="str">
        <f t="array" ref="U150">XLOOKUP(LCARS_Off[AbilityID],RawOfficer[AbilityID],RawOfficer[AbilityModifier])</f>
        <v>CritChance</v>
      </c>
      <c r="V150" s="519" t="str">
        <f t="array" ref="V150">XLOOKUP(LCARS_Off[AbilityID],RawOfficer[AbilityID],RawOfficer[AbilityAttributes])</f>
        <v>num_rounds=1</v>
      </c>
      <c r="W150" s="520" t="str">
        <f t="array" ref="W150">XLOOKUP(LCARS_Off[AbilityID],RawOfficer[AbilityID],RawOfficer[AbilityConditions])</f>
        <v>EnemySentinel, TargetNotASB</v>
      </c>
      <c r="X150" s="519" t="str">
        <f t="array" ref="X150">XLOOKUP(LCARS_Off[AbilityID],RawOfficer[AbilityID],RawOfficer[AbilityTrigger])</f>
        <v>RoundStart</v>
      </c>
      <c r="Y150" s="519" t="str">
        <f t="array" ref="Y150">XLOOKUP(LCARS_Off[AbilityID],RawOfficer[AbilityID],RawOfficer[AbilityTarget])</f>
        <v>SelfShip</v>
      </c>
      <c r="Z150" s="519" t="str">
        <f t="array" ref="Z150">XLOOKUP(LCARS_Off[AbilityID],RawOfficer[AbilityID],RawOfficer[AbilityOperation])</f>
        <v>Add</v>
      </c>
      <c r="AA150" s="521" t="str">
        <f t="array" ref="AA150">XLOOKUP(LCARS_Off[AbilityID],RawOfficer[AbilityID],RawOfficer[AbilityDescription])</f>
        <v>At the start of each round, if the target of the ship is a Defense Platform, Kati increases the Chances of a Critical Hit by X for that round.</v>
      </c>
      <c r="AB150" s="429" t="b">
        <v>0</v>
      </c>
      <c r="AC150" s="522" t="str">
        <f t="array" ref="AC150">XLOOKUP(LCARS_Off[AbilityID],RawOfficer[AbilityID],RawOfficer[AbilityDescriptionShort])</f>
        <v>+X Critical Hit Chances against Defense Platforms</v>
      </c>
      <c r="AD150" s="523"/>
      <c r="AE150" s="524"/>
      <c r="AF150" s="524"/>
      <c r="AG150" s="525" t="str">
        <f t="array" ref="AG150">XLOOKUP(LCARS_Off[AbilityID],RawOfficer[AbilityID],RawOfficer[AbilityChances])</f>
        <v>1.0, 1.0, 1.0</v>
      </c>
      <c r="AH150" s="525" t="str">
        <f t="array" ref="AH150">XLOOKUP(LCARS_Off[AbilityID],RawOfficer[AbilityID],RawOfficer[AbilityValues])</f>
        <v>0.04, 0.02, 0.03</v>
      </c>
      <c r="AI150" s="428" t="b">
        <f t="array" ref="AI150">XLOOKUP(LCARS_Off[AbilityID],RawOfficer[AbilityID],RawOfficer[AbilityHasChance])</f>
        <v>0</v>
      </c>
      <c r="AJ150" s="428" t="b">
        <f t="array" ref="AJ150">XLOOKUP(LCARS_Off[AbilityID],RawOfficer[AbilityID],RawOfficer[AbilityShowPercentage])</f>
        <v>1</v>
      </c>
      <c r="AK150" s="429">
        <f t="array" ref="AK150">XLOOKUP(LCARS_Off[AbilityID],RawOfficer[AbilityID],RawOfficer[OfficerArt])</f>
        <v>65</v>
      </c>
      <c r="AL150" s="430">
        <v>3.199621934E9</v>
      </c>
      <c r="AM150" s="430">
        <f t="array" ref="AM150">XLOOKUP(LCARS_Off[AbilityID],RawOfficer[AbilityID],RawOfficer[Default Order])</f>
        <v>147</v>
      </c>
    </row>
    <row r="151">
      <c r="A151" s="429" t="str">
        <f t="array" ref="A151">LEFT(XLOOKUP(LCARS_Off[AbilityID],RawOfficer[AbilityID],RawOfficer[OfficerRarity]), 1)</f>
        <v>U</v>
      </c>
      <c r="B151" s="429"/>
      <c r="C151" s="514" t="str">
        <f t="array" ref="C151">HYPERLINK("https://stfc.space/officers/" &amp; XLOOKUP(LCARS_Off[AbilityID],RawOfficer[AbilityID],RawOfficer[OfficerId]), XLOOKUP(LCARS_Off[AbilityID],RawOfficer[AbilityID],RawOfficer[OfficerName]))</f>
        <v>KATI</v>
      </c>
      <c r="D151" s="515" t="str">
        <f t="array" ref="D151">XLOOKUP(LCARS_Off[AbilityID],RawOfficer[AbilityID],RawOfficer[AbilityType])</f>
        <v>OA</v>
      </c>
      <c r="E151" s="516" t="str">
        <f t="array" ref="E151">XLOOKUP(LCARS_Off[AbilityID],RawOfficer[AbilityID],RawOfficer[Tag_PvPinSpace])</f>
        <v>➖</v>
      </c>
      <c r="F151" s="516" t="str">
        <f t="array" ref="F151">XLOOKUP(LCARS_Off[AbilityID],RawOfficer[AbilityID],RawOfficer[Tag_PvPStation])</f>
        <v>✅</v>
      </c>
      <c r="G151" s="516" t="str">
        <f t="array" ref="G151">XLOOKUP(LCARS_Off[AbilityID],RawOfficer[AbilityID],RawOfficer[Tag_NonArmadaHostiles])</f>
        <v>➖</v>
      </c>
      <c r="H151" s="516" t="str">
        <f t="array" ref="H151">XLOOKUP(LCARS_Off[AbilityID],RawOfficer[AbilityID],RawOfficer[Tag_WaveDefense])</f>
        <v>➖</v>
      </c>
      <c r="I151" s="516" t="str">
        <f t="array" ref="I151">XLOOKUP(LCARS_Off[AbilityID],RawOfficer[AbilityID],RawOfficer[Tag_QTrial])</f>
        <v>➖</v>
      </c>
      <c r="J151" s="516" t="str">
        <f t="array" ref="J151">XLOOKUP(LCARS_Off[AbilityID],RawOfficer[AbilityID],RawOfficer[Tag_MissionBosses])</f>
        <v>➖</v>
      </c>
      <c r="K151" s="516" t="str">
        <f t="array" ref="K151">XLOOKUP(LCARS_Off[AbilityID],RawOfficer[AbilityID],RawOfficer[Tag_GroupArmadas])</f>
        <v>➖</v>
      </c>
      <c r="L151" s="516" t="str">
        <f t="array" ref="L151">XLOOKUP(LCARS_Off[AbilityID],RawOfficer[AbilityID],RawOfficer[Tag_SoloArmadas])</f>
        <v>➖</v>
      </c>
      <c r="M151" s="516" t="str">
        <f t="array" ref="M151">XLOOKUP(LCARS_Off[AbilityID],RawOfficer[AbilityID],RawOfficer[Tag_InvadingEntities])</f>
        <v>➖</v>
      </c>
      <c r="N151" s="516" t="str">
        <f t="array" ref="N151">XLOOKUP(LCARS_Off[AbilityID],RawOfficer[AbilityID],RawOfficer[Tag_Assaults])</f>
        <v>➖</v>
      </c>
      <c r="O151" s="516" t="str">
        <f t="array" ref="O151">XLOOKUP(LCARS_Off[AbilityID],RawOfficer[AbilityID],RawOfficer[Tag_OutpostArmadas])</f>
        <v>➖</v>
      </c>
      <c r="P151" s="516" t="str">
        <f t="array" ref="P151">XLOOKUP(LCARS_Off[AbilityID],RawOfficer[AbilityID],RawOfficer[Tag_OutpostRetaliators])</f>
        <v>➖</v>
      </c>
      <c r="Q151" s="517" t="str">
        <f t="array" ref="Q151">XLOOKUP(LCARS_Off[AbilityID],RawOfficer[AbilityID],RawOfficer[Conditional_Reason])</f>
        <v/>
      </c>
      <c r="R151" s="518" t="str">
        <f t="array" ref="R151">XLOOKUP(LCARS_Off[AbilityID],RawOfficer[AbilityID],RawOfficer[Tag_Loot])</f>
        <v>➖</v>
      </c>
      <c r="S151" s="516" t="str">
        <f t="array" ref="S151">XLOOKUP(LCARS_Off[AbilityID],RawOfficer[AbilityID],RawOfficer[Tag_Utility])</f>
        <v>➖</v>
      </c>
      <c r="T151" s="429" t="str">
        <f t="array" ref="T151">XLOOKUP(LCARS_Off[AbilityID],RawOfficer[AbilityID],RawOfficer[OfficerSynergy])</f>
        <v>KHAN'S CREW</v>
      </c>
      <c r="U151" s="519" t="str">
        <f t="array" ref="U151">XLOOKUP(LCARS_Off[AbilityID],RawOfficer[AbilityID],RawOfficer[AbilityModifier])</f>
        <v>CritDamage</v>
      </c>
      <c r="V151" s="519" t="str">
        <f t="array" ref="V151">XLOOKUP(LCARS_Off[AbilityID],RawOfficer[AbilityID],RawOfficer[AbilityAttributes])</f>
        <v/>
      </c>
      <c r="W151" s="520" t="str">
        <f t="array" ref="W151">XLOOKUP(LCARS_Off[AbilityID],RawOfficer[AbilityID],RawOfficer[AbilityConditions])</f>
        <v>TargetNotASB, EnemySentinel</v>
      </c>
      <c r="X151" s="519" t="str">
        <f t="array" ref="X151">XLOOKUP(LCARS_Off[AbilityID],RawOfficer[AbilityID],RawOfficer[AbilityTrigger])</f>
        <v>CombatStart</v>
      </c>
      <c r="Y151" s="519" t="str">
        <f t="array" ref="Y151">XLOOKUP(LCARS_Off[AbilityID],RawOfficer[AbilityID],RawOfficer[AbilityTarget])</f>
        <v>SelfShip</v>
      </c>
      <c r="Z151" s="519" t="str">
        <f t="array" ref="Z151">XLOOKUP(LCARS_Off[AbilityID],RawOfficer[AbilityID],RawOfficer[AbilityOperation])</f>
        <v>Add</v>
      </c>
      <c r="AA151" s="521" t="str">
        <f t="array" ref="AA151">XLOOKUP(LCARS_Off[AbilityID],RawOfficer[AbilityID],RawOfficer[AbilityDescription])</f>
        <v>When attacking a Station, Kati increases the Critical Hit Damage by X.</v>
      </c>
      <c r="AB151" s="429" t="b">
        <v>0</v>
      </c>
      <c r="AC151" s="522" t="str">
        <f t="array" ref="AC151">XLOOKUP(LCARS_Off[AbilityID],RawOfficer[AbilityID],RawOfficer[AbilityDescriptionShort])</f>
        <v>+X Critical Hit Damage in Station Combat</v>
      </c>
      <c r="AD151" s="523"/>
      <c r="AE151" s="524"/>
      <c r="AF151" s="524"/>
      <c r="AG151" s="525" t="str">
        <f t="array" ref="AG151">XLOOKUP(LCARS_Off[AbilityID],RawOfficer[AbilityID],RawOfficer[AbilityChances])</f>
        <v>1.0, 1.0, 1.0, 1.0, 1.0</v>
      </c>
      <c r="AH151" s="525" t="str">
        <f t="array" ref="AH151">XLOOKUP(LCARS_Off[AbilityID],RawOfficer[AbilityID],RawOfficer[AbilityValues])</f>
        <v>0.15, 0.2, 0.25, 0.3, 0.4</v>
      </c>
      <c r="AI151" s="428" t="b">
        <f t="array" ref="AI151">XLOOKUP(LCARS_Off[AbilityID],RawOfficer[AbilityID],RawOfficer[AbilityHasChance])</f>
        <v>0</v>
      </c>
      <c r="AJ151" s="428" t="b">
        <f t="array" ref="AJ151">XLOOKUP(LCARS_Off[AbilityID],RawOfficer[AbilityID],RawOfficer[AbilityShowPercentage])</f>
        <v>0</v>
      </c>
      <c r="AK151" s="429">
        <f t="array" ref="AK151">XLOOKUP(LCARS_Off[AbilityID],RawOfficer[AbilityID],RawOfficer[OfficerArt])</f>
        <v>65</v>
      </c>
      <c r="AL151" s="430">
        <v>9.05884666E8</v>
      </c>
      <c r="AM151" s="430">
        <f t="array" ref="AM151">XLOOKUP(LCARS_Off[AbilityID],RawOfficer[AbilityID],RawOfficer[Default Order])</f>
        <v>148</v>
      </c>
    </row>
    <row r="152">
      <c r="A152" s="429" t="str">
        <f t="array" ref="A152">LEFT(XLOOKUP(LCARS_Off[AbilityID],RawOfficer[AbilityID],RawOfficer[OfficerRarity]), 1)</f>
        <v>R</v>
      </c>
      <c r="B152" s="429"/>
      <c r="C152" s="514" t="str">
        <f t="array" ref="C152">HYPERLINK("https://stfc.space/officers/" &amp; XLOOKUP(LCARS_Off[AbilityID],RawOfficer[AbilityID],RawOfficer[OfficerId]), XLOOKUP(LCARS_Off[AbilityID],RawOfficer[AbilityID],RawOfficer[OfficerName]))</f>
        <v>NAVI</v>
      </c>
      <c r="D152" s="515" t="str">
        <f t="array" ref="D152">XLOOKUP(LCARS_Off[AbilityID],RawOfficer[AbilityID],RawOfficer[AbilityType])</f>
        <v>CM</v>
      </c>
      <c r="E152" s="516" t="str">
        <f t="array" ref="E152">XLOOKUP(LCARS_Off[AbilityID],RawOfficer[AbilityID],RawOfficer[Tag_PvPinSpace])</f>
        <v>✴️</v>
      </c>
      <c r="F152" s="516" t="str">
        <f t="array" ref="F152">XLOOKUP(LCARS_Off[AbilityID],RawOfficer[AbilityID],RawOfficer[Tag_PvPStation])</f>
        <v>✴️</v>
      </c>
      <c r="G152" s="516" t="str">
        <f t="array" ref="G152">XLOOKUP(LCARS_Off[AbilityID],RawOfficer[AbilityID],RawOfficer[Tag_NonArmadaHostiles])</f>
        <v>✴️</v>
      </c>
      <c r="H152" s="516" t="str">
        <f t="array" ref="H152">XLOOKUP(LCARS_Off[AbilityID],RawOfficer[AbilityID],RawOfficer[Tag_WaveDefense])</f>
        <v>✴️</v>
      </c>
      <c r="I152" s="516" t="str">
        <f t="array" ref="I152">XLOOKUP(LCARS_Off[AbilityID],RawOfficer[AbilityID],RawOfficer[Tag_QTrial])</f>
        <v>✴️</v>
      </c>
      <c r="J152" s="516" t="str">
        <f t="array" ref="J152">XLOOKUP(LCARS_Off[AbilityID],RawOfficer[AbilityID],RawOfficer[Tag_MissionBosses])</f>
        <v>✴️</v>
      </c>
      <c r="K152" s="516" t="str">
        <f t="array" ref="K152">XLOOKUP(LCARS_Off[AbilityID],RawOfficer[AbilityID],RawOfficer[Tag_GroupArmadas])</f>
        <v>✴️</v>
      </c>
      <c r="L152" s="516" t="str">
        <f t="array" ref="L152">XLOOKUP(LCARS_Off[AbilityID],RawOfficer[AbilityID],RawOfficer[Tag_SoloArmadas])</f>
        <v>✴️</v>
      </c>
      <c r="M152" s="516" t="str">
        <f t="array" ref="M152">XLOOKUP(LCARS_Off[AbilityID],RawOfficer[AbilityID],RawOfficer[Tag_InvadingEntities])</f>
        <v>✴️</v>
      </c>
      <c r="N152" s="516" t="str">
        <f t="array" ref="N152">XLOOKUP(LCARS_Off[AbilityID],RawOfficer[AbilityID],RawOfficer[Tag_Assaults])</f>
        <v>✴️</v>
      </c>
      <c r="O152" s="516" t="str">
        <f t="array" ref="O152">XLOOKUP(LCARS_Off[AbilityID],RawOfficer[AbilityID],RawOfficer[Tag_OutpostArmadas])</f>
        <v>✴️</v>
      </c>
      <c r="P152" s="516" t="str">
        <f t="array" ref="P152">XLOOKUP(LCARS_Off[AbilityID],RawOfficer[AbilityID],RawOfficer[Tag_OutpostRetaliators])</f>
        <v>✴️</v>
      </c>
      <c r="Q152" s="517" t="str">
        <f t="array" ref="Q152">XLOOKUP(LCARS_Off[AbilityID],RawOfficer[AbilityID],RawOfficer[Conditional_Reason])</f>
        <v>SelfHasHullBreach</v>
      </c>
      <c r="R152" s="518" t="str">
        <f t="array" ref="R152">XLOOKUP(LCARS_Off[AbilityID],RawOfficer[AbilityID],RawOfficer[Tag_Loot])</f>
        <v>➖</v>
      </c>
      <c r="S152" s="516" t="str">
        <f t="array" ref="S152">XLOOKUP(LCARS_Off[AbilityID],RawOfficer[AbilityID],RawOfficer[Tag_Utility])</f>
        <v>➖</v>
      </c>
      <c r="T152" s="429" t="str">
        <f t="array" ref="T152">XLOOKUP(LCARS_Off[AbilityID],RawOfficer[AbilityID],RawOfficer[OfficerSynergy])</f>
        <v>KHAN'S CREW</v>
      </c>
      <c r="U152" s="519" t="str">
        <f t="array" ref="U152">XLOOKUP(LCARS_Off[AbilityID],RawOfficer[AbilityID],RawOfficer[AbilityModifier])</f>
        <v>CritDamage</v>
      </c>
      <c r="V152" s="519" t="str">
        <f t="array" ref="V152">XLOOKUP(LCARS_Off[AbilityID],RawOfficer[AbilityID],RawOfficer[AbilityAttributes])</f>
        <v>num_rounds=1</v>
      </c>
      <c r="W152" s="520" t="str">
        <f t="array" ref="W152">XLOOKUP(LCARS_Off[AbilityID],RawOfficer[AbilityID],RawOfficer[AbilityConditions])</f>
        <v>SelfHasHullBreach</v>
      </c>
      <c r="X152" s="519" t="str">
        <f t="array" ref="X152">XLOOKUP(LCARS_Off[AbilityID],RawOfficer[AbilityID],RawOfficer[AbilityTrigger])</f>
        <v>RoundStart</v>
      </c>
      <c r="Y152" s="519" t="str">
        <f t="array" ref="Y152">XLOOKUP(LCARS_Off[AbilityID],RawOfficer[AbilityID],RawOfficer[AbilityTarget])</f>
        <v>SelfShip</v>
      </c>
      <c r="Z152" s="519" t="str">
        <f t="array" ref="Z152">XLOOKUP(LCARS_Off[AbilityID],RawOfficer[AbilityID],RawOfficer[AbilityOperation])</f>
        <v>Add</v>
      </c>
      <c r="AA152" s="521" t="str">
        <f t="array" ref="AA152">XLOOKUP(LCARS_Off[AbilityID],RawOfficer[AbilityID],RawOfficer[AbilityDescription])</f>
        <v>At the start of each round, if the ship has a Hull Breach, Navi increases the Critical Hit damage bonus by X for this round.</v>
      </c>
      <c r="AB152" s="429" t="b">
        <v>0</v>
      </c>
      <c r="AC152" s="522" t="str">
        <f t="array" ref="AC152">XLOOKUP(LCARS_Off[AbilityID],RawOfficer[AbilityID],RawOfficer[AbilityDescriptionShort])</f>
        <v>+X to Critical Hit Damage when the ship has a Hull Breach.</v>
      </c>
      <c r="AD152" s="523"/>
      <c r="AE152" s="524"/>
      <c r="AF152" s="524"/>
      <c r="AG152" s="525" t="str">
        <f t="array" ref="AG152">XLOOKUP(LCARS_Off[AbilityID],RawOfficer[AbilityID],RawOfficer[AbilityChances])</f>
        <v>1.0, 1.0, 1.0</v>
      </c>
      <c r="AH152" s="525" t="str">
        <f t="array" ref="AH152">XLOOKUP(LCARS_Off[AbilityID],RawOfficer[AbilityID],RawOfficer[AbilityValues])</f>
        <v>0.2, 0.1, 0.2</v>
      </c>
      <c r="AI152" s="428" t="b">
        <f t="array" ref="AI152">XLOOKUP(LCARS_Off[AbilityID],RawOfficer[AbilityID],RawOfficer[AbilityHasChance])</f>
        <v>0</v>
      </c>
      <c r="AJ152" s="428" t="b">
        <f t="array" ref="AJ152">XLOOKUP(LCARS_Off[AbilityID],RawOfficer[AbilityID],RawOfficer[AbilityShowPercentage])</f>
        <v>1</v>
      </c>
      <c r="AK152" s="429">
        <f t="array" ref="AK152">XLOOKUP(LCARS_Off[AbilityID],RawOfficer[AbilityID],RawOfficer[OfficerArt])</f>
        <v>120</v>
      </c>
      <c r="AL152" s="430">
        <v>1.63928546E9</v>
      </c>
      <c r="AM152" s="430">
        <f t="array" ref="AM152">XLOOKUP(LCARS_Off[AbilityID],RawOfficer[AbilityID],RawOfficer[Default Order])</f>
        <v>149</v>
      </c>
    </row>
    <row r="153">
      <c r="A153" s="429" t="str">
        <f t="array" ref="A153">LEFT(XLOOKUP(LCARS_Off[AbilityID],RawOfficer[AbilityID],RawOfficer[OfficerRarity]), 1)</f>
        <v>R</v>
      </c>
      <c r="B153" s="429"/>
      <c r="C153" s="514" t="str">
        <f t="array" ref="C153">HYPERLINK("https://stfc.space/officers/" &amp; XLOOKUP(LCARS_Off[AbilityID],RawOfficer[AbilityID],RawOfficer[OfficerId]), XLOOKUP(LCARS_Off[AbilityID],RawOfficer[AbilityID],RawOfficer[OfficerName]))</f>
        <v>NAVI</v>
      </c>
      <c r="D153" s="515" t="str">
        <f t="array" ref="D153">XLOOKUP(LCARS_Off[AbilityID],RawOfficer[AbilityID],RawOfficer[AbilityType])</f>
        <v>OA</v>
      </c>
      <c r="E153" s="516" t="str">
        <f t="array" ref="E153">XLOOKUP(LCARS_Off[AbilityID],RawOfficer[AbilityID],RawOfficer[Tag_PvPinSpace])</f>
        <v>✴️</v>
      </c>
      <c r="F153" s="516" t="str">
        <f t="array" ref="F153">XLOOKUP(LCARS_Off[AbilityID],RawOfficer[AbilityID],RawOfficer[Tag_PvPStation])</f>
        <v>✴️</v>
      </c>
      <c r="G153" s="516" t="str">
        <f t="array" ref="G153">XLOOKUP(LCARS_Off[AbilityID],RawOfficer[AbilityID],RawOfficer[Tag_NonArmadaHostiles])</f>
        <v>✴️</v>
      </c>
      <c r="H153" s="516" t="str">
        <f t="array" ref="H153">XLOOKUP(LCARS_Off[AbilityID],RawOfficer[AbilityID],RawOfficer[Tag_WaveDefense])</f>
        <v>✴️</v>
      </c>
      <c r="I153" s="516" t="str">
        <f t="array" ref="I153">XLOOKUP(LCARS_Off[AbilityID],RawOfficer[AbilityID],RawOfficer[Tag_QTrial])</f>
        <v>✴️</v>
      </c>
      <c r="J153" s="516" t="str">
        <f t="array" ref="J153">XLOOKUP(LCARS_Off[AbilityID],RawOfficer[AbilityID],RawOfficer[Tag_MissionBosses])</f>
        <v>✴️</v>
      </c>
      <c r="K153" s="516" t="str">
        <f t="array" ref="K153">XLOOKUP(LCARS_Off[AbilityID],RawOfficer[AbilityID],RawOfficer[Tag_GroupArmadas])</f>
        <v>✴️</v>
      </c>
      <c r="L153" s="516" t="str">
        <f t="array" ref="L153">XLOOKUP(LCARS_Off[AbilityID],RawOfficer[AbilityID],RawOfficer[Tag_SoloArmadas])</f>
        <v>✴️</v>
      </c>
      <c r="M153" s="516" t="str">
        <f t="array" ref="M153">XLOOKUP(LCARS_Off[AbilityID],RawOfficer[AbilityID],RawOfficer[Tag_InvadingEntities])</f>
        <v>✴️</v>
      </c>
      <c r="N153" s="516" t="str">
        <f t="array" ref="N153">XLOOKUP(LCARS_Off[AbilityID],RawOfficer[AbilityID],RawOfficer[Tag_Assaults])</f>
        <v>✴️</v>
      </c>
      <c r="O153" s="516" t="str">
        <f t="array" ref="O153">XLOOKUP(LCARS_Off[AbilityID],RawOfficer[AbilityID],RawOfficer[Tag_OutpostArmadas])</f>
        <v>✴️</v>
      </c>
      <c r="P153" s="516" t="str">
        <f t="array" ref="P153">XLOOKUP(LCARS_Off[AbilityID],RawOfficer[AbilityID],RawOfficer[Tag_OutpostRetaliators])</f>
        <v>✴️</v>
      </c>
      <c r="Q153" s="517" t="str">
        <f t="array" ref="Q153">XLOOKUP(LCARS_Off[AbilityID],RawOfficer[AbilityID],RawOfficer[Conditional_Reason])</f>
        <v>SelfHasHullBreach</v>
      </c>
      <c r="R153" s="518" t="str">
        <f t="array" ref="R153">XLOOKUP(LCARS_Off[AbilityID],RawOfficer[AbilityID],RawOfficer[Tag_Loot])</f>
        <v>➖</v>
      </c>
      <c r="S153" s="516" t="str">
        <f t="array" ref="S153">XLOOKUP(LCARS_Off[AbilityID],RawOfficer[AbilityID],RawOfficer[Tag_Utility])</f>
        <v>➖</v>
      </c>
      <c r="T153" s="429" t="str">
        <f t="array" ref="T153">XLOOKUP(LCARS_Off[AbilityID],RawOfficer[AbilityID],RawOfficer[OfficerSynergy])</f>
        <v>KHAN'S CREW</v>
      </c>
      <c r="U153" s="519" t="str">
        <f t="array" ref="U153">XLOOKUP(LCARS_Off[AbilityID],RawOfficer[AbilityID],RawOfficer[AbilityModifier])</f>
        <v>AllDefenses</v>
      </c>
      <c r="V153" s="519" t="str">
        <f t="array" ref="V153">XLOOKUP(LCARS_Off[AbilityID],RawOfficer[AbilityID],RawOfficer[AbilityAttributes])</f>
        <v>num_rounds=1</v>
      </c>
      <c r="W153" s="520" t="str">
        <f t="array" ref="W153">XLOOKUP(LCARS_Off[AbilityID],RawOfficer[AbilityID],RawOfficer[AbilityConditions])</f>
        <v>SelfHasHullBreach</v>
      </c>
      <c r="X153" s="519" t="str">
        <f t="array" ref="X153">XLOOKUP(LCARS_Off[AbilityID],RawOfficer[AbilityID],RawOfficer[AbilityTrigger])</f>
        <v>RoundStart</v>
      </c>
      <c r="Y153" s="519" t="str">
        <f t="array" ref="Y153">XLOOKUP(LCARS_Off[AbilityID],RawOfficer[AbilityID],RawOfficer[AbilityTarget])</f>
        <v>SelfShip</v>
      </c>
      <c r="Z153" s="519" t="str">
        <f t="array" ref="Z153">XLOOKUP(LCARS_Off[AbilityID],RawOfficer[AbilityID],RawOfficer[AbilityOperation])</f>
        <v>MultiplyAdd</v>
      </c>
      <c r="AA153" s="521" t="str">
        <f t="array" ref="AA153">XLOOKUP(LCARS_Off[AbilityID],RawOfficer[AbilityID],RawOfficer[AbilityDescription])</f>
        <v>At the start of each round, if the ship has a Hull Breach, Navi increases the Armor, Shield Deflection and Dodge of the ship by X for this round.</v>
      </c>
      <c r="AB153" s="429" t="b">
        <v>0</v>
      </c>
      <c r="AC153" s="522" t="str">
        <f t="array" ref="AC153">XLOOKUP(LCARS_Off[AbilityID],RawOfficer[AbilityID],RawOfficer[AbilityDescriptionShort])</f>
        <v>+X to Armor, Shield Deflection and Dodge when the ship has a Hull Breach</v>
      </c>
      <c r="AD153" s="523"/>
      <c r="AE153" s="524"/>
      <c r="AF153" s="524"/>
      <c r="AG153" s="525" t="str">
        <f t="array" ref="AG153">XLOOKUP(LCARS_Off[AbilityID],RawOfficer[AbilityID],RawOfficer[AbilityChances])</f>
        <v>1.0, 1.0, 1.0, 1.0, 1.0</v>
      </c>
      <c r="AH153" s="525" t="str">
        <f t="array" ref="AH153">XLOOKUP(LCARS_Off[AbilityID],RawOfficer[AbilityID],RawOfficer[AbilityValues])</f>
        <v>0.5, 0.65, 0.85, 1.1, 1.4</v>
      </c>
      <c r="AI153" s="428" t="b">
        <f t="array" ref="AI153">XLOOKUP(LCARS_Off[AbilityID],RawOfficer[AbilityID],RawOfficer[AbilityHasChance])</f>
        <v>0</v>
      </c>
      <c r="AJ153" s="428" t="b">
        <f t="array" ref="AJ153">XLOOKUP(LCARS_Off[AbilityID],RawOfficer[AbilityID],RawOfficer[AbilityShowPercentage])</f>
        <v>1</v>
      </c>
      <c r="AK153" s="429">
        <f t="array" ref="AK153">XLOOKUP(LCARS_Off[AbilityID],RawOfficer[AbilityID],RawOfficer[OfficerArt])</f>
        <v>120</v>
      </c>
      <c r="AL153" s="430">
        <v>2.724936958E9</v>
      </c>
      <c r="AM153" s="430">
        <f t="array" ref="AM153">XLOOKUP(LCARS_Off[AbilityID],RawOfficer[AbilityID],RawOfficer[Default Order])</f>
        <v>150</v>
      </c>
    </row>
    <row r="154">
      <c r="A154" s="429" t="str">
        <f t="array" ref="A154">LEFT(XLOOKUP(LCARS_Off[AbilityID],RawOfficer[AbilityID],RawOfficer[OfficerRarity]), 1)</f>
        <v>R</v>
      </c>
      <c r="B154" s="429"/>
      <c r="C154" s="514" t="str">
        <f t="array" ref="C154">HYPERLINK("https://stfc.space/officers/" &amp; XLOOKUP(LCARS_Off[AbilityID],RawOfficer[AbilityID],RawOfficer[OfficerId]), XLOOKUP(LCARS_Off[AbilityID],RawOfficer[AbilityID],RawOfficer[OfficerName]))</f>
        <v>PAN</v>
      </c>
      <c r="D154" s="515" t="str">
        <f t="array" ref="D154">XLOOKUP(LCARS_Off[AbilityID],RawOfficer[AbilityID],RawOfficer[AbilityType])</f>
        <v>CM</v>
      </c>
      <c r="E154" s="516" t="str">
        <f t="array" ref="E154">XLOOKUP(LCARS_Off[AbilityID],RawOfficer[AbilityID],RawOfficer[Tag_PvPinSpace])</f>
        <v>➖</v>
      </c>
      <c r="F154" s="516" t="str">
        <f t="array" ref="F154">XLOOKUP(LCARS_Off[AbilityID],RawOfficer[AbilityID],RawOfficer[Tag_PvPStation])</f>
        <v>➖</v>
      </c>
      <c r="G154" s="516" t="str">
        <f t="array" ref="G154">XLOOKUP(LCARS_Off[AbilityID],RawOfficer[AbilityID],RawOfficer[Tag_NonArmadaHostiles])</f>
        <v>➖</v>
      </c>
      <c r="H154" s="516" t="str">
        <f t="array" ref="H154">XLOOKUP(LCARS_Off[AbilityID],RawOfficer[AbilityID],RawOfficer[Tag_WaveDefense])</f>
        <v>➖</v>
      </c>
      <c r="I154" s="516" t="str">
        <f t="array" ref="I154">XLOOKUP(LCARS_Off[AbilityID],RawOfficer[AbilityID],RawOfficer[Tag_QTrial])</f>
        <v>➖</v>
      </c>
      <c r="J154" s="516" t="str">
        <f t="array" ref="J154">XLOOKUP(LCARS_Off[AbilityID],RawOfficer[AbilityID],RawOfficer[Tag_MissionBosses])</f>
        <v>➖</v>
      </c>
      <c r="K154" s="516" t="str">
        <f t="array" ref="K154">XLOOKUP(LCARS_Off[AbilityID],RawOfficer[AbilityID],RawOfficer[Tag_GroupArmadas])</f>
        <v>➖</v>
      </c>
      <c r="L154" s="516" t="str">
        <f t="array" ref="L154">XLOOKUP(LCARS_Off[AbilityID],RawOfficer[AbilityID],RawOfficer[Tag_SoloArmadas])</f>
        <v>➖</v>
      </c>
      <c r="M154" s="516" t="str">
        <f t="array" ref="M154">XLOOKUP(LCARS_Off[AbilityID],RawOfficer[AbilityID],RawOfficer[Tag_InvadingEntities])</f>
        <v>➖</v>
      </c>
      <c r="N154" s="516" t="str">
        <f t="array" ref="N154">XLOOKUP(LCARS_Off[AbilityID],RawOfficer[AbilityID],RawOfficer[Tag_Assaults])</f>
        <v>➖</v>
      </c>
      <c r="O154" s="516" t="str">
        <f t="array" ref="O154">XLOOKUP(LCARS_Off[AbilityID],RawOfficer[AbilityID],RawOfficer[Tag_OutpostArmadas])</f>
        <v>➖</v>
      </c>
      <c r="P154" s="516" t="str">
        <f t="array" ref="P154">XLOOKUP(LCARS_Off[AbilityID],RawOfficer[AbilityID],RawOfficer[Tag_OutpostRetaliators])</f>
        <v>➖</v>
      </c>
      <c r="Q154" s="517" t="str">
        <f t="array" ref="Q154">XLOOKUP(LCARS_Off[AbilityID],RawOfficer[AbilityID],RawOfficer[Conditional_Reason])</f>
        <v/>
      </c>
      <c r="R154" s="518" t="str">
        <f t="array" ref="R154">XLOOKUP(LCARS_Off[AbilityID],RawOfficer[AbilityID],RawOfficer[Tag_Loot])</f>
        <v>➖</v>
      </c>
      <c r="S154" s="516" t="str">
        <f t="array" ref="S154">XLOOKUP(LCARS_Off[AbilityID],RawOfficer[AbilityID],RawOfficer[Tag_Utility])</f>
        <v>✅</v>
      </c>
      <c r="T154" s="429" t="str">
        <f t="array" ref="T154">XLOOKUP(LCARS_Off[AbilityID],RawOfficer[AbilityID],RawOfficer[OfficerSynergy])</f>
        <v>KHAN'S CREW</v>
      </c>
      <c r="U154" s="519" t="str">
        <f t="array" ref="U154">XLOOKUP(LCARS_Off[AbilityID],RawOfficer[AbilityID],RawOfficer[AbilityModifier])</f>
        <v>ImpulseSpeed</v>
      </c>
      <c r="V154" s="519" t="str">
        <f t="array" ref="V154">XLOOKUP(LCARS_Off[AbilityID],RawOfficer[AbilityID],RawOfficer[AbilityAttributes])</f>
        <v/>
      </c>
      <c r="W154" s="520" t="str">
        <f t="array" ref="W154">XLOOKUP(LCARS_Off[AbilityID],RawOfficer[AbilityID],RawOfficer[AbilityConditions])</f>
        <v/>
      </c>
      <c r="X154" s="519" t="str">
        <f t="array" ref="X154">XLOOKUP(LCARS_Off[AbilityID],RawOfficer[AbilityID],RawOfficer[AbilityTrigger])</f>
        <v>ShipLaunched</v>
      </c>
      <c r="Y154" s="519" t="str">
        <f t="array" ref="Y154">XLOOKUP(LCARS_Off[AbilityID],RawOfficer[AbilityID],RawOfficer[AbilityTarget])</f>
        <v>SelfShip</v>
      </c>
      <c r="Z154" s="519" t="str">
        <f t="array" ref="Z154">XLOOKUP(LCARS_Off[AbilityID],RawOfficer[AbilityID],RawOfficer[AbilityOperation])</f>
        <v>MultiplyAdd</v>
      </c>
      <c r="AA154" s="521" t="str">
        <f t="array" ref="AA154">XLOOKUP(LCARS_Off[AbilityID],RawOfficer[AbilityID],RawOfficer[AbilityDescription])</f>
        <v>Pan increases the Impulse Speed of the ship by X.</v>
      </c>
      <c r="AB154" s="429" t="b">
        <v>0</v>
      </c>
      <c r="AC154" s="522" t="str">
        <f t="array" ref="AC154">XLOOKUP(LCARS_Off[AbilityID],RawOfficer[AbilityID],RawOfficer[AbilityDescriptionShort])</f>
        <v>+X to Impulse Speed</v>
      </c>
      <c r="AD154" s="523"/>
      <c r="AE154" s="524"/>
      <c r="AF154" s="524"/>
      <c r="AG154" s="525" t="str">
        <f t="array" ref="AG154">XLOOKUP(LCARS_Off[AbilityID],RawOfficer[AbilityID],RawOfficer[AbilityChances])</f>
        <v>1.0, 1.0, 1.0</v>
      </c>
      <c r="AH154" s="525" t="str">
        <f t="array" ref="AH154">XLOOKUP(LCARS_Off[AbilityID],RawOfficer[AbilityID],RawOfficer[AbilityValues])</f>
        <v>0.2, 0.05, 0.15</v>
      </c>
      <c r="AI154" s="428" t="b">
        <f t="array" ref="AI154">XLOOKUP(LCARS_Off[AbilityID],RawOfficer[AbilityID],RawOfficer[AbilityHasChance])</f>
        <v>0</v>
      </c>
      <c r="AJ154" s="428" t="b">
        <f t="array" ref="AJ154">XLOOKUP(LCARS_Off[AbilityID],RawOfficer[AbilityID],RawOfficer[AbilityShowPercentage])</f>
        <v>1</v>
      </c>
      <c r="AK154" s="429">
        <f t="array" ref="AK154">XLOOKUP(LCARS_Off[AbilityID],RawOfficer[AbilityID],RawOfficer[OfficerArt])</f>
        <v>121</v>
      </c>
      <c r="AL154" s="430">
        <v>1.08011378E9</v>
      </c>
      <c r="AM154" s="430">
        <f t="array" ref="AM154">XLOOKUP(LCARS_Off[AbilityID],RawOfficer[AbilityID],RawOfficer[Default Order])</f>
        <v>151</v>
      </c>
    </row>
    <row r="155">
      <c r="A155" s="429" t="str">
        <f t="array" ref="A155">LEFT(XLOOKUP(LCARS_Off[AbilityID],RawOfficer[AbilityID],RawOfficer[OfficerRarity]), 1)</f>
        <v>R</v>
      </c>
      <c r="B155" s="429"/>
      <c r="C155" s="514" t="str">
        <f t="array" ref="C155">HYPERLINK("https://stfc.space/officers/" &amp; XLOOKUP(LCARS_Off[AbilityID],RawOfficer[AbilityID],RawOfficer[OfficerId]), XLOOKUP(LCARS_Off[AbilityID],RawOfficer[AbilityID],RawOfficer[OfficerName]))</f>
        <v>PAN</v>
      </c>
      <c r="D155" s="515" t="str">
        <f t="array" ref="D155">XLOOKUP(LCARS_Off[AbilityID],RawOfficer[AbilityID],RawOfficer[AbilityType])</f>
        <v>OA</v>
      </c>
      <c r="E155" s="516" t="str">
        <f t="array" ref="E155">XLOOKUP(LCARS_Off[AbilityID],RawOfficer[AbilityID],RawOfficer[Tag_PvPinSpace])</f>
        <v>✅</v>
      </c>
      <c r="F155" s="516" t="str">
        <f t="array" ref="F155">XLOOKUP(LCARS_Off[AbilityID],RawOfficer[AbilityID],RawOfficer[Tag_PvPStation])</f>
        <v>✅</v>
      </c>
      <c r="G155" s="516" t="str">
        <f t="array" ref="G155">XLOOKUP(LCARS_Off[AbilityID],RawOfficer[AbilityID],RawOfficer[Tag_NonArmadaHostiles])</f>
        <v>✅</v>
      </c>
      <c r="H155" s="516" t="str">
        <f t="array" ref="H155">XLOOKUP(LCARS_Off[AbilityID],RawOfficer[AbilityID],RawOfficer[Tag_WaveDefense])</f>
        <v>✅</v>
      </c>
      <c r="I155" s="516" t="str">
        <f t="array" ref="I155">XLOOKUP(LCARS_Off[AbilityID],RawOfficer[AbilityID],RawOfficer[Tag_QTrial])</f>
        <v>✅</v>
      </c>
      <c r="J155" s="516" t="str">
        <f t="array" ref="J155">XLOOKUP(LCARS_Off[AbilityID],RawOfficer[AbilityID],RawOfficer[Tag_MissionBosses])</f>
        <v>✅</v>
      </c>
      <c r="K155" s="516" t="str">
        <f t="array" ref="K155">XLOOKUP(LCARS_Off[AbilityID],RawOfficer[AbilityID],RawOfficer[Tag_GroupArmadas])</f>
        <v>✅</v>
      </c>
      <c r="L155" s="516" t="str">
        <f t="array" ref="L155">XLOOKUP(LCARS_Off[AbilityID],RawOfficer[AbilityID],RawOfficer[Tag_SoloArmadas])</f>
        <v>✅</v>
      </c>
      <c r="M155" s="516" t="str">
        <f t="array" ref="M155">XLOOKUP(LCARS_Off[AbilityID],RawOfficer[AbilityID],RawOfficer[Tag_InvadingEntities])</f>
        <v>✅</v>
      </c>
      <c r="N155" s="516" t="str">
        <f t="array" ref="N155">XLOOKUP(LCARS_Off[AbilityID],RawOfficer[AbilityID],RawOfficer[Tag_Assaults])</f>
        <v>✅</v>
      </c>
      <c r="O155" s="516" t="str">
        <f t="array" ref="O155">XLOOKUP(LCARS_Off[AbilityID],RawOfficer[AbilityID],RawOfficer[Tag_OutpostArmadas])</f>
        <v>✅</v>
      </c>
      <c r="P155" s="516" t="str">
        <f t="array" ref="P155">XLOOKUP(LCARS_Off[AbilityID],RawOfficer[AbilityID],RawOfficer[Tag_OutpostRetaliators])</f>
        <v>✅</v>
      </c>
      <c r="Q155" s="517" t="str">
        <f t="array" ref="Q155">XLOOKUP(LCARS_Off[AbilityID],RawOfficer[AbilityID],RawOfficer[Conditional_Reason])</f>
        <v/>
      </c>
      <c r="R155" s="518" t="str">
        <f t="array" ref="R155">XLOOKUP(LCARS_Off[AbilityID],RawOfficer[AbilityID],RawOfficer[Tag_Loot])</f>
        <v>➖</v>
      </c>
      <c r="S155" s="516" t="str">
        <f t="array" ref="S155">XLOOKUP(LCARS_Off[AbilityID],RawOfficer[AbilityID],RawOfficer[Tag_Utility])</f>
        <v>➖</v>
      </c>
      <c r="T155" s="429" t="str">
        <f t="array" ref="T155">XLOOKUP(LCARS_Off[AbilityID],RawOfficer[AbilityID],RawOfficer[OfficerSynergy])</f>
        <v>KHAN'S CREW</v>
      </c>
      <c r="U155" s="519" t="str">
        <f t="array" ref="U155">XLOOKUP(LCARS_Off[AbilityID],RawOfficer[AbilityID],RawOfficer[AbilityModifier])</f>
        <v>AddState</v>
      </c>
      <c r="V155" s="519" t="str">
        <f t="array" ref="V155">XLOOKUP(LCARS_Off[AbilityID],RawOfficer[AbilityID],RawOfficer[AbilityAttributes])</f>
        <v>num_rounds=3, state=4</v>
      </c>
      <c r="W155" s="520" t="str">
        <f t="array" ref="W155">XLOOKUP(LCARS_Off[AbilityID],RawOfficer[AbilityID],RawOfficer[AbilityConditions])</f>
        <v/>
      </c>
      <c r="X155" s="519" t="str">
        <f t="array" ref="X155">XLOOKUP(LCARS_Off[AbilityID],RawOfficer[AbilityID],RawOfficer[AbilityTrigger])</f>
        <v>RoundStart</v>
      </c>
      <c r="Y155" s="519" t="str">
        <f t="array" ref="Y155">XLOOKUP(LCARS_Off[AbilityID],RawOfficer[AbilityID],RawOfficer[AbilityTarget])</f>
        <v>SelfShip</v>
      </c>
      <c r="Z155" s="519" t="str">
        <f t="array" ref="Z155">XLOOKUP(LCARS_Off[AbilityID],RawOfficer[AbilityID],RawOfficer[AbilityOperation])</f>
        <v>Set</v>
      </c>
      <c r="AA155" s="521" t="str">
        <f t="array" ref="AA155">XLOOKUP(LCARS_Off[AbilityID],RawOfficer[AbilityID],RawOfficer[AbilityDescription])</f>
        <v>At the start of each round, Pan has a X chance of applying a Hull Breach to his own ship for 3 rounds.</v>
      </c>
      <c r="AB155" s="429" t="b">
        <v>0</v>
      </c>
      <c r="AC155" s="522" t="str">
        <f t="array" ref="AC155">XLOOKUP(LCARS_Off[AbilityID],RawOfficer[AbilityID],RawOfficer[AbilityDescriptionShort])</f>
        <v>X chance to apply a Hull Breach on your own ship for three rounds</v>
      </c>
      <c r="AD155" s="523"/>
      <c r="AE155" s="524"/>
      <c r="AF155" s="524"/>
      <c r="AG155" s="525" t="str">
        <f t="array" ref="AG155">XLOOKUP(LCARS_Off[AbilityID],RawOfficer[AbilityID],RawOfficer[AbilityChances])</f>
        <v>0.25, 0.35, 0.45, 0.55, 0.65</v>
      </c>
      <c r="AH155" s="525" t="str">
        <f t="array" ref="AH155">XLOOKUP(LCARS_Off[AbilityID],RawOfficer[AbilityID],RawOfficer[AbilityValues])</f>
        <v>1.0, 1.0, 1.0, 1.0, 1.0</v>
      </c>
      <c r="AI155" s="428" t="b">
        <f t="array" ref="AI155">XLOOKUP(LCARS_Off[AbilityID],RawOfficer[AbilityID],RawOfficer[AbilityHasChance])</f>
        <v>1</v>
      </c>
      <c r="AJ155" s="428" t="b">
        <f t="array" ref="AJ155">XLOOKUP(LCARS_Off[AbilityID],RawOfficer[AbilityID],RawOfficer[AbilityShowPercentage])</f>
        <v>1</v>
      </c>
      <c r="AK155" s="429">
        <f t="array" ref="AK155">XLOOKUP(LCARS_Off[AbilityID],RawOfficer[AbilityID],RawOfficer[OfficerArt])</f>
        <v>121</v>
      </c>
      <c r="AL155" s="430">
        <v>2.657236509E9</v>
      </c>
      <c r="AM155" s="430">
        <f t="array" ref="AM155">XLOOKUP(LCARS_Off[AbilityID],RawOfficer[AbilityID],RawOfficer[Default Order])</f>
        <v>152</v>
      </c>
    </row>
    <row r="156">
      <c r="A156" s="429" t="str">
        <f t="array" ref="A156">LEFT(XLOOKUP(LCARS_Off[AbilityID],RawOfficer[AbilityID],RawOfficer[OfficerRarity]), 1)</f>
        <v>R</v>
      </c>
      <c r="B156" s="429"/>
      <c r="C156" s="514" t="str">
        <f t="array" ref="C156">HYPERLINK("https://stfc.space/officers/" &amp; XLOOKUP(LCARS_Off[AbilityID],RawOfficer[AbilityID],RawOfficer[OfficerId]), XLOOKUP(LCARS_Off[AbilityID],RawOfficer[AbilityID],RawOfficer[OfficerName]))</f>
        <v>RIMA</v>
      </c>
      <c r="D156" s="515" t="str">
        <f t="array" ref="D156">XLOOKUP(LCARS_Off[AbilityID],RawOfficer[AbilityID],RawOfficer[AbilityType])</f>
        <v>CM</v>
      </c>
      <c r="E156" s="516" t="str">
        <f t="array" ref="E156">XLOOKUP(LCARS_Off[AbilityID],RawOfficer[AbilityID],RawOfficer[Tag_PvPinSpace])</f>
        <v>✴️</v>
      </c>
      <c r="F156" s="516" t="str">
        <f t="array" ref="F156">XLOOKUP(LCARS_Off[AbilityID],RawOfficer[AbilityID],RawOfficer[Tag_PvPStation])</f>
        <v>✴️</v>
      </c>
      <c r="G156" s="516" t="str">
        <f t="array" ref="G156">XLOOKUP(LCARS_Off[AbilityID],RawOfficer[AbilityID],RawOfficer[Tag_NonArmadaHostiles])</f>
        <v>✴️</v>
      </c>
      <c r="H156" s="516" t="str">
        <f t="array" ref="H156">XLOOKUP(LCARS_Off[AbilityID],RawOfficer[AbilityID],RawOfficer[Tag_WaveDefense])</f>
        <v>✴️</v>
      </c>
      <c r="I156" s="516" t="str">
        <f t="array" ref="I156">XLOOKUP(LCARS_Off[AbilityID],RawOfficer[AbilityID],RawOfficer[Tag_QTrial])</f>
        <v>✴️</v>
      </c>
      <c r="J156" s="516" t="str">
        <f t="array" ref="J156">XLOOKUP(LCARS_Off[AbilityID],RawOfficer[AbilityID],RawOfficer[Tag_MissionBosses])</f>
        <v>✴️</v>
      </c>
      <c r="K156" s="516" t="str">
        <f t="array" ref="K156">XLOOKUP(LCARS_Off[AbilityID],RawOfficer[AbilityID],RawOfficer[Tag_GroupArmadas])</f>
        <v>✴️</v>
      </c>
      <c r="L156" s="516" t="str">
        <f t="array" ref="L156">XLOOKUP(LCARS_Off[AbilityID],RawOfficer[AbilityID],RawOfficer[Tag_SoloArmadas])</f>
        <v>✴️</v>
      </c>
      <c r="M156" s="516" t="str">
        <f t="array" ref="M156">XLOOKUP(LCARS_Off[AbilityID],RawOfficer[AbilityID],RawOfficer[Tag_InvadingEntities])</f>
        <v>✴️</v>
      </c>
      <c r="N156" s="516" t="str">
        <f t="array" ref="N156">XLOOKUP(LCARS_Off[AbilityID],RawOfficer[AbilityID],RawOfficer[Tag_Assaults])</f>
        <v>✴️</v>
      </c>
      <c r="O156" s="516" t="str">
        <f t="array" ref="O156">XLOOKUP(LCARS_Off[AbilityID],RawOfficer[AbilityID],RawOfficer[Tag_OutpostArmadas])</f>
        <v>✴️</v>
      </c>
      <c r="P156" s="516" t="str">
        <f t="array" ref="P156">XLOOKUP(LCARS_Off[AbilityID],RawOfficer[AbilityID],RawOfficer[Tag_OutpostRetaliators])</f>
        <v>✴️</v>
      </c>
      <c r="Q156" s="517" t="str">
        <f t="array" ref="Q156">XLOOKUP(LCARS_Off[AbilityID],RawOfficer[AbilityID],RawOfficer[Conditional_Reason])</f>
        <v>SelfHasHullBreach</v>
      </c>
      <c r="R156" s="518" t="str">
        <f t="array" ref="R156">XLOOKUP(LCARS_Off[AbilityID],RawOfficer[AbilityID],RawOfficer[Tag_Loot])</f>
        <v>➖</v>
      </c>
      <c r="S156" s="516" t="str">
        <f t="array" ref="S156">XLOOKUP(LCARS_Off[AbilityID],RawOfficer[AbilityID],RawOfficer[Tag_Utility])</f>
        <v>➖</v>
      </c>
      <c r="T156" s="429" t="str">
        <f t="array" ref="T156">XLOOKUP(LCARS_Off[AbilityID],RawOfficer[AbilityID],RawOfficer[OfficerSynergy])</f>
        <v>KHAN'S CREW</v>
      </c>
      <c r="U156" s="519" t="str">
        <f t="array" ref="U156">XLOOKUP(LCARS_Off[AbilityID],RawOfficer[AbilityID],RawOfficer[AbilityModifier])</f>
        <v>AllDamage</v>
      </c>
      <c r="V156" s="519" t="str">
        <f t="array" ref="V156">XLOOKUP(LCARS_Off[AbilityID],RawOfficer[AbilityID],RawOfficer[AbilityAttributes])</f>
        <v>num_rounds=1</v>
      </c>
      <c r="W156" s="520" t="str">
        <f t="array" ref="W156">XLOOKUP(LCARS_Off[AbilityID],RawOfficer[AbilityID],RawOfficer[AbilityConditions])</f>
        <v>SelfHasHullBreach</v>
      </c>
      <c r="X156" s="519" t="str">
        <f t="array" ref="X156">XLOOKUP(LCARS_Off[AbilityID],RawOfficer[AbilityID],RawOfficer[AbilityTrigger])</f>
        <v>RoundStart</v>
      </c>
      <c r="Y156" s="519" t="str">
        <f t="array" ref="Y156">XLOOKUP(LCARS_Off[AbilityID],RawOfficer[AbilityID],RawOfficer[AbilityTarget])</f>
        <v>SelfShip</v>
      </c>
      <c r="Z156" s="519" t="str">
        <f t="array" ref="Z156">XLOOKUP(LCARS_Off[AbilityID],RawOfficer[AbilityID],RawOfficer[AbilityOperation])</f>
        <v>MultiplyAdd</v>
      </c>
      <c r="AA156" s="521" t="str">
        <f t="array" ref="AA156">XLOOKUP(LCARS_Off[AbilityID],RawOfficer[AbilityID],RawOfficer[AbilityDescription])</f>
        <v>At the start of each round, if the ship has a Hull Breach, Rima increases the Damage of the ship by X for this round.</v>
      </c>
      <c r="AB156" s="429" t="b">
        <v>0</v>
      </c>
      <c r="AC156" s="522" t="str">
        <f t="array" ref="AC156">XLOOKUP(LCARS_Off[AbilityID],RawOfficer[AbilityID],RawOfficer[AbilityDescriptionShort])</f>
        <v>+X to Damage when the ship has a Hull Breach</v>
      </c>
      <c r="AD156" s="523"/>
      <c r="AE156" s="524"/>
      <c r="AF156" s="524"/>
      <c r="AG156" s="525" t="str">
        <f t="array" ref="AG156">XLOOKUP(LCARS_Off[AbilityID],RawOfficer[AbilityID],RawOfficer[AbilityChances])</f>
        <v>1.0, 1.0, 1.0</v>
      </c>
      <c r="AH156" s="525" t="str">
        <f t="array" ref="AH156">XLOOKUP(LCARS_Off[AbilityID],RawOfficer[AbilityID],RawOfficer[AbilityValues])</f>
        <v>0.4, 0.1, 0.2</v>
      </c>
      <c r="AI156" s="428" t="b">
        <f t="array" ref="AI156">XLOOKUP(LCARS_Off[AbilityID],RawOfficer[AbilityID],RawOfficer[AbilityHasChance])</f>
        <v>0</v>
      </c>
      <c r="AJ156" s="428" t="b">
        <f t="array" ref="AJ156">XLOOKUP(LCARS_Off[AbilityID],RawOfficer[AbilityID],RawOfficer[AbilityShowPercentage])</f>
        <v>1</v>
      </c>
      <c r="AK156" s="429">
        <f t="array" ref="AK156">XLOOKUP(LCARS_Off[AbilityID],RawOfficer[AbilityID],RawOfficer[OfficerArt])</f>
        <v>122</v>
      </c>
      <c r="AL156" s="430">
        <v>2.804399891E9</v>
      </c>
      <c r="AM156" s="430">
        <f t="array" ref="AM156">XLOOKUP(LCARS_Off[AbilityID],RawOfficer[AbilityID],RawOfficer[Default Order])</f>
        <v>153</v>
      </c>
    </row>
    <row r="157">
      <c r="A157" s="429" t="str">
        <f t="array" ref="A157">LEFT(XLOOKUP(LCARS_Off[AbilityID],RawOfficer[AbilityID],RawOfficer[OfficerRarity]), 1)</f>
        <v>R</v>
      </c>
      <c r="B157" s="429"/>
      <c r="C157" s="514" t="str">
        <f t="array" ref="C157">HYPERLINK("https://stfc.space/officers/" &amp; XLOOKUP(LCARS_Off[AbilityID],RawOfficer[AbilityID],RawOfficer[OfficerId]), XLOOKUP(LCARS_Off[AbilityID],RawOfficer[AbilityID],RawOfficer[OfficerName]))</f>
        <v>RIMA</v>
      </c>
      <c r="D157" s="515" t="str">
        <f t="array" ref="D157">XLOOKUP(LCARS_Off[AbilityID],RawOfficer[AbilityID],RawOfficer[AbilityType])</f>
        <v>OA</v>
      </c>
      <c r="E157" s="516" t="str">
        <f t="array" ref="E157">XLOOKUP(LCARS_Off[AbilityID],RawOfficer[AbilityID],RawOfficer[Tag_PvPinSpace])</f>
        <v>✴️</v>
      </c>
      <c r="F157" s="516" t="str">
        <f t="array" ref="F157">XLOOKUP(LCARS_Off[AbilityID],RawOfficer[AbilityID],RawOfficer[Tag_PvPStation])</f>
        <v>✴️</v>
      </c>
      <c r="G157" s="516" t="str">
        <f t="array" ref="G157">XLOOKUP(LCARS_Off[AbilityID],RawOfficer[AbilityID],RawOfficer[Tag_NonArmadaHostiles])</f>
        <v>✴️</v>
      </c>
      <c r="H157" s="516" t="str">
        <f t="array" ref="H157">XLOOKUP(LCARS_Off[AbilityID],RawOfficer[AbilityID],RawOfficer[Tag_WaveDefense])</f>
        <v>✴️</v>
      </c>
      <c r="I157" s="516" t="str">
        <f t="array" ref="I157">XLOOKUP(LCARS_Off[AbilityID],RawOfficer[AbilityID],RawOfficer[Tag_QTrial])</f>
        <v>✴️</v>
      </c>
      <c r="J157" s="516" t="str">
        <f t="array" ref="J157">XLOOKUP(LCARS_Off[AbilityID],RawOfficer[AbilityID],RawOfficer[Tag_MissionBosses])</f>
        <v>✴️</v>
      </c>
      <c r="K157" s="516" t="str">
        <f t="array" ref="K157">XLOOKUP(LCARS_Off[AbilityID],RawOfficer[AbilityID],RawOfficer[Tag_GroupArmadas])</f>
        <v>✴️</v>
      </c>
      <c r="L157" s="516" t="str">
        <f t="array" ref="L157">XLOOKUP(LCARS_Off[AbilityID],RawOfficer[AbilityID],RawOfficer[Tag_SoloArmadas])</f>
        <v>✴️</v>
      </c>
      <c r="M157" s="516" t="str">
        <f t="array" ref="M157">XLOOKUP(LCARS_Off[AbilityID],RawOfficer[AbilityID],RawOfficer[Tag_InvadingEntities])</f>
        <v>✴️</v>
      </c>
      <c r="N157" s="516" t="str">
        <f t="array" ref="N157">XLOOKUP(LCARS_Off[AbilityID],RawOfficer[AbilityID],RawOfficer[Tag_Assaults])</f>
        <v>✴️</v>
      </c>
      <c r="O157" s="516" t="str">
        <f t="array" ref="O157">XLOOKUP(LCARS_Off[AbilityID],RawOfficer[AbilityID],RawOfficer[Tag_OutpostArmadas])</f>
        <v>✴️</v>
      </c>
      <c r="P157" s="516" t="str">
        <f t="array" ref="P157">XLOOKUP(LCARS_Off[AbilityID],RawOfficer[AbilityID],RawOfficer[Tag_OutpostRetaliators])</f>
        <v>✴️</v>
      </c>
      <c r="Q157" s="517" t="str">
        <f t="array" ref="Q157">XLOOKUP(LCARS_Off[AbilityID],RawOfficer[AbilityID],RawOfficer[Conditional_Reason])</f>
        <v>SelfHasHullBreach</v>
      </c>
      <c r="R157" s="518" t="str">
        <f t="array" ref="R157">XLOOKUP(LCARS_Off[AbilityID],RawOfficer[AbilityID],RawOfficer[Tag_Loot])</f>
        <v>➖</v>
      </c>
      <c r="S157" s="516" t="str">
        <f t="array" ref="S157">XLOOKUP(LCARS_Off[AbilityID],RawOfficer[AbilityID],RawOfficer[Tag_Utility])</f>
        <v>➖</v>
      </c>
      <c r="T157" s="429" t="str">
        <f t="array" ref="T157">XLOOKUP(LCARS_Off[AbilityID],RawOfficer[AbilityID],RawOfficer[OfficerSynergy])</f>
        <v>KHAN'S CREW</v>
      </c>
      <c r="U157" s="519" t="str">
        <f t="array" ref="U157">XLOOKUP(LCARS_Off[AbilityID],RawOfficer[AbilityID],RawOfficer[AbilityModifier])</f>
        <v>CritChance</v>
      </c>
      <c r="V157" s="519" t="str">
        <f t="array" ref="V157">XLOOKUP(LCARS_Off[AbilityID],RawOfficer[AbilityID],RawOfficer[AbilityAttributes])</f>
        <v>num_rounds=1</v>
      </c>
      <c r="W157" s="520" t="str">
        <f t="array" ref="W157">XLOOKUP(LCARS_Off[AbilityID],RawOfficer[AbilityID],RawOfficer[AbilityConditions])</f>
        <v>SelfHasHullBreach</v>
      </c>
      <c r="X157" s="519" t="str">
        <f t="array" ref="X157">XLOOKUP(LCARS_Off[AbilityID],RawOfficer[AbilityID],RawOfficer[AbilityTrigger])</f>
        <v>RoundStart</v>
      </c>
      <c r="Y157" s="519" t="str">
        <f t="array" ref="Y157">XLOOKUP(LCARS_Off[AbilityID],RawOfficer[AbilityID],RawOfficer[AbilityTarget])</f>
        <v>SelfShip</v>
      </c>
      <c r="Z157" s="519" t="str">
        <f t="array" ref="Z157">XLOOKUP(LCARS_Off[AbilityID],RawOfficer[AbilityID],RawOfficer[AbilityOperation])</f>
        <v>Add</v>
      </c>
      <c r="AA157" s="521" t="str">
        <f t="array" ref="AA157">XLOOKUP(LCARS_Off[AbilityID],RawOfficer[AbilityID],RawOfficer[AbilityDescription])</f>
        <v>At the start of each round, if the ship has a Hull Breach, Rima adds X to Critical Hit chances</v>
      </c>
      <c r="AB157" s="429" t="b">
        <v>0</v>
      </c>
      <c r="AC157" s="522" t="str">
        <f t="array" ref="AC157">XLOOKUP(LCARS_Off[AbilityID],RawOfficer[AbilityID],RawOfficer[AbilityDescriptionShort])</f>
        <v>+X to Critical Hit chances when the ship has a Hull Breach</v>
      </c>
      <c r="AD157" s="523"/>
      <c r="AE157" s="524"/>
      <c r="AF157" s="524"/>
      <c r="AG157" s="525" t="str">
        <f t="array" ref="AG157">XLOOKUP(LCARS_Off[AbilityID],RawOfficer[AbilityID],RawOfficer[AbilityChances])</f>
        <v>1.0, 1.0, 1.0, 1.0, 1.0</v>
      </c>
      <c r="AH157" s="525" t="str">
        <f t="array" ref="AH157">XLOOKUP(LCARS_Off[AbilityID],RawOfficer[AbilityID],RawOfficer[AbilityValues])</f>
        <v>0.05, 0.08, 0.1, 0.15, 0.2</v>
      </c>
      <c r="AI157" s="428" t="b">
        <f t="array" ref="AI157">XLOOKUP(LCARS_Off[AbilityID],RawOfficer[AbilityID],RawOfficer[AbilityHasChance])</f>
        <v>0</v>
      </c>
      <c r="AJ157" s="428" t="b">
        <f t="array" ref="AJ157">XLOOKUP(LCARS_Off[AbilityID],RawOfficer[AbilityID],RawOfficer[AbilityShowPercentage])</f>
        <v>1</v>
      </c>
      <c r="AK157" s="429">
        <f t="array" ref="AK157">XLOOKUP(LCARS_Off[AbilityID],RawOfficer[AbilityID],RawOfficer[OfficerArt])</f>
        <v>122</v>
      </c>
      <c r="AL157" s="430">
        <v>1.975058516E9</v>
      </c>
      <c r="AM157" s="430">
        <f t="array" ref="AM157">XLOOKUP(LCARS_Off[AbilityID],RawOfficer[AbilityID],RawOfficer[Default Order])</f>
        <v>154</v>
      </c>
    </row>
    <row r="158">
      <c r="A158" s="429" t="str">
        <f t="array" ref="A158">LEFT(XLOOKUP(LCARS_Off[AbilityID],RawOfficer[AbilityID],RawOfficer[OfficerRarity]), 1)</f>
        <v>E</v>
      </c>
      <c r="B158" s="429"/>
      <c r="C158" s="514" t="str">
        <f t="array" ref="C158">HYPERLINK("https://stfc.space/officers/" &amp; XLOOKUP(LCARS_Off[AbilityID],RawOfficer[AbilityID],RawOfficer[OfficerId]), XLOOKUP(LCARS_Off[AbilityID],RawOfficer[AbilityID],RawOfficer[OfficerName]))</f>
        <v>MUDD</v>
      </c>
      <c r="D158" s="515" t="str">
        <f t="array" ref="D158">XLOOKUP(LCARS_Off[AbilityID],RawOfficer[AbilityID],RawOfficer[AbilityType])</f>
        <v>CM</v>
      </c>
      <c r="E158" s="516" t="str">
        <f t="array" ref="E158">XLOOKUP(LCARS_Off[AbilityID],RawOfficer[AbilityID],RawOfficer[Tag_PvPinSpace])</f>
        <v>➖</v>
      </c>
      <c r="F158" s="516" t="str">
        <f t="array" ref="F158">XLOOKUP(LCARS_Off[AbilityID],RawOfficer[AbilityID],RawOfficer[Tag_PvPStation])</f>
        <v>➖</v>
      </c>
      <c r="G158" s="516" t="str">
        <f t="array" ref="G158">XLOOKUP(LCARS_Off[AbilityID],RawOfficer[AbilityID],RawOfficer[Tag_NonArmadaHostiles])</f>
        <v>➖</v>
      </c>
      <c r="H158" s="516" t="str">
        <f t="array" ref="H158">XLOOKUP(LCARS_Off[AbilityID],RawOfficer[AbilityID],RawOfficer[Tag_WaveDefense])</f>
        <v>➖</v>
      </c>
      <c r="I158" s="516" t="str">
        <f t="array" ref="I158">XLOOKUP(LCARS_Off[AbilityID],RawOfficer[AbilityID],RawOfficer[Tag_QTrial])</f>
        <v>➖</v>
      </c>
      <c r="J158" s="516" t="str">
        <f t="array" ref="J158">XLOOKUP(LCARS_Off[AbilityID],RawOfficer[AbilityID],RawOfficer[Tag_MissionBosses])</f>
        <v>➖</v>
      </c>
      <c r="K158" s="516" t="str">
        <f t="array" ref="K158">XLOOKUP(LCARS_Off[AbilityID],RawOfficer[AbilityID],RawOfficer[Tag_GroupArmadas])</f>
        <v>✴️</v>
      </c>
      <c r="L158" s="516" t="str">
        <f t="array" ref="L158">XLOOKUP(LCARS_Off[AbilityID],RawOfficer[AbilityID],RawOfficer[Tag_SoloArmadas])</f>
        <v>✴️</v>
      </c>
      <c r="M158" s="516" t="str">
        <f t="array" ref="M158">XLOOKUP(LCARS_Off[AbilityID],RawOfficer[AbilityID],RawOfficer[Tag_InvadingEntities])</f>
        <v>➖</v>
      </c>
      <c r="N158" s="516" t="str">
        <f t="array" ref="N158">XLOOKUP(LCARS_Off[AbilityID],RawOfficer[AbilityID],RawOfficer[Tag_Assaults])</f>
        <v>➖</v>
      </c>
      <c r="O158" s="516" t="str">
        <f t="array" ref="O158">XLOOKUP(LCARS_Off[AbilityID],RawOfficer[AbilityID],RawOfficer[Tag_OutpostArmadas])</f>
        <v>➖</v>
      </c>
      <c r="P158" s="516" t="str">
        <f t="array" ref="P158">XLOOKUP(LCARS_Off[AbilityID],RawOfficer[AbilityID],RawOfficer[Tag_OutpostRetaliators])</f>
        <v>➖</v>
      </c>
      <c r="Q158" s="517" t="str">
        <f t="array" ref="Q158">XLOOKUP(LCARS_Off[AbilityID],RawOfficer[AbilityID],RawOfficer[Conditional_Reason])</f>
        <v>target level 70 or under</v>
      </c>
      <c r="R158" s="518" t="str">
        <f t="array" ref="R158">XLOOKUP(LCARS_Off[AbilityID],RawOfficer[AbilityID],RawOfficer[Tag_Loot])</f>
        <v>➖</v>
      </c>
      <c r="S158" s="516" t="str">
        <f t="array" ref="S158">XLOOKUP(LCARS_Off[AbilityID],RawOfficer[AbilityID],RawOfficer[Tag_Utility])</f>
        <v>➖</v>
      </c>
      <c r="T158" s="429" t="str">
        <f t="array" ref="T158">XLOOKUP(LCARS_Off[AbilityID],RawOfficer[AbilityID],RawOfficer[OfficerSynergy])</f>
        <v>MUDD'S COMPANY</v>
      </c>
      <c r="U158" s="519" t="str">
        <f t="array" ref="U158">XLOOKUP(LCARS_Off[AbilityID],RawOfficer[AbilityID],RawOfficer[AbilityModifier])</f>
        <v>AllDamage</v>
      </c>
      <c r="V158" s="519" t="str">
        <f t="array" ref="V158">XLOOKUP(LCARS_Off[AbilityID],RawOfficer[AbilityID],RawOfficer[AbilityAttributes])</f>
        <v>max_level=70, num_rounds=1</v>
      </c>
      <c r="W158" s="520" t="str">
        <f t="array" ref="W158">XLOOKUP(LCARS_Off[AbilityID],RawOfficer[AbilityID],RawOfficer[AbilityConditions])</f>
        <v>TargetIsArmada, TargetMaxLevel</v>
      </c>
      <c r="X158" s="519" t="str">
        <f t="array" ref="X158">XLOOKUP(LCARS_Off[AbilityID],RawOfficer[AbilityID],RawOfficer[AbilityTrigger])</f>
        <v>HitTaken</v>
      </c>
      <c r="Y158" s="519" t="str">
        <f t="array" ref="Y158">XLOOKUP(LCARS_Off[AbilityID],RawOfficer[AbilityID],RawOfficer[AbilityTarget])</f>
        <v>EnemyShip</v>
      </c>
      <c r="Z158" s="519" t="str">
        <f t="array" ref="Z158">XLOOKUP(LCARS_Off[AbilityID],RawOfficer[AbilityID],RawOfficer[AbilityOperation])</f>
        <v>MultiplySub</v>
      </c>
      <c r="AA158" s="521" t="str">
        <f t="array" ref="AA158">XLOOKUP(LCARS_Off[AbilityID],RawOfficer[AbilityID],RawOfficer[AbilityDescription])</f>
        <v>When the ship takes damage from an Armada Target weapon attack, Harry Mudd decreases the Weapon Damage of that Armada Target by X for this round. Works against Hostiles of level 70 and under. -- (Weapons with multiple shots will only trigger this maneuver once per attack.)</v>
      </c>
      <c r="AB158" s="429" t="b">
        <v>0</v>
      </c>
      <c r="AC158" s="522" t="str">
        <f t="array" ref="AC158">XLOOKUP(LCARS_Off[AbilityID],RawOfficer[AbilityID],RawOfficer[AbilityDescriptionShort])</f>
        <v>-X to Armada Targets Weapon Damage when taking damage.</v>
      </c>
      <c r="AD158" s="523"/>
      <c r="AE158" s="524"/>
      <c r="AF158" s="524"/>
      <c r="AG158" s="525" t="str">
        <f t="array" ref="AG158">XLOOKUP(LCARS_Off[AbilityID],RawOfficer[AbilityID],RawOfficer[AbilityChances])</f>
        <v>1.0, 1.0, 1.0</v>
      </c>
      <c r="AH158" s="525" t="str">
        <f t="array" ref="AH158">XLOOKUP(LCARS_Off[AbilityID],RawOfficer[AbilityID],RawOfficer[AbilityValues])</f>
        <v>0.1, 0.03, 0.05</v>
      </c>
      <c r="AI158" s="428" t="b">
        <f t="array" ref="AI158">XLOOKUP(LCARS_Off[AbilityID],RawOfficer[AbilityID],RawOfficer[AbilityHasChance])</f>
        <v>0</v>
      </c>
      <c r="AJ158" s="428" t="b">
        <f t="array" ref="AJ158">XLOOKUP(LCARS_Off[AbilityID],RawOfficer[AbilityID],RawOfficer[AbilityShowPercentage])</f>
        <v>1</v>
      </c>
      <c r="AK158" s="429">
        <f t="array" ref="AK158">XLOOKUP(LCARS_Off[AbilityID],RawOfficer[AbilityID],RawOfficer[OfficerArt])</f>
        <v>123</v>
      </c>
      <c r="AL158" s="430">
        <v>2.953367854E9</v>
      </c>
      <c r="AM158" s="430">
        <f t="array" ref="AM158">XLOOKUP(LCARS_Off[AbilityID],RawOfficer[AbilityID],RawOfficer[Default Order])</f>
        <v>155</v>
      </c>
    </row>
    <row r="159">
      <c r="A159" s="429" t="str">
        <f t="array" ref="A159">LEFT(XLOOKUP(LCARS_Off[AbilityID],RawOfficer[AbilityID],RawOfficer[OfficerRarity]), 1)</f>
        <v>E</v>
      </c>
      <c r="B159" s="429"/>
      <c r="C159" s="514" t="str">
        <f t="array" ref="C159">HYPERLINK("https://stfc.space/officers/" &amp; XLOOKUP(LCARS_Off[AbilityID],RawOfficer[AbilityID],RawOfficer[OfficerId]), XLOOKUP(LCARS_Off[AbilityID],RawOfficer[AbilityID],RawOfficer[OfficerName]))</f>
        <v>MUDD</v>
      </c>
      <c r="D159" s="515" t="str">
        <f t="array" ref="D159">XLOOKUP(LCARS_Off[AbilityID],RawOfficer[AbilityID],RawOfficer[AbilityType])</f>
        <v>OA</v>
      </c>
      <c r="E159" s="516" t="str">
        <f t="array" ref="E159">XLOOKUP(LCARS_Off[AbilityID],RawOfficer[AbilityID],RawOfficer[Tag_PvPinSpace])</f>
        <v>✴️</v>
      </c>
      <c r="F159" s="516" t="str">
        <f t="array" ref="F159">XLOOKUP(LCARS_Off[AbilityID],RawOfficer[AbilityID],RawOfficer[Tag_PvPStation])</f>
        <v>✴️</v>
      </c>
      <c r="G159" s="516" t="str">
        <f t="array" ref="G159">XLOOKUP(LCARS_Off[AbilityID],RawOfficer[AbilityID],RawOfficer[Tag_NonArmadaHostiles])</f>
        <v>✴️</v>
      </c>
      <c r="H159" s="516" t="str">
        <f t="array" ref="H159">XLOOKUP(LCARS_Off[AbilityID],RawOfficer[AbilityID],RawOfficer[Tag_WaveDefense])</f>
        <v>✴️</v>
      </c>
      <c r="I159" s="516" t="str">
        <f t="array" ref="I159">XLOOKUP(LCARS_Off[AbilityID],RawOfficer[AbilityID],RawOfficer[Tag_QTrial])</f>
        <v>✴️</v>
      </c>
      <c r="J159" s="516" t="str">
        <f t="array" ref="J159">XLOOKUP(LCARS_Off[AbilityID],RawOfficer[AbilityID],RawOfficer[Tag_MissionBosses])</f>
        <v>✴️</v>
      </c>
      <c r="K159" s="516" t="str">
        <f t="array" ref="K159">XLOOKUP(LCARS_Off[AbilityID],RawOfficer[AbilityID],RawOfficer[Tag_GroupArmadas])</f>
        <v>✴️</v>
      </c>
      <c r="L159" s="516" t="str">
        <f t="array" ref="L159">XLOOKUP(LCARS_Off[AbilityID],RawOfficer[AbilityID],RawOfficer[Tag_SoloArmadas])</f>
        <v>✴️</v>
      </c>
      <c r="M159" s="516" t="str">
        <f t="array" ref="M159">XLOOKUP(LCARS_Off[AbilityID],RawOfficer[AbilityID],RawOfficer[Tag_InvadingEntities])</f>
        <v>✴️</v>
      </c>
      <c r="N159" s="516" t="str">
        <f t="array" ref="N159">XLOOKUP(LCARS_Off[AbilityID],RawOfficer[AbilityID],RawOfficer[Tag_Assaults])</f>
        <v>✴️</v>
      </c>
      <c r="O159" s="516" t="str">
        <f t="array" ref="O159">XLOOKUP(LCARS_Off[AbilityID],RawOfficer[AbilityID],RawOfficer[Tag_OutpostArmadas])</f>
        <v>✴️</v>
      </c>
      <c r="P159" s="516" t="str">
        <f t="array" ref="P159">XLOOKUP(LCARS_Off[AbilityID],RawOfficer[AbilityID],RawOfficer[Tag_OutpostRetaliators])</f>
        <v>✴️</v>
      </c>
      <c r="Q159" s="517" t="str">
        <f t="array" ref="Q159">XLOOKUP(LCARS_Off[AbilityID],RawOfficer[AbilityID],RawOfficer[Conditional_Reason])</f>
        <v>target level 70 or under</v>
      </c>
      <c r="R159" s="518" t="str">
        <f t="array" ref="R159">XLOOKUP(LCARS_Off[AbilityID],RawOfficer[AbilityID],RawOfficer[Tag_Loot])</f>
        <v>➖</v>
      </c>
      <c r="S159" s="516" t="str">
        <f t="array" ref="S159">XLOOKUP(LCARS_Off[AbilityID],RawOfficer[AbilityID],RawOfficer[Tag_Utility])</f>
        <v>➖</v>
      </c>
      <c r="T159" s="429" t="str">
        <f t="array" ref="T159">XLOOKUP(LCARS_Off[AbilityID],RawOfficer[AbilityID],RawOfficer[OfficerSynergy])</f>
        <v>MUDD'S COMPANY</v>
      </c>
      <c r="U159" s="519" t="str">
        <f t="array" ref="U159">XLOOKUP(LCARS_Off[AbilityID],RawOfficer[AbilityID],RawOfficer[AbilityModifier])</f>
        <v>AllDamage</v>
      </c>
      <c r="V159" s="519" t="str">
        <f t="array" ref="V159">XLOOKUP(LCARS_Off[AbilityID],RawOfficer[AbilityID],RawOfficer[AbilityAttributes])</f>
        <v>max_level=70</v>
      </c>
      <c r="W159" s="520" t="str">
        <f t="array" ref="W159">XLOOKUP(LCARS_Off[AbilityID],RawOfficer[AbilityID],RawOfficer[AbilityConditions])</f>
        <v>TargetMaxLevel</v>
      </c>
      <c r="X159" s="519" t="str">
        <f t="array" ref="X159">XLOOKUP(LCARS_Off[AbilityID],RawOfficer[AbilityID],RawOfficer[AbilityTrigger])</f>
        <v>ShieldsDepleted</v>
      </c>
      <c r="Y159" s="519" t="str">
        <f t="array" ref="Y159">XLOOKUP(LCARS_Off[AbilityID],RawOfficer[AbilityID],RawOfficer[AbilityTarget])</f>
        <v>SelfShip</v>
      </c>
      <c r="Z159" s="519" t="str">
        <f t="array" ref="Z159">XLOOKUP(LCARS_Off[AbilityID],RawOfficer[AbilityID],RawOfficer[AbilityOperation])</f>
        <v>MultiplyAdd</v>
      </c>
      <c r="AA159" s="521" t="str">
        <f t="array" ref="AA159">XLOOKUP(LCARS_Off[AbilityID],RawOfficer[AbilityID],RawOfficer[AbilityDescription])</f>
        <v>When the ship's Shield Health is depleted, Harry Mudd increases the Weapon Damage of the ship by X for the rest of the combat. Works against Hostiles of level 70 and under.</v>
      </c>
      <c r="AB159" s="429" t="b">
        <v>0</v>
      </c>
      <c r="AC159" s="522" t="str">
        <f t="array" ref="AC159">XLOOKUP(LCARS_Off[AbilityID],RawOfficer[AbilityID],RawOfficer[AbilityDescriptionShort])</f>
        <v>+X to Damage when the shields are depleted.</v>
      </c>
      <c r="AD159" s="523"/>
      <c r="AE159" s="524"/>
      <c r="AF159" s="524"/>
      <c r="AG159" s="525" t="str">
        <f t="array" ref="AG159">XLOOKUP(LCARS_Off[AbilityID],RawOfficer[AbilityID],RawOfficer[AbilityChances])</f>
        <v>1.0, 1.0, 1.0, 1.0, 1.0</v>
      </c>
      <c r="AH159" s="525" t="str">
        <f t="array" ref="AH159">XLOOKUP(LCARS_Off[AbilityID],RawOfficer[AbilityID],RawOfficer[AbilityValues])</f>
        <v>2.0, 2.5, 3.0, 3.5, 4.0</v>
      </c>
      <c r="AI159" s="428" t="b">
        <f t="array" ref="AI159">XLOOKUP(LCARS_Off[AbilityID],RawOfficer[AbilityID],RawOfficer[AbilityHasChance])</f>
        <v>0</v>
      </c>
      <c r="AJ159" s="428" t="b">
        <f t="array" ref="AJ159">XLOOKUP(LCARS_Off[AbilityID],RawOfficer[AbilityID],RawOfficer[AbilityShowPercentage])</f>
        <v>1</v>
      </c>
      <c r="AK159" s="429">
        <f t="array" ref="AK159">XLOOKUP(LCARS_Off[AbilityID],RawOfficer[AbilityID],RawOfficer[OfficerArt])</f>
        <v>123</v>
      </c>
      <c r="AL159" s="430">
        <v>1.501211612E9</v>
      </c>
      <c r="AM159" s="430">
        <f t="array" ref="AM159">XLOOKUP(LCARS_Off[AbilityID],RawOfficer[AbilityID],RawOfficer[Default Order])</f>
        <v>156</v>
      </c>
    </row>
    <row r="160">
      <c r="A160" s="429" t="str">
        <f t="array" ref="A160">LEFT(XLOOKUP(LCARS_Off[AbilityID],RawOfficer[AbilityID],RawOfficer[OfficerRarity]), 1)</f>
        <v>E</v>
      </c>
      <c r="B160" s="429"/>
      <c r="C160" s="514" t="str">
        <f t="array" ref="C160">HYPERLINK("https://stfc.space/officers/" &amp; XLOOKUP(LCARS_Off[AbilityID],RawOfficer[AbilityID],RawOfficer[OfficerId]), XLOOKUP(LCARS_Off[AbilityID],RawOfficer[AbilityID],RawOfficer[OfficerName]))</f>
        <v>EURYDICE</v>
      </c>
      <c r="D160" s="515" t="str">
        <f t="array" ref="D160">XLOOKUP(LCARS_Off[AbilityID],RawOfficer[AbilityID],RawOfficer[AbilityType])</f>
        <v>CM</v>
      </c>
      <c r="E160" s="516" t="str">
        <f t="array" ref="E160">XLOOKUP(LCARS_Off[AbilityID],RawOfficer[AbilityID],RawOfficer[Tag_PvPinSpace])</f>
        <v>✴️</v>
      </c>
      <c r="F160" s="516" t="str">
        <f t="array" ref="F160">XLOOKUP(LCARS_Off[AbilityID],RawOfficer[AbilityID],RawOfficer[Tag_PvPStation])</f>
        <v>✴️</v>
      </c>
      <c r="G160" s="516" t="str">
        <f t="array" ref="G160">XLOOKUP(LCARS_Off[AbilityID],RawOfficer[AbilityID],RawOfficer[Tag_NonArmadaHostiles])</f>
        <v>✴️</v>
      </c>
      <c r="H160" s="516" t="str">
        <f t="array" ref="H160">XLOOKUP(LCARS_Off[AbilityID],RawOfficer[AbilityID],RawOfficer[Tag_WaveDefense])</f>
        <v>✴️</v>
      </c>
      <c r="I160" s="516" t="str">
        <f t="array" ref="I160">XLOOKUP(LCARS_Off[AbilityID],RawOfficer[AbilityID],RawOfficer[Tag_QTrial])</f>
        <v>✴️</v>
      </c>
      <c r="J160" s="516" t="str">
        <f t="array" ref="J160">XLOOKUP(LCARS_Off[AbilityID],RawOfficer[AbilityID],RawOfficer[Tag_MissionBosses])</f>
        <v>✴️</v>
      </c>
      <c r="K160" s="516" t="str">
        <f t="array" ref="K160">XLOOKUP(LCARS_Off[AbilityID],RawOfficer[AbilityID],RawOfficer[Tag_GroupArmadas])</f>
        <v>✴️</v>
      </c>
      <c r="L160" s="516" t="str">
        <f t="array" ref="L160">XLOOKUP(LCARS_Off[AbilityID],RawOfficer[AbilityID],RawOfficer[Tag_SoloArmadas])</f>
        <v>✴️</v>
      </c>
      <c r="M160" s="516" t="str">
        <f t="array" ref="M160">XLOOKUP(LCARS_Off[AbilityID],RawOfficer[AbilityID],RawOfficer[Tag_InvadingEntities])</f>
        <v>✴️</v>
      </c>
      <c r="N160" s="516" t="str">
        <f t="array" ref="N160">XLOOKUP(LCARS_Off[AbilityID],RawOfficer[AbilityID],RawOfficer[Tag_Assaults])</f>
        <v>✴️</v>
      </c>
      <c r="O160" s="516" t="str">
        <f t="array" ref="O160">XLOOKUP(LCARS_Off[AbilityID],RawOfficer[AbilityID],RawOfficer[Tag_OutpostArmadas])</f>
        <v>✴️</v>
      </c>
      <c r="P160" s="516" t="str">
        <f t="array" ref="P160">XLOOKUP(LCARS_Off[AbilityID],RawOfficer[AbilityID],RawOfficer[Tag_OutpostRetaliators])</f>
        <v>✴️</v>
      </c>
      <c r="Q160" s="517" t="str">
        <f t="array" ref="Q160">XLOOKUP(LCARS_Off[AbilityID],RawOfficer[AbilityID],RawOfficer[Conditional_Reason])</f>
        <v>target level 70 or under</v>
      </c>
      <c r="R160" s="518" t="str">
        <f t="array" ref="R160">XLOOKUP(LCARS_Off[AbilityID],RawOfficer[AbilityID],RawOfficer[Tag_Loot])</f>
        <v>➖</v>
      </c>
      <c r="S160" s="516" t="str">
        <f t="array" ref="S160">XLOOKUP(LCARS_Off[AbilityID],RawOfficer[AbilityID],RawOfficer[Tag_Utility])</f>
        <v>➖</v>
      </c>
      <c r="T160" s="429" t="str">
        <f t="array" ref="T160">XLOOKUP(LCARS_Off[AbilityID],RawOfficer[AbilityID],RawOfficer[OfficerSynergy])</f>
        <v>MUDD'S COMPANY</v>
      </c>
      <c r="U160" s="519" t="str">
        <f t="array" ref="U160">XLOOKUP(LCARS_Off[AbilityID],RawOfficer[AbilityID],RawOfficer[AbilityModifier])</f>
        <v>AllDamage</v>
      </c>
      <c r="V160" s="519" t="str">
        <f t="array" ref="V160">XLOOKUP(LCARS_Off[AbilityID],RawOfficer[AbilityID],RawOfficer[AbilityAttributes])</f>
        <v>max_level=70</v>
      </c>
      <c r="W160" s="520" t="str">
        <f t="array" ref="W160">XLOOKUP(LCARS_Off[AbilityID],RawOfficer[AbilityID],RawOfficer[AbilityConditions])</f>
        <v>TargetMaxLevel</v>
      </c>
      <c r="X160" s="519" t="str">
        <f t="array" ref="X160">XLOOKUP(LCARS_Off[AbilityID],RawOfficer[AbilityID],RawOfficer[AbilityTrigger])</f>
        <v>ShieldDamageTaken</v>
      </c>
      <c r="Y160" s="519" t="str">
        <f t="array" ref="Y160">XLOOKUP(LCARS_Off[AbilityID],RawOfficer[AbilityID],RawOfficer[AbilityTarget])</f>
        <v>SelfShip</v>
      </c>
      <c r="Z160" s="519" t="str">
        <f t="array" ref="Z160">XLOOKUP(LCARS_Off[AbilityID],RawOfficer[AbilityID],RawOfficer[AbilityOperation])</f>
        <v>MultiplyAdd</v>
      </c>
      <c r="AA160" s="521" t="str">
        <f t="array" ref="AA160">XLOOKUP(LCARS_Off[AbilityID],RawOfficer[AbilityID],RawOfficer[AbilityDescription])</f>
        <v>When the ship loses Shield Health from a weapon attack, Eurydice increases the damage of the weapons by X (cumulative). Works against Hostiles of level 70 and under. -- (Weapons with multiple shots will only trigger this maneuver once per attack.)</v>
      </c>
      <c r="AB160" s="429" t="b">
        <v>0</v>
      </c>
      <c r="AC160" s="522" t="str">
        <f t="array" ref="AC160">XLOOKUP(LCARS_Off[AbilityID],RawOfficer[AbilityID],RawOfficer[AbilityDescriptionShort])</f>
        <v>+X to Damage when taking SHP damage</v>
      </c>
      <c r="AD160" s="523"/>
      <c r="AE160" s="524"/>
      <c r="AF160" s="524"/>
      <c r="AG160" s="525" t="str">
        <f t="array" ref="AG160">XLOOKUP(LCARS_Off[AbilityID],RawOfficer[AbilityID],RawOfficer[AbilityChances])</f>
        <v>1.0, 1.0, 1.0</v>
      </c>
      <c r="AH160" s="525" t="str">
        <f t="array" ref="AH160">XLOOKUP(LCARS_Off[AbilityID],RawOfficer[AbilityID],RawOfficer[AbilityValues])</f>
        <v>0.1, 0.02, 0.05</v>
      </c>
      <c r="AI160" s="428" t="b">
        <f t="array" ref="AI160">XLOOKUP(LCARS_Off[AbilityID],RawOfficer[AbilityID],RawOfficer[AbilityHasChance])</f>
        <v>0</v>
      </c>
      <c r="AJ160" s="428" t="b">
        <f t="array" ref="AJ160">XLOOKUP(LCARS_Off[AbilityID],RawOfficer[AbilityID],RawOfficer[AbilityShowPercentage])</f>
        <v>1</v>
      </c>
      <c r="AK160" s="429">
        <f t="array" ref="AK160">XLOOKUP(LCARS_Off[AbilityID],RawOfficer[AbilityID],RawOfficer[OfficerArt])</f>
        <v>124</v>
      </c>
      <c r="AL160" s="430">
        <v>3.789527814E9</v>
      </c>
      <c r="AM160" s="430">
        <f t="array" ref="AM160">XLOOKUP(LCARS_Off[AbilityID],RawOfficer[AbilityID],RawOfficer[Default Order])</f>
        <v>157</v>
      </c>
    </row>
    <row r="161">
      <c r="A161" s="429" t="str">
        <f t="array" ref="A161">LEFT(XLOOKUP(LCARS_Off[AbilityID],RawOfficer[AbilityID],RawOfficer[OfficerRarity]), 1)</f>
        <v>E</v>
      </c>
      <c r="B161" s="429"/>
      <c r="C161" s="514" t="str">
        <f t="array" ref="C161">HYPERLINK("https://stfc.space/officers/" &amp; XLOOKUP(LCARS_Off[AbilityID],RawOfficer[AbilityID],RawOfficer[OfficerId]), XLOOKUP(LCARS_Off[AbilityID],RawOfficer[AbilityID],RawOfficer[OfficerName]))</f>
        <v>EURYDICE</v>
      </c>
      <c r="D161" s="515" t="str">
        <f t="array" ref="D161">XLOOKUP(LCARS_Off[AbilityID],RawOfficer[AbilityID],RawOfficer[AbilityType])</f>
        <v>OA</v>
      </c>
      <c r="E161" s="516" t="str">
        <f t="array" ref="E161">XLOOKUP(LCARS_Off[AbilityID],RawOfficer[AbilityID],RawOfficer[Tag_PvPinSpace])</f>
        <v>✴️</v>
      </c>
      <c r="F161" s="516" t="str">
        <f t="array" ref="F161">XLOOKUP(LCARS_Off[AbilityID],RawOfficer[AbilityID],RawOfficer[Tag_PvPStation])</f>
        <v>✴️</v>
      </c>
      <c r="G161" s="516" t="str">
        <f t="array" ref="G161">XLOOKUP(LCARS_Off[AbilityID],RawOfficer[AbilityID],RawOfficer[Tag_NonArmadaHostiles])</f>
        <v>✴️</v>
      </c>
      <c r="H161" s="516" t="str">
        <f t="array" ref="H161">XLOOKUP(LCARS_Off[AbilityID],RawOfficer[AbilityID],RawOfficer[Tag_WaveDefense])</f>
        <v>✴️</v>
      </c>
      <c r="I161" s="516" t="str">
        <f t="array" ref="I161">XLOOKUP(LCARS_Off[AbilityID],RawOfficer[AbilityID],RawOfficer[Tag_QTrial])</f>
        <v>✴️</v>
      </c>
      <c r="J161" s="516" t="str">
        <f t="array" ref="J161">XLOOKUP(LCARS_Off[AbilityID],RawOfficer[AbilityID],RawOfficer[Tag_MissionBosses])</f>
        <v>✴️</v>
      </c>
      <c r="K161" s="516" t="str">
        <f t="array" ref="K161">XLOOKUP(LCARS_Off[AbilityID],RawOfficer[AbilityID],RawOfficer[Tag_GroupArmadas])</f>
        <v>✴️</v>
      </c>
      <c r="L161" s="516" t="str">
        <f t="array" ref="L161">XLOOKUP(LCARS_Off[AbilityID],RawOfficer[AbilityID],RawOfficer[Tag_SoloArmadas])</f>
        <v>✴️</v>
      </c>
      <c r="M161" s="516" t="str">
        <f t="array" ref="M161">XLOOKUP(LCARS_Off[AbilityID],RawOfficer[AbilityID],RawOfficer[Tag_InvadingEntities])</f>
        <v>✴️</v>
      </c>
      <c r="N161" s="516" t="str">
        <f t="array" ref="N161">XLOOKUP(LCARS_Off[AbilityID],RawOfficer[AbilityID],RawOfficer[Tag_Assaults])</f>
        <v>✴️</v>
      </c>
      <c r="O161" s="516" t="str">
        <f t="array" ref="O161">XLOOKUP(LCARS_Off[AbilityID],RawOfficer[AbilityID],RawOfficer[Tag_OutpostArmadas])</f>
        <v>✴️</v>
      </c>
      <c r="P161" s="516" t="str">
        <f t="array" ref="P161">XLOOKUP(LCARS_Off[AbilityID],RawOfficer[AbilityID],RawOfficer[Tag_OutpostRetaliators])</f>
        <v>✴️</v>
      </c>
      <c r="Q161" s="517" t="str">
        <f t="array" ref="Q161">XLOOKUP(LCARS_Off[AbilityID],RawOfficer[AbilityID],RawOfficer[Conditional_Reason])</f>
        <v>target level 70 or under</v>
      </c>
      <c r="R161" s="518" t="str">
        <f t="array" ref="R161">XLOOKUP(LCARS_Off[AbilityID],RawOfficer[AbilityID],RawOfficer[Tag_Loot])</f>
        <v>➖</v>
      </c>
      <c r="S161" s="516" t="str">
        <f t="array" ref="S161">XLOOKUP(LCARS_Off[AbilityID],RawOfficer[AbilityID],RawOfficer[Tag_Utility])</f>
        <v>➖</v>
      </c>
      <c r="T161" s="429" t="str">
        <f t="array" ref="T161">XLOOKUP(LCARS_Off[AbilityID],RawOfficer[AbilityID],RawOfficer[OfficerSynergy])</f>
        <v>MUDD'S COMPANY</v>
      </c>
      <c r="U161" s="519" t="str">
        <f t="array" ref="U161">XLOOKUP(LCARS_Off[AbilityID],RawOfficer[AbilityID],RawOfficer[AbilityModifier])</f>
        <v>ShieldHPRepair</v>
      </c>
      <c r="V161" s="519" t="str">
        <f t="array" ref="V161">XLOOKUP(LCARS_Off[AbilityID],RawOfficer[AbilityID],RawOfficer[AbilityAttributes])</f>
        <v>max_level=70</v>
      </c>
      <c r="W161" s="520" t="str">
        <f t="array" ref="W161">XLOOKUP(LCARS_Off[AbilityID],RawOfficer[AbilityID],RawOfficer[AbilityConditions])</f>
        <v>TargetMaxLevel</v>
      </c>
      <c r="X161" s="519" t="str">
        <f t="array" ref="X161">XLOOKUP(LCARS_Off[AbilityID],RawOfficer[AbilityID],RawOfficer[AbilityTrigger])</f>
        <v>ShieldsDepleted</v>
      </c>
      <c r="Y161" s="519" t="str">
        <f t="array" ref="Y161">XLOOKUP(LCARS_Off[AbilityID],RawOfficer[AbilityID],RawOfficer[AbilityTarget])</f>
        <v>SelfShip</v>
      </c>
      <c r="Z161" s="519" t="str">
        <f t="array" ref="Z161">XLOOKUP(LCARS_Off[AbilityID],RawOfficer[AbilityID],RawOfficer[AbilityOperation])</f>
        <v>MultiplyAdd</v>
      </c>
      <c r="AA161" s="521" t="str">
        <f t="array" ref="AA161">XLOOKUP(LCARS_Off[AbilityID],RawOfficer[AbilityID],RawOfficer[AbilityDescription])</f>
        <v>When the shields are depleted, Eurydice has a X chance to heal the Shield Health by 5%. Works against Hostiles of level 70 and under.</v>
      </c>
      <c r="AB161" s="429" t="b">
        <v>0</v>
      </c>
      <c r="AC161" s="522" t="str">
        <f t="array" ref="AC161">XLOOKUP(LCARS_Off[AbilityID],RawOfficer[AbilityID],RawOfficer[AbilityDescriptionShort])</f>
        <v>X chance to heal 5% shields when they're depleted.</v>
      </c>
      <c r="AD161" s="523"/>
      <c r="AE161" s="524"/>
      <c r="AF161" s="524"/>
      <c r="AG161" s="525" t="str">
        <f t="array" ref="AG161">XLOOKUP(LCARS_Off[AbilityID],RawOfficer[AbilityID],RawOfficer[AbilityChances])</f>
        <v>0.35, 0.45, 0.55, 0.65, 0.75</v>
      </c>
      <c r="AH161" s="525" t="str">
        <f t="array" ref="AH161">XLOOKUP(LCARS_Off[AbilityID],RawOfficer[AbilityID],RawOfficer[AbilityValues])</f>
        <v>0.05, 0.05, 0.05, 0.05, 0.05</v>
      </c>
      <c r="AI161" s="428" t="b">
        <f t="array" ref="AI161">XLOOKUP(LCARS_Off[AbilityID],RawOfficer[AbilityID],RawOfficer[AbilityHasChance])</f>
        <v>1</v>
      </c>
      <c r="AJ161" s="428" t="b">
        <f t="array" ref="AJ161">XLOOKUP(LCARS_Off[AbilityID],RawOfficer[AbilityID],RawOfficer[AbilityShowPercentage])</f>
        <v>1</v>
      </c>
      <c r="AK161" s="429">
        <f t="array" ref="AK161">XLOOKUP(LCARS_Off[AbilityID],RawOfficer[AbilityID],RawOfficer[OfficerArt])</f>
        <v>124</v>
      </c>
      <c r="AL161" s="430">
        <v>1.608351478E9</v>
      </c>
      <c r="AM161" s="430">
        <f t="array" ref="AM161">XLOOKUP(LCARS_Off[AbilityID],RawOfficer[AbilityID],RawOfficer[Default Order])</f>
        <v>158</v>
      </c>
    </row>
    <row r="162">
      <c r="A162" s="429" t="str">
        <f t="array" ref="A162">LEFT(XLOOKUP(LCARS_Off[AbilityID],RawOfficer[AbilityID],RawOfficer[OfficerRarity]), 1)</f>
        <v>C</v>
      </c>
      <c r="B162" s="429"/>
      <c r="C162" s="514" t="str">
        <f t="array" ref="C162">HYPERLINK("https://stfc.space/officers/" &amp; XLOOKUP(LCARS_Off[AbilityID],RawOfficer[AbilityID],RawOfficer[OfficerId]), XLOOKUP(LCARS_Off[AbilityID],RawOfficer[AbilityID],RawOfficer[OfficerName]))</f>
        <v>SESHA</v>
      </c>
      <c r="D162" s="515" t="str">
        <f t="array" ref="D162">XLOOKUP(LCARS_Off[AbilityID],RawOfficer[AbilityID],RawOfficer[AbilityType])</f>
        <v>CM</v>
      </c>
      <c r="E162" s="516" t="str">
        <f t="array" ref="E162">XLOOKUP(LCARS_Off[AbilityID],RawOfficer[AbilityID],RawOfficer[Tag_PvPinSpace])</f>
        <v>➖</v>
      </c>
      <c r="F162" s="516" t="str">
        <f t="array" ref="F162">XLOOKUP(LCARS_Off[AbilityID],RawOfficer[AbilityID],RawOfficer[Tag_PvPStation])</f>
        <v>➖</v>
      </c>
      <c r="G162" s="516" t="str">
        <f t="array" ref="G162">XLOOKUP(LCARS_Off[AbilityID],RawOfficer[AbilityID],RawOfficer[Tag_NonArmadaHostiles])</f>
        <v>✴️</v>
      </c>
      <c r="H162" s="516" t="str">
        <f t="array" ref="H162">XLOOKUP(LCARS_Off[AbilityID],RawOfficer[AbilityID],RawOfficer[Tag_WaveDefense])</f>
        <v>✴️</v>
      </c>
      <c r="I162" s="516" t="str">
        <f t="array" ref="I162">XLOOKUP(LCARS_Off[AbilityID],RawOfficer[AbilityID],RawOfficer[Tag_QTrial])</f>
        <v>✴️</v>
      </c>
      <c r="J162" s="516" t="str">
        <f t="array" ref="J162">XLOOKUP(LCARS_Off[AbilityID],RawOfficer[AbilityID],RawOfficer[Tag_MissionBosses])</f>
        <v>✴️</v>
      </c>
      <c r="K162" s="516" t="str">
        <f t="array" ref="K162">XLOOKUP(LCARS_Off[AbilityID],RawOfficer[AbilityID],RawOfficer[Tag_GroupArmadas])</f>
        <v>✴️</v>
      </c>
      <c r="L162" s="516" t="str">
        <f t="array" ref="L162">XLOOKUP(LCARS_Off[AbilityID],RawOfficer[AbilityID],RawOfficer[Tag_SoloArmadas])</f>
        <v>✴️</v>
      </c>
      <c r="M162" s="516" t="str">
        <f t="array" ref="M162">XLOOKUP(LCARS_Off[AbilityID],RawOfficer[AbilityID],RawOfficer[Tag_InvadingEntities])</f>
        <v>➖</v>
      </c>
      <c r="N162" s="516" t="str">
        <f t="array" ref="N162">XLOOKUP(LCARS_Off[AbilityID],RawOfficer[AbilityID],RawOfficer[Tag_Assaults])</f>
        <v>✴️</v>
      </c>
      <c r="O162" s="516" t="str">
        <f t="array" ref="O162">XLOOKUP(LCARS_Off[AbilityID],RawOfficer[AbilityID],RawOfficer[Tag_OutpostArmadas])</f>
        <v>➖</v>
      </c>
      <c r="P162" s="516" t="str">
        <f t="array" ref="P162">XLOOKUP(LCARS_Off[AbilityID],RawOfficer[AbilityID],RawOfficer[Tag_OutpostRetaliators])</f>
        <v>➖</v>
      </c>
      <c r="Q162" s="517" t="str">
        <f t="array" ref="Q162">XLOOKUP(LCARS_Off[AbilityID],RawOfficer[AbilityID],RawOfficer[Conditional_Reason])</f>
        <v>Eclipse</v>
      </c>
      <c r="R162" s="518" t="str">
        <f t="array" ref="R162">XLOOKUP(LCARS_Off[AbilityID],RawOfficer[AbilityID],RawOfficer[Tag_Loot])</f>
        <v>➖</v>
      </c>
      <c r="S162" s="516" t="str">
        <f t="array" ref="S162">XLOOKUP(LCARS_Off[AbilityID],RawOfficer[AbilityID],RawOfficer[Tag_Utility])</f>
        <v>➖</v>
      </c>
      <c r="T162" s="429" t="str">
        <f t="array" ref="T162">XLOOKUP(LCARS_Off[AbilityID],RawOfficer[AbilityID],RawOfficer[OfficerSynergy])</f>
        <v>MUDD'S COMPANY</v>
      </c>
      <c r="U162" s="519" t="str">
        <f t="array" ref="U162">XLOOKUP(LCARS_Off[AbilityID],RawOfficer[AbilityID],RawOfficer[AbilityModifier])</f>
        <v>CritChance</v>
      </c>
      <c r="V162" s="519" t="str">
        <f t="array" ref="V162">XLOOKUP(LCARS_Off[AbilityID],RawOfficer[AbilityID],RawOfficer[AbilityAttributes])</f>
        <v>faction_id=1750120904</v>
      </c>
      <c r="W162" s="520" t="str">
        <f t="array" ref="W162">XLOOKUP(LCARS_Off[AbilityID],RawOfficer[AbilityID],RawOfficer[AbilityConditions])</f>
        <v>EnemyHullFaction</v>
      </c>
      <c r="X162" s="519" t="str">
        <f t="array" ref="X162">XLOOKUP(LCARS_Off[AbilityID],RawOfficer[AbilityID],RawOfficer[AbilityTrigger])</f>
        <v>CombatStart</v>
      </c>
      <c r="Y162" s="519" t="str">
        <f t="array" ref="Y162">XLOOKUP(LCARS_Off[AbilityID],RawOfficer[AbilityID],RawOfficer[AbilityTarget])</f>
        <v>EnemyShip</v>
      </c>
      <c r="Z162" s="519" t="str">
        <f t="array" ref="Z162">XLOOKUP(LCARS_Off[AbilityID],RawOfficer[AbilityID],RawOfficer[AbilityOperation])</f>
        <v>Sub</v>
      </c>
      <c r="AA162" s="521" t="str">
        <f t="array" ref="AA162">XLOOKUP(LCARS_Off[AbilityID],RawOfficer[AbilityID],RawOfficer[AbilityDescription])</f>
        <v>If the opponent is an Eclipse hostile (including Armada Targets), Sesha has a X chance to reduce the opponent's Critical Hit Chance by 15%</v>
      </c>
      <c r="AB162" s="429" t="b">
        <v>0</v>
      </c>
      <c r="AC162" s="522" t="str">
        <f t="array" ref="AC162">XLOOKUP(LCARS_Off[AbilityID],RawOfficer[AbilityID],RawOfficer[AbilityDescriptionShort])</f>
        <v>X chance to decrease Eclipse's hostile Critical Hit Chance by 15%</v>
      </c>
      <c r="AD162" s="523"/>
      <c r="AE162" s="524"/>
      <c r="AF162" s="524"/>
      <c r="AG162" s="525" t="str">
        <f t="array" ref="AG162">XLOOKUP(LCARS_Off[AbilityID],RawOfficer[AbilityID],RawOfficer[AbilityChances])</f>
        <v>0.2, 0.1, 0.2</v>
      </c>
      <c r="AH162" s="525" t="str">
        <f t="array" ref="AH162">XLOOKUP(LCARS_Off[AbilityID],RawOfficer[AbilityID],RawOfficer[AbilityValues])</f>
        <v>0.15, 0.0, 0.0</v>
      </c>
      <c r="AI162" s="428" t="b">
        <f t="array" ref="AI162">XLOOKUP(LCARS_Off[AbilityID],RawOfficer[AbilityID],RawOfficer[AbilityHasChance])</f>
        <v>1</v>
      </c>
      <c r="AJ162" s="428" t="b">
        <f t="array" ref="AJ162">XLOOKUP(LCARS_Off[AbilityID],RawOfficer[AbilityID],RawOfficer[AbilityShowPercentage])</f>
        <v>1</v>
      </c>
      <c r="AK162" s="429">
        <f t="array" ref="AK162">XLOOKUP(LCARS_Off[AbilityID],RawOfficer[AbilityID],RawOfficer[OfficerArt])</f>
        <v>126</v>
      </c>
      <c r="AL162" s="430">
        <v>1.96211263E8</v>
      </c>
      <c r="AM162" s="430">
        <f t="array" ref="AM162">XLOOKUP(LCARS_Off[AbilityID],RawOfficer[AbilityID],RawOfficer[Default Order])</f>
        <v>159</v>
      </c>
    </row>
    <row r="163">
      <c r="A163" s="429" t="str">
        <f t="array" ref="A163">LEFT(XLOOKUP(LCARS_Off[AbilityID],RawOfficer[AbilityID],RawOfficer[OfficerRarity]), 1)</f>
        <v>C</v>
      </c>
      <c r="B163" s="429"/>
      <c r="C163" s="514" t="str">
        <f t="array" ref="C163">HYPERLINK("https://stfc.space/officers/" &amp; XLOOKUP(LCARS_Off[AbilityID],RawOfficer[AbilityID],RawOfficer[OfficerId]), XLOOKUP(LCARS_Off[AbilityID],RawOfficer[AbilityID],RawOfficer[OfficerName]))</f>
        <v>SESHA</v>
      </c>
      <c r="D163" s="515" t="str">
        <f t="array" ref="D163">XLOOKUP(LCARS_Off[AbilityID],RawOfficer[AbilityID],RawOfficer[AbilityType])</f>
        <v>OA</v>
      </c>
      <c r="E163" s="516" t="str">
        <f t="array" ref="E163">XLOOKUP(LCARS_Off[AbilityID],RawOfficer[AbilityID],RawOfficer[Tag_PvPinSpace])</f>
        <v>➖</v>
      </c>
      <c r="F163" s="516" t="str">
        <f t="array" ref="F163">XLOOKUP(LCARS_Off[AbilityID],RawOfficer[AbilityID],RawOfficer[Tag_PvPStation])</f>
        <v>➖</v>
      </c>
      <c r="G163" s="516" t="str">
        <f t="array" ref="G163">XLOOKUP(LCARS_Off[AbilityID],RawOfficer[AbilityID],RawOfficer[Tag_NonArmadaHostiles])</f>
        <v>✴️</v>
      </c>
      <c r="H163" s="516" t="str">
        <f t="array" ref="H163">XLOOKUP(LCARS_Off[AbilityID],RawOfficer[AbilityID],RawOfficer[Tag_WaveDefense])</f>
        <v>✴️</v>
      </c>
      <c r="I163" s="516" t="str">
        <f t="array" ref="I163">XLOOKUP(LCARS_Off[AbilityID],RawOfficer[AbilityID],RawOfficer[Tag_QTrial])</f>
        <v>✴️</v>
      </c>
      <c r="J163" s="516" t="str">
        <f t="array" ref="J163">XLOOKUP(LCARS_Off[AbilityID],RawOfficer[AbilityID],RawOfficer[Tag_MissionBosses])</f>
        <v>✴️</v>
      </c>
      <c r="K163" s="516" t="str">
        <f t="array" ref="K163">XLOOKUP(LCARS_Off[AbilityID],RawOfficer[AbilityID],RawOfficer[Tag_GroupArmadas])</f>
        <v>✴️</v>
      </c>
      <c r="L163" s="516" t="str">
        <f t="array" ref="L163">XLOOKUP(LCARS_Off[AbilityID],RawOfficer[AbilityID],RawOfficer[Tag_SoloArmadas])</f>
        <v>✴️</v>
      </c>
      <c r="M163" s="516" t="str">
        <f t="array" ref="M163">XLOOKUP(LCARS_Off[AbilityID],RawOfficer[AbilityID],RawOfficer[Tag_InvadingEntities])</f>
        <v>➖</v>
      </c>
      <c r="N163" s="516" t="str">
        <f t="array" ref="N163">XLOOKUP(LCARS_Off[AbilityID],RawOfficer[AbilityID],RawOfficer[Tag_Assaults])</f>
        <v>✴️</v>
      </c>
      <c r="O163" s="516" t="str">
        <f t="array" ref="O163">XLOOKUP(LCARS_Off[AbilityID],RawOfficer[AbilityID],RawOfficer[Tag_OutpostArmadas])</f>
        <v>➖</v>
      </c>
      <c r="P163" s="516" t="str">
        <f t="array" ref="P163">XLOOKUP(LCARS_Off[AbilityID],RawOfficer[AbilityID],RawOfficer[Tag_OutpostRetaliators])</f>
        <v>➖</v>
      </c>
      <c r="Q163" s="517" t="str">
        <f t="array" ref="Q163">XLOOKUP(LCARS_Off[AbilityID],RawOfficer[AbilityID],RawOfficer[Conditional_Reason])</f>
        <v>Eclipse</v>
      </c>
      <c r="R163" s="518" t="str">
        <f t="array" ref="R163">XLOOKUP(LCARS_Off[AbilityID],RawOfficer[AbilityID],RawOfficer[Tag_Loot])</f>
        <v>➖</v>
      </c>
      <c r="S163" s="516" t="str">
        <f t="array" ref="S163">XLOOKUP(LCARS_Off[AbilityID],RawOfficer[AbilityID],RawOfficer[Tag_Utility])</f>
        <v>➖</v>
      </c>
      <c r="T163" s="429" t="str">
        <f t="array" ref="T163">XLOOKUP(LCARS_Off[AbilityID],RawOfficer[AbilityID],RawOfficer[OfficerSynergy])</f>
        <v>MUDD'S COMPANY</v>
      </c>
      <c r="U163" s="519" t="str">
        <f t="array" ref="U163">XLOOKUP(LCARS_Off[AbilityID],RawOfficer[AbilityID],RawOfficer[AbilityModifier])</f>
        <v>CritDamage</v>
      </c>
      <c r="V163" s="519" t="str">
        <f t="array" ref="V163">XLOOKUP(LCARS_Off[AbilityID],RawOfficer[AbilityID],RawOfficer[AbilityAttributes])</f>
        <v>faction_id=1750120904, num_rounds=3</v>
      </c>
      <c r="W163" s="520" t="str">
        <f t="array" ref="W163">XLOOKUP(LCARS_Off[AbilityID],RawOfficer[AbilityID],RawOfficer[AbilityConditions])</f>
        <v>EnemyHullFaction</v>
      </c>
      <c r="X163" s="519" t="str">
        <f t="array" ref="X163">XLOOKUP(LCARS_Off[AbilityID],RawOfficer[AbilityID],RawOfficer[AbilityTrigger])</f>
        <v>CombatStart</v>
      </c>
      <c r="Y163" s="519" t="str">
        <f t="array" ref="Y163">XLOOKUP(LCARS_Off[AbilityID],RawOfficer[AbilityID],RawOfficer[AbilityTarget])</f>
        <v>SelfShip</v>
      </c>
      <c r="Z163" s="519" t="str">
        <f t="array" ref="Z163">XLOOKUP(LCARS_Off[AbilityID],RawOfficer[AbilityID],RawOfficer[AbilityOperation])</f>
        <v>Add</v>
      </c>
      <c r="AA163" s="521" t="str">
        <f t="array" ref="AA163">XLOOKUP(LCARS_Off[AbilityID],RawOfficer[AbilityID],RawOfficer[AbilityDescription])</f>
        <v>For the first three rounds of combat, when fighting Eclipse hostiles (including Armada Targets), Sesha increases the Critical Damage Bonus of the ship by X.</v>
      </c>
      <c r="AB163" s="429" t="b">
        <v>0</v>
      </c>
      <c r="AC163" s="522" t="str">
        <f t="array" ref="AC163">XLOOKUP(LCARS_Off[AbilityID],RawOfficer[AbilityID],RawOfficer[AbilityDescriptionShort])</f>
        <v>+X to Critical Hit Damage against Eclipse hostiles</v>
      </c>
      <c r="AD163" s="523"/>
      <c r="AE163" s="524"/>
      <c r="AF163" s="524"/>
      <c r="AG163" s="525" t="str">
        <f t="array" ref="AG163">XLOOKUP(LCARS_Off[AbilityID],RawOfficer[AbilityID],RawOfficer[AbilityChances])</f>
        <v>1.0, 1.0, 1.0, 1.0, 1.0</v>
      </c>
      <c r="AH163" s="525" t="str">
        <f t="array" ref="AH163">XLOOKUP(LCARS_Off[AbilityID],RawOfficer[AbilityID],RawOfficer[AbilityValues])</f>
        <v>0.2, 0.3, 0.5, 0.7, 0.9</v>
      </c>
      <c r="AI163" s="428" t="b">
        <f t="array" ref="AI163">XLOOKUP(LCARS_Off[AbilityID],RawOfficer[AbilityID],RawOfficer[AbilityHasChance])</f>
        <v>0</v>
      </c>
      <c r="AJ163" s="428" t="b">
        <f t="array" ref="AJ163">XLOOKUP(LCARS_Off[AbilityID],RawOfficer[AbilityID],RawOfficer[AbilityShowPercentage])</f>
        <v>1</v>
      </c>
      <c r="AK163" s="429">
        <f t="array" ref="AK163">XLOOKUP(LCARS_Off[AbilityID],RawOfficer[AbilityID],RawOfficer[OfficerArt])</f>
        <v>126</v>
      </c>
      <c r="AL163" s="430">
        <v>4.129104008E9</v>
      </c>
      <c r="AM163" s="430">
        <f t="array" ref="AM163">XLOOKUP(LCARS_Off[AbilityID],RawOfficer[AbilityID],RawOfficer[Default Order])</f>
        <v>160</v>
      </c>
    </row>
    <row r="164">
      <c r="A164" s="429" t="str">
        <f t="array" ref="A164">LEFT(XLOOKUP(LCARS_Off[AbilityID],RawOfficer[AbilityID],RawOfficer[OfficerRarity]), 1)</f>
        <v>R</v>
      </c>
      <c r="B164" s="429"/>
      <c r="C164" s="514" t="str">
        <f t="array" ref="C164">HYPERLINK("https://stfc.space/officers/" &amp; XLOOKUP(LCARS_Off[AbilityID],RawOfficer[AbilityID],RawOfficer[OfficerId]), XLOOKUP(LCARS_Off[AbilityID],RawOfficer[AbilityID],RawOfficer[OfficerName]))</f>
        <v>RO MUDD</v>
      </c>
      <c r="D164" s="515" t="str">
        <f t="array" ref="D164">XLOOKUP(LCARS_Off[AbilityID],RawOfficer[AbilityID],RawOfficer[AbilityType])</f>
        <v>CM</v>
      </c>
      <c r="E164" s="516" t="str">
        <f t="array" ref="E164">XLOOKUP(LCARS_Off[AbilityID],RawOfficer[AbilityID],RawOfficer[Tag_PvPinSpace])</f>
        <v>✅</v>
      </c>
      <c r="F164" s="516" t="str">
        <f t="array" ref="F164">XLOOKUP(LCARS_Off[AbilityID],RawOfficer[AbilityID],RawOfficer[Tag_PvPStation])</f>
        <v>✅</v>
      </c>
      <c r="G164" s="516" t="str">
        <f t="array" ref="G164">XLOOKUP(LCARS_Off[AbilityID],RawOfficer[AbilityID],RawOfficer[Tag_NonArmadaHostiles])</f>
        <v>✅</v>
      </c>
      <c r="H164" s="516" t="str">
        <f t="array" ref="H164">XLOOKUP(LCARS_Off[AbilityID],RawOfficer[AbilityID],RawOfficer[Tag_WaveDefense])</f>
        <v>✅</v>
      </c>
      <c r="I164" s="516" t="str">
        <f t="array" ref="I164">XLOOKUP(LCARS_Off[AbilityID],RawOfficer[AbilityID],RawOfficer[Tag_QTrial])</f>
        <v>✅</v>
      </c>
      <c r="J164" s="516" t="str">
        <f t="array" ref="J164">XLOOKUP(LCARS_Off[AbilityID],RawOfficer[AbilityID],RawOfficer[Tag_MissionBosses])</f>
        <v>✅</v>
      </c>
      <c r="K164" s="516" t="str">
        <f t="array" ref="K164">XLOOKUP(LCARS_Off[AbilityID],RawOfficer[AbilityID],RawOfficer[Tag_GroupArmadas])</f>
        <v>✅</v>
      </c>
      <c r="L164" s="516" t="str">
        <f t="array" ref="L164">XLOOKUP(LCARS_Off[AbilityID],RawOfficer[AbilityID],RawOfficer[Tag_SoloArmadas])</f>
        <v>✅</v>
      </c>
      <c r="M164" s="516" t="str">
        <f t="array" ref="M164">XLOOKUP(LCARS_Off[AbilityID],RawOfficer[AbilityID],RawOfficer[Tag_InvadingEntities])</f>
        <v>✅</v>
      </c>
      <c r="N164" s="516" t="str">
        <f t="array" ref="N164">XLOOKUP(LCARS_Off[AbilityID],RawOfficer[AbilityID],RawOfficer[Tag_Assaults])</f>
        <v>✅</v>
      </c>
      <c r="O164" s="516" t="str">
        <f t="array" ref="O164">XLOOKUP(LCARS_Off[AbilityID],RawOfficer[AbilityID],RawOfficer[Tag_OutpostArmadas])</f>
        <v>✅</v>
      </c>
      <c r="P164" s="516" t="str">
        <f t="array" ref="P164">XLOOKUP(LCARS_Off[AbilityID],RawOfficer[AbilityID],RawOfficer[Tag_OutpostRetaliators])</f>
        <v>✅</v>
      </c>
      <c r="Q164" s="517" t="str">
        <f t="array" ref="Q164">XLOOKUP(LCARS_Off[AbilityID],RawOfficer[AbilityID],RawOfficer[Conditional_Reason])</f>
        <v/>
      </c>
      <c r="R164" s="518" t="str">
        <f t="array" ref="R164">XLOOKUP(LCARS_Off[AbilityID],RawOfficer[AbilityID],RawOfficer[Tag_Loot])</f>
        <v>➖</v>
      </c>
      <c r="S164" s="516" t="str">
        <f t="array" ref="S164">XLOOKUP(LCARS_Off[AbilityID],RawOfficer[AbilityID],RawOfficer[Tag_Utility])</f>
        <v>➖</v>
      </c>
      <c r="T164" s="429" t="str">
        <f t="array" ref="T164">XLOOKUP(LCARS_Off[AbilityID],RawOfficer[AbilityID],RawOfficer[OfficerSynergy])</f>
        <v>MUDD'S COMPANY</v>
      </c>
      <c r="U164" s="519" t="str">
        <f t="array" ref="U164">XLOOKUP(LCARS_Off[AbilityID],RawOfficer[AbilityID],RawOfficer[AbilityModifier])</f>
        <v>OfficerStatAll</v>
      </c>
      <c r="V164" s="519" t="str">
        <f t="array" ref="V164">XLOOKUP(LCARS_Off[AbilityID],RawOfficer[AbilityID],RawOfficer[AbilityAttributes])</f>
        <v/>
      </c>
      <c r="W164" s="520" t="str">
        <f t="array" ref="W164">XLOOKUP(LCARS_Off[AbilityID],RawOfficer[AbilityID],RawOfficer[AbilityConditions])</f>
        <v/>
      </c>
      <c r="X164" s="519" t="str">
        <f t="array" ref="X164">XLOOKUP(LCARS_Off[AbilityID],RawOfficer[AbilityID],RawOfficer[AbilityTrigger])</f>
        <v>ShipLaunched</v>
      </c>
      <c r="Y164" s="519" t="str">
        <f t="array" ref="Y164">XLOOKUP(LCARS_Off[AbilityID],RawOfficer[AbilityID],RawOfficer[AbilityTarget])</f>
        <v>SelfCaptain</v>
      </c>
      <c r="Z164" s="519" t="str">
        <f t="array" ref="Z164">XLOOKUP(LCARS_Off[AbilityID],RawOfficer[AbilityID],RawOfficer[AbilityOperation])</f>
        <v>MultiplyAdd</v>
      </c>
      <c r="AA164" s="521" t="str">
        <f t="array" ref="AA164">XLOOKUP(LCARS_Off[AbilityID],RawOfficer[AbilityID],RawOfficer[AbilityDescription])</f>
        <v>Ro Mudd increases her stats by X when she is the captain.</v>
      </c>
      <c r="AB164" s="429" t="b">
        <v>0</v>
      </c>
      <c r="AC164" s="522" t="str">
        <f t="array" ref="AC164">XLOOKUP(LCARS_Off[AbilityID],RawOfficer[AbilityID],RawOfficer[AbilityDescriptionShort])</f>
        <v>+X to the Captain's Stats</v>
      </c>
      <c r="AD164" s="523"/>
      <c r="AE164" s="524"/>
      <c r="AF164" s="524"/>
      <c r="AG164" s="525" t="str">
        <f t="array" ref="AG164">XLOOKUP(LCARS_Off[AbilityID],RawOfficer[AbilityID],RawOfficer[AbilityChances])</f>
        <v>1.0, 1.0, 1.0</v>
      </c>
      <c r="AH164" s="525" t="str">
        <f t="array" ref="AH164">XLOOKUP(LCARS_Off[AbilityID],RawOfficer[AbilityID],RawOfficer[AbilityValues])</f>
        <v>0.5, 0.25, 0.5</v>
      </c>
      <c r="AI164" s="428" t="b">
        <f t="array" ref="AI164">XLOOKUP(LCARS_Off[AbilityID],RawOfficer[AbilityID],RawOfficer[AbilityHasChance])</f>
        <v>0</v>
      </c>
      <c r="AJ164" s="428" t="b">
        <f t="array" ref="AJ164">XLOOKUP(LCARS_Off[AbilityID],RawOfficer[AbilityID],RawOfficer[AbilityShowPercentage])</f>
        <v>1</v>
      </c>
      <c r="AK164" s="429">
        <f t="array" ref="AK164">XLOOKUP(LCARS_Off[AbilityID],RawOfficer[AbilityID],RawOfficer[OfficerArt])</f>
        <v>125</v>
      </c>
      <c r="AL164" s="430">
        <v>1.604629509E9</v>
      </c>
      <c r="AM164" s="430">
        <f t="array" ref="AM164">XLOOKUP(LCARS_Off[AbilityID],RawOfficer[AbilityID],RawOfficer[Default Order])</f>
        <v>161</v>
      </c>
    </row>
    <row r="165">
      <c r="A165" s="429" t="str">
        <f t="array" ref="A165">LEFT(XLOOKUP(LCARS_Off[AbilityID],RawOfficer[AbilityID],RawOfficer[OfficerRarity]), 1)</f>
        <v>R</v>
      </c>
      <c r="B165" s="429"/>
      <c r="C165" s="514" t="str">
        <f t="array" ref="C165">HYPERLINK("https://stfc.space/officers/" &amp; XLOOKUP(LCARS_Off[AbilityID],RawOfficer[AbilityID],RawOfficer[OfficerId]), XLOOKUP(LCARS_Off[AbilityID],RawOfficer[AbilityID],RawOfficer[OfficerName]))</f>
        <v>RO MUDD</v>
      </c>
      <c r="D165" s="515" t="str">
        <f t="array" ref="D165">XLOOKUP(LCARS_Off[AbilityID],RawOfficer[AbilityID],RawOfficer[AbilityType])</f>
        <v>OA</v>
      </c>
      <c r="E165" s="516" t="str">
        <f t="array" ref="E165">XLOOKUP(LCARS_Off[AbilityID],RawOfficer[AbilityID],RawOfficer[Tag_PvPinSpace])</f>
        <v>✅</v>
      </c>
      <c r="F165" s="516" t="str">
        <f t="array" ref="F165">XLOOKUP(LCARS_Off[AbilityID],RawOfficer[AbilityID],RawOfficer[Tag_PvPStation])</f>
        <v>✅</v>
      </c>
      <c r="G165" s="516" t="str">
        <f t="array" ref="G165">XLOOKUP(LCARS_Off[AbilityID],RawOfficer[AbilityID],RawOfficer[Tag_NonArmadaHostiles])</f>
        <v>✅</v>
      </c>
      <c r="H165" s="516" t="str">
        <f t="array" ref="H165">XLOOKUP(LCARS_Off[AbilityID],RawOfficer[AbilityID],RawOfficer[Tag_WaveDefense])</f>
        <v>✅</v>
      </c>
      <c r="I165" s="516" t="str">
        <f t="array" ref="I165">XLOOKUP(LCARS_Off[AbilityID],RawOfficer[AbilityID],RawOfficer[Tag_QTrial])</f>
        <v>✅</v>
      </c>
      <c r="J165" s="516" t="str">
        <f t="array" ref="J165">XLOOKUP(LCARS_Off[AbilityID],RawOfficer[AbilityID],RawOfficer[Tag_MissionBosses])</f>
        <v>✅</v>
      </c>
      <c r="K165" s="516" t="str">
        <f t="array" ref="K165">XLOOKUP(LCARS_Off[AbilityID],RawOfficer[AbilityID],RawOfficer[Tag_GroupArmadas])</f>
        <v>✅</v>
      </c>
      <c r="L165" s="516" t="str">
        <f t="array" ref="L165">XLOOKUP(LCARS_Off[AbilityID],RawOfficer[AbilityID],RawOfficer[Tag_SoloArmadas])</f>
        <v>✅</v>
      </c>
      <c r="M165" s="516" t="str">
        <f t="array" ref="M165">XLOOKUP(LCARS_Off[AbilityID],RawOfficer[AbilityID],RawOfficer[Tag_InvadingEntities])</f>
        <v>✅</v>
      </c>
      <c r="N165" s="516" t="str">
        <f t="array" ref="N165">XLOOKUP(LCARS_Off[AbilityID],RawOfficer[AbilityID],RawOfficer[Tag_Assaults])</f>
        <v>✅</v>
      </c>
      <c r="O165" s="516" t="str">
        <f t="array" ref="O165">XLOOKUP(LCARS_Off[AbilityID],RawOfficer[AbilityID],RawOfficer[Tag_OutpostArmadas])</f>
        <v>✅</v>
      </c>
      <c r="P165" s="516" t="str">
        <f t="array" ref="P165">XLOOKUP(LCARS_Off[AbilityID],RawOfficer[AbilityID],RawOfficer[Tag_OutpostRetaliators])</f>
        <v>✅</v>
      </c>
      <c r="Q165" s="517" t="str">
        <f t="array" ref="Q165">XLOOKUP(LCARS_Off[AbilityID],RawOfficer[AbilityID],RawOfficer[Conditional_Reason])</f>
        <v/>
      </c>
      <c r="R165" s="518" t="str">
        <f t="array" ref="R165">XLOOKUP(LCARS_Off[AbilityID],RawOfficer[AbilityID],RawOfficer[Tag_Loot])</f>
        <v>➖</v>
      </c>
      <c r="S165" s="516" t="str">
        <f t="array" ref="S165">XLOOKUP(LCARS_Off[AbilityID],RawOfficer[AbilityID],RawOfficer[Tag_Utility])</f>
        <v>➖</v>
      </c>
      <c r="T165" s="429" t="str">
        <f t="array" ref="T165">XLOOKUP(LCARS_Off[AbilityID],RawOfficer[AbilityID],RawOfficer[OfficerSynergy])</f>
        <v>MUDD'S COMPANY</v>
      </c>
      <c r="U165" s="519" t="str">
        <f t="array" ref="U165">XLOOKUP(LCARS_Off[AbilityID],RawOfficer[AbilityID],RawOfficer[AbilityModifier])</f>
        <v>AllDamage</v>
      </c>
      <c r="V165" s="519" t="str">
        <f t="array" ref="V165">XLOOKUP(LCARS_Off[AbilityID],RawOfficer[AbilityID],RawOfficer[AbilityAttributes])</f>
        <v>officer_stat=1</v>
      </c>
      <c r="W165" s="520" t="str">
        <f t="array" ref="W165">XLOOKUP(LCARS_Off[AbilityID],RawOfficer[AbilityID],RawOfficer[AbilityConditions])</f>
        <v/>
      </c>
      <c r="X165" s="519" t="str">
        <f t="array" ref="X165">XLOOKUP(LCARS_Off[AbilityID],RawOfficer[AbilityID],RawOfficer[AbilityTrigger])</f>
        <v>CombatStart</v>
      </c>
      <c r="Y165" s="519" t="str">
        <f t="array" ref="Y165">XLOOKUP(LCARS_Off[AbilityID],RawOfficer[AbilityID],RawOfficer[AbilityTarget])</f>
        <v>SelfShip</v>
      </c>
      <c r="Z165" s="519" t="str">
        <f t="array" ref="Z165">XLOOKUP(LCARS_Off[AbilityID],RawOfficer[AbilityID],RawOfficer[AbilityOperation])</f>
        <v>MultiplyBaseAdd</v>
      </c>
      <c r="AA165" s="521" t="str">
        <f t="array" ref="AA165">XLOOKUP(LCARS_Off[AbilityID],RawOfficer[AbilityID],RawOfficer[AbilityDescription])</f>
        <v>At the start of combat, Ro Mudd has a X chance of increasing the Damage dealt by the ship by 300% of the total Attack of all officers on the ship for the whole combat.</v>
      </c>
      <c r="AB165" s="429" t="b">
        <v>0</v>
      </c>
      <c r="AC165" s="522" t="str">
        <f t="array" ref="AC165">XLOOKUP(LCARS_Off[AbilityID],RawOfficer[AbilityID],RawOfficer[AbilityDescriptionShort])</f>
        <v>X chance to increase damage by 300% of Officers Attack</v>
      </c>
      <c r="AD165" s="523"/>
      <c r="AE165" s="524"/>
      <c r="AF165" s="524"/>
      <c r="AG165" s="525" t="str">
        <f t="array" ref="AG165">XLOOKUP(LCARS_Off[AbilityID],RawOfficer[AbilityID],RawOfficer[AbilityChances])</f>
        <v>0.2, 0.3, 0.4, 0.5, 0.6</v>
      </c>
      <c r="AH165" s="525" t="str">
        <f t="array" ref="AH165">XLOOKUP(LCARS_Off[AbilityID],RawOfficer[AbilityID],RawOfficer[AbilityValues])</f>
        <v>3.0, 3.0, 3.0, 3.0, 3.0</v>
      </c>
      <c r="AI165" s="428" t="b">
        <f t="array" ref="AI165">XLOOKUP(LCARS_Off[AbilityID],RawOfficer[AbilityID],RawOfficer[AbilityHasChance])</f>
        <v>1</v>
      </c>
      <c r="AJ165" s="428" t="b">
        <f t="array" ref="AJ165">XLOOKUP(LCARS_Off[AbilityID],RawOfficer[AbilityID],RawOfficer[AbilityShowPercentage])</f>
        <v>1</v>
      </c>
      <c r="AK165" s="429">
        <f t="array" ref="AK165">XLOOKUP(LCARS_Off[AbilityID],RawOfficer[AbilityID],RawOfficer[OfficerArt])</f>
        <v>125</v>
      </c>
      <c r="AL165" s="430">
        <v>3.958845992E9</v>
      </c>
      <c r="AM165" s="430">
        <f t="array" ref="AM165">XLOOKUP(LCARS_Off[AbilityID],RawOfficer[AbilityID],RawOfficer[Default Order])</f>
        <v>162</v>
      </c>
    </row>
    <row r="166">
      <c r="A166" s="429" t="str">
        <f t="array" ref="A166">LEFT(XLOOKUP(LCARS_Off[AbilityID],RawOfficer[AbilityID],RawOfficer[OfficerRarity]), 1)</f>
        <v>U</v>
      </c>
      <c r="B166" s="429"/>
      <c r="C166" s="514" t="str">
        <f t="array" ref="C166">HYPERLINK("https://stfc.space/officers/" &amp; XLOOKUP(LCARS_Off[AbilityID],RawOfficer[AbilityID],RawOfficer[OfficerId]), XLOOKUP(LCARS_Off[AbilityID],RawOfficer[AbilityID],RawOfficer[OfficerName]))</f>
        <v>GOON</v>
      </c>
      <c r="D166" s="515" t="str">
        <f t="array" ref="D166">XLOOKUP(LCARS_Off[AbilityID],RawOfficer[AbilityID],RawOfficer[AbilityType])</f>
        <v>CM</v>
      </c>
      <c r="E166" s="516" t="str">
        <f t="array" ref="E166">XLOOKUP(LCARS_Off[AbilityID],RawOfficer[AbilityID],RawOfficer[Tag_PvPinSpace])</f>
        <v>➖</v>
      </c>
      <c r="F166" s="516" t="str">
        <f t="array" ref="F166">XLOOKUP(LCARS_Off[AbilityID],RawOfficer[AbilityID],RawOfficer[Tag_PvPStation])</f>
        <v>➖</v>
      </c>
      <c r="G166" s="516" t="str">
        <f t="array" ref="G166">XLOOKUP(LCARS_Off[AbilityID],RawOfficer[AbilityID],RawOfficer[Tag_NonArmadaHostiles])</f>
        <v>✅</v>
      </c>
      <c r="H166" s="516" t="str">
        <f t="array" ref="H166">XLOOKUP(LCARS_Off[AbilityID],RawOfficer[AbilityID],RawOfficer[Tag_WaveDefense])</f>
        <v>✅</v>
      </c>
      <c r="I166" s="516" t="str">
        <f t="array" ref="I166">XLOOKUP(LCARS_Off[AbilityID],RawOfficer[AbilityID],RawOfficer[Tag_QTrial])</f>
        <v>✅</v>
      </c>
      <c r="J166" s="516" t="str">
        <f t="array" ref="J166">XLOOKUP(LCARS_Off[AbilityID],RawOfficer[AbilityID],RawOfficer[Tag_MissionBosses])</f>
        <v>➖</v>
      </c>
      <c r="K166" s="516" t="str">
        <f t="array" ref="K166">XLOOKUP(LCARS_Off[AbilityID],RawOfficer[AbilityID],RawOfficer[Tag_GroupArmadas])</f>
        <v>✅</v>
      </c>
      <c r="L166" s="516" t="str">
        <f t="array" ref="L166">XLOOKUP(LCARS_Off[AbilityID],RawOfficer[AbilityID],RawOfficer[Tag_SoloArmadas])</f>
        <v>✅</v>
      </c>
      <c r="M166" s="516" t="str">
        <f t="array" ref="M166">XLOOKUP(LCARS_Off[AbilityID],RawOfficer[AbilityID],RawOfficer[Tag_InvadingEntities])</f>
        <v>✅</v>
      </c>
      <c r="N166" s="516" t="str">
        <f t="array" ref="N166">XLOOKUP(LCARS_Off[AbilityID],RawOfficer[AbilityID],RawOfficer[Tag_Assaults])</f>
        <v>➖</v>
      </c>
      <c r="O166" s="516" t="str">
        <f t="array" ref="O166">XLOOKUP(LCARS_Off[AbilityID],RawOfficer[AbilityID],RawOfficer[Tag_OutpostArmadas])</f>
        <v>➖</v>
      </c>
      <c r="P166" s="516" t="str">
        <f t="array" ref="P166">XLOOKUP(LCARS_Off[AbilityID],RawOfficer[AbilityID],RawOfficer[Tag_OutpostRetaliators])</f>
        <v>➖</v>
      </c>
      <c r="Q166" s="517" t="str">
        <f t="array" ref="Q166">XLOOKUP(LCARS_Off[AbilityID],RawOfficer[AbilityID],RawOfficer[Conditional_Reason])</f>
        <v/>
      </c>
      <c r="R166" s="518" t="str">
        <f t="array" ref="R166">XLOOKUP(LCARS_Off[AbilityID],RawOfficer[AbilityID],RawOfficer[Tag_Loot])</f>
        <v>➖</v>
      </c>
      <c r="S166" s="516" t="str">
        <f t="array" ref="S166">XLOOKUP(LCARS_Off[AbilityID],RawOfficer[AbilityID],RawOfficer[Tag_Utility])</f>
        <v>➖</v>
      </c>
      <c r="T166" s="429" t="str">
        <f t="array" ref="T166">XLOOKUP(LCARS_Off[AbilityID],RawOfficer[AbilityID],RawOfficer[OfficerSynergy])</f>
        <v>MUDD'S COMPANY</v>
      </c>
      <c r="U166" s="519" t="str">
        <f t="array" ref="U166">XLOOKUP(LCARS_Off[AbilityID],RawOfficer[AbilityID],RawOfficer[AbilityModifier])</f>
        <v>CritChance</v>
      </c>
      <c r="V166" s="519" t="str">
        <f t="array" ref="V166">XLOOKUP(LCARS_Off[AbilityID],RawOfficer[AbilityID],RawOfficer[AbilityAttributes])</f>
        <v>num_rounds=1</v>
      </c>
      <c r="W166" s="520" t="str">
        <f t="array" ref="W166">XLOOKUP(LCARS_Off[AbilityID],RawOfficer[AbilityID],RawOfficer[AbilityConditions])</f>
        <v>EnemyHostile</v>
      </c>
      <c r="X166" s="519" t="str">
        <f t="array" ref="X166">XLOOKUP(LCARS_Off[AbilityID],RawOfficer[AbilityID],RawOfficer[AbilityTrigger])</f>
        <v>CombatStart</v>
      </c>
      <c r="Y166" s="519" t="str">
        <f t="array" ref="Y166">XLOOKUP(LCARS_Off[AbilityID],RawOfficer[AbilityID],RawOfficer[AbilityTarget])</f>
        <v>SelfShip</v>
      </c>
      <c r="Z166" s="519" t="str">
        <f t="array" ref="Z166">XLOOKUP(LCARS_Off[AbilityID],RawOfficer[AbilityID],RawOfficer[AbilityOperation])</f>
        <v>Add</v>
      </c>
      <c r="AA166" s="521" t="str">
        <f t="array" ref="AA166">XLOOKUP(LCARS_Off[AbilityID],RawOfficer[AbilityID],RawOfficer[AbilityDescription])</f>
        <v>When fighting Hostiles, Goon increases the chances of dealing a Critical Hit by  X for the first round of combat.</v>
      </c>
      <c r="AB166" s="429" t="b">
        <v>0</v>
      </c>
      <c r="AC166" s="522" t="str">
        <f t="array" ref="AC166">XLOOKUP(LCARS_Off[AbilityID],RawOfficer[AbilityID],RawOfficer[AbilityDescriptionShort])</f>
        <v>+X to Critical Hit Chance against hostiles for the first round</v>
      </c>
      <c r="AD166" s="523"/>
      <c r="AE166" s="524"/>
      <c r="AF166" s="524"/>
      <c r="AG166" s="525" t="str">
        <f t="array" ref="AG166">XLOOKUP(LCARS_Off[AbilityID],RawOfficer[AbilityID],RawOfficer[AbilityChances])</f>
        <v>1.0, 1.0, 1.0</v>
      </c>
      <c r="AH166" s="525" t="str">
        <f t="array" ref="AH166">XLOOKUP(LCARS_Off[AbilityID],RawOfficer[AbilityID],RawOfficer[AbilityValues])</f>
        <v>0.2, 0.15, 0.2</v>
      </c>
      <c r="AI166" s="428" t="b">
        <f t="array" ref="AI166">XLOOKUP(LCARS_Off[AbilityID],RawOfficer[AbilityID],RawOfficer[AbilityHasChance])</f>
        <v>0</v>
      </c>
      <c r="AJ166" s="428" t="b">
        <f t="array" ref="AJ166">XLOOKUP(LCARS_Off[AbilityID],RawOfficer[AbilityID],RawOfficer[AbilityShowPercentage])</f>
        <v>1</v>
      </c>
      <c r="AK166" s="429">
        <f t="array" ref="AK166">XLOOKUP(LCARS_Off[AbilityID],RawOfficer[AbilityID],RawOfficer[OfficerArt])</f>
        <v>127</v>
      </c>
      <c r="AL166" s="430">
        <v>3.587777576E9</v>
      </c>
      <c r="AM166" s="430">
        <f t="array" ref="AM166">XLOOKUP(LCARS_Off[AbilityID],RawOfficer[AbilityID],RawOfficer[Default Order])</f>
        <v>163</v>
      </c>
    </row>
    <row r="167">
      <c r="A167" s="429" t="str">
        <f t="array" ref="A167">LEFT(XLOOKUP(LCARS_Off[AbilityID],RawOfficer[AbilityID],RawOfficer[OfficerRarity]), 1)</f>
        <v>U</v>
      </c>
      <c r="B167" s="429"/>
      <c r="C167" s="514" t="str">
        <f t="array" ref="C167">HYPERLINK("https://stfc.space/officers/" &amp; XLOOKUP(LCARS_Off[AbilityID],RawOfficer[AbilityID],RawOfficer[OfficerId]), XLOOKUP(LCARS_Off[AbilityID],RawOfficer[AbilityID],RawOfficer[OfficerName]))</f>
        <v>GOON</v>
      </c>
      <c r="D167" s="515" t="str">
        <f t="array" ref="D167">XLOOKUP(LCARS_Off[AbilityID],RawOfficer[AbilityID],RawOfficer[AbilityType])</f>
        <v>OA</v>
      </c>
      <c r="E167" s="516" t="str">
        <f t="array" ref="E167">XLOOKUP(LCARS_Off[AbilityID],RawOfficer[AbilityID],RawOfficer[Tag_PvPinSpace])</f>
        <v>➖</v>
      </c>
      <c r="F167" s="516" t="str">
        <f t="array" ref="F167">XLOOKUP(LCARS_Off[AbilityID],RawOfficer[AbilityID],RawOfficer[Tag_PvPStation])</f>
        <v>➖</v>
      </c>
      <c r="G167" s="516" t="str">
        <f t="array" ref="G167">XLOOKUP(LCARS_Off[AbilityID],RawOfficer[AbilityID],RawOfficer[Tag_NonArmadaHostiles])</f>
        <v>➖</v>
      </c>
      <c r="H167" s="516" t="str">
        <f t="array" ref="H167">XLOOKUP(LCARS_Off[AbilityID],RawOfficer[AbilityID],RawOfficer[Tag_WaveDefense])</f>
        <v>➖</v>
      </c>
      <c r="I167" s="516" t="str">
        <f t="array" ref="I167">XLOOKUP(LCARS_Off[AbilityID],RawOfficer[AbilityID],RawOfficer[Tag_QTrial])</f>
        <v>➖</v>
      </c>
      <c r="J167" s="516" t="str">
        <f t="array" ref="J167">XLOOKUP(LCARS_Off[AbilityID],RawOfficer[AbilityID],RawOfficer[Tag_MissionBosses])</f>
        <v>➖</v>
      </c>
      <c r="K167" s="516" t="str">
        <f t="array" ref="K167">XLOOKUP(LCARS_Off[AbilityID],RawOfficer[AbilityID],RawOfficer[Tag_GroupArmadas])</f>
        <v>➖</v>
      </c>
      <c r="L167" s="516" t="str">
        <f t="array" ref="L167">XLOOKUP(LCARS_Off[AbilityID],RawOfficer[AbilityID],RawOfficer[Tag_SoloArmadas])</f>
        <v>➖</v>
      </c>
      <c r="M167" s="516" t="str">
        <f t="array" ref="M167">XLOOKUP(LCARS_Off[AbilityID],RawOfficer[AbilityID],RawOfficer[Tag_InvadingEntities])</f>
        <v>➖</v>
      </c>
      <c r="N167" s="516" t="str">
        <f t="array" ref="N167">XLOOKUP(LCARS_Off[AbilityID],RawOfficer[AbilityID],RawOfficer[Tag_Assaults])</f>
        <v>➖</v>
      </c>
      <c r="O167" s="516" t="str">
        <f t="array" ref="O167">XLOOKUP(LCARS_Off[AbilityID],RawOfficer[AbilityID],RawOfficer[Tag_OutpostArmadas])</f>
        <v>➖</v>
      </c>
      <c r="P167" s="516" t="str">
        <f t="array" ref="P167">XLOOKUP(LCARS_Off[AbilityID],RawOfficer[AbilityID],RawOfficer[Tag_OutpostRetaliators])</f>
        <v>➖</v>
      </c>
      <c r="Q167" s="517" t="str">
        <f t="array" ref="Q167">XLOOKUP(LCARS_Off[AbilityID],RawOfficer[AbilityID],RawOfficer[Conditional_Reason])</f>
        <v/>
      </c>
      <c r="R167" s="518" t="str">
        <f t="array" ref="R167">XLOOKUP(LCARS_Off[AbilityID],RawOfficer[AbilityID],RawOfficer[Tag_Loot])</f>
        <v>➖</v>
      </c>
      <c r="S167" s="516" t="str">
        <f t="array" ref="S167">XLOOKUP(LCARS_Off[AbilityID],RawOfficer[AbilityID],RawOfficer[Tag_Utility])</f>
        <v>✅</v>
      </c>
      <c r="T167" s="429" t="str">
        <f t="array" ref="T167">XLOOKUP(LCARS_Off[AbilityID],RawOfficer[AbilityID],RawOfficer[OfficerSynergy])</f>
        <v>MUDD'S COMPANY</v>
      </c>
      <c r="U167" s="519" t="str">
        <f t="array" ref="U167">XLOOKUP(LCARS_Off[AbilityID],RawOfficer[AbilityID],RawOfficer[AbilityModifier])</f>
        <v>CombatXPReward</v>
      </c>
      <c r="V167" s="519" t="str">
        <f t="array" ref="V167">XLOOKUP(LCARS_Off[AbilityID],RawOfficer[AbilityID],RawOfficer[AbilityAttributes])</f>
        <v/>
      </c>
      <c r="W167" s="520" t="str">
        <f t="array" ref="W167">XLOOKUP(LCARS_Off[AbilityID],RawOfficer[AbilityID],RawOfficer[AbilityConditions])</f>
        <v/>
      </c>
      <c r="X167" s="519" t="str">
        <f t="array" ref="X167">XLOOKUP(LCARS_Off[AbilityID],RawOfficer[AbilityID],RawOfficer[AbilityTrigger])</f>
        <v>ShipLaunched</v>
      </c>
      <c r="Y167" s="519" t="str">
        <f t="array" ref="Y167">XLOOKUP(LCARS_Off[AbilityID],RawOfficer[AbilityID],RawOfficer[AbilityTarget])</f>
        <v>SelfShip</v>
      </c>
      <c r="Z167" s="519" t="str">
        <f t="array" ref="Z167">XLOOKUP(LCARS_Off[AbilityID],RawOfficer[AbilityID],RawOfficer[AbilityOperation])</f>
        <v>MultiplyAdd</v>
      </c>
      <c r="AA167" s="521" t="str">
        <f t="array" ref="AA167">XLOOKUP(LCARS_Off[AbilityID],RawOfficer[AbilityID],RawOfficer[AbilityDescription])</f>
        <v>Goon increases the Ship XP gained by the ship from fighting by X.</v>
      </c>
      <c r="AB167" s="429" t="b">
        <v>0</v>
      </c>
      <c r="AC167" s="522" t="str">
        <f t="array" ref="AC167">XLOOKUP(LCARS_Off[AbilityID],RawOfficer[AbilityID],RawOfficer[AbilityDescriptionShort])</f>
        <v>+X to Ship XP gained while fighting</v>
      </c>
      <c r="AD167" s="523"/>
      <c r="AE167" s="524"/>
      <c r="AF167" s="524"/>
      <c r="AG167" s="525" t="str">
        <f t="array" ref="AG167">XLOOKUP(LCARS_Off[AbilityID],RawOfficer[AbilityID],RawOfficer[AbilityChances])</f>
        <v>1.0, 1.0, 1.0, 1.0, 1.0</v>
      </c>
      <c r="AH167" s="525" t="str">
        <f t="array" ref="AH167">XLOOKUP(LCARS_Off[AbilityID],RawOfficer[AbilityID],RawOfficer[AbilityValues])</f>
        <v>0.15, 0.2, 0.25, 0.35, 0.5</v>
      </c>
      <c r="AI167" s="428" t="b">
        <f t="array" ref="AI167">XLOOKUP(LCARS_Off[AbilityID],RawOfficer[AbilityID],RawOfficer[AbilityHasChance])</f>
        <v>0</v>
      </c>
      <c r="AJ167" s="428" t="b">
        <f t="array" ref="AJ167">XLOOKUP(LCARS_Off[AbilityID],RawOfficer[AbilityID],RawOfficer[AbilityShowPercentage])</f>
        <v>1</v>
      </c>
      <c r="AK167" s="429">
        <f t="array" ref="AK167">XLOOKUP(LCARS_Off[AbilityID],RawOfficer[AbilityID],RawOfficer[OfficerArt])</f>
        <v>127</v>
      </c>
      <c r="AL167" s="430">
        <v>2.608766342E9</v>
      </c>
      <c r="AM167" s="430">
        <f t="array" ref="AM167">XLOOKUP(LCARS_Off[AbilityID],RawOfficer[AbilityID],RawOfficer[Default Order])</f>
        <v>164</v>
      </c>
    </row>
    <row r="168">
      <c r="A168" s="429" t="str">
        <f t="array" ref="A168">LEFT(XLOOKUP(LCARS_Off[AbilityID],RawOfficer[AbilityID],RawOfficer[OfficerRarity]), 1)</f>
        <v>R</v>
      </c>
      <c r="B168" s="429"/>
      <c r="C168" s="514" t="str">
        <f t="array" ref="C168">HYPERLINK("https://stfc.space/officers/" &amp; XLOOKUP(LCARS_Off[AbilityID],RawOfficer[AbilityID],RawOfficer[OfficerId]), XLOOKUP(LCARS_Off[AbilityID],RawOfficer[AbilityID],RawOfficer[OfficerName]))</f>
        <v>AHVIX</v>
      </c>
      <c r="D168" s="515" t="str">
        <f t="array" ref="D168">XLOOKUP(LCARS_Off[AbilityID],RawOfficer[AbilityID],RawOfficer[AbilityType])</f>
        <v>CM</v>
      </c>
      <c r="E168" s="516" t="str">
        <f t="array" ref="E168">XLOOKUP(LCARS_Off[AbilityID],RawOfficer[AbilityID],RawOfficer[Tag_PvPinSpace])</f>
        <v>➖</v>
      </c>
      <c r="F168" s="516" t="str">
        <f t="array" ref="F168">XLOOKUP(LCARS_Off[AbilityID],RawOfficer[AbilityID],RawOfficer[Tag_PvPStation])</f>
        <v>➖</v>
      </c>
      <c r="G168" s="516" t="str">
        <f t="array" ref="G168">XLOOKUP(LCARS_Off[AbilityID],RawOfficer[AbilityID],RawOfficer[Tag_NonArmadaHostiles])</f>
        <v>✴️</v>
      </c>
      <c r="H168" s="516" t="str">
        <f t="array" ref="H168">XLOOKUP(LCARS_Off[AbilityID],RawOfficer[AbilityID],RawOfficer[Tag_WaveDefense])</f>
        <v>✴️</v>
      </c>
      <c r="I168" s="516" t="str">
        <f t="array" ref="I168">XLOOKUP(LCARS_Off[AbilityID],RawOfficer[AbilityID],RawOfficer[Tag_QTrial])</f>
        <v>✴️</v>
      </c>
      <c r="J168" s="516" t="str">
        <f t="array" ref="J168">XLOOKUP(LCARS_Off[AbilityID],RawOfficer[AbilityID],RawOfficer[Tag_MissionBosses])</f>
        <v>✴️</v>
      </c>
      <c r="K168" s="516" t="str">
        <f t="array" ref="K168">XLOOKUP(LCARS_Off[AbilityID],RawOfficer[AbilityID],RawOfficer[Tag_GroupArmadas])</f>
        <v>✴️</v>
      </c>
      <c r="L168" s="516" t="str">
        <f t="array" ref="L168">XLOOKUP(LCARS_Off[AbilityID],RawOfficer[AbilityID],RawOfficer[Tag_SoloArmadas])</f>
        <v>✴️</v>
      </c>
      <c r="M168" s="516" t="str">
        <f t="array" ref="M168">XLOOKUP(LCARS_Off[AbilityID],RawOfficer[AbilityID],RawOfficer[Tag_InvadingEntities])</f>
        <v>➖</v>
      </c>
      <c r="N168" s="516" t="str">
        <f t="array" ref="N168">XLOOKUP(LCARS_Off[AbilityID],RawOfficer[AbilityID],RawOfficer[Tag_Assaults])</f>
        <v>✴️</v>
      </c>
      <c r="O168" s="516" t="str">
        <f t="array" ref="O168">XLOOKUP(LCARS_Off[AbilityID],RawOfficer[AbilityID],RawOfficer[Tag_OutpostArmadas])</f>
        <v>➖</v>
      </c>
      <c r="P168" s="516" t="str">
        <f t="array" ref="P168">XLOOKUP(LCARS_Off[AbilityID],RawOfficer[AbilityID],RawOfficer[Tag_OutpostRetaliators])</f>
        <v>➖</v>
      </c>
      <c r="Q168" s="517" t="str">
        <f t="array" ref="Q168">XLOOKUP(LCARS_Off[AbilityID],RawOfficer[AbilityID],RawOfficer[Conditional_Reason])</f>
        <v>Eclipse</v>
      </c>
      <c r="R168" s="518" t="str">
        <f t="array" ref="R168">XLOOKUP(LCARS_Off[AbilityID],RawOfficer[AbilityID],RawOfficer[Tag_Loot])</f>
        <v>➖</v>
      </c>
      <c r="S168" s="516" t="str">
        <f t="array" ref="S168">XLOOKUP(LCARS_Off[AbilityID],RawOfficer[AbilityID],RawOfficer[Tag_Utility])</f>
        <v>➖</v>
      </c>
      <c r="T168" s="429" t="str">
        <f t="array" ref="T168">XLOOKUP(LCARS_Off[AbilityID],RawOfficer[AbilityID],RawOfficer[OfficerSynergy])</f>
        <v>MUDD'S COMPANY</v>
      </c>
      <c r="U168" s="519" t="str">
        <f t="array" ref="U168">XLOOKUP(LCARS_Off[AbilityID],RawOfficer[AbilityID],RawOfficer[AbilityModifier])</f>
        <v>CritChance</v>
      </c>
      <c r="V168" s="519" t="str">
        <f t="array" ref="V168">XLOOKUP(LCARS_Off[AbilityID],RawOfficer[AbilityID],RawOfficer[AbilityAttributes])</f>
        <v>faction_id=1750120904, num_rounds=3</v>
      </c>
      <c r="W168" s="520" t="str">
        <f t="array" ref="W168">XLOOKUP(LCARS_Off[AbilityID],RawOfficer[AbilityID],RawOfficer[AbilityConditions])</f>
        <v>EnemyHullFaction</v>
      </c>
      <c r="X168" s="519" t="str">
        <f t="array" ref="X168">XLOOKUP(LCARS_Off[AbilityID],RawOfficer[AbilityID],RawOfficer[AbilityTrigger])</f>
        <v>CombatStart</v>
      </c>
      <c r="Y168" s="519" t="str">
        <f t="array" ref="Y168">XLOOKUP(LCARS_Off[AbilityID],RawOfficer[AbilityID],RawOfficer[AbilityTarget])</f>
        <v>SelfShip</v>
      </c>
      <c r="Z168" s="519" t="str">
        <f t="array" ref="Z168">XLOOKUP(LCARS_Off[AbilityID],RawOfficer[AbilityID],RawOfficer[AbilityOperation])</f>
        <v>Add</v>
      </c>
      <c r="AA168" s="521" t="str">
        <f t="array" ref="AA168">XLOOKUP(LCARS_Off[AbilityID],RawOfficer[AbilityID],RawOfficer[AbilityDescription])</f>
        <v>When fighting Eclipse hostiles (including Armada Targets), for the first three rounds of combat, Ahvix increases the chances of a Critical Hit by X</v>
      </c>
      <c r="AB168" s="429" t="b">
        <v>0</v>
      </c>
      <c r="AC168" s="522" t="str">
        <f t="array" ref="AC168">XLOOKUP(LCARS_Off[AbilityID],RawOfficer[AbilityID],RawOfficer[AbilityDescriptionShort])</f>
        <v>+X to Critical Hit Chance for the first three rounds against Eclipse hostiles.</v>
      </c>
      <c r="AD168" s="523"/>
      <c r="AE168" s="524"/>
      <c r="AF168" s="524"/>
      <c r="AG168" s="525" t="str">
        <f t="array" ref="AG168">XLOOKUP(LCARS_Off[AbilityID],RawOfficer[AbilityID],RawOfficer[AbilityChances])</f>
        <v>1.0, 1.0, 1.0</v>
      </c>
      <c r="AH168" s="525" t="str">
        <f t="array" ref="AH168">XLOOKUP(LCARS_Off[AbilityID],RawOfficer[AbilityID],RawOfficer[AbilityValues])</f>
        <v>0.2, 0.05, 0.1</v>
      </c>
      <c r="AI168" s="428" t="b">
        <f t="array" ref="AI168">XLOOKUP(LCARS_Off[AbilityID],RawOfficer[AbilityID],RawOfficer[AbilityHasChance])</f>
        <v>0</v>
      </c>
      <c r="AJ168" s="428" t="b">
        <f t="array" ref="AJ168">XLOOKUP(LCARS_Off[AbilityID],RawOfficer[AbilityID],RawOfficer[AbilityShowPercentage])</f>
        <v>1</v>
      </c>
      <c r="AK168" s="429">
        <f t="array" ref="AK168">XLOOKUP(LCARS_Off[AbilityID],RawOfficer[AbilityID],RawOfficer[OfficerArt])</f>
        <v>129</v>
      </c>
      <c r="AL168" s="430">
        <v>1.074437376E9</v>
      </c>
      <c r="AM168" s="430">
        <f t="array" ref="AM168">XLOOKUP(LCARS_Off[AbilityID],RawOfficer[AbilityID],RawOfficer[Default Order])</f>
        <v>165</v>
      </c>
    </row>
    <row r="169">
      <c r="A169" s="429" t="str">
        <f t="array" ref="A169">LEFT(XLOOKUP(LCARS_Off[AbilityID],RawOfficer[AbilityID],RawOfficer[OfficerRarity]), 1)</f>
        <v>R</v>
      </c>
      <c r="B169" s="429"/>
      <c r="C169" s="514" t="str">
        <f t="array" ref="C169">HYPERLINK("https://stfc.space/officers/" &amp; XLOOKUP(LCARS_Off[AbilityID],RawOfficer[AbilityID],RawOfficer[OfficerId]), XLOOKUP(LCARS_Off[AbilityID],RawOfficer[AbilityID],RawOfficer[OfficerName]))</f>
        <v>AHVIX</v>
      </c>
      <c r="D169" s="515" t="str">
        <f t="array" ref="D169">XLOOKUP(LCARS_Off[AbilityID],RawOfficer[AbilityID],RawOfficer[AbilityType])</f>
        <v>OA</v>
      </c>
      <c r="E169" s="516" t="str">
        <f t="array" ref="E169">XLOOKUP(LCARS_Off[AbilityID],RawOfficer[AbilityID],RawOfficer[Tag_PvPinSpace])</f>
        <v>➖</v>
      </c>
      <c r="F169" s="516" t="str">
        <f t="array" ref="F169">XLOOKUP(LCARS_Off[AbilityID],RawOfficer[AbilityID],RawOfficer[Tag_PvPStation])</f>
        <v>➖</v>
      </c>
      <c r="G169" s="516" t="str">
        <f t="array" ref="G169">XLOOKUP(LCARS_Off[AbilityID],RawOfficer[AbilityID],RawOfficer[Tag_NonArmadaHostiles])</f>
        <v>✴️</v>
      </c>
      <c r="H169" s="516" t="str">
        <f t="array" ref="H169">XLOOKUP(LCARS_Off[AbilityID],RawOfficer[AbilityID],RawOfficer[Tag_WaveDefense])</f>
        <v>✴️</v>
      </c>
      <c r="I169" s="516" t="str">
        <f t="array" ref="I169">XLOOKUP(LCARS_Off[AbilityID],RawOfficer[AbilityID],RawOfficer[Tag_QTrial])</f>
        <v>✴️</v>
      </c>
      <c r="J169" s="516" t="str">
        <f t="array" ref="J169">XLOOKUP(LCARS_Off[AbilityID],RawOfficer[AbilityID],RawOfficer[Tag_MissionBosses])</f>
        <v>✴️</v>
      </c>
      <c r="K169" s="516" t="str">
        <f t="array" ref="K169">XLOOKUP(LCARS_Off[AbilityID],RawOfficer[AbilityID],RawOfficer[Tag_GroupArmadas])</f>
        <v>✴️</v>
      </c>
      <c r="L169" s="516" t="str">
        <f t="array" ref="L169">XLOOKUP(LCARS_Off[AbilityID],RawOfficer[AbilityID],RawOfficer[Tag_SoloArmadas])</f>
        <v>✴️</v>
      </c>
      <c r="M169" s="516" t="str">
        <f t="array" ref="M169">XLOOKUP(LCARS_Off[AbilityID],RawOfficer[AbilityID],RawOfficer[Tag_InvadingEntities])</f>
        <v>➖</v>
      </c>
      <c r="N169" s="516" t="str">
        <f t="array" ref="N169">XLOOKUP(LCARS_Off[AbilityID],RawOfficer[AbilityID],RawOfficer[Tag_Assaults])</f>
        <v>✴️</v>
      </c>
      <c r="O169" s="516" t="str">
        <f t="array" ref="O169">XLOOKUP(LCARS_Off[AbilityID],RawOfficer[AbilityID],RawOfficer[Tag_OutpostArmadas])</f>
        <v>➖</v>
      </c>
      <c r="P169" s="516" t="str">
        <f t="array" ref="P169">XLOOKUP(LCARS_Off[AbilityID],RawOfficer[AbilityID],RawOfficer[Tag_OutpostRetaliators])</f>
        <v>➖</v>
      </c>
      <c r="Q169" s="517" t="str">
        <f t="array" ref="Q169">XLOOKUP(LCARS_Off[AbilityID],RawOfficer[AbilityID],RawOfficer[Conditional_Reason])</f>
        <v>Eclipse</v>
      </c>
      <c r="R169" s="518" t="str">
        <f t="array" ref="R169">XLOOKUP(LCARS_Off[AbilityID],RawOfficer[AbilityID],RawOfficer[Tag_Loot])</f>
        <v>➖</v>
      </c>
      <c r="S169" s="516" t="str">
        <f t="array" ref="S169">XLOOKUP(LCARS_Off[AbilityID],RawOfficer[AbilityID],RawOfficer[Tag_Utility])</f>
        <v>➖</v>
      </c>
      <c r="T169" s="429" t="str">
        <f t="array" ref="T169">XLOOKUP(LCARS_Off[AbilityID],RawOfficer[AbilityID],RawOfficer[OfficerSynergy])</f>
        <v>MUDD'S COMPANY</v>
      </c>
      <c r="U169" s="519" t="str">
        <f t="array" ref="U169">XLOOKUP(LCARS_Off[AbilityID],RawOfficer[AbilityID],RawOfficer[AbilityModifier])</f>
        <v>AllDefenses</v>
      </c>
      <c r="V169" s="519" t="str">
        <f t="array" ref="V169">XLOOKUP(LCARS_Off[AbilityID],RawOfficer[AbilityID],RawOfficer[AbilityAttributes])</f>
        <v>faction_id=1750120904</v>
      </c>
      <c r="W169" s="520" t="str">
        <f t="array" ref="W169">XLOOKUP(LCARS_Off[AbilityID],RawOfficer[AbilityID],RawOfficer[AbilityConditions])</f>
        <v>EnemyHullFaction</v>
      </c>
      <c r="X169" s="519" t="str">
        <f t="array" ref="X169">XLOOKUP(LCARS_Off[AbilityID],RawOfficer[AbilityID],RawOfficer[AbilityTrigger])</f>
        <v>CombatStart</v>
      </c>
      <c r="Y169" s="519" t="str">
        <f t="array" ref="Y169">XLOOKUP(LCARS_Off[AbilityID],RawOfficer[AbilityID],RawOfficer[AbilityTarget])</f>
        <v>EnemyShip</v>
      </c>
      <c r="Z169" s="519" t="str">
        <f t="array" ref="Z169">XLOOKUP(LCARS_Off[AbilityID],RawOfficer[AbilityID],RawOfficer[AbilityOperation])</f>
        <v>MultiplySub</v>
      </c>
      <c r="AA169" s="521" t="str">
        <f t="array" ref="AA169">XLOOKUP(LCARS_Off[AbilityID],RawOfficer[AbilityID],RawOfficer[AbilityDescription])</f>
        <v>When fighting Eclipse hostiles (including Armadas), Ahvix has a X chance to decrease the Shield Deflection, Armor and Dodge of the opponent by 40% .</v>
      </c>
      <c r="AB169" s="429" t="b">
        <v>0</v>
      </c>
      <c r="AC169" s="522" t="str">
        <f t="array" ref="AC169">XLOOKUP(LCARS_Off[AbilityID],RawOfficer[AbilityID],RawOfficer[AbilityDescriptionShort])</f>
        <v>X chance to reduce Eclipse hostiles's mitigation by 40%</v>
      </c>
      <c r="AD169" s="523"/>
      <c r="AE169" s="524"/>
      <c r="AF169" s="524"/>
      <c r="AG169" s="525" t="str">
        <f t="array" ref="AG169">XLOOKUP(LCARS_Off[AbilityID],RawOfficer[AbilityID],RawOfficer[AbilityChances])</f>
        <v>0.25, 0.3, 0.35, 0.4, 0.5</v>
      </c>
      <c r="AH169" s="525" t="str">
        <f t="array" ref="AH169">XLOOKUP(LCARS_Off[AbilityID],RawOfficer[AbilityID],RawOfficer[AbilityValues])</f>
        <v>0.4, 0.4, 0.4, 0.4, 0.4</v>
      </c>
      <c r="AI169" s="428" t="b">
        <f t="array" ref="AI169">XLOOKUP(LCARS_Off[AbilityID],RawOfficer[AbilityID],RawOfficer[AbilityHasChance])</f>
        <v>1</v>
      </c>
      <c r="AJ169" s="428" t="b">
        <f t="array" ref="AJ169">XLOOKUP(LCARS_Off[AbilityID],RawOfficer[AbilityID],RawOfficer[AbilityShowPercentage])</f>
        <v>1</v>
      </c>
      <c r="AK169" s="429">
        <f t="array" ref="AK169">XLOOKUP(LCARS_Off[AbilityID],RawOfficer[AbilityID],RawOfficer[OfficerArt])</f>
        <v>129</v>
      </c>
      <c r="AL169" s="430">
        <v>3.792739416E9</v>
      </c>
      <c r="AM169" s="430">
        <f t="array" ref="AM169">XLOOKUP(LCARS_Off[AbilityID],RawOfficer[AbilityID],RawOfficer[Default Order])</f>
        <v>166</v>
      </c>
    </row>
    <row r="170">
      <c r="A170" s="429" t="str">
        <f t="array" ref="A170">LEFT(XLOOKUP(LCARS_Off[AbilityID],RawOfficer[AbilityID],RawOfficer[OfficerRarity]), 1)</f>
        <v>C</v>
      </c>
      <c r="B170" s="429"/>
      <c r="C170" s="514" t="str">
        <f t="array" ref="C170">HYPERLINK("https://stfc.space/officers/" &amp; XLOOKUP(LCARS_Off[AbilityID],RawOfficer[AbilityID],RawOfficer[OfficerId]), XLOOKUP(LCARS_Off[AbilityID],RawOfficer[AbilityID],RawOfficer[OfficerName]))</f>
        <v>TIZA</v>
      </c>
      <c r="D170" s="515" t="str">
        <f t="array" ref="D170">XLOOKUP(LCARS_Off[AbilityID],RawOfficer[AbilityID],RawOfficer[AbilityType])</f>
        <v>CM</v>
      </c>
      <c r="E170" s="516" t="str">
        <f t="array" ref="E170">XLOOKUP(LCARS_Off[AbilityID],RawOfficer[AbilityID],RawOfficer[Tag_PvPinSpace])</f>
        <v>➖</v>
      </c>
      <c r="F170" s="516" t="str">
        <f t="array" ref="F170">XLOOKUP(LCARS_Off[AbilityID],RawOfficer[AbilityID],RawOfficer[Tag_PvPStation])</f>
        <v>➖</v>
      </c>
      <c r="G170" s="516" t="str">
        <f t="array" ref="G170">XLOOKUP(LCARS_Off[AbilityID],RawOfficer[AbilityID],RawOfficer[Tag_NonArmadaHostiles])</f>
        <v>✴️</v>
      </c>
      <c r="H170" s="516" t="str">
        <f t="array" ref="H170">XLOOKUP(LCARS_Off[AbilityID],RawOfficer[AbilityID],RawOfficer[Tag_WaveDefense])</f>
        <v>✴️</v>
      </c>
      <c r="I170" s="516" t="str">
        <f t="array" ref="I170">XLOOKUP(LCARS_Off[AbilityID],RawOfficer[AbilityID],RawOfficer[Tag_QTrial])</f>
        <v>✴️</v>
      </c>
      <c r="J170" s="516" t="str">
        <f t="array" ref="J170">XLOOKUP(LCARS_Off[AbilityID],RawOfficer[AbilityID],RawOfficer[Tag_MissionBosses])</f>
        <v>✴️</v>
      </c>
      <c r="K170" s="516" t="str">
        <f t="array" ref="K170">XLOOKUP(LCARS_Off[AbilityID],RawOfficer[AbilityID],RawOfficer[Tag_GroupArmadas])</f>
        <v>✴️</v>
      </c>
      <c r="L170" s="516" t="str">
        <f t="array" ref="L170">XLOOKUP(LCARS_Off[AbilityID],RawOfficer[AbilityID],RawOfficer[Tag_SoloArmadas])</f>
        <v>✴️</v>
      </c>
      <c r="M170" s="516" t="str">
        <f t="array" ref="M170">XLOOKUP(LCARS_Off[AbilityID],RawOfficer[AbilityID],RawOfficer[Tag_InvadingEntities])</f>
        <v>➖</v>
      </c>
      <c r="N170" s="516" t="str">
        <f t="array" ref="N170">XLOOKUP(LCARS_Off[AbilityID],RawOfficer[AbilityID],RawOfficer[Tag_Assaults])</f>
        <v>✴️</v>
      </c>
      <c r="O170" s="516" t="str">
        <f t="array" ref="O170">XLOOKUP(LCARS_Off[AbilityID],RawOfficer[AbilityID],RawOfficer[Tag_OutpostArmadas])</f>
        <v>➖</v>
      </c>
      <c r="P170" s="516" t="str">
        <f t="array" ref="P170">XLOOKUP(LCARS_Off[AbilityID],RawOfficer[AbilityID],RawOfficer[Tag_OutpostRetaliators])</f>
        <v>➖</v>
      </c>
      <c r="Q170" s="517" t="str">
        <f t="array" ref="Q170">XLOOKUP(LCARS_Off[AbilityID],RawOfficer[AbilityID],RawOfficer[Conditional_Reason])</f>
        <v>Eclipse</v>
      </c>
      <c r="R170" s="518" t="str">
        <f t="array" ref="R170">XLOOKUP(LCARS_Off[AbilityID],RawOfficer[AbilityID],RawOfficer[Tag_Loot])</f>
        <v>➖</v>
      </c>
      <c r="S170" s="516" t="str">
        <f t="array" ref="S170">XLOOKUP(LCARS_Off[AbilityID],RawOfficer[AbilityID],RawOfficer[Tag_Utility])</f>
        <v>➖</v>
      </c>
      <c r="T170" s="429" t="str">
        <f t="array" ref="T170">XLOOKUP(LCARS_Off[AbilityID],RawOfficer[AbilityID],RawOfficer[OfficerSynergy])</f>
        <v>MUDD'S COMPANY</v>
      </c>
      <c r="U170" s="519" t="str">
        <f t="array" ref="U170">XLOOKUP(LCARS_Off[AbilityID],RawOfficer[AbilityID],RawOfficer[AbilityModifier])</f>
        <v>ShieldMitigation</v>
      </c>
      <c r="V170" s="519" t="str">
        <f t="array" ref="V170">XLOOKUP(LCARS_Off[AbilityID],RawOfficer[AbilityID],RawOfficer[AbilityAttributes])</f>
        <v>faction_id=1750120904, num_rounds=3</v>
      </c>
      <c r="W170" s="520" t="str">
        <f t="array" ref="W170">XLOOKUP(LCARS_Off[AbilityID],RawOfficer[AbilityID],RawOfficer[AbilityConditions])</f>
        <v>EnemyHullFaction</v>
      </c>
      <c r="X170" s="519" t="str">
        <f t="array" ref="X170">XLOOKUP(LCARS_Off[AbilityID],RawOfficer[AbilityID],RawOfficer[AbilityTrigger])</f>
        <v>CombatStart</v>
      </c>
      <c r="Y170" s="519" t="str">
        <f t="array" ref="Y170">XLOOKUP(LCARS_Off[AbilityID],RawOfficer[AbilityID],RawOfficer[AbilityTarget])</f>
        <v>EnemyShip</v>
      </c>
      <c r="Z170" s="519" t="str">
        <f t="array" ref="Z170">XLOOKUP(LCARS_Off[AbilityID],RawOfficer[AbilityID],RawOfficer[AbilityOperation])</f>
        <v>MultiplySub</v>
      </c>
      <c r="AA170" s="521" t="str">
        <f t="array" ref="AA170">XLOOKUP(LCARS_Off[AbilityID],RawOfficer[AbilityID],RawOfficer[AbilityDescription])</f>
        <v>When fighting Eclipse hostiles (including Armada Targets), for the first three rounds of combat, Tiza decreases the Shield Mitigation of the opponent by X</v>
      </c>
      <c r="AB170" s="429" t="b">
        <v>0</v>
      </c>
      <c r="AC170" s="522" t="str">
        <f t="array" ref="AC170">XLOOKUP(LCARS_Off[AbilityID],RawOfficer[AbilityID],RawOfficer[AbilityDescriptionShort])</f>
        <v>-X to Eclipse hostile's Shield Mitigation for the first round</v>
      </c>
      <c r="AD170" s="523"/>
      <c r="AE170" s="524"/>
      <c r="AF170" s="524"/>
      <c r="AG170" s="525" t="str">
        <f t="array" ref="AG170">XLOOKUP(LCARS_Off[AbilityID],RawOfficer[AbilityID],RawOfficer[AbilityChances])</f>
        <v>1.0, 1.0, 1.0</v>
      </c>
      <c r="AH170" s="525" t="str">
        <f t="array" ref="AH170">XLOOKUP(LCARS_Off[AbilityID],RawOfficer[AbilityID],RawOfficer[AbilityValues])</f>
        <v>0.04, 0.01, 0.02</v>
      </c>
      <c r="AI170" s="428" t="b">
        <f t="array" ref="AI170">XLOOKUP(LCARS_Off[AbilityID],RawOfficer[AbilityID],RawOfficer[AbilityHasChance])</f>
        <v>0</v>
      </c>
      <c r="AJ170" s="428" t="b">
        <f t="array" ref="AJ170">XLOOKUP(LCARS_Off[AbilityID],RawOfficer[AbilityID],RawOfficer[AbilityShowPercentage])</f>
        <v>1</v>
      </c>
      <c r="AK170" s="429">
        <f t="array" ref="AK170">XLOOKUP(LCARS_Off[AbilityID],RawOfficer[AbilityID],RawOfficer[OfficerArt])</f>
        <v>128</v>
      </c>
      <c r="AL170" s="430">
        <v>2.54956305E8</v>
      </c>
      <c r="AM170" s="430">
        <f t="array" ref="AM170">XLOOKUP(LCARS_Off[AbilityID],RawOfficer[AbilityID],RawOfficer[Default Order])</f>
        <v>167</v>
      </c>
    </row>
    <row r="171">
      <c r="A171" s="429" t="str">
        <f t="array" ref="A171">LEFT(XLOOKUP(LCARS_Off[AbilityID],RawOfficer[AbilityID],RawOfficer[OfficerRarity]), 1)</f>
        <v>C</v>
      </c>
      <c r="B171" s="429"/>
      <c r="C171" s="514" t="str">
        <f t="array" ref="C171">HYPERLINK("https://stfc.space/officers/" &amp; XLOOKUP(LCARS_Off[AbilityID],RawOfficer[AbilityID],RawOfficer[OfficerId]), XLOOKUP(LCARS_Off[AbilityID],RawOfficer[AbilityID],RawOfficer[OfficerName]))</f>
        <v>TIZA</v>
      </c>
      <c r="D171" s="515" t="str">
        <f t="array" ref="D171">XLOOKUP(LCARS_Off[AbilityID],RawOfficer[AbilityID],RawOfficer[AbilityType])</f>
        <v>OA</v>
      </c>
      <c r="E171" s="516" t="str">
        <f t="array" ref="E171">XLOOKUP(LCARS_Off[AbilityID],RawOfficer[AbilityID],RawOfficer[Tag_PvPinSpace])</f>
        <v>➖</v>
      </c>
      <c r="F171" s="516" t="str">
        <f t="array" ref="F171">XLOOKUP(LCARS_Off[AbilityID],RawOfficer[AbilityID],RawOfficer[Tag_PvPStation])</f>
        <v>➖</v>
      </c>
      <c r="G171" s="516" t="str">
        <f t="array" ref="G171">XLOOKUP(LCARS_Off[AbilityID],RawOfficer[AbilityID],RawOfficer[Tag_NonArmadaHostiles])</f>
        <v>✴️</v>
      </c>
      <c r="H171" s="516" t="str">
        <f t="array" ref="H171">XLOOKUP(LCARS_Off[AbilityID],RawOfficer[AbilityID],RawOfficer[Tag_WaveDefense])</f>
        <v>✴️</v>
      </c>
      <c r="I171" s="516" t="str">
        <f t="array" ref="I171">XLOOKUP(LCARS_Off[AbilityID],RawOfficer[AbilityID],RawOfficer[Tag_QTrial])</f>
        <v>✴️</v>
      </c>
      <c r="J171" s="516" t="str">
        <f t="array" ref="J171">XLOOKUP(LCARS_Off[AbilityID],RawOfficer[AbilityID],RawOfficer[Tag_MissionBosses])</f>
        <v>✴️</v>
      </c>
      <c r="K171" s="516" t="str">
        <f t="array" ref="K171">XLOOKUP(LCARS_Off[AbilityID],RawOfficer[AbilityID],RawOfficer[Tag_GroupArmadas])</f>
        <v>✴️</v>
      </c>
      <c r="L171" s="516" t="str">
        <f t="array" ref="L171">XLOOKUP(LCARS_Off[AbilityID],RawOfficer[AbilityID],RawOfficer[Tag_SoloArmadas])</f>
        <v>✴️</v>
      </c>
      <c r="M171" s="516" t="str">
        <f t="array" ref="M171">XLOOKUP(LCARS_Off[AbilityID],RawOfficer[AbilityID],RawOfficer[Tag_InvadingEntities])</f>
        <v>➖</v>
      </c>
      <c r="N171" s="516" t="str">
        <f t="array" ref="N171">XLOOKUP(LCARS_Off[AbilityID],RawOfficer[AbilityID],RawOfficer[Tag_Assaults])</f>
        <v>✴️</v>
      </c>
      <c r="O171" s="516" t="str">
        <f t="array" ref="O171">XLOOKUP(LCARS_Off[AbilityID],RawOfficer[AbilityID],RawOfficer[Tag_OutpostArmadas])</f>
        <v>➖</v>
      </c>
      <c r="P171" s="516" t="str">
        <f t="array" ref="P171">XLOOKUP(LCARS_Off[AbilityID],RawOfficer[AbilityID],RawOfficer[Tag_OutpostRetaliators])</f>
        <v>➖</v>
      </c>
      <c r="Q171" s="517" t="str">
        <f t="array" ref="Q171">XLOOKUP(LCARS_Off[AbilityID],RawOfficer[AbilityID],RawOfficer[Conditional_Reason])</f>
        <v>Eclipse</v>
      </c>
      <c r="R171" s="518" t="str">
        <f t="array" ref="R171">XLOOKUP(LCARS_Off[AbilityID],RawOfficer[AbilityID],RawOfficer[Tag_Loot])</f>
        <v>➖</v>
      </c>
      <c r="S171" s="516" t="str">
        <f t="array" ref="S171">XLOOKUP(LCARS_Off[AbilityID],RawOfficer[AbilityID],RawOfficer[Tag_Utility])</f>
        <v>➖</v>
      </c>
      <c r="T171" s="429" t="str">
        <f t="array" ref="T171">XLOOKUP(LCARS_Off[AbilityID],RawOfficer[AbilityID],RawOfficer[OfficerSynergy])</f>
        <v>MUDD'S COMPANY</v>
      </c>
      <c r="U171" s="519" t="str">
        <f t="array" ref="U171">XLOOKUP(LCARS_Off[AbilityID],RawOfficer[AbilityID],RawOfficer[AbilityModifier])</f>
        <v>AllDefenses</v>
      </c>
      <c r="V171" s="519" t="str">
        <f t="array" ref="V171">XLOOKUP(LCARS_Off[AbilityID],RawOfficer[AbilityID],RawOfficer[AbilityAttributes])</f>
        <v>faction_id=1750120904</v>
      </c>
      <c r="W171" s="520" t="str">
        <f t="array" ref="W171">XLOOKUP(LCARS_Off[AbilityID],RawOfficer[AbilityID],RawOfficer[AbilityConditions])</f>
        <v>EnemyHullFaction</v>
      </c>
      <c r="X171" s="519" t="str">
        <f t="array" ref="X171">XLOOKUP(LCARS_Off[AbilityID],RawOfficer[AbilityID],RawOfficer[AbilityTrigger])</f>
        <v>CombatStart</v>
      </c>
      <c r="Y171" s="519" t="str">
        <f t="array" ref="Y171">XLOOKUP(LCARS_Off[AbilityID],RawOfficer[AbilityID],RawOfficer[AbilityTarget])</f>
        <v>SelfShip</v>
      </c>
      <c r="Z171" s="519" t="str">
        <f t="array" ref="Z171">XLOOKUP(LCARS_Off[AbilityID],RawOfficer[AbilityID],RawOfficer[AbilityOperation])</f>
        <v>MultiplyAdd</v>
      </c>
      <c r="AA171" s="521" t="str">
        <f t="array" ref="AA171">XLOOKUP(LCARS_Off[AbilityID],RawOfficer[AbilityID],RawOfficer[AbilityDescription])</f>
        <v>When fighting Eclipse hostiles (including Armadas), Tiza has a X chance to increase Shield Deflection, Armor and Dodge by 100% for the whole combat.</v>
      </c>
      <c r="AB171" s="429" t="b">
        <v>0</v>
      </c>
      <c r="AC171" s="522" t="str">
        <f t="array" ref="AC171">XLOOKUP(LCARS_Off[AbilityID],RawOfficer[AbilityID],RawOfficer[AbilityDescriptionShort])</f>
        <v>X chance to increase mitigation by 100% against Eclipse hostiles</v>
      </c>
      <c r="AD171" s="523"/>
      <c r="AE171" s="524"/>
      <c r="AF171" s="524"/>
      <c r="AG171" s="525" t="str">
        <f t="array" ref="AG171">XLOOKUP(LCARS_Off[AbilityID],RawOfficer[AbilityID],RawOfficer[AbilityChances])</f>
        <v>0.35, 0.45, 0.55, 0.65, 0.75</v>
      </c>
      <c r="AH171" s="525" t="str">
        <f t="array" ref="AH171">XLOOKUP(LCARS_Off[AbilityID],RawOfficer[AbilityID],RawOfficer[AbilityValues])</f>
        <v>1.0, 1.0, 1.0, 1.0, 1.0</v>
      </c>
      <c r="AI171" s="428" t="b">
        <f t="array" ref="AI171">XLOOKUP(LCARS_Off[AbilityID],RawOfficer[AbilityID],RawOfficer[AbilityHasChance])</f>
        <v>1</v>
      </c>
      <c r="AJ171" s="428" t="b">
        <f t="array" ref="AJ171">XLOOKUP(LCARS_Off[AbilityID],RawOfficer[AbilityID],RawOfficer[AbilityShowPercentage])</f>
        <v>1</v>
      </c>
      <c r="AK171" s="429">
        <f t="array" ref="AK171">XLOOKUP(LCARS_Off[AbilityID],RawOfficer[AbilityID],RawOfficer[OfficerArt])</f>
        <v>128</v>
      </c>
      <c r="AL171" s="430">
        <v>7.80595425E8</v>
      </c>
      <c r="AM171" s="430">
        <f t="array" ref="AM171">XLOOKUP(LCARS_Off[AbilityID],RawOfficer[AbilityID],RawOfficer[Default Order])</f>
        <v>168</v>
      </c>
    </row>
    <row r="172">
      <c r="A172" s="429" t="str">
        <f t="array" ref="A172">LEFT(XLOOKUP(LCARS_Off[AbilityID],RawOfficer[AbilityID],RawOfficer[OfficerRarity]), 1)</f>
        <v>E</v>
      </c>
      <c r="B172" s="429"/>
      <c r="C172" s="514" t="str">
        <f t="array" ref="C172">HYPERLINK("https://stfc.space/officers/" &amp; XLOOKUP(LCARS_Off[AbilityID],RawOfficer[AbilityID],RawOfficer[OfficerId]), XLOOKUP(LCARS_Off[AbilityID],RawOfficer[AbilityID],RawOfficer[OfficerName]))</f>
        <v>HARRY MUDD</v>
      </c>
      <c r="D172" s="515" t="str">
        <f t="array" ref="D172">XLOOKUP(LCARS_Off[AbilityID],RawOfficer[AbilityID],RawOfficer[AbilityType])</f>
        <v>CM</v>
      </c>
      <c r="E172" s="516" t="str">
        <f t="array" ref="E172">XLOOKUP(LCARS_Off[AbilityID],RawOfficer[AbilityID],RawOfficer[Tag_PvPinSpace])</f>
        <v>✴️</v>
      </c>
      <c r="F172" s="516" t="str">
        <f t="array" ref="F172">XLOOKUP(LCARS_Off[AbilityID],RawOfficer[AbilityID],RawOfficer[Tag_PvPStation])</f>
        <v>✴️</v>
      </c>
      <c r="G172" s="516" t="str">
        <f t="array" ref="G172">XLOOKUP(LCARS_Off[AbilityID],RawOfficer[AbilityID],RawOfficer[Tag_NonArmadaHostiles])</f>
        <v>✴️</v>
      </c>
      <c r="H172" s="516" t="str">
        <f t="array" ref="H172">XLOOKUP(LCARS_Off[AbilityID],RawOfficer[AbilityID],RawOfficer[Tag_WaveDefense])</f>
        <v>✴️</v>
      </c>
      <c r="I172" s="516" t="str">
        <f t="array" ref="I172">XLOOKUP(LCARS_Off[AbilityID],RawOfficer[AbilityID],RawOfficer[Tag_QTrial])</f>
        <v>✴️</v>
      </c>
      <c r="J172" s="516" t="str">
        <f t="array" ref="J172">XLOOKUP(LCARS_Off[AbilityID],RawOfficer[AbilityID],RawOfficer[Tag_MissionBosses])</f>
        <v>✴️</v>
      </c>
      <c r="K172" s="516" t="str">
        <f t="array" ref="K172">XLOOKUP(LCARS_Off[AbilityID],RawOfficer[AbilityID],RawOfficer[Tag_GroupArmadas])</f>
        <v>✴️</v>
      </c>
      <c r="L172" s="516" t="str">
        <f t="array" ref="L172">XLOOKUP(LCARS_Off[AbilityID],RawOfficer[AbilityID],RawOfficer[Tag_SoloArmadas])</f>
        <v>✴️</v>
      </c>
      <c r="M172" s="516" t="str">
        <f t="array" ref="M172">XLOOKUP(LCARS_Off[AbilityID],RawOfficer[AbilityID],RawOfficer[Tag_InvadingEntities])</f>
        <v>✴️</v>
      </c>
      <c r="N172" s="516" t="str">
        <f t="array" ref="N172">XLOOKUP(LCARS_Off[AbilityID],RawOfficer[AbilityID],RawOfficer[Tag_Assaults])</f>
        <v>✴️</v>
      </c>
      <c r="O172" s="516" t="str">
        <f t="array" ref="O172">XLOOKUP(LCARS_Off[AbilityID],RawOfficer[AbilityID],RawOfficer[Tag_OutpostArmadas])</f>
        <v>✴️</v>
      </c>
      <c r="P172" s="516" t="str">
        <f t="array" ref="P172">XLOOKUP(LCARS_Off[AbilityID],RawOfficer[AbilityID],RawOfficer[Tag_OutpostRetaliators])</f>
        <v>✴️</v>
      </c>
      <c r="Q172" s="517" t="str">
        <f t="array" ref="Q172">XLOOKUP(LCARS_Off[AbilityID],RawOfficer[AbilityID],RawOfficer[Conditional_Reason])</f>
        <v>target level 70 or under</v>
      </c>
      <c r="R172" s="518" t="str">
        <f t="array" ref="R172">XLOOKUP(LCARS_Off[AbilityID],RawOfficer[AbilityID],RawOfficer[Tag_Loot])</f>
        <v>➖</v>
      </c>
      <c r="S172" s="516" t="str">
        <f t="array" ref="S172">XLOOKUP(LCARS_Off[AbilityID],RawOfficer[AbilityID],RawOfficer[Tag_Utility])</f>
        <v>➖</v>
      </c>
      <c r="T172" s="429" t="str">
        <f t="array" ref="T172">XLOOKUP(LCARS_Off[AbilityID],RawOfficer[AbilityID],RawOfficer[OfficerSynergy])</f>
        <v>MUDD'S COMPANY</v>
      </c>
      <c r="U172" s="519" t="str">
        <f t="array" ref="U172">XLOOKUP(LCARS_Off[AbilityID],RawOfficer[AbilityID],RawOfficer[AbilityModifier])</f>
        <v>ShieldMitigation</v>
      </c>
      <c r="V172" s="519" t="str">
        <f t="array" ref="V172">XLOOKUP(LCARS_Off[AbilityID],RawOfficer[AbilityID],RawOfficer[AbilityAttributes])</f>
        <v>max_level=70, num_rounds=2</v>
      </c>
      <c r="W172" s="520" t="str">
        <f t="array" ref="W172">XLOOKUP(LCARS_Off[AbilityID],RawOfficer[AbilityID],RawOfficer[AbilityConditions])</f>
        <v>TargetMaxLevel</v>
      </c>
      <c r="X172" s="519" t="str">
        <f t="array" ref="X172">XLOOKUP(LCARS_Off[AbilityID],RawOfficer[AbilityID],RawOfficer[AbilityTrigger])</f>
        <v>CombatStart</v>
      </c>
      <c r="Y172" s="519" t="str">
        <f t="array" ref="Y172">XLOOKUP(LCARS_Off[AbilityID],RawOfficer[AbilityID],RawOfficer[AbilityTarget])</f>
        <v>SelfShip</v>
      </c>
      <c r="Z172" s="519" t="str">
        <f t="array" ref="Z172">XLOOKUP(LCARS_Off[AbilityID],RawOfficer[AbilityID],RawOfficer[AbilityOperation])</f>
        <v>Add</v>
      </c>
      <c r="AA172" s="521" t="str">
        <f t="array" ref="AA172">XLOOKUP(LCARS_Off[AbilityID],RawOfficer[AbilityID],RawOfficer[AbilityDescription])</f>
        <v>Harcourt Fenton Mudd has a X chance to raise shield mitigation to 98% for the first two rounds of combat. Works against Hostiles of level 70 and under.</v>
      </c>
      <c r="AB172" s="429" t="b">
        <v>0</v>
      </c>
      <c r="AC172" s="522" t="str">
        <f t="array" ref="AC172">XLOOKUP(LCARS_Off[AbilityID],RawOfficer[AbilityID],RawOfficer[AbilityDescriptionShort])</f>
        <v>X chance to have 98% shield mitigation for the first two rounds of combat</v>
      </c>
      <c r="AD172" s="523"/>
      <c r="AE172" s="524"/>
      <c r="AF172" s="524"/>
      <c r="AG172" s="525" t="str">
        <f t="array" ref="AG172">XLOOKUP(LCARS_Off[AbilityID],RawOfficer[AbilityID],RawOfficer[AbilityChances])</f>
        <v>0.4, 0.1, 0.2</v>
      </c>
      <c r="AH172" s="525" t="str">
        <f t="array" ref="AH172">XLOOKUP(LCARS_Off[AbilityID],RawOfficer[AbilityID],RawOfficer[AbilityValues])</f>
        <v>0.18, 0.0, 0.0</v>
      </c>
      <c r="AI172" s="428" t="b">
        <f t="array" ref="AI172">XLOOKUP(LCARS_Off[AbilityID],RawOfficer[AbilityID],RawOfficer[AbilityHasChance])</f>
        <v>1</v>
      </c>
      <c r="AJ172" s="428" t="b">
        <f t="array" ref="AJ172">XLOOKUP(LCARS_Off[AbilityID],RawOfficer[AbilityID],RawOfficer[AbilityShowPercentage])</f>
        <v>1</v>
      </c>
      <c r="AK172" s="429">
        <f t="array" ref="AK172">XLOOKUP(LCARS_Off[AbilityID],RawOfficer[AbilityID],RawOfficer[OfficerArt])</f>
        <v>130</v>
      </c>
      <c r="AL172" s="430">
        <v>2.186472721E9</v>
      </c>
      <c r="AM172" s="430">
        <f t="array" ref="AM172">XLOOKUP(LCARS_Off[AbilityID],RawOfficer[AbilityID],RawOfficer[Default Order])</f>
        <v>169</v>
      </c>
    </row>
    <row r="173">
      <c r="A173" s="429" t="str">
        <f t="array" ref="A173">LEFT(XLOOKUP(LCARS_Off[AbilityID],RawOfficer[AbilityID],RawOfficer[OfficerRarity]), 1)</f>
        <v>E</v>
      </c>
      <c r="B173" s="429"/>
      <c r="C173" s="514" t="str">
        <f t="array" ref="C173">HYPERLINK("https://stfc.space/officers/" &amp; XLOOKUP(LCARS_Off[AbilityID],RawOfficer[AbilityID],RawOfficer[OfficerId]), XLOOKUP(LCARS_Off[AbilityID],RawOfficer[AbilityID],RawOfficer[OfficerName]))</f>
        <v>HARRY MUDD</v>
      </c>
      <c r="D173" s="515" t="str">
        <f t="array" ref="D173">XLOOKUP(LCARS_Off[AbilityID],RawOfficer[AbilityID],RawOfficer[AbilityType])</f>
        <v>OA</v>
      </c>
      <c r="E173" s="516" t="str">
        <f t="array" ref="E173">XLOOKUP(LCARS_Off[AbilityID],RawOfficer[AbilityID],RawOfficer[Tag_PvPinSpace])</f>
        <v>✴️</v>
      </c>
      <c r="F173" s="516" t="str">
        <f t="array" ref="F173">XLOOKUP(LCARS_Off[AbilityID],RawOfficer[AbilityID],RawOfficer[Tag_PvPStation])</f>
        <v>✴️</v>
      </c>
      <c r="G173" s="516" t="str">
        <f t="array" ref="G173">XLOOKUP(LCARS_Off[AbilityID],RawOfficer[AbilityID],RawOfficer[Tag_NonArmadaHostiles])</f>
        <v>✴️</v>
      </c>
      <c r="H173" s="516" t="str">
        <f t="array" ref="H173">XLOOKUP(LCARS_Off[AbilityID],RawOfficer[AbilityID],RawOfficer[Tag_WaveDefense])</f>
        <v>✴️</v>
      </c>
      <c r="I173" s="516" t="str">
        <f t="array" ref="I173">XLOOKUP(LCARS_Off[AbilityID],RawOfficer[AbilityID],RawOfficer[Tag_QTrial])</f>
        <v>✴️</v>
      </c>
      <c r="J173" s="516" t="str">
        <f t="array" ref="J173">XLOOKUP(LCARS_Off[AbilityID],RawOfficer[AbilityID],RawOfficer[Tag_MissionBosses])</f>
        <v>✴️</v>
      </c>
      <c r="K173" s="516" t="str">
        <f t="array" ref="K173">XLOOKUP(LCARS_Off[AbilityID],RawOfficer[AbilityID],RawOfficer[Tag_GroupArmadas])</f>
        <v>✴️</v>
      </c>
      <c r="L173" s="516" t="str">
        <f t="array" ref="L173">XLOOKUP(LCARS_Off[AbilityID],RawOfficer[AbilityID],RawOfficer[Tag_SoloArmadas])</f>
        <v>✴️</v>
      </c>
      <c r="M173" s="516" t="str">
        <f t="array" ref="M173">XLOOKUP(LCARS_Off[AbilityID],RawOfficer[AbilityID],RawOfficer[Tag_InvadingEntities])</f>
        <v>✴️</v>
      </c>
      <c r="N173" s="516" t="str">
        <f t="array" ref="N173">XLOOKUP(LCARS_Off[AbilityID],RawOfficer[AbilityID],RawOfficer[Tag_Assaults])</f>
        <v>✴️</v>
      </c>
      <c r="O173" s="516" t="str">
        <f t="array" ref="O173">XLOOKUP(LCARS_Off[AbilityID],RawOfficer[AbilityID],RawOfficer[Tag_OutpostArmadas])</f>
        <v>✴️</v>
      </c>
      <c r="P173" s="516" t="str">
        <f t="array" ref="P173">XLOOKUP(LCARS_Off[AbilityID],RawOfficer[AbilityID],RawOfficer[Tag_OutpostRetaliators])</f>
        <v>✴️</v>
      </c>
      <c r="Q173" s="517" t="str">
        <f t="array" ref="Q173">XLOOKUP(LCARS_Off[AbilityID],RawOfficer[AbilityID],RawOfficer[Conditional_Reason])</f>
        <v>target level 70 or under</v>
      </c>
      <c r="R173" s="518" t="str">
        <f t="array" ref="R173">XLOOKUP(LCARS_Off[AbilityID],RawOfficer[AbilityID],RawOfficer[Tag_Loot])</f>
        <v>➖</v>
      </c>
      <c r="S173" s="516" t="str">
        <f t="array" ref="S173">XLOOKUP(LCARS_Off[AbilityID],RawOfficer[AbilityID],RawOfficer[Tag_Utility])</f>
        <v>➖</v>
      </c>
      <c r="T173" s="429" t="str">
        <f t="array" ref="T173">XLOOKUP(LCARS_Off[AbilityID],RawOfficer[AbilityID],RawOfficer[OfficerSynergy])</f>
        <v>MUDD'S COMPANY</v>
      </c>
      <c r="U173" s="519" t="str">
        <f t="array" ref="U173">XLOOKUP(LCARS_Off[AbilityID],RawOfficer[AbilityID],RawOfficer[AbilityModifier])</f>
        <v>ShotsPerAttack</v>
      </c>
      <c r="V173" s="519" t="str">
        <f t="array" ref="V173">XLOOKUP(LCARS_Off[AbilityID],RawOfficer[AbilityID],RawOfficer[AbilityAttributes])</f>
        <v>max_level=70, num_rounds=1</v>
      </c>
      <c r="W173" s="520" t="str">
        <f t="array" ref="W173">XLOOKUP(LCARS_Off[AbilityID],RawOfficer[AbilityID],RawOfficer[AbilityConditions])</f>
        <v>TargetMaxLevel</v>
      </c>
      <c r="X173" s="519" t="str">
        <f t="array" ref="X173">XLOOKUP(LCARS_Off[AbilityID],RawOfficer[AbilityID],RawOfficer[AbilityTrigger])</f>
        <v>CombatStart</v>
      </c>
      <c r="Y173" s="519" t="str">
        <f t="array" ref="Y173">XLOOKUP(LCARS_Off[AbilityID],RawOfficer[AbilityID],RawOfficer[AbilityTarget])</f>
        <v>SelfShip</v>
      </c>
      <c r="Z173" s="519" t="str">
        <f t="array" ref="Z173">XLOOKUP(LCARS_Off[AbilityID],RawOfficer[AbilityID],RawOfficer[AbilityOperation])</f>
        <v>MultiplyAdd</v>
      </c>
      <c r="AA173" s="521" t="str">
        <f t="array" ref="AA173">XLOOKUP(LCARS_Off[AbilityID],RawOfficer[AbilityID],RawOfficer[AbilityDescription])</f>
        <v>Harcourt Fenton Mudd has a X chance to double the shots of all the weapons of the ship for the first round of combat. Works against Hostiles of level 70 and under.</v>
      </c>
      <c r="AB173" s="429" t="b">
        <v>0</v>
      </c>
      <c r="AC173" s="522" t="str">
        <f t="array" ref="AC173">XLOOKUP(LCARS_Off[AbilityID],RawOfficer[AbilityID],RawOfficer[AbilityDescriptionShort])</f>
        <v>X chance to double shots for the first round</v>
      </c>
      <c r="AD173" s="523"/>
      <c r="AE173" s="524"/>
      <c r="AF173" s="524"/>
      <c r="AG173" s="525" t="str">
        <f t="array" ref="AG173">XLOOKUP(LCARS_Off[AbilityID],RawOfficer[AbilityID],RawOfficer[AbilityChances])</f>
        <v>0.2, 0.3, 0.4, 0.5, 0.6</v>
      </c>
      <c r="AH173" s="525" t="str">
        <f t="array" ref="AH173">XLOOKUP(LCARS_Off[AbilityID],RawOfficer[AbilityID],RawOfficer[AbilityValues])</f>
        <v>1.0, 1.0, 1.0, 1.0, 1.0</v>
      </c>
      <c r="AI173" s="428" t="b">
        <f t="array" ref="AI173">XLOOKUP(LCARS_Off[AbilityID],RawOfficer[AbilityID],RawOfficer[AbilityHasChance])</f>
        <v>1</v>
      </c>
      <c r="AJ173" s="428" t="b">
        <f t="array" ref="AJ173">XLOOKUP(LCARS_Off[AbilityID],RawOfficer[AbilityID],RawOfficer[AbilityShowPercentage])</f>
        <v>1</v>
      </c>
      <c r="AK173" s="429">
        <f t="array" ref="AK173">XLOOKUP(LCARS_Off[AbilityID],RawOfficer[AbilityID],RawOfficer[OfficerArt])</f>
        <v>130</v>
      </c>
      <c r="AL173" s="430">
        <v>1.43246507E8</v>
      </c>
      <c r="AM173" s="430">
        <f t="array" ref="AM173">XLOOKUP(LCARS_Off[AbilityID],RawOfficer[AbilityID],RawOfficer[Default Order])</f>
        <v>170</v>
      </c>
    </row>
    <row r="174">
      <c r="A174" s="429" t="str">
        <f t="array" ref="A174">LEFT(XLOOKUP(LCARS_Off[AbilityID],RawOfficer[AbilityID],RawOfficer[OfficerRarity]), 1)</f>
        <v>E</v>
      </c>
      <c r="B174" s="429"/>
      <c r="C174" s="514" t="str">
        <f t="array" ref="C174">HYPERLINK("https://stfc.space/officers/" &amp; XLOOKUP(LCARS_Off[AbilityID],RawOfficer[AbilityID],RawOfficer[OfficerId]), XLOOKUP(LCARS_Off[AbilityID],RawOfficer[AbilityID],RawOfficer[OfficerName]))</f>
        <v>KRAS</v>
      </c>
      <c r="D174" s="515" t="str">
        <f t="array" ref="D174">XLOOKUP(LCARS_Off[AbilityID],RawOfficer[AbilityID],RawOfficer[AbilityType])</f>
        <v>CM</v>
      </c>
      <c r="E174" s="516" t="str">
        <f t="array" ref="E174">XLOOKUP(LCARS_Off[AbilityID],RawOfficer[AbilityID],RawOfficer[Tag_PvPinSpace])</f>
        <v>✅</v>
      </c>
      <c r="F174" s="516" t="str">
        <f t="array" ref="F174">XLOOKUP(LCARS_Off[AbilityID],RawOfficer[AbilityID],RawOfficer[Tag_PvPStation])</f>
        <v>✅</v>
      </c>
      <c r="G174" s="516" t="str">
        <f t="array" ref="G174">XLOOKUP(LCARS_Off[AbilityID],RawOfficer[AbilityID],RawOfficer[Tag_NonArmadaHostiles])</f>
        <v>➖</v>
      </c>
      <c r="H174" s="516" t="str">
        <f t="array" ref="H174">XLOOKUP(LCARS_Off[AbilityID],RawOfficer[AbilityID],RawOfficer[Tag_WaveDefense])</f>
        <v>➖</v>
      </c>
      <c r="I174" s="516" t="str">
        <f t="array" ref="I174">XLOOKUP(LCARS_Off[AbilityID],RawOfficer[AbilityID],RawOfficer[Tag_QTrial])</f>
        <v>➖</v>
      </c>
      <c r="J174" s="516" t="str">
        <f t="array" ref="J174">XLOOKUP(LCARS_Off[AbilityID],RawOfficer[AbilityID],RawOfficer[Tag_MissionBosses])</f>
        <v>➖</v>
      </c>
      <c r="K174" s="516" t="str">
        <f t="array" ref="K174">XLOOKUP(LCARS_Off[AbilityID],RawOfficer[AbilityID],RawOfficer[Tag_GroupArmadas])</f>
        <v>➖</v>
      </c>
      <c r="L174" s="516" t="str">
        <f t="array" ref="L174">XLOOKUP(LCARS_Off[AbilityID],RawOfficer[AbilityID],RawOfficer[Tag_SoloArmadas])</f>
        <v>➖</v>
      </c>
      <c r="M174" s="516" t="str">
        <f t="array" ref="M174">XLOOKUP(LCARS_Off[AbilityID],RawOfficer[AbilityID],RawOfficer[Tag_InvadingEntities])</f>
        <v>➖</v>
      </c>
      <c r="N174" s="516" t="str">
        <f t="array" ref="N174">XLOOKUP(LCARS_Off[AbilityID],RawOfficer[AbilityID],RawOfficer[Tag_Assaults])</f>
        <v>➖</v>
      </c>
      <c r="O174" s="516" t="str">
        <f t="array" ref="O174">XLOOKUP(LCARS_Off[AbilityID],RawOfficer[AbilityID],RawOfficer[Tag_OutpostArmadas])</f>
        <v>➖</v>
      </c>
      <c r="P174" s="516" t="str">
        <f t="array" ref="P174">XLOOKUP(LCARS_Off[AbilityID],RawOfficer[AbilityID],RawOfficer[Tag_OutpostRetaliators])</f>
        <v>➖</v>
      </c>
      <c r="Q174" s="517" t="str">
        <f t="array" ref="Q174">XLOOKUP(LCARS_Off[AbilityID],RawOfficer[AbilityID],RawOfficer[Conditional_Reason])</f>
        <v/>
      </c>
      <c r="R174" s="518" t="str">
        <f t="array" ref="R174">XLOOKUP(LCARS_Off[AbilityID],RawOfficer[AbilityID],RawOfficer[Tag_Loot])</f>
        <v>➖</v>
      </c>
      <c r="S174" s="516" t="str">
        <f t="array" ref="S174">XLOOKUP(LCARS_Off[AbilityID],RawOfficer[AbilityID],RawOfficer[Tag_Utility])</f>
        <v>➖</v>
      </c>
      <c r="T174" s="429" t="str">
        <f t="array" ref="T174">XLOOKUP(LCARS_Off[AbilityID],RawOfficer[AbilityID],RawOfficer[OfficerSynergy])</f>
        <v>GLORY IN THE KILL</v>
      </c>
      <c r="U174" s="519" t="str">
        <f t="array" ref="U174">XLOOKUP(LCARS_Off[AbilityID],RawOfficer[AbilityID],RawOfficer[AbilityModifier])</f>
        <v>CptManeuverEffect</v>
      </c>
      <c r="V174" s="519" t="str">
        <f t="array" ref="V174">XLOOKUP(LCARS_Off[AbilityID],RawOfficer[AbilityID],RawOfficer[AbilityAttributes])</f>
        <v/>
      </c>
      <c r="W174" s="520" t="str">
        <f t="array" ref="W174">XLOOKUP(LCARS_Off[AbilityID],RawOfficer[AbilityID],RawOfficer[AbilityConditions])</f>
        <v>EnemyPlayer</v>
      </c>
      <c r="X174" s="519" t="str">
        <f t="array" ref="X174">XLOOKUP(LCARS_Off[AbilityID],RawOfficer[AbilityID],RawOfficer[AbilityTrigger])</f>
        <v>CombatStart</v>
      </c>
      <c r="Y174" s="519" t="str">
        <f t="array" ref="Y174">XLOOKUP(LCARS_Off[AbilityID],RawOfficer[AbilityID],RawOfficer[AbilityTarget])</f>
        <v>EnemyCaptain</v>
      </c>
      <c r="Z174" s="519" t="str">
        <f t="array" ref="Z174">XLOOKUP(LCARS_Off[AbilityID],RawOfficer[AbilityID],RawOfficer[AbilityOperation])</f>
        <v>MultiplySub</v>
      </c>
      <c r="AA174" s="521" t="str">
        <f t="array" ref="AA174">XLOOKUP(LCARS_Off[AbilityID],RawOfficer[AbilityID],RawOfficer[AbilityDescription])</f>
        <v>Kras decreases the effectiveness of the opponent's Captain's Maneuver by X.</v>
      </c>
      <c r="AB174" s="429" t="b">
        <v>0</v>
      </c>
      <c r="AC174" s="522" t="str">
        <f t="array" ref="AC174">XLOOKUP(LCARS_Off[AbilityID],RawOfficer[AbilityID],RawOfficer[AbilityDescriptionShort])</f>
        <v>-X to opponent's Captain's Maneuver effectiveness</v>
      </c>
      <c r="AD174" s="523"/>
      <c r="AE174" s="524"/>
      <c r="AF174" s="524"/>
      <c r="AG174" s="525" t="str">
        <f t="array" ref="AG174">XLOOKUP(LCARS_Off[AbilityID],RawOfficer[AbilityID],RawOfficer[AbilityChances])</f>
        <v>1.0, 1.0, 1.0</v>
      </c>
      <c r="AH174" s="525" t="str">
        <f t="array" ref="AH174">XLOOKUP(LCARS_Off[AbilityID],RawOfficer[AbilityID],RawOfficer[AbilityValues])</f>
        <v>0.2, 0.1, 0.15</v>
      </c>
      <c r="AI174" s="428" t="b">
        <f t="array" ref="AI174">XLOOKUP(LCARS_Off[AbilityID],RawOfficer[AbilityID],RawOfficer[AbilityHasChance])</f>
        <v>0</v>
      </c>
      <c r="AJ174" s="428" t="b">
        <f t="array" ref="AJ174">XLOOKUP(LCARS_Off[AbilityID],RawOfficer[AbilityID],RawOfficer[AbilityShowPercentage])</f>
        <v>1</v>
      </c>
      <c r="AK174" s="429">
        <f t="array" ref="AK174">XLOOKUP(LCARS_Off[AbilityID],RawOfficer[AbilityID],RawOfficer[OfficerArt])</f>
        <v>76</v>
      </c>
      <c r="AL174" s="430">
        <v>3.721061052E9</v>
      </c>
      <c r="AM174" s="430">
        <f t="array" ref="AM174">XLOOKUP(LCARS_Off[AbilityID],RawOfficer[AbilityID],RawOfficer[Default Order])</f>
        <v>171</v>
      </c>
    </row>
    <row r="175">
      <c r="A175" s="429" t="str">
        <f t="array" ref="A175">LEFT(XLOOKUP(LCARS_Off[AbilityID],RawOfficer[AbilityID],RawOfficer[OfficerRarity]), 1)</f>
        <v>E</v>
      </c>
      <c r="B175" s="429"/>
      <c r="C175" s="514" t="str">
        <f t="array" ref="C175">HYPERLINK("https://stfc.space/officers/" &amp; XLOOKUP(LCARS_Off[AbilityID],RawOfficer[AbilityID],RawOfficer[OfficerId]), XLOOKUP(LCARS_Off[AbilityID],RawOfficer[AbilityID],RawOfficer[OfficerName]))</f>
        <v>KRAS</v>
      </c>
      <c r="D175" s="515" t="str">
        <f t="array" ref="D175">XLOOKUP(LCARS_Off[AbilityID],RawOfficer[AbilityID],RawOfficer[AbilityType])</f>
        <v>OA</v>
      </c>
      <c r="E175" s="516" t="str">
        <f t="array" ref="E175">XLOOKUP(LCARS_Off[AbilityID],RawOfficer[AbilityID],RawOfficer[Tag_PvPinSpace])</f>
        <v>✅</v>
      </c>
      <c r="F175" s="516" t="str">
        <f t="array" ref="F175">XLOOKUP(LCARS_Off[AbilityID],RawOfficer[AbilityID],RawOfficer[Tag_PvPStation])</f>
        <v>✅</v>
      </c>
      <c r="G175" s="516" t="str">
        <f t="array" ref="G175">XLOOKUP(LCARS_Off[AbilityID],RawOfficer[AbilityID],RawOfficer[Tag_NonArmadaHostiles])</f>
        <v>➖</v>
      </c>
      <c r="H175" s="516" t="str">
        <f t="array" ref="H175">XLOOKUP(LCARS_Off[AbilityID],RawOfficer[AbilityID],RawOfficer[Tag_WaveDefense])</f>
        <v>➖</v>
      </c>
      <c r="I175" s="516" t="str">
        <f t="array" ref="I175">XLOOKUP(LCARS_Off[AbilityID],RawOfficer[AbilityID],RawOfficer[Tag_QTrial])</f>
        <v>➖</v>
      </c>
      <c r="J175" s="516" t="str">
        <f t="array" ref="J175">XLOOKUP(LCARS_Off[AbilityID],RawOfficer[AbilityID],RawOfficer[Tag_MissionBosses])</f>
        <v>➖</v>
      </c>
      <c r="K175" s="516" t="str">
        <f t="array" ref="K175">XLOOKUP(LCARS_Off[AbilityID],RawOfficer[AbilityID],RawOfficer[Tag_GroupArmadas])</f>
        <v>➖</v>
      </c>
      <c r="L175" s="516" t="str">
        <f t="array" ref="L175">XLOOKUP(LCARS_Off[AbilityID],RawOfficer[AbilityID],RawOfficer[Tag_SoloArmadas])</f>
        <v>➖</v>
      </c>
      <c r="M175" s="516" t="str">
        <f t="array" ref="M175">XLOOKUP(LCARS_Off[AbilityID],RawOfficer[AbilityID],RawOfficer[Tag_InvadingEntities])</f>
        <v>➖</v>
      </c>
      <c r="N175" s="516" t="str">
        <f t="array" ref="N175">XLOOKUP(LCARS_Off[AbilityID],RawOfficer[AbilityID],RawOfficer[Tag_Assaults])</f>
        <v>➖</v>
      </c>
      <c r="O175" s="516" t="str">
        <f t="array" ref="O175">XLOOKUP(LCARS_Off[AbilityID],RawOfficer[AbilityID],RawOfficer[Tag_OutpostArmadas])</f>
        <v>➖</v>
      </c>
      <c r="P175" s="516" t="str">
        <f t="array" ref="P175">XLOOKUP(LCARS_Off[AbilityID],RawOfficer[AbilityID],RawOfficer[Tag_OutpostRetaliators])</f>
        <v>➖</v>
      </c>
      <c r="Q175" s="517" t="str">
        <f t="array" ref="Q175">XLOOKUP(LCARS_Off[AbilityID],RawOfficer[AbilityID],RawOfficer[Conditional_Reason])</f>
        <v/>
      </c>
      <c r="R175" s="518" t="str">
        <f t="array" ref="R175">XLOOKUP(LCARS_Off[AbilityID],RawOfficer[AbilityID],RawOfficer[Tag_Loot])</f>
        <v>➖</v>
      </c>
      <c r="S175" s="516" t="str">
        <f t="array" ref="S175">XLOOKUP(LCARS_Off[AbilityID],RawOfficer[AbilityID],RawOfficer[Tag_Utility])</f>
        <v>➖</v>
      </c>
      <c r="T175" s="429" t="str">
        <f t="array" ref="T175">XLOOKUP(LCARS_Off[AbilityID],RawOfficer[AbilityID],RawOfficer[OfficerSynergy])</f>
        <v>GLORY IN THE KILL</v>
      </c>
      <c r="U175" s="519" t="str">
        <f t="array" ref="U175">XLOOKUP(LCARS_Off[AbilityID],RawOfficer[AbilityID],RawOfficer[AbilityModifier])</f>
        <v>OfficerStatAll</v>
      </c>
      <c r="V175" s="519" t="str">
        <f t="array" ref="V175">XLOOKUP(LCARS_Off[AbilityID],RawOfficer[AbilityID],RawOfficer[AbilityAttributes])</f>
        <v/>
      </c>
      <c r="W175" s="520" t="str">
        <f t="array" ref="W175">XLOOKUP(LCARS_Off[AbilityID],RawOfficer[AbilityID],RawOfficer[AbilityConditions])</f>
        <v>EnemyPlayer</v>
      </c>
      <c r="X175" s="519" t="str">
        <f t="array" ref="X175">XLOOKUP(LCARS_Off[AbilityID],RawOfficer[AbilityID],RawOfficer[AbilityTrigger])</f>
        <v>CombatStart</v>
      </c>
      <c r="Y175" s="519" t="str">
        <f t="array" ref="Y175">XLOOKUP(LCARS_Off[AbilityID],RawOfficer[AbilityID],RawOfficer[AbilityTarget])</f>
        <v>EnemyBridge</v>
      </c>
      <c r="Z175" s="519" t="str">
        <f t="array" ref="Z175">XLOOKUP(LCARS_Off[AbilityID],RawOfficer[AbilityID],RawOfficer[AbilityOperation])</f>
        <v>MultiplySub</v>
      </c>
      <c r="AA175" s="521" t="str">
        <f t="array" ref="AA175">XLOOKUP(LCARS_Off[AbilityID],RawOfficer[AbilityID],RawOfficer[AbilityDescription])</f>
        <v>Kras decreases the Attack, Defense and Health of all the Officers on the Bridge of the opponent's ship by X.</v>
      </c>
      <c r="AB175" s="429" t="b">
        <v>0</v>
      </c>
      <c r="AC175" s="522" t="str">
        <f t="array" ref="AC175">XLOOKUP(LCARS_Off[AbilityID],RawOfficer[AbilityID],RawOfficer[AbilityDescriptionShort])</f>
        <v>-X To all the stats of the opponent's Bridge Officers</v>
      </c>
      <c r="AD175" s="523"/>
      <c r="AE175" s="524"/>
      <c r="AF175" s="524"/>
      <c r="AG175" s="525" t="str">
        <f t="array" ref="AG175">XLOOKUP(LCARS_Off[AbilityID],RawOfficer[AbilityID],RawOfficer[AbilityChances])</f>
        <v>1.0, 1.0, 1.0, 1.0, 1.0</v>
      </c>
      <c r="AH175" s="525" t="str">
        <f t="array" ref="AH175">XLOOKUP(LCARS_Off[AbilityID],RawOfficer[AbilityID],RawOfficer[AbilityValues])</f>
        <v>0.2, 0.3, 0.4, 0.5, 0.6</v>
      </c>
      <c r="AI175" s="428" t="b">
        <f t="array" ref="AI175">XLOOKUP(LCARS_Off[AbilityID],RawOfficer[AbilityID],RawOfficer[AbilityHasChance])</f>
        <v>0</v>
      </c>
      <c r="AJ175" s="428" t="b">
        <f t="array" ref="AJ175">XLOOKUP(LCARS_Off[AbilityID],RawOfficer[AbilityID],RawOfficer[AbilityShowPercentage])</f>
        <v>1</v>
      </c>
      <c r="AK175" s="429">
        <f t="array" ref="AK175">XLOOKUP(LCARS_Off[AbilityID],RawOfficer[AbilityID],RawOfficer[OfficerArt])</f>
        <v>76</v>
      </c>
      <c r="AL175" s="430">
        <v>3.322010576E9</v>
      </c>
      <c r="AM175" s="430">
        <f t="array" ref="AM175">XLOOKUP(LCARS_Off[AbilityID],RawOfficer[AbilityID],RawOfficer[Default Order])</f>
        <v>172</v>
      </c>
    </row>
    <row r="176">
      <c r="A176" s="429" t="str">
        <f t="array" ref="A176">LEFT(XLOOKUP(LCARS_Off[AbilityID],RawOfficer[AbilityID],RawOfficer[OfficerRarity]), 1)</f>
        <v>U</v>
      </c>
      <c r="B176" s="429"/>
      <c r="C176" s="514" t="str">
        <f t="array" ref="C176">HYPERLINK("https://stfc.space/officers/" &amp; XLOOKUP(LCARS_Off[AbilityID],RawOfficer[AbilityID],RawOfficer[OfficerId]), XLOOKUP(LCARS_Off[AbilityID],RawOfficer[AbilityID],RawOfficer[OfficerName]))</f>
        <v>KLAA</v>
      </c>
      <c r="D176" s="515" t="str">
        <f t="array" ref="D176">XLOOKUP(LCARS_Off[AbilityID],RawOfficer[AbilityID],RawOfficer[AbilityType])</f>
        <v>CM</v>
      </c>
      <c r="E176" s="516" t="str">
        <f t="array" ref="E176">XLOOKUP(LCARS_Off[AbilityID],RawOfficer[AbilityID],RawOfficer[Tag_PvPinSpace])</f>
        <v>➖</v>
      </c>
      <c r="F176" s="516" t="str">
        <f t="array" ref="F176">XLOOKUP(LCARS_Off[AbilityID],RawOfficer[AbilityID],RawOfficer[Tag_PvPStation])</f>
        <v>➖</v>
      </c>
      <c r="G176" s="516" t="str">
        <f t="array" ref="G176">XLOOKUP(LCARS_Off[AbilityID],RawOfficer[AbilityID],RawOfficer[Tag_NonArmadaHostiles])</f>
        <v>➖</v>
      </c>
      <c r="H176" s="516" t="str">
        <f t="array" ref="H176">XLOOKUP(LCARS_Off[AbilityID],RawOfficer[AbilityID],RawOfficer[Tag_WaveDefense])</f>
        <v>➖</v>
      </c>
      <c r="I176" s="516" t="str">
        <f t="array" ref="I176">XLOOKUP(LCARS_Off[AbilityID],RawOfficer[AbilityID],RawOfficer[Tag_QTrial])</f>
        <v>➖</v>
      </c>
      <c r="J176" s="516" t="str">
        <f t="array" ref="J176">XLOOKUP(LCARS_Off[AbilityID],RawOfficer[AbilityID],RawOfficer[Tag_MissionBosses])</f>
        <v>➖</v>
      </c>
      <c r="K176" s="516" t="str">
        <f t="array" ref="K176">XLOOKUP(LCARS_Off[AbilityID],RawOfficer[AbilityID],RawOfficer[Tag_GroupArmadas])</f>
        <v>➖</v>
      </c>
      <c r="L176" s="516" t="str">
        <f t="array" ref="L176">XLOOKUP(LCARS_Off[AbilityID],RawOfficer[AbilityID],RawOfficer[Tag_SoloArmadas])</f>
        <v>➖</v>
      </c>
      <c r="M176" s="516" t="str">
        <f t="array" ref="M176">XLOOKUP(LCARS_Off[AbilityID],RawOfficer[AbilityID],RawOfficer[Tag_InvadingEntities])</f>
        <v>➖</v>
      </c>
      <c r="N176" s="516" t="str">
        <f t="array" ref="N176">XLOOKUP(LCARS_Off[AbilityID],RawOfficer[AbilityID],RawOfficer[Tag_Assaults])</f>
        <v>➖</v>
      </c>
      <c r="O176" s="516" t="str">
        <f t="array" ref="O176">XLOOKUP(LCARS_Off[AbilityID],RawOfficer[AbilityID],RawOfficer[Tag_OutpostArmadas])</f>
        <v>➖</v>
      </c>
      <c r="P176" s="516" t="str">
        <f t="array" ref="P176">XLOOKUP(LCARS_Off[AbilityID],RawOfficer[AbilityID],RawOfficer[Tag_OutpostRetaliators])</f>
        <v>➖</v>
      </c>
      <c r="Q176" s="517" t="str">
        <f t="array" ref="Q176">XLOOKUP(LCARS_Off[AbilityID],RawOfficer[AbilityID],RawOfficer[Conditional_Reason])</f>
        <v/>
      </c>
      <c r="R176" s="518" t="str">
        <f t="array" ref="R176">XLOOKUP(LCARS_Off[AbilityID],RawOfficer[AbilityID],RawOfficer[Tag_Loot])</f>
        <v>➖</v>
      </c>
      <c r="S176" s="516" t="str">
        <f t="array" ref="S176">XLOOKUP(LCARS_Off[AbilityID],RawOfficer[AbilityID],RawOfficer[Tag_Utility])</f>
        <v>✅</v>
      </c>
      <c r="T176" s="429" t="str">
        <f t="array" ref="T176">XLOOKUP(LCARS_Off[AbilityID],RawOfficer[AbilityID],RawOfficer[OfficerSynergy])</f>
        <v>GLORY IN THE KILL</v>
      </c>
      <c r="U176" s="519" t="str">
        <f t="array" ref="U176">XLOOKUP(LCARS_Off[AbilityID],RawOfficer[AbilityID],RawOfficer[AbilityModifier])</f>
        <v>ImpulseSpeed</v>
      </c>
      <c r="V176" s="519" t="str">
        <f t="array" ref="V176">XLOOKUP(LCARS_Off[AbilityID],RawOfficer[AbilityID],RawOfficer[AbilityAttributes])</f>
        <v/>
      </c>
      <c r="W176" s="520" t="str">
        <f t="array" ref="W176">XLOOKUP(LCARS_Off[AbilityID],RawOfficer[AbilityID],RawOfficer[AbilityConditions])</f>
        <v/>
      </c>
      <c r="X176" s="519" t="str">
        <f t="array" ref="X176">XLOOKUP(LCARS_Off[AbilityID],RawOfficer[AbilityID],RawOfficer[AbilityTrigger])</f>
        <v>ShipLaunched</v>
      </c>
      <c r="Y176" s="519" t="str">
        <f t="array" ref="Y176">XLOOKUP(LCARS_Off[AbilityID],RawOfficer[AbilityID],RawOfficer[AbilityTarget])</f>
        <v>SelfShip</v>
      </c>
      <c r="Z176" s="519" t="str">
        <f t="array" ref="Z176">XLOOKUP(LCARS_Off[AbilityID],RawOfficer[AbilityID],RawOfficer[AbilityOperation])</f>
        <v>MultiplyAdd</v>
      </c>
      <c r="AA176" s="521" t="str">
        <f t="array" ref="AA176">XLOOKUP(LCARS_Off[AbilityID],RawOfficer[AbilityID],RawOfficer[AbilityDescription])</f>
        <v>Klaa increases the Impulse Speed of the ship by X.</v>
      </c>
      <c r="AB176" s="429" t="b">
        <v>0</v>
      </c>
      <c r="AC176" s="522" t="str">
        <f t="array" ref="AC176">XLOOKUP(LCARS_Off[AbilityID],RawOfficer[AbilityID],RawOfficer[AbilityDescriptionShort])</f>
        <v>+X to Impulse Speed</v>
      </c>
      <c r="AD176" s="523"/>
      <c r="AE176" s="524"/>
      <c r="AF176" s="524"/>
      <c r="AG176" s="525" t="str">
        <f t="array" ref="AG176">XLOOKUP(LCARS_Off[AbilityID],RawOfficer[AbilityID],RawOfficer[AbilityChances])</f>
        <v>1.0, 1.0, 1.0</v>
      </c>
      <c r="AH176" s="525" t="str">
        <f t="array" ref="AH176">XLOOKUP(LCARS_Off[AbilityID],RawOfficer[AbilityID],RawOfficer[AbilityValues])</f>
        <v>0.25, 0.03, 0.05</v>
      </c>
      <c r="AI176" s="428" t="b">
        <f t="array" ref="AI176">XLOOKUP(LCARS_Off[AbilityID],RawOfficer[AbilityID],RawOfficer[AbilityHasChance])</f>
        <v>0</v>
      </c>
      <c r="AJ176" s="428" t="b">
        <f t="array" ref="AJ176">XLOOKUP(LCARS_Off[AbilityID],RawOfficer[AbilityID],RawOfficer[AbilityShowPercentage])</f>
        <v>1</v>
      </c>
      <c r="AK176" s="429">
        <f t="array" ref="AK176">XLOOKUP(LCARS_Off[AbilityID],RawOfficer[AbilityID],RawOfficer[OfficerArt])</f>
        <v>77</v>
      </c>
      <c r="AL176" s="430">
        <v>2.580371455E9</v>
      </c>
      <c r="AM176" s="430">
        <f t="array" ref="AM176">XLOOKUP(LCARS_Off[AbilityID],RawOfficer[AbilityID],RawOfficer[Default Order])</f>
        <v>173</v>
      </c>
    </row>
    <row r="177">
      <c r="A177" s="429" t="str">
        <f t="array" ref="A177">LEFT(XLOOKUP(LCARS_Off[AbilityID],RawOfficer[AbilityID],RawOfficer[OfficerRarity]), 1)</f>
        <v>U</v>
      </c>
      <c r="B177" s="429"/>
      <c r="C177" s="514" t="str">
        <f t="array" ref="C177">HYPERLINK("https://stfc.space/officers/" &amp; XLOOKUP(LCARS_Off[AbilityID],RawOfficer[AbilityID],RawOfficer[OfficerId]), XLOOKUP(LCARS_Off[AbilityID],RawOfficer[AbilityID],RawOfficer[OfficerName]))</f>
        <v>KLAA</v>
      </c>
      <c r="D177" s="515" t="str">
        <f t="array" ref="D177">XLOOKUP(LCARS_Off[AbilityID],RawOfficer[AbilityID],RawOfficer[AbilityType])</f>
        <v>OA</v>
      </c>
      <c r="E177" s="516" t="str">
        <f t="array" ref="E177">XLOOKUP(LCARS_Off[AbilityID],RawOfficer[AbilityID],RawOfficer[Tag_PvPinSpace])</f>
        <v>✅</v>
      </c>
      <c r="F177" s="516" t="str">
        <f t="array" ref="F177">XLOOKUP(LCARS_Off[AbilityID],RawOfficer[AbilityID],RawOfficer[Tag_PvPStation])</f>
        <v>✅</v>
      </c>
      <c r="G177" s="516" t="str">
        <f t="array" ref="G177">XLOOKUP(LCARS_Off[AbilityID],RawOfficer[AbilityID],RawOfficer[Tag_NonArmadaHostiles])</f>
        <v>✅</v>
      </c>
      <c r="H177" s="516" t="str">
        <f t="array" ref="H177">XLOOKUP(LCARS_Off[AbilityID],RawOfficer[AbilityID],RawOfficer[Tag_WaveDefense])</f>
        <v>✅</v>
      </c>
      <c r="I177" s="516" t="str">
        <f t="array" ref="I177">XLOOKUP(LCARS_Off[AbilityID],RawOfficer[AbilityID],RawOfficer[Tag_QTrial])</f>
        <v>✅</v>
      </c>
      <c r="J177" s="516" t="str">
        <f t="array" ref="J177">XLOOKUP(LCARS_Off[AbilityID],RawOfficer[AbilityID],RawOfficer[Tag_MissionBosses])</f>
        <v>✅</v>
      </c>
      <c r="K177" s="516" t="str">
        <f t="array" ref="K177">XLOOKUP(LCARS_Off[AbilityID],RawOfficer[AbilityID],RawOfficer[Tag_GroupArmadas])</f>
        <v>✅</v>
      </c>
      <c r="L177" s="516" t="str">
        <f t="array" ref="L177">XLOOKUP(LCARS_Off[AbilityID],RawOfficer[AbilityID],RawOfficer[Tag_SoloArmadas])</f>
        <v>✅</v>
      </c>
      <c r="M177" s="516" t="str">
        <f t="array" ref="M177">XLOOKUP(LCARS_Off[AbilityID],RawOfficer[AbilityID],RawOfficer[Tag_InvadingEntities])</f>
        <v>✅</v>
      </c>
      <c r="N177" s="516" t="str">
        <f t="array" ref="N177">XLOOKUP(LCARS_Off[AbilityID],RawOfficer[AbilityID],RawOfficer[Tag_Assaults])</f>
        <v>✅</v>
      </c>
      <c r="O177" s="516" t="str">
        <f t="array" ref="O177">XLOOKUP(LCARS_Off[AbilityID],RawOfficer[AbilityID],RawOfficer[Tag_OutpostArmadas])</f>
        <v>✅</v>
      </c>
      <c r="P177" s="516" t="str">
        <f t="array" ref="P177">XLOOKUP(LCARS_Off[AbilityID],RawOfficer[AbilityID],RawOfficer[Tag_OutpostRetaliators])</f>
        <v>✅</v>
      </c>
      <c r="Q177" s="517" t="str">
        <f t="array" ref="Q177">XLOOKUP(LCARS_Off[AbilityID],RawOfficer[AbilityID],RawOfficer[Conditional_Reason])</f>
        <v/>
      </c>
      <c r="R177" s="518" t="str">
        <f t="array" ref="R177">XLOOKUP(LCARS_Off[AbilityID],RawOfficer[AbilityID],RawOfficer[Tag_Loot])</f>
        <v>➖</v>
      </c>
      <c r="S177" s="516" t="str">
        <f t="array" ref="S177">XLOOKUP(LCARS_Off[AbilityID],RawOfficer[AbilityID],RawOfficer[Tag_Utility])</f>
        <v>➖</v>
      </c>
      <c r="T177" s="429" t="str">
        <f t="array" ref="T177">XLOOKUP(LCARS_Off[AbilityID],RawOfficer[AbilityID],RawOfficer[OfficerSynergy])</f>
        <v>GLORY IN THE KILL</v>
      </c>
      <c r="U177" s="519" t="str">
        <f t="array" ref="U177">XLOOKUP(LCARS_Off[AbilityID],RawOfficer[AbilityID],RawOfficer[AbilityModifier])</f>
        <v>CritDamage</v>
      </c>
      <c r="V177" s="519" t="str">
        <f t="array" ref="V177">XLOOKUP(LCARS_Off[AbilityID],RawOfficer[AbilityID],RawOfficer[AbilityAttributes])</f>
        <v/>
      </c>
      <c r="W177" s="520" t="str">
        <f t="array" ref="W177">XLOOKUP(LCARS_Off[AbilityID],RawOfficer[AbilityID],RawOfficer[AbilityConditions])</f>
        <v/>
      </c>
      <c r="X177" s="519" t="str">
        <f t="array" ref="X177">XLOOKUP(LCARS_Off[AbilityID],RawOfficer[AbilityID],RawOfficer[AbilityTrigger])</f>
        <v>ShipLaunched</v>
      </c>
      <c r="Y177" s="519" t="str">
        <f t="array" ref="Y177">XLOOKUP(LCARS_Off[AbilityID],RawOfficer[AbilityID],RawOfficer[AbilityTarget])</f>
        <v>SelfShip</v>
      </c>
      <c r="Z177" s="519" t="str">
        <f t="array" ref="Z177">XLOOKUP(LCARS_Off[AbilityID],RawOfficer[AbilityID],RawOfficer[AbilityOperation])</f>
        <v>Add</v>
      </c>
      <c r="AA177" s="521" t="str">
        <f t="array" ref="AA177">XLOOKUP(LCARS_Off[AbilityID],RawOfficer[AbilityID],RawOfficer[AbilityDescription])</f>
        <v>Klaa increases the Critical Hit Damage of the ship by X.</v>
      </c>
      <c r="AB177" s="429" t="b">
        <v>0</v>
      </c>
      <c r="AC177" s="522" t="str">
        <f t="array" ref="AC177">XLOOKUP(LCARS_Off[AbilityID],RawOfficer[AbilityID],RawOfficer[AbilityDescriptionShort])</f>
        <v>+X to Critical Hit Damage</v>
      </c>
      <c r="AD177" s="523"/>
      <c r="AE177" s="524"/>
      <c r="AF177" s="524"/>
      <c r="AG177" s="525" t="str">
        <f t="array" ref="AG177">XLOOKUP(LCARS_Off[AbilityID],RawOfficer[AbilityID],RawOfficer[AbilityChances])</f>
        <v>1.0, 1.0, 1.0, 1.0, 1.0</v>
      </c>
      <c r="AH177" s="525" t="str">
        <f t="array" ref="AH177">XLOOKUP(LCARS_Off[AbilityID],RawOfficer[AbilityID],RawOfficer[AbilityValues])</f>
        <v>0.08, 0.1, 0.13, 0.17, 0.2</v>
      </c>
      <c r="AI177" s="428" t="b">
        <f t="array" ref="AI177">XLOOKUP(LCARS_Off[AbilityID],RawOfficer[AbilityID],RawOfficer[AbilityHasChance])</f>
        <v>0</v>
      </c>
      <c r="AJ177" s="428" t="b">
        <f t="array" ref="AJ177">XLOOKUP(LCARS_Off[AbilityID],RawOfficer[AbilityID],RawOfficer[AbilityShowPercentage])</f>
        <v>1</v>
      </c>
      <c r="AK177" s="429">
        <f t="array" ref="AK177">XLOOKUP(LCARS_Off[AbilityID],RawOfficer[AbilityID],RawOfficer[OfficerArt])</f>
        <v>77</v>
      </c>
      <c r="AL177" s="430">
        <v>1.433248203E9</v>
      </c>
      <c r="AM177" s="430">
        <f t="array" ref="AM177">XLOOKUP(LCARS_Off[AbilityID],RawOfficer[AbilityID],RawOfficer[Default Order])</f>
        <v>174</v>
      </c>
    </row>
    <row r="178">
      <c r="A178" s="429" t="str">
        <f t="array" ref="A178">LEFT(XLOOKUP(LCARS_Off[AbilityID],RawOfficer[AbilityID],RawOfficer[OfficerRarity]), 1)</f>
        <v>U</v>
      </c>
      <c r="B178" s="429"/>
      <c r="C178" s="514" t="str">
        <f t="array" ref="C178">HYPERLINK("https://stfc.space/officers/" &amp; XLOOKUP(LCARS_Off[AbilityID],RawOfficer[AbilityID],RawOfficer[OfficerId]), XLOOKUP(LCARS_Off[AbilityID],RawOfficer[AbilityID],RawOfficer[OfficerName]))</f>
        <v>VIXIS</v>
      </c>
      <c r="D178" s="515" t="str">
        <f t="array" ref="D178">XLOOKUP(LCARS_Off[AbilityID],RawOfficer[AbilityID],RawOfficer[AbilityType])</f>
        <v>CM</v>
      </c>
      <c r="E178" s="516" t="str">
        <f t="array" ref="E178">XLOOKUP(LCARS_Off[AbilityID],RawOfficer[AbilityID],RawOfficer[Tag_PvPinSpace])</f>
        <v>✅</v>
      </c>
      <c r="F178" s="516" t="str">
        <f t="array" ref="F178">XLOOKUP(LCARS_Off[AbilityID],RawOfficer[AbilityID],RawOfficer[Tag_PvPStation])</f>
        <v>✅</v>
      </c>
      <c r="G178" s="516" t="str">
        <f t="array" ref="G178">XLOOKUP(LCARS_Off[AbilityID],RawOfficer[AbilityID],RawOfficer[Tag_NonArmadaHostiles])</f>
        <v>✅</v>
      </c>
      <c r="H178" s="516" t="str">
        <f t="array" ref="H178">XLOOKUP(LCARS_Off[AbilityID],RawOfficer[AbilityID],RawOfficer[Tag_WaveDefense])</f>
        <v>✅</v>
      </c>
      <c r="I178" s="516" t="str">
        <f t="array" ref="I178">XLOOKUP(LCARS_Off[AbilityID],RawOfficer[AbilityID],RawOfficer[Tag_QTrial])</f>
        <v>✅</v>
      </c>
      <c r="J178" s="516" t="str">
        <f t="array" ref="J178">XLOOKUP(LCARS_Off[AbilityID],RawOfficer[AbilityID],RawOfficer[Tag_MissionBosses])</f>
        <v>✅</v>
      </c>
      <c r="K178" s="516" t="str">
        <f t="array" ref="K178">XLOOKUP(LCARS_Off[AbilityID],RawOfficer[AbilityID],RawOfficer[Tag_GroupArmadas])</f>
        <v>➖</v>
      </c>
      <c r="L178" s="516" t="str">
        <f t="array" ref="L178">XLOOKUP(LCARS_Off[AbilityID],RawOfficer[AbilityID],RawOfficer[Tag_SoloArmadas])</f>
        <v>➖</v>
      </c>
      <c r="M178" s="516" t="str">
        <f t="array" ref="M178">XLOOKUP(LCARS_Off[AbilityID],RawOfficer[AbilityID],RawOfficer[Tag_InvadingEntities])</f>
        <v>➖</v>
      </c>
      <c r="N178" s="516" t="str">
        <f t="array" ref="N178">XLOOKUP(LCARS_Off[AbilityID],RawOfficer[AbilityID],RawOfficer[Tag_Assaults])</f>
        <v>➖</v>
      </c>
      <c r="O178" s="516" t="str">
        <f t="array" ref="O178">XLOOKUP(LCARS_Off[AbilityID],RawOfficer[AbilityID],RawOfficer[Tag_OutpostArmadas])</f>
        <v>✅</v>
      </c>
      <c r="P178" s="516" t="str">
        <f t="array" ref="P178">XLOOKUP(LCARS_Off[AbilityID],RawOfficer[AbilityID],RawOfficer[Tag_OutpostRetaliators])</f>
        <v>✅</v>
      </c>
      <c r="Q178" s="517" t="str">
        <f t="array" ref="Q178">XLOOKUP(LCARS_Off[AbilityID],RawOfficer[AbilityID],RawOfficer[Conditional_Reason])</f>
        <v/>
      </c>
      <c r="R178" s="518" t="str">
        <f t="array" ref="R178">XLOOKUP(LCARS_Off[AbilityID],RawOfficer[AbilityID],RawOfficer[Tag_Loot])</f>
        <v>➖</v>
      </c>
      <c r="S178" s="516" t="str">
        <f t="array" ref="S178">XLOOKUP(LCARS_Off[AbilityID],RawOfficer[AbilityID],RawOfficer[Tag_Utility])</f>
        <v>➖</v>
      </c>
      <c r="T178" s="429" t="str">
        <f t="array" ref="T178">XLOOKUP(LCARS_Off[AbilityID],RawOfficer[AbilityID],RawOfficer[OfficerSynergy])</f>
        <v>GLORY IN THE KILL</v>
      </c>
      <c r="U178" s="519" t="str">
        <f t="array" ref="U178">XLOOKUP(LCARS_Off[AbilityID],RawOfficer[AbilityID],RawOfficer[AbilityModifier])</f>
        <v>AllReloadSpeed</v>
      </c>
      <c r="V178" s="519" t="str">
        <f t="array" ref="V178">XLOOKUP(LCARS_Off[AbilityID],RawOfficer[AbilityID],RawOfficer[AbilityAttributes])</f>
        <v>num_rounds=2</v>
      </c>
      <c r="W178" s="520" t="str">
        <f t="array" ref="W178">XLOOKUP(LCARS_Off[AbilityID],RawOfficer[AbilityID],RawOfficer[AbilityConditions])</f>
        <v>TargetNotArmada, TargetNotASB</v>
      </c>
      <c r="X178" s="519" t="str">
        <f t="array" ref="X178">XLOOKUP(LCARS_Off[AbilityID],RawOfficer[AbilityID],RawOfficer[AbilityTrigger])</f>
        <v>RoundStart</v>
      </c>
      <c r="Y178" s="519" t="str">
        <f t="array" ref="Y178">XLOOKUP(LCARS_Off[AbilityID],RawOfficer[AbilityID],RawOfficer[AbilityTarget])</f>
        <v>EnemyShip</v>
      </c>
      <c r="Z178" s="519" t="str">
        <f t="array" ref="Z178">XLOOKUP(LCARS_Off[AbilityID],RawOfficer[AbilityID],RawOfficer[AbilityOperation])</f>
        <v>Add</v>
      </c>
      <c r="AA178" s="521" t="str">
        <f t="array" ref="AA178">XLOOKUP(LCARS_Off[AbilityID],RawOfficer[AbilityID],RawOfficer[AbilityDescription])</f>
        <v>At the beginning of each round, Vixis has a X chance of delaying the opponent Weapon Fire by one round.</v>
      </c>
      <c r="AB178" s="429" t="b">
        <v>0</v>
      </c>
      <c r="AC178" s="522" t="str">
        <f t="array" ref="AC178">XLOOKUP(LCARS_Off[AbilityID],RawOfficer[AbilityID],RawOfficer[AbilityDescriptionShort])</f>
        <v>X chance to delay opponent's Weapons each round for 1 round</v>
      </c>
      <c r="AD178" s="523"/>
      <c r="AE178" s="524"/>
      <c r="AF178" s="524"/>
      <c r="AG178" s="525" t="str">
        <f t="array" ref="AG178">XLOOKUP(LCARS_Off[AbilityID],RawOfficer[AbilityID],RawOfficer[AbilityChances])</f>
        <v>0.06, 0.01, 0.02</v>
      </c>
      <c r="AH178" s="525" t="str">
        <f t="array" ref="AH178">XLOOKUP(LCARS_Off[AbilityID],RawOfficer[AbilityID],RawOfficer[AbilityValues])</f>
        <v>1.0, 0.0, 0.0</v>
      </c>
      <c r="AI178" s="428" t="b">
        <f t="array" ref="AI178">XLOOKUP(LCARS_Off[AbilityID],RawOfficer[AbilityID],RawOfficer[AbilityHasChance])</f>
        <v>1</v>
      </c>
      <c r="AJ178" s="428" t="b">
        <f t="array" ref="AJ178">XLOOKUP(LCARS_Off[AbilityID],RawOfficer[AbilityID],RawOfficer[AbilityShowPercentage])</f>
        <v>1</v>
      </c>
      <c r="AK178" s="429">
        <f t="array" ref="AK178">XLOOKUP(LCARS_Off[AbilityID],RawOfficer[AbilityID],RawOfficer[OfficerArt])</f>
        <v>78</v>
      </c>
      <c r="AL178" s="430">
        <v>3.053788649E9</v>
      </c>
      <c r="AM178" s="430">
        <f t="array" ref="AM178">XLOOKUP(LCARS_Off[AbilityID],RawOfficer[AbilityID],RawOfficer[Default Order])</f>
        <v>175</v>
      </c>
    </row>
    <row r="179">
      <c r="A179" s="429" t="str">
        <f t="array" ref="A179">LEFT(XLOOKUP(LCARS_Off[AbilityID],RawOfficer[AbilityID],RawOfficer[OfficerRarity]), 1)</f>
        <v>U</v>
      </c>
      <c r="B179" s="429"/>
      <c r="C179" s="514" t="str">
        <f t="array" ref="C179">HYPERLINK("https://stfc.space/officers/" &amp; XLOOKUP(LCARS_Off[AbilityID],RawOfficer[AbilityID],RawOfficer[OfficerId]), XLOOKUP(LCARS_Off[AbilityID],RawOfficer[AbilityID],RawOfficer[OfficerName]))</f>
        <v>VIXIS</v>
      </c>
      <c r="D179" s="515" t="str">
        <f t="array" ref="D179">XLOOKUP(LCARS_Off[AbilityID],RawOfficer[AbilityID],RawOfficer[AbilityType])</f>
        <v>OA</v>
      </c>
      <c r="E179" s="516" t="str">
        <f t="array" ref="E179">XLOOKUP(LCARS_Off[AbilityID],RawOfficer[AbilityID],RawOfficer[Tag_PvPinSpace])</f>
        <v>✴️</v>
      </c>
      <c r="F179" s="516" t="str">
        <f t="array" ref="F179">XLOOKUP(LCARS_Off[AbilityID],RawOfficer[AbilityID],RawOfficer[Tag_PvPStation])</f>
        <v>✴️</v>
      </c>
      <c r="G179" s="516" t="str">
        <f t="array" ref="G179">XLOOKUP(LCARS_Off[AbilityID],RawOfficer[AbilityID],RawOfficer[Tag_NonArmadaHostiles])</f>
        <v>➖</v>
      </c>
      <c r="H179" s="516" t="str">
        <f t="array" ref="H179">XLOOKUP(LCARS_Off[AbilityID],RawOfficer[AbilityID],RawOfficer[Tag_WaveDefense])</f>
        <v>➖</v>
      </c>
      <c r="I179" s="516" t="str">
        <f t="array" ref="I179">XLOOKUP(LCARS_Off[AbilityID],RawOfficer[AbilityID],RawOfficer[Tag_QTrial])</f>
        <v>➖</v>
      </c>
      <c r="J179" s="516" t="str">
        <f t="array" ref="J179">XLOOKUP(LCARS_Off[AbilityID],RawOfficer[AbilityID],RawOfficer[Tag_MissionBosses])</f>
        <v>➖</v>
      </c>
      <c r="K179" s="516" t="str">
        <f t="array" ref="K179">XLOOKUP(LCARS_Off[AbilityID],RawOfficer[AbilityID],RawOfficer[Tag_GroupArmadas])</f>
        <v>➖</v>
      </c>
      <c r="L179" s="516" t="str">
        <f t="array" ref="L179">XLOOKUP(LCARS_Off[AbilityID],RawOfficer[AbilityID],RawOfficer[Tag_SoloArmadas])</f>
        <v>➖</v>
      </c>
      <c r="M179" s="516" t="str">
        <f t="array" ref="M179">XLOOKUP(LCARS_Off[AbilityID],RawOfficer[AbilityID],RawOfficer[Tag_InvadingEntities])</f>
        <v>➖</v>
      </c>
      <c r="N179" s="516" t="str">
        <f t="array" ref="N179">XLOOKUP(LCARS_Off[AbilityID],RawOfficer[AbilityID],RawOfficer[Tag_Assaults])</f>
        <v>➖</v>
      </c>
      <c r="O179" s="516" t="str">
        <f t="array" ref="O179">XLOOKUP(LCARS_Off[AbilityID],RawOfficer[AbilityID],RawOfficer[Tag_OutpostArmadas])</f>
        <v>➖</v>
      </c>
      <c r="P179" s="516" t="str">
        <f t="array" ref="P179">XLOOKUP(LCARS_Off[AbilityID],RawOfficer[AbilityID],RawOfficer[Tag_OutpostRetaliators])</f>
        <v>➖</v>
      </c>
      <c r="Q179" s="517" t="str">
        <f t="array" ref="Q179">XLOOKUP(LCARS_Off[AbilityID],RawOfficer[AbilityID],RawOfficer[Conditional_Reason])</f>
        <v>ModuleEnergy</v>
      </c>
      <c r="R179" s="518" t="str">
        <f t="array" ref="R179">XLOOKUP(LCARS_Off[AbilityID],RawOfficer[AbilityID],RawOfficer[Tag_Loot])</f>
        <v>➖</v>
      </c>
      <c r="S179" s="516" t="str">
        <f t="array" ref="S179">XLOOKUP(LCARS_Off[AbilityID],RawOfficer[AbilityID],RawOfficer[Tag_Utility])</f>
        <v>➖</v>
      </c>
      <c r="T179" s="429" t="str">
        <f t="array" ref="T179">XLOOKUP(LCARS_Off[AbilityID],RawOfficer[AbilityID],RawOfficer[OfficerSynergy])</f>
        <v>GLORY IN THE KILL</v>
      </c>
      <c r="U179" s="519" t="str">
        <f t="array" ref="U179">XLOOKUP(LCARS_Off[AbilityID],RawOfficer[AbilityID],RawOfficer[AbilityModifier])</f>
        <v>AllDamage</v>
      </c>
      <c r="V179" s="519" t="str">
        <f t="array" ref="V179">XLOOKUP(LCARS_Off[AbilityID],RawOfficer[AbilityID],RawOfficer[AbilityAttributes])</f>
        <v/>
      </c>
      <c r="W179" s="520" t="str">
        <f t="array" ref="W179">XLOOKUP(LCARS_Off[AbilityID],RawOfficer[AbilityID],RawOfficer[AbilityConditions])</f>
        <v>EnemyPlayer, ModuleEnergy</v>
      </c>
      <c r="X179" s="519" t="str">
        <f t="array" ref="X179">XLOOKUP(LCARS_Off[AbilityID],RawOfficer[AbilityID],RawOfficer[AbilityTrigger])</f>
        <v>CombatStart</v>
      </c>
      <c r="Y179" s="519" t="str">
        <f t="array" ref="Y179">XLOOKUP(LCARS_Off[AbilityID],RawOfficer[AbilityID],RawOfficer[AbilityTarget])</f>
        <v>EnemyShip</v>
      </c>
      <c r="Z179" s="519" t="str">
        <f t="array" ref="Z179">XLOOKUP(LCARS_Off[AbilityID],RawOfficer[AbilityID],RawOfficer[AbilityOperation])</f>
        <v>MultiplySub</v>
      </c>
      <c r="AA179" s="521" t="str">
        <f t="array" ref="AA179">XLOOKUP(LCARS_Off[AbilityID],RawOfficer[AbilityID],RawOfficer[AbilityDescription])</f>
        <v>Vixis decreases the Energy Weapon Damage of opponent players by X.</v>
      </c>
      <c r="AB179" s="429" t="b">
        <v>0</v>
      </c>
      <c r="AC179" s="522" t="str">
        <f t="array" ref="AC179">XLOOKUP(LCARS_Off[AbilityID],RawOfficer[AbilityID],RawOfficer[AbilityDescriptionShort])</f>
        <v>-X less Energy Damage from player enemies</v>
      </c>
      <c r="AD179" s="523"/>
      <c r="AE179" s="524"/>
      <c r="AF179" s="524"/>
      <c r="AG179" s="525" t="str">
        <f t="array" ref="AG179">XLOOKUP(LCARS_Off[AbilityID],RawOfficer[AbilityID],RawOfficer[AbilityChances])</f>
        <v>1.0, 1.0, 1.0, 1.0, 1.0</v>
      </c>
      <c r="AH179" s="525" t="str">
        <f t="array" ref="AH179">XLOOKUP(LCARS_Off[AbilityID],RawOfficer[AbilityID],RawOfficer[AbilityValues])</f>
        <v>0.1, 0.12, 0.15, 0.2, 0.3</v>
      </c>
      <c r="AI179" s="428" t="b">
        <f t="array" ref="AI179">XLOOKUP(LCARS_Off[AbilityID],RawOfficer[AbilityID],RawOfficer[AbilityHasChance])</f>
        <v>0</v>
      </c>
      <c r="AJ179" s="428" t="b">
        <f t="array" ref="AJ179">XLOOKUP(LCARS_Off[AbilityID],RawOfficer[AbilityID],RawOfficer[AbilityShowPercentage])</f>
        <v>1</v>
      </c>
      <c r="AK179" s="429">
        <f t="array" ref="AK179">XLOOKUP(LCARS_Off[AbilityID],RawOfficer[AbilityID],RawOfficer[OfficerArt])</f>
        <v>78</v>
      </c>
      <c r="AL179" s="430">
        <v>3.174366498E9</v>
      </c>
      <c r="AM179" s="430">
        <f t="array" ref="AM179">XLOOKUP(LCARS_Off[AbilityID],RawOfficer[AbilityID],RawOfficer[Default Order])</f>
        <v>176</v>
      </c>
    </row>
    <row r="180">
      <c r="A180" s="429" t="str">
        <f t="array" ref="A180">LEFT(XLOOKUP(LCARS_Off[AbilityID],RawOfficer[AbilityID],RawOfficer[OfficerRarity]), 1)</f>
        <v>C</v>
      </c>
      <c r="B180" s="429"/>
      <c r="C180" s="514" t="str">
        <f t="array" ref="C180">HYPERLINK("https://stfc.space/officers/" &amp; XLOOKUP(LCARS_Off[AbilityID],RawOfficer[AbilityID],RawOfficer[OfficerId]), XLOOKUP(LCARS_Off[AbilityID],RawOfficer[AbilityID],RawOfficer[OfficerName]))</f>
        <v>CADET KIRK</v>
      </c>
      <c r="D180" s="515" t="str">
        <f t="array" ref="D180">XLOOKUP(LCARS_Off[AbilityID],RawOfficer[AbilityID],RawOfficer[AbilityType])</f>
        <v>CM</v>
      </c>
      <c r="E180" s="516" t="str">
        <f t="array" ref="E180">XLOOKUP(LCARS_Off[AbilityID],RawOfficer[AbilityID],RawOfficer[Tag_PvPinSpace])</f>
        <v>✅</v>
      </c>
      <c r="F180" s="516" t="str">
        <f t="array" ref="F180">XLOOKUP(LCARS_Off[AbilityID],RawOfficer[AbilityID],RawOfficer[Tag_PvPStation])</f>
        <v>✅</v>
      </c>
      <c r="G180" s="516" t="str">
        <f t="array" ref="G180">XLOOKUP(LCARS_Off[AbilityID],RawOfficer[AbilityID],RawOfficer[Tag_NonArmadaHostiles])</f>
        <v>✅</v>
      </c>
      <c r="H180" s="516" t="str">
        <f t="array" ref="H180">XLOOKUP(LCARS_Off[AbilityID],RawOfficer[AbilityID],RawOfficer[Tag_WaveDefense])</f>
        <v>✅</v>
      </c>
      <c r="I180" s="516" t="str">
        <f t="array" ref="I180">XLOOKUP(LCARS_Off[AbilityID],RawOfficer[AbilityID],RawOfficer[Tag_QTrial])</f>
        <v>✅</v>
      </c>
      <c r="J180" s="516" t="str">
        <f t="array" ref="J180">XLOOKUP(LCARS_Off[AbilityID],RawOfficer[AbilityID],RawOfficer[Tag_MissionBosses])</f>
        <v>✅</v>
      </c>
      <c r="K180" s="516" t="str">
        <f t="array" ref="K180">XLOOKUP(LCARS_Off[AbilityID],RawOfficer[AbilityID],RawOfficer[Tag_GroupArmadas])</f>
        <v>✅</v>
      </c>
      <c r="L180" s="516" t="str">
        <f t="array" ref="L180">XLOOKUP(LCARS_Off[AbilityID],RawOfficer[AbilityID],RawOfficer[Tag_SoloArmadas])</f>
        <v>✅</v>
      </c>
      <c r="M180" s="516" t="str">
        <f t="array" ref="M180">XLOOKUP(LCARS_Off[AbilityID],RawOfficer[AbilityID],RawOfficer[Tag_InvadingEntities])</f>
        <v>✅</v>
      </c>
      <c r="N180" s="516" t="str">
        <f t="array" ref="N180">XLOOKUP(LCARS_Off[AbilityID],RawOfficer[AbilityID],RawOfficer[Tag_Assaults])</f>
        <v>✅</v>
      </c>
      <c r="O180" s="516" t="str">
        <f t="array" ref="O180">XLOOKUP(LCARS_Off[AbilityID],RawOfficer[AbilityID],RawOfficer[Tag_OutpostArmadas])</f>
        <v>✅</v>
      </c>
      <c r="P180" s="516" t="str">
        <f t="array" ref="P180">XLOOKUP(LCARS_Off[AbilityID],RawOfficer[AbilityID],RawOfficer[Tag_OutpostRetaliators])</f>
        <v>✅</v>
      </c>
      <c r="Q180" s="517" t="str">
        <f t="array" ref="Q180">XLOOKUP(LCARS_Off[AbilityID],RawOfficer[AbilityID],RawOfficer[Conditional_Reason])</f>
        <v/>
      </c>
      <c r="R180" s="518" t="str">
        <f t="array" ref="R180">XLOOKUP(LCARS_Off[AbilityID],RawOfficer[AbilityID],RawOfficer[Tag_Loot])</f>
        <v>➖</v>
      </c>
      <c r="S180" s="516" t="str">
        <f t="array" ref="S180">XLOOKUP(LCARS_Off[AbilityID],RawOfficer[AbilityID],RawOfficer[Tag_Utility])</f>
        <v>➖</v>
      </c>
      <c r="T180" s="429" t="str">
        <f t="array" ref="T180">XLOOKUP(LCARS_Off[AbilityID],RawOfficer[AbilityID],RawOfficer[OfficerSynergy])</f>
        <v>ANOTHER TIME</v>
      </c>
      <c r="U180" s="519" t="str">
        <f t="array" ref="U180">XLOOKUP(LCARS_Off[AbilityID],RawOfficer[AbilityID],RawOfficer[AbilityModifier])</f>
        <v>OfficerStatAll</v>
      </c>
      <c r="V180" s="519" t="str">
        <f t="array" ref="V180">XLOOKUP(LCARS_Off[AbilityID],RawOfficer[AbilityID],RawOfficer[AbilityAttributes])</f>
        <v/>
      </c>
      <c r="W180" s="520" t="str">
        <f t="array" ref="W180">XLOOKUP(LCARS_Off[AbilityID],RawOfficer[AbilityID],RawOfficer[AbilityConditions])</f>
        <v/>
      </c>
      <c r="X180" s="519" t="str">
        <f t="array" ref="X180">XLOOKUP(LCARS_Off[AbilityID],RawOfficer[AbilityID],RawOfficer[AbilityTrigger])</f>
        <v>ShipLaunched</v>
      </c>
      <c r="Y180" s="519" t="str">
        <f t="array" ref="Y180">XLOOKUP(LCARS_Off[AbilityID],RawOfficer[AbilityID],RawOfficer[AbilityTarget])</f>
        <v>SelfBridge</v>
      </c>
      <c r="Z180" s="519" t="str">
        <f t="array" ref="Z180">XLOOKUP(LCARS_Off[AbilityID],RawOfficer[AbilityID],RawOfficer[AbilityOperation])</f>
        <v>MultiplyAdd</v>
      </c>
      <c r="AA180" s="521" t="str">
        <f t="array" ref="AA180">XLOOKUP(LCARS_Off[AbilityID],RawOfficer[AbilityID],RawOfficer[AbilityDescription])</f>
        <v>Cadet Kirk increases the Attack, Defense and Health of all Officers on the Bridge by X.</v>
      </c>
      <c r="AB180" s="429" t="b">
        <v>0</v>
      </c>
      <c r="AC180" s="522" t="str">
        <f t="array" ref="AC180">XLOOKUP(LCARS_Off[AbilityID],RawOfficer[AbilityID],RawOfficer[AbilityDescriptionShort])</f>
        <v>+X to all Officer stats on the Bridge</v>
      </c>
      <c r="AD180" s="523"/>
      <c r="AE180" s="524"/>
      <c r="AF180" s="524"/>
      <c r="AG180" s="525" t="str">
        <f t="array" ref="AG180">XLOOKUP(LCARS_Off[AbilityID],RawOfficer[AbilityID],RawOfficer[AbilityChances])</f>
        <v>1.0, 1.0, 1.0</v>
      </c>
      <c r="AH180" s="525" t="str">
        <f t="array" ref="AH180">XLOOKUP(LCARS_Off[AbilityID],RawOfficer[AbilityID],RawOfficer[AbilityValues])</f>
        <v>0.08, 0.03, 0.06</v>
      </c>
      <c r="AI180" s="428" t="b">
        <f t="array" ref="AI180">XLOOKUP(LCARS_Off[AbilityID],RawOfficer[AbilityID],RawOfficer[AbilityHasChance])</f>
        <v>0</v>
      </c>
      <c r="AJ180" s="428" t="b">
        <f t="array" ref="AJ180">XLOOKUP(LCARS_Off[AbilityID],RawOfficer[AbilityID],RawOfficer[AbilityShowPercentage])</f>
        <v>1</v>
      </c>
      <c r="AK180" s="429">
        <f t="array" ref="AK180">XLOOKUP(LCARS_Off[AbilityID],RawOfficer[AbilityID],RawOfficer[OfficerArt])</f>
        <v>83</v>
      </c>
      <c r="AL180" s="430">
        <v>2.369873168E9</v>
      </c>
      <c r="AM180" s="430">
        <f t="array" ref="AM180">XLOOKUP(LCARS_Off[AbilityID],RawOfficer[AbilityID],RawOfficer[Default Order])</f>
        <v>177</v>
      </c>
    </row>
    <row r="181">
      <c r="A181" s="429" t="str">
        <f t="array" ref="A181">LEFT(XLOOKUP(LCARS_Off[AbilityID],RawOfficer[AbilityID],RawOfficer[OfficerRarity]), 1)</f>
        <v>C</v>
      </c>
      <c r="B181" s="429"/>
      <c r="C181" s="514" t="str">
        <f t="array" ref="C181">HYPERLINK("https://stfc.space/officers/" &amp; XLOOKUP(LCARS_Off[AbilityID],RawOfficer[AbilityID],RawOfficer[OfficerId]), XLOOKUP(LCARS_Off[AbilityID],RawOfficer[AbilityID],RawOfficer[OfficerName]))</f>
        <v>CADET KIRK</v>
      </c>
      <c r="D181" s="515" t="str">
        <f t="array" ref="D181">XLOOKUP(LCARS_Off[AbilityID],RawOfficer[AbilityID],RawOfficer[AbilityType])</f>
        <v>OA</v>
      </c>
      <c r="E181" s="516" t="str">
        <f t="array" ref="E181">XLOOKUP(LCARS_Off[AbilityID],RawOfficer[AbilityID],RawOfficer[Tag_PvPinSpace])</f>
        <v>✅</v>
      </c>
      <c r="F181" s="516" t="str">
        <f t="array" ref="F181">XLOOKUP(LCARS_Off[AbilityID],RawOfficer[AbilityID],RawOfficer[Tag_PvPStation])</f>
        <v>✅</v>
      </c>
      <c r="G181" s="516" t="str">
        <f t="array" ref="G181">XLOOKUP(LCARS_Off[AbilityID],RawOfficer[AbilityID],RawOfficer[Tag_NonArmadaHostiles])</f>
        <v>✅</v>
      </c>
      <c r="H181" s="516" t="str">
        <f t="array" ref="H181">XLOOKUP(LCARS_Off[AbilityID],RawOfficer[AbilityID],RawOfficer[Tag_WaveDefense])</f>
        <v>✅</v>
      </c>
      <c r="I181" s="516" t="str">
        <f t="array" ref="I181">XLOOKUP(LCARS_Off[AbilityID],RawOfficer[AbilityID],RawOfficer[Tag_QTrial])</f>
        <v>✅</v>
      </c>
      <c r="J181" s="516" t="str">
        <f t="array" ref="J181">XLOOKUP(LCARS_Off[AbilityID],RawOfficer[AbilityID],RawOfficer[Tag_MissionBosses])</f>
        <v>✅</v>
      </c>
      <c r="K181" s="516" t="str">
        <f t="array" ref="K181">XLOOKUP(LCARS_Off[AbilityID],RawOfficer[AbilityID],RawOfficer[Tag_GroupArmadas])</f>
        <v>✅</v>
      </c>
      <c r="L181" s="516" t="str">
        <f t="array" ref="L181">XLOOKUP(LCARS_Off[AbilityID],RawOfficer[AbilityID],RawOfficer[Tag_SoloArmadas])</f>
        <v>✅</v>
      </c>
      <c r="M181" s="516" t="str">
        <f t="array" ref="M181">XLOOKUP(LCARS_Off[AbilityID],RawOfficer[AbilityID],RawOfficer[Tag_InvadingEntities])</f>
        <v>✅</v>
      </c>
      <c r="N181" s="516" t="str">
        <f t="array" ref="N181">XLOOKUP(LCARS_Off[AbilityID],RawOfficer[AbilityID],RawOfficer[Tag_Assaults])</f>
        <v>✅</v>
      </c>
      <c r="O181" s="516" t="str">
        <f t="array" ref="O181">XLOOKUP(LCARS_Off[AbilityID],RawOfficer[AbilityID],RawOfficer[Tag_OutpostArmadas])</f>
        <v>✅</v>
      </c>
      <c r="P181" s="516" t="str">
        <f t="array" ref="P181">XLOOKUP(LCARS_Off[AbilityID],RawOfficer[AbilityID],RawOfficer[Tag_OutpostRetaliators])</f>
        <v>✅</v>
      </c>
      <c r="Q181" s="517" t="str">
        <f t="array" ref="Q181">XLOOKUP(LCARS_Off[AbilityID],RawOfficer[AbilityID],RawOfficer[Conditional_Reason])</f>
        <v/>
      </c>
      <c r="R181" s="518" t="str">
        <f t="array" ref="R181">XLOOKUP(LCARS_Off[AbilityID],RawOfficer[AbilityID],RawOfficer[Tag_Loot])</f>
        <v>➖</v>
      </c>
      <c r="S181" s="516" t="str">
        <f t="array" ref="S181">XLOOKUP(LCARS_Off[AbilityID],RawOfficer[AbilityID],RawOfficer[Tag_Utility])</f>
        <v>➖</v>
      </c>
      <c r="T181" s="429" t="str">
        <f t="array" ref="T181">XLOOKUP(LCARS_Off[AbilityID],RawOfficer[AbilityID],RawOfficer[OfficerSynergy])</f>
        <v>ANOTHER TIME</v>
      </c>
      <c r="U181" s="519" t="str">
        <f t="array" ref="U181">XLOOKUP(LCARS_Off[AbilityID],RawOfficer[AbilityID],RawOfficer[AbilityModifier])</f>
        <v>AllDamage</v>
      </c>
      <c r="V181" s="519" t="str">
        <f t="array" ref="V181">XLOOKUP(LCARS_Off[AbilityID],RawOfficer[AbilityID],RawOfficer[AbilityAttributes])</f>
        <v/>
      </c>
      <c r="W181" s="520" t="str">
        <f t="array" ref="W181">XLOOKUP(LCARS_Off[AbilityID],RawOfficer[AbilityID],RawOfficer[AbilityConditions])</f>
        <v/>
      </c>
      <c r="X181" s="519" t="str">
        <f t="array" ref="X181">XLOOKUP(LCARS_Off[AbilityID],RawOfficer[AbilityID],RawOfficer[AbilityTrigger])</f>
        <v>ShipLaunched</v>
      </c>
      <c r="Y181" s="519" t="str">
        <f t="array" ref="Y181">XLOOKUP(LCARS_Off[AbilityID],RawOfficer[AbilityID],RawOfficer[AbilityTarget])</f>
        <v>SelfShip</v>
      </c>
      <c r="Z181" s="519" t="str">
        <f t="array" ref="Z181">XLOOKUP(LCARS_Off[AbilityID],RawOfficer[AbilityID],RawOfficer[AbilityOperation])</f>
        <v>MultiplyAdd</v>
      </c>
      <c r="AA181" s="521" t="str">
        <f t="array" ref="AA181">XLOOKUP(LCARS_Off[AbilityID],RawOfficer[AbilityID],RawOfficer[AbilityDescription])</f>
        <v>Kirk increases the Weapon damage of the ship by X.</v>
      </c>
      <c r="AB181" s="429" t="b">
        <v>0</v>
      </c>
      <c r="AC181" s="522" t="str">
        <f t="array" ref="AC181">XLOOKUP(LCARS_Off[AbilityID],RawOfficer[AbilityID],RawOfficer[AbilityDescriptionShort])</f>
        <v>+X to Weapon Damage</v>
      </c>
      <c r="AD181" s="523"/>
      <c r="AE181" s="524"/>
      <c r="AF181" s="524"/>
      <c r="AG181" s="525" t="str">
        <f t="array" ref="AG181">XLOOKUP(LCARS_Off[AbilityID],RawOfficer[AbilityID],RawOfficer[AbilityChances])</f>
        <v>1.0, 1.0, 1.0, 1.0, 1.0</v>
      </c>
      <c r="AH181" s="525" t="str">
        <f t="array" ref="AH181">XLOOKUP(LCARS_Off[AbilityID],RawOfficer[AbilityID],RawOfficer[AbilityValues])</f>
        <v>0.05, 0.08, 0.12, 0.15, 0.2</v>
      </c>
      <c r="AI181" s="428" t="b">
        <f t="array" ref="AI181">XLOOKUP(LCARS_Off[AbilityID],RawOfficer[AbilityID],RawOfficer[AbilityHasChance])</f>
        <v>0</v>
      </c>
      <c r="AJ181" s="428" t="b">
        <f t="array" ref="AJ181">XLOOKUP(LCARS_Off[AbilityID],RawOfficer[AbilityID],RawOfficer[AbilityShowPercentage])</f>
        <v>1</v>
      </c>
      <c r="AK181" s="429">
        <f t="array" ref="AK181">XLOOKUP(LCARS_Off[AbilityID],RawOfficer[AbilityID],RawOfficer[OfficerArt])</f>
        <v>83</v>
      </c>
      <c r="AL181" s="430">
        <v>3.200446473E9</v>
      </c>
      <c r="AM181" s="430">
        <f t="array" ref="AM181">XLOOKUP(LCARS_Off[AbilityID],RawOfficer[AbilityID],RawOfficer[Default Order])</f>
        <v>178</v>
      </c>
    </row>
    <row r="182">
      <c r="A182" s="429" t="str">
        <f t="array" ref="A182">LEFT(XLOOKUP(LCARS_Off[AbilityID],RawOfficer[AbilityID],RawOfficer[OfficerRarity]), 1)</f>
        <v>C</v>
      </c>
      <c r="B182" s="429"/>
      <c r="C182" s="514" t="str">
        <f t="array" ref="C182">HYPERLINK("https://stfc.space/officers/" &amp; XLOOKUP(LCARS_Off[AbilityID],RawOfficer[AbilityID],RawOfficer[OfficerId]), XLOOKUP(LCARS_Off[AbilityID],RawOfficer[AbilityID],RawOfficer[OfficerName]))</f>
        <v>INSTR. SPOCK</v>
      </c>
      <c r="D182" s="515" t="str">
        <f t="array" ref="D182">XLOOKUP(LCARS_Off[AbilityID],RawOfficer[AbilityID],RawOfficer[AbilityType])</f>
        <v>CM</v>
      </c>
      <c r="E182" s="516" t="str">
        <f t="array" ref="E182">XLOOKUP(LCARS_Off[AbilityID],RawOfficer[AbilityID],RawOfficer[Tag_PvPinSpace])</f>
        <v>✅</v>
      </c>
      <c r="F182" s="516" t="str">
        <f t="array" ref="F182">XLOOKUP(LCARS_Off[AbilityID],RawOfficer[AbilityID],RawOfficer[Tag_PvPStation])</f>
        <v>✅</v>
      </c>
      <c r="G182" s="516" t="str">
        <f t="array" ref="G182">XLOOKUP(LCARS_Off[AbilityID],RawOfficer[AbilityID],RawOfficer[Tag_NonArmadaHostiles])</f>
        <v>✅</v>
      </c>
      <c r="H182" s="516" t="str">
        <f t="array" ref="H182">XLOOKUP(LCARS_Off[AbilityID],RawOfficer[AbilityID],RawOfficer[Tag_WaveDefense])</f>
        <v>✅</v>
      </c>
      <c r="I182" s="516" t="str">
        <f t="array" ref="I182">XLOOKUP(LCARS_Off[AbilityID],RawOfficer[AbilityID],RawOfficer[Tag_QTrial])</f>
        <v>✅</v>
      </c>
      <c r="J182" s="516" t="str">
        <f t="array" ref="J182">XLOOKUP(LCARS_Off[AbilityID],RawOfficer[AbilityID],RawOfficer[Tag_MissionBosses])</f>
        <v>✅</v>
      </c>
      <c r="K182" s="516" t="str">
        <f t="array" ref="K182">XLOOKUP(LCARS_Off[AbilityID],RawOfficer[AbilityID],RawOfficer[Tag_GroupArmadas])</f>
        <v>✅</v>
      </c>
      <c r="L182" s="516" t="str">
        <f t="array" ref="L182">XLOOKUP(LCARS_Off[AbilityID],RawOfficer[AbilityID],RawOfficer[Tag_SoloArmadas])</f>
        <v>✅</v>
      </c>
      <c r="M182" s="516" t="str">
        <f t="array" ref="M182">XLOOKUP(LCARS_Off[AbilityID],RawOfficer[AbilityID],RawOfficer[Tag_InvadingEntities])</f>
        <v>✅</v>
      </c>
      <c r="N182" s="516" t="str">
        <f t="array" ref="N182">XLOOKUP(LCARS_Off[AbilityID],RawOfficer[AbilityID],RawOfficer[Tag_Assaults])</f>
        <v>✅</v>
      </c>
      <c r="O182" s="516" t="str">
        <f t="array" ref="O182">XLOOKUP(LCARS_Off[AbilityID],RawOfficer[AbilityID],RawOfficer[Tag_OutpostArmadas])</f>
        <v>✅</v>
      </c>
      <c r="P182" s="516" t="str">
        <f t="array" ref="P182">XLOOKUP(LCARS_Off[AbilityID],RawOfficer[AbilityID],RawOfficer[Tag_OutpostRetaliators])</f>
        <v>✅</v>
      </c>
      <c r="Q182" s="517" t="str">
        <f t="array" ref="Q182">XLOOKUP(LCARS_Off[AbilityID],RawOfficer[AbilityID],RawOfficer[Conditional_Reason])</f>
        <v/>
      </c>
      <c r="R182" s="518" t="str">
        <f t="array" ref="R182">XLOOKUP(LCARS_Off[AbilityID],RawOfficer[AbilityID],RawOfficer[Tag_Loot])</f>
        <v>➖</v>
      </c>
      <c r="S182" s="516" t="str">
        <f t="array" ref="S182">XLOOKUP(LCARS_Off[AbilityID],RawOfficer[AbilityID],RawOfficer[Tag_Utility])</f>
        <v>➖</v>
      </c>
      <c r="T182" s="429" t="str">
        <f t="array" ref="T182">XLOOKUP(LCARS_Off[AbilityID],RawOfficer[AbilityID],RawOfficer[OfficerSynergy])</f>
        <v>ANOTHER TIME</v>
      </c>
      <c r="U182" s="519" t="str">
        <f t="array" ref="U182">XLOOKUP(LCARS_Off[AbilityID],RawOfficer[AbilityID],RawOfficer[AbilityModifier])</f>
        <v>AllDamage</v>
      </c>
      <c r="V182" s="519" t="str">
        <f t="array" ref="V182">XLOOKUP(LCARS_Off[AbilityID],RawOfficer[AbilityID],RawOfficer[AbilityAttributes])</f>
        <v/>
      </c>
      <c r="W182" s="520" t="str">
        <f t="array" ref="W182">XLOOKUP(LCARS_Off[AbilityID],RawOfficer[AbilityID],RawOfficer[AbilityConditions])</f>
        <v/>
      </c>
      <c r="X182" s="519" t="str">
        <f t="array" ref="X182">XLOOKUP(LCARS_Off[AbilityID],RawOfficer[AbilityID],RawOfficer[AbilityTrigger])</f>
        <v>ShipLaunched</v>
      </c>
      <c r="Y182" s="519" t="str">
        <f t="array" ref="Y182">XLOOKUP(LCARS_Off[AbilityID],RawOfficer[AbilityID],RawOfficer[AbilityTarget])</f>
        <v>SelfShip</v>
      </c>
      <c r="Z182" s="519" t="str">
        <f t="array" ref="Z182">XLOOKUP(LCARS_Off[AbilityID],RawOfficer[AbilityID],RawOfficer[AbilityOperation])</f>
        <v>MultiplyAdd</v>
      </c>
      <c r="AA182" s="521" t="str">
        <f t="array" ref="AA182">XLOOKUP(LCARS_Off[AbilityID],RawOfficer[AbilityID],RawOfficer[AbilityDescription])</f>
        <v>Instructor Spock increases the Weapon Damage of the ship by X.</v>
      </c>
      <c r="AB182" s="429" t="b">
        <v>0</v>
      </c>
      <c r="AC182" s="522" t="str">
        <f t="array" ref="AC182">XLOOKUP(LCARS_Off[AbilityID],RawOfficer[AbilityID],RawOfficer[AbilityDescriptionShort])</f>
        <v>+X to Damage</v>
      </c>
      <c r="AD182" s="523"/>
      <c r="AE182" s="524"/>
      <c r="AF182" s="524"/>
      <c r="AG182" s="525" t="str">
        <f t="array" ref="AG182">XLOOKUP(LCARS_Off[AbilityID],RawOfficer[AbilityID],RawOfficer[AbilityChances])</f>
        <v>1.0, 1.0, 1.0</v>
      </c>
      <c r="AH182" s="525" t="str">
        <f t="array" ref="AH182">XLOOKUP(LCARS_Off[AbilityID],RawOfficer[AbilityID],RawOfficer[AbilityValues])</f>
        <v>0.05, 0.02, 0.05</v>
      </c>
      <c r="AI182" s="428" t="b">
        <f t="array" ref="AI182">XLOOKUP(LCARS_Off[AbilityID],RawOfficer[AbilityID],RawOfficer[AbilityHasChance])</f>
        <v>0</v>
      </c>
      <c r="AJ182" s="428" t="b">
        <f t="array" ref="AJ182">XLOOKUP(LCARS_Off[AbilityID],RawOfficer[AbilityID],RawOfficer[AbilityShowPercentage])</f>
        <v>1</v>
      </c>
      <c r="AK182" s="429">
        <f t="array" ref="AK182">XLOOKUP(LCARS_Off[AbilityID],RawOfficer[AbilityID],RawOfficer[OfficerArt])</f>
        <v>84</v>
      </c>
      <c r="AL182" s="430">
        <v>1.862576044E9</v>
      </c>
      <c r="AM182" s="430">
        <f t="array" ref="AM182">XLOOKUP(LCARS_Off[AbilityID],RawOfficer[AbilityID],RawOfficer[Default Order])</f>
        <v>179</v>
      </c>
    </row>
    <row r="183">
      <c r="A183" s="429" t="str">
        <f t="array" ref="A183">LEFT(XLOOKUP(LCARS_Off[AbilityID],RawOfficer[AbilityID],RawOfficer[OfficerRarity]), 1)</f>
        <v>C</v>
      </c>
      <c r="B183" s="429"/>
      <c r="C183" s="514" t="str">
        <f t="array" ref="C183">HYPERLINK("https://stfc.space/officers/" &amp; XLOOKUP(LCARS_Off[AbilityID],RawOfficer[AbilityID],RawOfficer[OfficerId]), XLOOKUP(LCARS_Off[AbilityID],RawOfficer[AbilityID],RawOfficer[OfficerName]))</f>
        <v>INSTR. SPOCK</v>
      </c>
      <c r="D183" s="515" t="str">
        <f t="array" ref="D183">XLOOKUP(LCARS_Off[AbilityID],RawOfficer[AbilityID],RawOfficer[AbilityType])</f>
        <v>OA</v>
      </c>
      <c r="E183" s="516" t="str">
        <f t="array" ref="E183">XLOOKUP(LCARS_Off[AbilityID],RawOfficer[AbilityID],RawOfficer[Tag_PvPinSpace])</f>
        <v>✅</v>
      </c>
      <c r="F183" s="516" t="str">
        <f t="array" ref="F183">XLOOKUP(LCARS_Off[AbilityID],RawOfficer[AbilityID],RawOfficer[Tag_PvPStation])</f>
        <v>✅</v>
      </c>
      <c r="G183" s="516" t="str">
        <f t="array" ref="G183">XLOOKUP(LCARS_Off[AbilityID],RawOfficer[AbilityID],RawOfficer[Tag_NonArmadaHostiles])</f>
        <v>✅</v>
      </c>
      <c r="H183" s="516" t="str">
        <f t="array" ref="H183">XLOOKUP(LCARS_Off[AbilityID],RawOfficer[AbilityID],RawOfficer[Tag_WaveDefense])</f>
        <v>✅</v>
      </c>
      <c r="I183" s="516" t="str">
        <f t="array" ref="I183">XLOOKUP(LCARS_Off[AbilityID],RawOfficer[AbilityID],RawOfficer[Tag_QTrial])</f>
        <v>✅</v>
      </c>
      <c r="J183" s="516" t="str">
        <f t="array" ref="J183">XLOOKUP(LCARS_Off[AbilityID],RawOfficer[AbilityID],RawOfficer[Tag_MissionBosses])</f>
        <v>✅</v>
      </c>
      <c r="K183" s="516" t="str">
        <f t="array" ref="K183">XLOOKUP(LCARS_Off[AbilityID],RawOfficer[AbilityID],RawOfficer[Tag_GroupArmadas])</f>
        <v>✅</v>
      </c>
      <c r="L183" s="516" t="str">
        <f t="array" ref="L183">XLOOKUP(LCARS_Off[AbilityID],RawOfficer[AbilityID],RawOfficer[Tag_SoloArmadas])</f>
        <v>✅</v>
      </c>
      <c r="M183" s="516" t="str">
        <f t="array" ref="M183">XLOOKUP(LCARS_Off[AbilityID],RawOfficer[AbilityID],RawOfficer[Tag_InvadingEntities])</f>
        <v>✅</v>
      </c>
      <c r="N183" s="516" t="str">
        <f t="array" ref="N183">XLOOKUP(LCARS_Off[AbilityID],RawOfficer[AbilityID],RawOfficer[Tag_Assaults])</f>
        <v>✅</v>
      </c>
      <c r="O183" s="516" t="str">
        <f t="array" ref="O183">XLOOKUP(LCARS_Off[AbilityID],RawOfficer[AbilityID],RawOfficer[Tag_OutpostArmadas])</f>
        <v>✅</v>
      </c>
      <c r="P183" s="516" t="str">
        <f t="array" ref="P183">XLOOKUP(LCARS_Off[AbilityID],RawOfficer[AbilityID],RawOfficer[Tag_OutpostRetaliators])</f>
        <v>✅</v>
      </c>
      <c r="Q183" s="517" t="str">
        <f t="array" ref="Q183">XLOOKUP(LCARS_Off[AbilityID],RawOfficer[AbilityID],RawOfficer[Conditional_Reason])</f>
        <v/>
      </c>
      <c r="R183" s="518" t="str">
        <f t="array" ref="R183">XLOOKUP(LCARS_Off[AbilityID],RawOfficer[AbilityID],RawOfficer[Tag_Loot])</f>
        <v>➖</v>
      </c>
      <c r="S183" s="516" t="str">
        <f t="array" ref="S183">XLOOKUP(LCARS_Off[AbilityID],RawOfficer[AbilityID],RawOfficer[Tag_Utility])</f>
        <v>➖</v>
      </c>
      <c r="T183" s="429" t="str">
        <f t="array" ref="T183">XLOOKUP(LCARS_Off[AbilityID],RawOfficer[AbilityID],RawOfficer[OfficerSynergy])</f>
        <v>ANOTHER TIME</v>
      </c>
      <c r="U183" s="519" t="str">
        <f t="array" ref="U183">XLOOKUP(LCARS_Off[AbilityID],RawOfficer[AbilityID],RawOfficer[AbilityModifier])</f>
        <v>AllDefenses</v>
      </c>
      <c r="V183" s="519" t="str">
        <f t="array" ref="V183">XLOOKUP(LCARS_Off[AbilityID],RawOfficer[AbilityID],RawOfficer[AbilityAttributes])</f>
        <v/>
      </c>
      <c r="W183" s="520" t="str">
        <f t="array" ref="W183">XLOOKUP(LCARS_Off[AbilityID],RawOfficer[AbilityID],RawOfficer[AbilityConditions])</f>
        <v/>
      </c>
      <c r="X183" s="519" t="str">
        <f t="array" ref="X183">XLOOKUP(LCARS_Off[AbilityID],RawOfficer[AbilityID],RawOfficer[AbilityTrigger])</f>
        <v>ShipLaunched</v>
      </c>
      <c r="Y183" s="519" t="str">
        <f t="array" ref="Y183">XLOOKUP(LCARS_Off[AbilityID],RawOfficer[AbilityID],RawOfficer[AbilityTarget])</f>
        <v>SelfShip</v>
      </c>
      <c r="Z183" s="519" t="str">
        <f t="array" ref="Z183">XLOOKUP(LCARS_Off[AbilityID],RawOfficer[AbilityID],RawOfficer[AbilityOperation])</f>
        <v>MultiplyAdd</v>
      </c>
      <c r="AA183" s="521" t="str">
        <f t="array" ref="AA183">XLOOKUP(LCARS_Off[AbilityID],RawOfficer[AbilityID],RawOfficer[AbilityDescription])</f>
        <v>Instructor Spock increases the Shield Deflection, Armor and Dodge of the ship by X.</v>
      </c>
      <c r="AB183" s="429" t="b">
        <v>0</v>
      </c>
      <c r="AC183" s="522" t="str">
        <f t="array" ref="AC183">XLOOKUP(LCARS_Off[AbilityID],RawOfficer[AbilityID],RawOfficer[AbilityDescriptionShort])</f>
        <v>+X to Dodge, Shield Deflection and Armor</v>
      </c>
      <c r="AD183" s="523"/>
      <c r="AE183" s="524"/>
      <c r="AF183" s="524"/>
      <c r="AG183" s="525" t="str">
        <f t="array" ref="AG183">XLOOKUP(LCARS_Off[AbilityID],RawOfficer[AbilityID],RawOfficer[AbilityChances])</f>
        <v>1.0, 1.0, 1.0, 1.0, 1.0</v>
      </c>
      <c r="AH183" s="525" t="str">
        <f t="array" ref="AH183">XLOOKUP(LCARS_Off[AbilityID],RawOfficer[AbilityID],RawOfficer[AbilityValues])</f>
        <v>0.05, 0.08, 0.12, 0.15, 0.2</v>
      </c>
      <c r="AI183" s="428" t="b">
        <f t="array" ref="AI183">XLOOKUP(LCARS_Off[AbilityID],RawOfficer[AbilityID],RawOfficer[AbilityHasChance])</f>
        <v>0</v>
      </c>
      <c r="AJ183" s="428" t="b">
        <f t="array" ref="AJ183">XLOOKUP(LCARS_Off[AbilityID],RawOfficer[AbilityID],RawOfficer[AbilityShowPercentage])</f>
        <v>1</v>
      </c>
      <c r="AK183" s="429">
        <f t="array" ref="AK183">XLOOKUP(LCARS_Off[AbilityID],RawOfficer[AbilityID],RawOfficer[OfficerArt])</f>
        <v>84</v>
      </c>
      <c r="AL183" s="430">
        <v>2.372470621E9</v>
      </c>
      <c r="AM183" s="430">
        <f t="array" ref="AM183">XLOOKUP(LCARS_Off[AbilityID],RawOfficer[AbilityID],RawOfficer[Default Order])</f>
        <v>180</v>
      </c>
    </row>
    <row r="184">
      <c r="A184" s="429" t="str">
        <f t="array" ref="A184">LEFT(XLOOKUP(LCARS_Off[AbilityID],RawOfficer[AbilityID],RawOfficer[OfficerRarity]), 1)</f>
        <v>C</v>
      </c>
      <c r="B184" s="429"/>
      <c r="C184" s="514" t="str">
        <f t="array" ref="C184">HYPERLINK("https://stfc.space/officers/" &amp; XLOOKUP(LCARS_Off[AbilityID],RawOfficer[AbilityID],RawOfficer[OfficerId]), XLOOKUP(LCARS_Off[AbilityID],RawOfficer[AbilityID],RawOfficer[OfficerName]))</f>
        <v>CADET MCCOY</v>
      </c>
      <c r="D184" s="515" t="str">
        <f t="array" ref="D184">XLOOKUP(LCARS_Off[AbilityID],RawOfficer[AbilityID],RawOfficer[AbilityType])</f>
        <v>CM</v>
      </c>
      <c r="E184" s="516" t="str">
        <f t="array" ref="E184">XLOOKUP(LCARS_Off[AbilityID],RawOfficer[AbilityID],RawOfficer[Tag_PvPinSpace])</f>
        <v>✅</v>
      </c>
      <c r="F184" s="516" t="str">
        <f t="array" ref="F184">XLOOKUP(LCARS_Off[AbilityID],RawOfficer[AbilityID],RawOfficer[Tag_PvPStation])</f>
        <v>✅</v>
      </c>
      <c r="G184" s="516" t="str">
        <f t="array" ref="G184">XLOOKUP(LCARS_Off[AbilityID],RawOfficer[AbilityID],RawOfficer[Tag_NonArmadaHostiles])</f>
        <v>✅</v>
      </c>
      <c r="H184" s="516" t="str">
        <f t="array" ref="H184">XLOOKUP(LCARS_Off[AbilityID],RawOfficer[AbilityID],RawOfficer[Tag_WaveDefense])</f>
        <v>✅</v>
      </c>
      <c r="I184" s="516" t="str">
        <f t="array" ref="I184">XLOOKUP(LCARS_Off[AbilityID],RawOfficer[AbilityID],RawOfficer[Tag_QTrial])</f>
        <v>✅</v>
      </c>
      <c r="J184" s="516" t="str">
        <f t="array" ref="J184">XLOOKUP(LCARS_Off[AbilityID],RawOfficer[AbilityID],RawOfficer[Tag_MissionBosses])</f>
        <v>✅</v>
      </c>
      <c r="K184" s="516" t="str">
        <f t="array" ref="K184">XLOOKUP(LCARS_Off[AbilityID],RawOfficer[AbilityID],RawOfficer[Tag_GroupArmadas])</f>
        <v>✅</v>
      </c>
      <c r="L184" s="516" t="str">
        <f t="array" ref="L184">XLOOKUP(LCARS_Off[AbilityID],RawOfficer[AbilityID],RawOfficer[Tag_SoloArmadas])</f>
        <v>✅</v>
      </c>
      <c r="M184" s="516" t="str">
        <f t="array" ref="M184">XLOOKUP(LCARS_Off[AbilityID],RawOfficer[AbilityID],RawOfficer[Tag_InvadingEntities])</f>
        <v>✅</v>
      </c>
      <c r="N184" s="516" t="str">
        <f t="array" ref="N184">XLOOKUP(LCARS_Off[AbilityID],RawOfficer[AbilityID],RawOfficer[Tag_Assaults])</f>
        <v>✅</v>
      </c>
      <c r="O184" s="516" t="str">
        <f t="array" ref="O184">XLOOKUP(LCARS_Off[AbilityID],RawOfficer[AbilityID],RawOfficer[Tag_OutpostArmadas])</f>
        <v>✅</v>
      </c>
      <c r="P184" s="516" t="str">
        <f t="array" ref="P184">XLOOKUP(LCARS_Off[AbilityID],RawOfficer[AbilityID],RawOfficer[Tag_OutpostRetaliators])</f>
        <v>✅</v>
      </c>
      <c r="Q184" s="517" t="str">
        <f t="array" ref="Q184">XLOOKUP(LCARS_Off[AbilityID],RawOfficer[AbilityID],RawOfficer[Conditional_Reason])</f>
        <v/>
      </c>
      <c r="R184" s="518" t="str">
        <f t="array" ref="R184">XLOOKUP(LCARS_Off[AbilityID],RawOfficer[AbilityID],RawOfficer[Tag_Loot])</f>
        <v>➖</v>
      </c>
      <c r="S184" s="516" t="str">
        <f t="array" ref="S184">XLOOKUP(LCARS_Off[AbilityID],RawOfficer[AbilityID],RawOfficer[Tag_Utility])</f>
        <v>➖</v>
      </c>
      <c r="T184" s="429" t="str">
        <f t="array" ref="T184">XLOOKUP(LCARS_Off[AbilityID],RawOfficer[AbilityID],RawOfficer[OfficerSynergy])</f>
        <v>ANOTHER TIME</v>
      </c>
      <c r="U184" s="519" t="str">
        <f t="array" ref="U184">XLOOKUP(LCARS_Off[AbilityID],RawOfficer[AbilityID],RawOfficer[AbilityModifier])</f>
        <v>OfficerStatHealth</v>
      </c>
      <c r="V184" s="519" t="str">
        <f t="array" ref="V184">XLOOKUP(LCARS_Off[AbilityID],RawOfficer[AbilityID],RawOfficer[AbilityAttributes])</f>
        <v/>
      </c>
      <c r="W184" s="520" t="str">
        <f t="array" ref="W184">XLOOKUP(LCARS_Off[AbilityID],RawOfficer[AbilityID],RawOfficer[AbilityConditions])</f>
        <v/>
      </c>
      <c r="X184" s="519" t="str">
        <f t="array" ref="X184">XLOOKUP(LCARS_Off[AbilityID],RawOfficer[AbilityID],RawOfficer[AbilityTrigger])</f>
        <v>ShipLaunched</v>
      </c>
      <c r="Y184" s="519" t="str">
        <f t="array" ref="Y184">XLOOKUP(LCARS_Off[AbilityID],RawOfficer[AbilityID],RawOfficer[AbilityTarget])</f>
        <v>SelfBridge</v>
      </c>
      <c r="Z184" s="519" t="str">
        <f t="array" ref="Z184">XLOOKUP(LCARS_Off[AbilityID],RawOfficer[AbilityID],RawOfficer[AbilityOperation])</f>
        <v>MultiplyAdd</v>
      </c>
      <c r="AA184" s="521" t="str">
        <f t="array" ref="AA184">XLOOKUP(LCARS_Off[AbilityID],RawOfficer[AbilityID],RawOfficer[AbilityDescription])</f>
        <v>Cadet McCoy increases the Health of all Officers on the ship by X.</v>
      </c>
      <c r="AB184" s="429" t="b">
        <v>0</v>
      </c>
      <c r="AC184" s="522" t="str">
        <f t="array" ref="AC184">XLOOKUP(LCARS_Off[AbilityID],RawOfficer[AbilityID],RawOfficer[AbilityDescriptionShort])</f>
        <v>+X to Officers Health on the ship</v>
      </c>
      <c r="AD184" s="523"/>
      <c r="AE184" s="524"/>
      <c r="AF184" s="524"/>
      <c r="AG184" s="525" t="str">
        <f t="array" ref="AG184">XLOOKUP(LCARS_Off[AbilityID],RawOfficer[AbilityID],RawOfficer[AbilityChances])</f>
        <v>1.0, 1.0, 1.0</v>
      </c>
      <c r="AH184" s="525" t="str">
        <f t="array" ref="AH184">XLOOKUP(LCARS_Off[AbilityID],RawOfficer[AbilityID],RawOfficer[AbilityValues])</f>
        <v>0.1, 0.05, 0.1</v>
      </c>
      <c r="AI184" s="428" t="b">
        <f t="array" ref="AI184">XLOOKUP(LCARS_Off[AbilityID],RawOfficer[AbilityID],RawOfficer[AbilityHasChance])</f>
        <v>0</v>
      </c>
      <c r="AJ184" s="428" t="b">
        <f t="array" ref="AJ184">XLOOKUP(LCARS_Off[AbilityID],RawOfficer[AbilityID],RawOfficer[AbilityShowPercentage])</f>
        <v>1</v>
      </c>
      <c r="AK184" s="429">
        <f t="array" ref="AK184">XLOOKUP(LCARS_Off[AbilityID],RawOfficer[AbilityID],RawOfficer[OfficerArt])</f>
        <v>85</v>
      </c>
      <c r="AL184" s="430">
        <v>7.79039619E8</v>
      </c>
      <c r="AM184" s="430">
        <f t="array" ref="AM184">XLOOKUP(LCARS_Off[AbilityID],RawOfficer[AbilityID],RawOfficer[Default Order])</f>
        <v>181</v>
      </c>
    </row>
    <row r="185">
      <c r="A185" s="429" t="str">
        <f t="array" ref="A185">LEFT(XLOOKUP(LCARS_Off[AbilityID],RawOfficer[AbilityID],RawOfficer[OfficerRarity]), 1)</f>
        <v>C</v>
      </c>
      <c r="B185" s="429"/>
      <c r="C185" s="514" t="str">
        <f t="array" ref="C185">HYPERLINK("https://stfc.space/officers/" &amp; XLOOKUP(LCARS_Off[AbilityID],RawOfficer[AbilityID],RawOfficer[OfficerId]), XLOOKUP(LCARS_Off[AbilityID],RawOfficer[AbilityID],RawOfficer[OfficerName]))</f>
        <v>CADET MCCOY</v>
      </c>
      <c r="D185" s="515" t="str">
        <f t="array" ref="D185">XLOOKUP(LCARS_Off[AbilityID],RawOfficer[AbilityID],RawOfficer[AbilityType])</f>
        <v>OA</v>
      </c>
      <c r="E185" s="516" t="str">
        <f t="array" ref="E185">XLOOKUP(LCARS_Off[AbilityID],RawOfficer[AbilityID],RawOfficer[Tag_PvPinSpace])</f>
        <v>✅</v>
      </c>
      <c r="F185" s="516" t="str">
        <f t="array" ref="F185">XLOOKUP(LCARS_Off[AbilityID],RawOfficer[AbilityID],RawOfficer[Tag_PvPStation])</f>
        <v>✅</v>
      </c>
      <c r="G185" s="516" t="str">
        <f t="array" ref="G185">XLOOKUP(LCARS_Off[AbilityID],RawOfficer[AbilityID],RawOfficer[Tag_NonArmadaHostiles])</f>
        <v>✅</v>
      </c>
      <c r="H185" s="516" t="str">
        <f t="array" ref="H185">XLOOKUP(LCARS_Off[AbilityID],RawOfficer[AbilityID],RawOfficer[Tag_WaveDefense])</f>
        <v>✅</v>
      </c>
      <c r="I185" s="516" t="str">
        <f t="array" ref="I185">XLOOKUP(LCARS_Off[AbilityID],RawOfficer[AbilityID],RawOfficer[Tag_QTrial])</f>
        <v>✅</v>
      </c>
      <c r="J185" s="516" t="str">
        <f t="array" ref="J185">XLOOKUP(LCARS_Off[AbilityID],RawOfficer[AbilityID],RawOfficer[Tag_MissionBosses])</f>
        <v>✅</v>
      </c>
      <c r="K185" s="516" t="str">
        <f t="array" ref="K185">XLOOKUP(LCARS_Off[AbilityID],RawOfficer[AbilityID],RawOfficer[Tag_GroupArmadas])</f>
        <v>✅</v>
      </c>
      <c r="L185" s="516" t="str">
        <f t="array" ref="L185">XLOOKUP(LCARS_Off[AbilityID],RawOfficer[AbilityID],RawOfficer[Tag_SoloArmadas])</f>
        <v>✅</v>
      </c>
      <c r="M185" s="516" t="str">
        <f t="array" ref="M185">XLOOKUP(LCARS_Off[AbilityID],RawOfficer[AbilityID],RawOfficer[Tag_InvadingEntities])</f>
        <v>✅</v>
      </c>
      <c r="N185" s="516" t="str">
        <f t="array" ref="N185">XLOOKUP(LCARS_Off[AbilityID],RawOfficer[AbilityID],RawOfficer[Tag_Assaults])</f>
        <v>✅</v>
      </c>
      <c r="O185" s="516" t="str">
        <f t="array" ref="O185">XLOOKUP(LCARS_Off[AbilityID],RawOfficer[AbilityID],RawOfficer[Tag_OutpostArmadas])</f>
        <v>✅</v>
      </c>
      <c r="P185" s="516" t="str">
        <f t="array" ref="P185">XLOOKUP(LCARS_Off[AbilityID],RawOfficer[AbilityID],RawOfficer[Tag_OutpostRetaliators])</f>
        <v>✅</v>
      </c>
      <c r="Q185" s="517" t="str">
        <f t="array" ref="Q185">XLOOKUP(LCARS_Off[AbilityID],RawOfficer[AbilityID],RawOfficer[Conditional_Reason])</f>
        <v/>
      </c>
      <c r="R185" s="518" t="str">
        <f t="array" ref="R185">XLOOKUP(LCARS_Off[AbilityID],RawOfficer[AbilityID],RawOfficer[Tag_Loot])</f>
        <v>➖</v>
      </c>
      <c r="S185" s="516" t="str">
        <f t="array" ref="S185">XLOOKUP(LCARS_Off[AbilityID],RawOfficer[AbilityID],RawOfficer[Tag_Utility])</f>
        <v>➖</v>
      </c>
      <c r="T185" s="429" t="str">
        <f t="array" ref="T185">XLOOKUP(LCARS_Off[AbilityID],RawOfficer[AbilityID],RawOfficer[OfficerSynergy])</f>
        <v>ANOTHER TIME</v>
      </c>
      <c r="U185" s="519" t="str">
        <f t="array" ref="U185">XLOOKUP(LCARS_Off[AbilityID],RawOfficer[AbilityID],RawOfficer[AbilityModifier])</f>
        <v>CptManeuverEffect</v>
      </c>
      <c r="V185" s="519" t="str">
        <f t="array" ref="V185">XLOOKUP(LCARS_Off[AbilityID],RawOfficer[AbilityID],RawOfficer[AbilityAttributes])</f>
        <v/>
      </c>
      <c r="W185" s="520" t="str">
        <f t="array" ref="W185">XLOOKUP(LCARS_Off[AbilityID],RawOfficer[AbilityID],RawOfficer[AbilityConditions])</f>
        <v/>
      </c>
      <c r="X185" s="519" t="str">
        <f t="array" ref="X185">XLOOKUP(LCARS_Off[AbilityID],RawOfficer[AbilityID],RawOfficer[AbilityTrigger])</f>
        <v>CombatStart</v>
      </c>
      <c r="Y185" s="519" t="str">
        <f t="array" ref="Y185">XLOOKUP(LCARS_Off[AbilityID],RawOfficer[AbilityID],RawOfficer[AbilityTarget])</f>
        <v>SelfCaptain</v>
      </c>
      <c r="Z185" s="519" t="str">
        <f t="array" ref="Z185">XLOOKUP(LCARS_Off[AbilityID],RawOfficer[AbilityID],RawOfficer[AbilityOperation])</f>
        <v>MultiplyAdd</v>
      </c>
      <c r="AA185" s="521" t="str">
        <f t="array" ref="AA185">XLOOKUP(LCARS_Off[AbilityID],RawOfficer[AbilityID],RawOfficer[AbilityDescription])</f>
        <v>During combat, Cadet McCoy increases the effectiveness of the Captain Maneuver by X.</v>
      </c>
      <c r="AB185" s="429" t="b">
        <v>0</v>
      </c>
      <c r="AC185" s="522" t="str">
        <f t="array" ref="AC185">XLOOKUP(LCARS_Off[AbilityID],RawOfficer[AbilityID],RawOfficer[AbilityDescriptionShort])</f>
        <v>+X to the effectiveness of the Captain Maneuver</v>
      </c>
      <c r="AD185" s="523"/>
      <c r="AE185" s="524"/>
      <c r="AF185" s="524"/>
      <c r="AG185" s="525" t="str">
        <f t="array" ref="AG185">XLOOKUP(LCARS_Off[AbilityID],RawOfficer[AbilityID],RawOfficer[AbilityChances])</f>
        <v>1.0, 1.0, 1.0, 1.0, 1.0</v>
      </c>
      <c r="AH185" s="525" t="str">
        <f t="array" ref="AH185">XLOOKUP(LCARS_Off[AbilityID],RawOfficer[AbilityID],RawOfficer[AbilityValues])</f>
        <v>0.04, 0.06, 0.08, 0.1, 0.12</v>
      </c>
      <c r="AI185" s="428" t="b">
        <f t="array" ref="AI185">XLOOKUP(LCARS_Off[AbilityID],RawOfficer[AbilityID],RawOfficer[AbilityHasChance])</f>
        <v>0</v>
      </c>
      <c r="AJ185" s="428" t="b">
        <f t="array" ref="AJ185">XLOOKUP(LCARS_Off[AbilityID],RawOfficer[AbilityID],RawOfficer[AbilityShowPercentage])</f>
        <v>1</v>
      </c>
      <c r="AK185" s="429">
        <f t="array" ref="AK185">XLOOKUP(LCARS_Off[AbilityID],RawOfficer[AbilityID],RawOfficer[OfficerArt])</f>
        <v>85</v>
      </c>
      <c r="AL185" s="430">
        <v>4.225330505E9</v>
      </c>
      <c r="AM185" s="430">
        <f t="array" ref="AM185">XLOOKUP(LCARS_Off[AbilityID],RawOfficer[AbilityID],RawOfficer[Default Order])</f>
        <v>182</v>
      </c>
    </row>
    <row r="186">
      <c r="A186" s="429" t="str">
        <f t="array" ref="A186">LEFT(XLOOKUP(LCARS_Off[AbilityID],RawOfficer[AbilityID],RawOfficer[OfficerRarity]), 1)</f>
        <v>C</v>
      </c>
      <c r="B186" s="429"/>
      <c r="C186" s="514" t="str">
        <f t="array" ref="C186">HYPERLINK("https://stfc.space/officers/" &amp; XLOOKUP(LCARS_Off[AbilityID],RawOfficer[AbilityID],RawOfficer[OfficerId]), XLOOKUP(LCARS_Off[AbilityID],RawOfficer[AbilityID],RawOfficer[OfficerName]))</f>
        <v>CADET SCOTTY</v>
      </c>
      <c r="D186" s="515" t="str">
        <f t="array" ref="D186">XLOOKUP(LCARS_Off[AbilityID],RawOfficer[AbilityID],RawOfficer[AbilityType])</f>
        <v>CM</v>
      </c>
      <c r="E186" s="516" t="str">
        <f t="array" ref="E186">XLOOKUP(LCARS_Off[AbilityID],RawOfficer[AbilityID],RawOfficer[Tag_PvPinSpace])</f>
        <v>✅</v>
      </c>
      <c r="F186" s="516" t="str">
        <f t="array" ref="F186">XLOOKUP(LCARS_Off[AbilityID],RawOfficer[AbilityID],RawOfficer[Tag_PvPStation])</f>
        <v>✅</v>
      </c>
      <c r="G186" s="516" t="str">
        <f t="array" ref="G186">XLOOKUP(LCARS_Off[AbilityID],RawOfficer[AbilityID],RawOfficer[Tag_NonArmadaHostiles])</f>
        <v>✅</v>
      </c>
      <c r="H186" s="516" t="str">
        <f t="array" ref="H186">XLOOKUP(LCARS_Off[AbilityID],RawOfficer[AbilityID],RawOfficer[Tag_WaveDefense])</f>
        <v>✅</v>
      </c>
      <c r="I186" s="516" t="str">
        <f t="array" ref="I186">XLOOKUP(LCARS_Off[AbilityID],RawOfficer[AbilityID],RawOfficer[Tag_QTrial])</f>
        <v>✅</v>
      </c>
      <c r="J186" s="516" t="str">
        <f t="array" ref="J186">XLOOKUP(LCARS_Off[AbilityID],RawOfficer[AbilityID],RawOfficer[Tag_MissionBosses])</f>
        <v>✅</v>
      </c>
      <c r="K186" s="516" t="str">
        <f t="array" ref="K186">XLOOKUP(LCARS_Off[AbilityID],RawOfficer[AbilityID],RawOfficer[Tag_GroupArmadas])</f>
        <v>✅</v>
      </c>
      <c r="L186" s="516" t="str">
        <f t="array" ref="L186">XLOOKUP(LCARS_Off[AbilityID],RawOfficer[AbilityID],RawOfficer[Tag_SoloArmadas])</f>
        <v>✅</v>
      </c>
      <c r="M186" s="516" t="str">
        <f t="array" ref="M186">XLOOKUP(LCARS_Off[AbilityID],RawOfficer[AbilityID],RawOfficer[Tag_InvadingEntities])</f>
        <v>✅</v>
      </c>
      <c r="N186" s="516" t="str">
        <f t="array" ref="N186">XLOOKUP(LCARS_Off[AbilityID],RawOfficer[AbilityID],RawOfficer[Tag_Assaults])</f>
        <v>✅</v>
      </c>
      <c r="O186" s="516" t="str">
        <f t="array" ref="O186">XLOOKUP(LCARS_Off[AbilityID],RawOfficer[AbilityID],RawOfficer[Tag_OutpostArmadas])</f>
        <v>✅</v>
      </c>
      <c r="P186" s="516" t="str">
        <f t="array" ref="P186">XLOOKUP(LCARS_Off[AbilityID],RawOfficer[AbilityID],RawOfficer[Tag_OutpostRetaliators])</f>
        <v>✅</v>
      </c>
      <c r="Q186" s="517" t="str">
        <f t="array" ref="Q186">XLOOKUP(LCARS_Off[AbilityID],RawOfficer[AbilityID],RawOfficer[Conditional_Reason])</f>
        <v/>
      </c>
      <c r="R186" s="518" t="str">
        <f t="array" ref="R186">XLOOKUP(LCARS_Off[AbilityID],RawOfficer[AbilityID],RawOfficer[Tag_Loot])</f>
        <v>➖</v>
      </c>
      <c r="S186" s="516" t="str">
        <f t="array" ref="S186">XLOOKUP(LCARS_Off[AbilityID],RawOfficer[AbilityID],RawOfficer[Tag_Utility])</f>
        <v>➖</v>
      </c>
      <c r="T186" s="429" t="str">
        <f t="array" ref="T186">XLOOKUP(LCARS_Off[AbilityID],RawOfficer[AbilityID],RawOfficer[OfficerSynergy])</f>
        <v>ANOTHER TIME</v>
      </c>
      <c r="U186" s="519" t="str">
        <f t="array" ref="U186">XLOOKUP(LCARS_Off[AbilityID],RawOfficer[AbilityID],RawOfficer[AbilityModifier])</f>
        <v>HullHPMax</v>
      </c>
      <c r="V186" s="519" t="str">
        <f t="array" ref="V186">XLOOKUP(LCARS_Off[AbilityID],RawOfficer[AbilityID],RawOfficer[AbilityAttributes])</f>
        <v/>
      </c>
      <c r="W186" s="520" t="str">
        <f t="array" ref="W186">XLOOKUP(LCARS_Off[AbilityID],RawOfficer[AbilityID],RawOfficer[AbilityConditions])</f>
        <v/>
      </c>
      <c r="X186" s="519" t="str">
        <f t="array" ref="X186">XLOOKUP(LCARS_Off[AbilityID],RawOfficer[AbilityID],RawOfficer[AbilityTrigger])</f>
        <v>ShipLaunched</v>
      </c>
      <c r="Y186" s="519" t="str">
        <f t="array" ref="Y186">XLOOKUP(LCARS_Off[AbilityID],RawOfficer[AbilityID],RawOfficer[AbilityTarget])</f>
        <v>SelfShip</v>
      </c>
      <c r="Z186" s="519" t="str">
        <f t="array" ref="Z186">XLOOKUP(LCARS_Off[AbilityID],RawOfficer[AbilityID],RawOfficer[AbilityOperation])</f>
        <v>MultiplyAdd</v>
      </c>
      <c r="AA186" s="521" t="str">
        <f t="array" ref="AA186">XLOOKUP(LCARS_Off[AbilityID],RawOfficer[AbilityID],RawOfficer[AbilityDescription])</f>
        <v>Cadet Scotty increases the Ship Hull Health by X.</v>
      </c>
      <c r="AB186" s="429" t="b">
        <v>0</v>
      </c>
      <c r="AC186" s="522" t="str">
        <f t="array" ref="AC186">XLOOKUP(LCARS_Off[AbilityID],RawOfficer[AbilityID],RawOfficer[AbilityDescriptionShort])</f>
        <v>+X to Hull Health</v>
      </c>
      <c r="AD186" s="523"/>
      <c r="AE186" s="524"/>
      <c r="AF186" s="524"/>
      <c r="AG186" s="525" t="str">
        <f t="array" ref="AG186">XLOOKUP(LCARS_Off[AbilityID],RawOfficer[AbilityID],RawOfficer[AbilityChances])</f>
        <v>1.0, 1.0, 1.0</v>
      </c>
      <c r="AH186" s="525" t="str">
        <f t="array" ref="AH186">XLOOKUP(LCARS_Off[AbilityID],RawOfficer[AbilityID],RawOfficer[AbilityValues])</f>
        <v>0.1, 0.02, 0.05</v>
      </c>
      <c r="AI186" s="428" t="b">
        <f t="array" ref="AI186">XLOOKUP(LCARS_Off[AbilityID],RawOfficer[AbilityID],RawOfficer[AbilityHasChance])</f>
        <v>0</v>
      </c>
      <c r="AJ186" s="428" t="b">
        <f t="array" ref="AJ186">XLOOKUP(LCARS_Off[AbilityID],RawOfficer[AbilityID],RawOfficer[AbilityShowPercentage])</f>
        <v>1</v>
      </c>
      <c r="AK186" s="429">
        <f t="array" ref="AK186">XLOOKUP(LCARS_Off[AbilityID],RawOfficer[AbilityID],RawOfficer[OfficerArt])</f>
        <v>86</v>
      </c>
      <c r="AL186" s="430">
        <v>3.029156666E9</v>
      </c>
      <c r="AM186" s="430">
        <f t="array" ref="AM186">XLOOKUP(LCARS_Off[AbilityID],RawOfficer[AbilityID],RawOfficer[Default Order])</f>
        <v>183</v>
      </c>
    </row>
    <row r="187">
      <c r="A187" s="429" t="str">
        <f t="array" ref="A187">LEFT(XLOOKUP(LCARS_Off[AbilityID],RawOfficer[AbilityID],RawOfficer[OfficerRarity]), 1)</f>
        <v>C</v>
      </c>
      <c r="B187" s="429"/>
      <c r="C187" s="514" t="str">
        <f t="array" ref="C187">HYPERLINK("https://stfc.space/officers/" &amp; XLOOKUP(LCARS_Off[AbilityID],RawOfficer[AbilityID],RawOfficer[OfficerId]), XLOOKUP(LCARS_Off[AbilityID],RawOfficer[AbilityID],RawOfficer[OfficerName]))</f>
        <v>CADET SCOTTY</v>
      </c>
      <c r="D187" s="515" t="str">
        <f t="array" ref="D187">XLOOKUP(LCARS_Off[AbilityID],RawOfficer[AbilityID],RawOfficer[AbilityType])</f>
        <v>OA</v>
      </c>
      <c r="E187" s="516" t="str">
        <f t="array" ref="E187">XLOOKUP(LCARS_Off[AbilityID],RawOfficer[AbilityID],RawOfficer[Tag_PvPinSpace])</f>
        <v>➖</v>
      </c>
      <c r="F187" s="516" t="str">
        <f t="array" ref="F187">XLOOKUP(LCARS_Off[AbilityID],RawOfficer[AbilityID],RawOfficer[Tag_PvPStation])</f>
        <v>➖</v>
      </c>
      <c r="G187" s="516" t="str">
        <f t="array" ref="G187">XLOOKUP(LCARS_Off[AbilityID],RawOfficer[AbilityID],RawOfficer[Tag_NonArmadaHostiles])</f>
        <v>➖</v>
      </c>
      <c r="H187" s="516" t="str">
        <f t="array" ref="H187">XLOOKUP(LCARS_Off[AbilityID],RawOfficer[AbilityID],RawOfficer[Tag_WaveDefense])</f>
        <v>➖</v>
      </c>
      <c r="I187" s="516" t="str">
        <f t="array" ref="I187">XLOOKUP(LCARS_Off[AbilityID],RawOfficer[AbilityID],RawOfficer[Tag_QTrial])</f>
        <v>➖</v>
      </c>
      <c r="J187" s="516" t="str">
        <f t="array" ref="J187">XLOOKUP(LCARS_Off[AbilityID],RawOfficer[AbilityID],RawOfficer[Tag_MissionBosses])</f>
        <v>➖</v>
      </c>
      <c r="K187" s="516" t="str">
        <f t="array" ref="K187">XLOOKUP(LCARS_Off[AbilityID],RawOfficer[AbilityID],RawOfficer[Tag_GroupArmadas])</f>
        <v>➖</v>
      </c>
      <c r="L187" s="516" t="str">
        <f t="array" ref="L187">XLOOKUP(LCARS_Off[AbilityID],RawOfficer[AbilityID],RawOfficer[Tag_SoloArmadas])</f>
        <v>➖</v>
      </c>
      <c r="M187" s="516" t="str">
        <f t="array" ref="M187">XLOOKUP(LCARS_Off[AbilityID],RawOfficer[AbilityID],RawOfficer[Tag_InvadingEntities])</f>
        <v>➖</v>
      </c>
      <c r="N187" s="516" t="str">
        <f t="array" ref="N187">XLOOKUP(LCARS_Off[AbilityID],RawOfficer[AbilityID],RawOfficer[Tag_Assaults])</f>
        <v>➖</v>
      </c>
      <c r="O187" s="516" t="str">
        <f t="array" ref="O187">XLOOKUP(LCARS_Off[AbilityID],RawOfficer[AbilityID],RawOfficer[Tag_OutpostArmadas])</f>
        <v>➖</v>
      </c>
      <c r="P187" s="516" t="str">
        <f t="array" ref="P187">XLOOKUP(LCARS_Off[AbilityID],RawOfficer[AbilityID],RawOfficer[Tag_OutpostRetaliators])</f>
        <v>➖</v>
      </c>
      <c r="Q187" s="517" t="str">
        <f t="array" ref="Q187">XLOOKUP(LCARS_Off[AbilityID],RawOfficer[AbilityID],RawOfficer[Conditional_Reason])</f>
        <v/>
      </c>
      <c r="R187" s="518" t="str">
        <f t="array" ref="R187">XLOOKUP(LCARS_Off[AbilityID],RawOfficer[AbilityID],RawOfficer[Tag_Loot])</f>
        <v>➖</v>
      </c>
      <c r="S187" s="516" t="str">
        <f t="array" ref="S187">XLOOKUP(LCARS_Off[AbilityID],RawOfficer[AbilityID],RawOfficer[Tag_Utility])</f>
        <v>✅</v>
      </c>
      <c r="T187" s="429" t="str">
        <f t="array" ref="T187">XLOOKUP(LCARS_Off[AbilityID],RawOfficer[AbilityID],RawOfficer[OfficerSynergy])</f>
        <v>ANOTHER TIME</v>
      </c>
      <c r="U187" s="519" t="str">
        <f t="array" ref="U187">XLOOKUP(LCARS_Off[AbilityID],RawOfficer[AbilityID],RawOfficer[AbilityModifier])</f>
        <v>WarpDistance</v>
      </c>
      <c r="V187" s="519" t="str">
        <f t="array" ref="V187">XLOOKUP(LCARS_Off[AbilityID],RawOfficer[AbilityID],RawOfficer[AbilityAttributes])</f>
        <v/>
      </c>
      <c r="W187" s="520" t="str">
        <f t="array" ref="W187">XLOOKUP(LCARS_Off[AbilityID],RawOfficer[AbilityID],RawOfficer[AbilityConditions])</f>
        <v/>
      </c>
      <c r="X187" s="519" t="str">
        <f t="array" ref="X187">XLOOKUP(LCARS_Off[AbilityID],RawOfficer[AbilityID],RawOfficer[AbilityTrigger])</f>
        <v>ShipLaunched</v>
      </c>
      <c r="Y187" s="519" t="str">
        <f t="array" ref="Y187">XLOOKUP(LCARS_Off[AbilityID],RawOfficer[AbilityID],RawOfficer[AbilityTarget])</f>
        <v>SelfShip</v>
      </c>
      <c r="Z187" s="519" t="str">
        <f t="array" ref="Z187">XLOOKUP(LCARS_Off[AbilityID],RawOfficer[AbilityID],RawOfficer[AbilityOperation])</f>
        <v>Add</v>
      </c>
      <c r="AA187" s="521" t="str">
        <f t="array" ref="AA187">XLOOKUP(LCARS_Off[AbilityID],RawOfficer[AbilityID],RawOfficer[AbilityDescription])</f>
        <v>Cadet Scotty increases the Warp Distance of the ship by X.</v>
      </c>
      <c r="AB187" s="429" t="b">
        <v>0</v>
      </c>
      <c r="AC187" s="522" t="str">
        <f t="array" ref="AC187">XLOOKUP(LCARS_Off[AbilityID],RawOfficer[AbilityID],RawOfficer[AbilityDescriptionShort])</f>
        <v>+X Warp Distance</v>
      </c>
      <c r="AD187" s="523"/>
      <c r="AE187" s="524"/>
      <c r="AF187" s="524"/>
      <c r="AG187" s="525" t="str">
        <f t="array" ref="AG187">XLOOKUP(LCARS_Off[AbilityID],RawOfficer[AbilityID],RawOfficer[AbilityChances])</f>
        <v>1.0, 1.0, 1.0, 1.0, 1.0</v>
      </c>
      <c r="AH187" s="525" t="str">
        <f t="array" ref="AH187">XLOOKUP(LCARS_Off[AbilityID],RawOfficer[AbilityID],RawOfficer[AbilityValues])</f>
        <v>1.0, 2.0, 3.0, 4.0, 5.0</v>
      </c>
      <c r="AI187" s="428" t="b">
        <f t="array" ref="AI187">XLOOKUP(LCARS_Off[AbilityID],RawOfficer[AbilityID],RawOfficer[AbilityHasChance])</f>
        <v>0</v>
      </c>
      <c r="AJ187" s="428" t="b">
        <f t="array" ref="AJ187">XLOOKUP(LCARS_Off[AbilityID],RawOfficer[AbilityID],RawOfficer[AbilityShowPercentage])</f>
        <v>0</v>
      </c>
      <c r="AK187" s="429">
        <f t="array" ref="AK187">XLOOKUP(LCARS_Off[AbilityID],RawOfficer[AbilityID],RawOfficer[OfficerArt])</f>
        <v>86</v>
      </c>
      <c r="AL187" s="430">
        <v>2.254319436E9</v>
      </c>
      <c r="AM187" s="430">
        <f t="array" ref="AM187">XLOOKUP(LCARS_Off[AbilityID],RawOfficer[AbilityID],RawOfficer[Default Order])</f>
        <v>184</v>
      </c>
    </row>
    <row r="188">
      <c r="A188" s="429" t="str">
        <f t="array" ref="A188">LEFT(XLOOKUP(LCARS_Off[AbilityID],RawOfficer[AbilityID],RawOfficer[OfficerRarity]), 1)</f>
        <v>C</v>
      </c>
      <c r="B188" s="429"/>
      <c r="C188" s="514" t="str">
        <f t="array" ref="C188">HYPERLINK("https://stfc.space/officers/" &amp; XLOOKUP(LCARS_Off[AbilityID],RawOfficer[AbilityID],RawOfficer[OfficerId]), XLOOKUP(LCARS_Off[AbilityID],RawOfficer[AbilityID],RawOfficer[OfficerName]))</f>
        <v>CADET UHURA</v>
      </c>
      <c r="D188" s="515" t="str">
        <f t="array" ref="D188">XLOOKUP(LCARS_Off[AbilityID],RawOfficer[AbilityID],RawOfficer[AbilityType])</f>
        <v>CM</v>
      </c>
      <c r="E188" s="516" t="str">
        <f t="array" ref="E188">XLOOKUP(LCARS_Off[AbilityID],RawOfficer[AbilityID],RawOfficer[Tag_PvPinSpace])</f>
        <v>✅</v>
      </c>
      <c r="F188" s="516" t="str">
        <f t="array" ref="F188">XLOOKUP(LCARS_Off[AbilityID],RawOfficer[AbilityID],RawOfficer[Tag_PvPStation])</f>
        <v>✅</v>
      </c>
      <c r="G188" s="516" t="str">
        <f t="array" ref="G188">XLOOKUP(LCARS_Off[AbilityID],RawOfficer[AbilityID],RawOfficer[Tag_NonArmadaHostiles])</f>
        <v>✅</v>
      </c>
      <c r="H188" s="516" t="str">
        <f t="array" ref="H188">XLOOKUP(LCARS_Off[AbilityID],RawOfficer[AbilityID],RawOfficer[Tag_WaveDefense])</f>
        <v>✅</v>
      </c>
      <c r="I188" s="516" t="str">
        <f t="array" ref="I188">XLOOKUP(LCARS_Off[AbilityID],RawOfficer[AbilityID],RawOfficer[Tag_QTrial])</f>
        <v>✅</v>
      </c>
      <c r="J188" s="516" t="str">
        <f t="array" ref="J188">XLOOKUP(LCARS_Off[AbilityID],RawOfficer[AbilityID],RawOfficer[Tag_MissionBosses])</f>
        <v>✅</v>
      </c>
      <c r="K188" s="516" t="str">
        <f t="array" ref="K188">XLOOKUP(LCARS_Off[AbilityID],RawOfficer[AbilityID],RawOfficer[Tag_GroupArmadas])</f>
        <v>➖</v>
      </c>
      <c r="L188" s="516" t="str">
        <f t="array" ref="L188">XLOOKUP(LCARS_Off[AbilityID],RawOfficer[AbilityID],RawOfficer[Tag_SoloArmadas])</f>
        <v>➖</v>
      </c>
      <c r="M188" s="516" t="str">
        <f t="array" ref="M188">XLOOKUP(LCARS_Off[AbilityID],RawOfficer[AbilityID],RawOfficer[Tag_InvadingEntities])</f>
        <v>➖</v>
      </c>
      <c r="N188" s="516" t="str">
        <f t="array" ref="N188">XLOOKUP(LCARS_Off[AbilityID],RawOfficer[AbilityID],RawOfficer[Tag_Assaults])</f>
        <v>➖</v>
      </c>
      <c r="O188" s="516" t="str">
        <f t="array" ref="O188">XLOOKUP(LCARS_Off[AbilityID],RawOfficer[AbilityID],RawOfficer[Tag_OutpostArmadas])</f>
        <v>✅</v>
      </c>
      <c r="P188" s="516" t="str">
        <f t="array" ref="P188">XLOOKUP(LCARS_Off[AbilityID],RawOfficer[AbilityID],RawOfficer[Tag_OutpostRetaliators])</f>
        <v>✅</v>
      </c>
      <c r="Q188" s="517" t="str">
        <f t="array" ref="Q188">XLOOKUP(LCARS_Off[AbilityID],RawOfficer[AbilityID],RawOfficer[Conditional_Reason])</f>
        <v/>
      </c>
      <c r="R188" s="518" t="str">
        <f t="array" ref="R188">XLOOKUP(LCARS_Off[AbilityID],RawOfficer[AbilityID],RawOfficer[Tag_Loot])</f>
        <v>➖</v>
      </c>
      <c r="S188" s="516" t="str">
        <f t="array" ref="S188">XLOOKUP(LCARS_Off[AbilityID],RawOfficer[AbilityID],RawOfficer[Tag_Utility])</f>
        <v>➖</v>
      </c>
      <c r="T188" s="429" t="str">
        <f t="array" ref="T188">XLOOKUP(LCARS_Off[AbilityID],RawOfficer[AbilityID],RawOfficer[OfficerSynergy])</f>
        <v>ANOTHER TIME</v>
      </c>
      <c r="U188" s="519" t="str">
        <f t="array" ref="U188">XLOOKUP(LCARS_Off[AbilityID],RawOfficer[AbilityID],RawOfficer[AbilityModifier])</f>
        <v>AllDamage</v>
      </c>
      <c r="V188" s="519" t="str">
        <f t="array" ref="V188">XLOOKUP(LCARS_Off[AbilityID],RawOfficer[AbilityID],RawOfficer[AbilityAttributes])</f>
        <v/>
      </c>
      <c r="W188" s="520" t="str">
        <f t="array" ref="W188">XLOOKUP(LCARS_Off[AbilityID],RawOfficer[AbilityID],RawOfficer[AbilityConditions])</f>
        <v>TargetNotArmada, TargetNotASB</v>
      </c>
      <c r="X188" s="519" t="str">
        <f t="array" ref="X188">XLOOKUP(LCARS_Off[AbilityID],RawOfficer[AbilityID],RawOfficer[AbilityTrigger])</f>
        <v>CombatStart</v>
      </c>
      <c r="Y188" s="519" t="str">
        <f t="array" ref="Y188">XLOOKUP(LCARS_Off[AbilityID],RawOfficer[AbilityID],RawOfficer[AbilityTarget])</f>
        <v>EnemyShip</v>
      </c>
      <c r="Z188" s="519" t="str">
        <f t="array" ref="Z188">XLOOKUP(LCARS_Off[AbilityID],RawOfficer[AbilityID],RawOfficer[AbilityOperation])</f>
        <v>MultiplySub</v>
      </c>
      <c r="AA188" s="521" t="str">
        <f t="array" ref="AA188">XLOOKUP(LCARS_Off[AbilityID],RawOfficer[AbilityID],RawOfficer[AbilityDescription])</f>
        <v>Cadet Uhura decreases the Weapon Damage of the opponent's ship by X.</v>
      </c>
      <c r="AB188" s="429" t="b">
        <v>0</v>
      </c>
      <c r="AC188" s="522" t="str">
        <f t="array" ref="AC188">XLOOKUP(LCARS_Off[AbilityID],RawOfficer[AbilityID],RawOfficer[AbilityDescriptionShort])</f>
        <v>-X to the opponent's ship Weapon Damage</v>
      </c>
      <c r="AD188" s="523"/>
      <c r="AE188" s="524"/>
      <c r="AF188" s="524"/>
      <c r="AG188" s="525" t="str">
        <f t="array" ref="AG188">XLOOKUP(LCARS_Off[AbilityID],RawOfficer[AbilityID],RawOfficer[AbilityChances])</f>
        <v>1.0, 1.0, 1.0</v>
      </c>
      <c r="AH188" s="525" t="str">
        <f t="array" ref="AH188">XLOOKUP(LCARS_Off[AbilityID],RawOfficer[AbilityID],RawOfficer[AbilityValues])</f>
        <v>0.1, 0.02, 0.05</v>
      </c>
      <c r="AI188" s="428" t="b">
        <f t="array" ref="AI188">XLOOKUP(LCARS_Off[AbilityID],RawOfficer[AbilityID],RawOfficer[AbilityHasChance])</f>
        <v>0</v>
      </c>
      <c r="AJ188" s="428" t="b">
        <f t="array" ref="AJ188">XLOOKUP(LCARS_Off[AbilityID],RawOfficer[AbilityID],RawOfficer[AbilityShowPercentage])</f>
        <v>1</v>
      </c>
      <c r="AK188" s="429">
        <f t="array" ref="AK188">XLOOKUP(LCARS_Off[AbilityID],RawOfficer[AbilityID],RawOfficer[OfficerArt])</f>
        <v>87</v>
      </c>
      <c r="AL188" s="430">
        <v>7.34855586E8</v>
      </c>
      <c r="AM188" s="430">
        <f t="array" ref="AM188">XLOOKUP(LCARS_Off[AbilityID],RawOfficer[AbilityID],RawOfficer[Default Order])</f>
        <v>185</v>
      </c>
    </row>
    <row r="189">
      <c r="A189" s="429" t="str">
        <f t="array" ref="A189">LEFT(XLOOKUP(LCARS_Off[AbilityID],RawOfficer[AbilityID],RawOfficer[OfficerRarity]), 1)</f>
        <v>C</v>
      </c>
      <c r="B189" s="429"/>
      <c r="C189" s="514" t="str">
        <f t="array" ref="C189">HYPERLINK("https://stfc.space/officers/" &amp; XLOOKUP(LCARS_Off[AbilityID],RawOfficer[AbilityID],RawOfficer[OfficerId]), XLOOKUP(LCARS_Off[AbilityID],RawOfficer[AbilityID],RawOfficer[OfficerName]))</f>
        <v>CADET UHURA</v>
      </c>
      <c r="D189" s="515" t="str">
        <f t="array" ref="D189">XLOOKUP(LCARS_Off[AbilityID],RawOfficer[AbilityID],RawOfficer[AbilityType])</f>
        <v>OA</v>
      </c>
      <c r="E189" s="516" t="str">
        <f t="array" ref="E189">XLOOKUP(LCARS_Off[AbilityID],RawOfficer[AbilityID],RawOfficer[Tag_PvPinSpace])</f>
        <v>✅</v>
      </c>
      <c r="F189" s="516" t="str">
        <f t="array" ref="F189">XLOOKUP(LCARS_Off[AbilityID],RawOfficer[AbilityID],RawOfficer[Tag_PvPStation])</f>
        <v>✅</v>
      </c>
      <c r="G189" s="516" t="str">
        <f t="array" ref="G189">XLOOKUP(LCARS_Off[AbilityID],RawOfficer[AbilityID],RawOfficer[Tag_NonArmadaHostiles])</f>
        <v>✅</v>
      </c>
      <c r="H189" s="516" t="str">
        <f t="array" ref="H189">XLOOKUP(LCARS_Off[AbilityID],RawOfficer[AbilityID],RawOfficer[Tag_WaveDefense])</f>
        <v>✅</v>
      </c>
      <c r="I189" s="516" t="str">
        <f t="array" ref="I189">XLOOKUP(LCARS_Off[AbilityID],RawOfficer[AbilityID],RawOfficer[Tag_QTrial])</f>
        <v>✅</v>
      </c>
      <c r="J189" s="516" t="str">
        <f t="array" ref="J189">XLOOKUP(LCARS_Off[AbilityID],RawOfficer[AbilityID],RawOfficer[Tag_MissionBosses])</f>
        <v>✅</v>
      </c>
      <c r="K189" s="516" t="str">
        <f t="array" ref="K189">XLOOKUP(LCARS_Off[AbilityID],RawOfficer[AbilityID],RawOfficer[Tag_GroupArmadas])</f>
        <v>✅</v>
      </c>
      <c r="L189" s="516" t="str">
        <f t="array" ref="L189">XLOOKUP(LCARS_Off[AbilityID],RawOfficer[AbilityID],RawOfficer[Tag_SoloArmadas])</f>
        <v>✅</v>
      </c>
      <c r="M189" s="516" t="str">
        <f t="array" ref="M189">XLOOKUP(LCARS_Off[AbilityID],RawOfficer[AbilityID],RawOfficer[Tag_InvadingEntities])</f>
        <v>✅</v>
      </c>
      <c r="N189" s="516" t="str">
        <f t="array" ref="N189">XLOOKUP(LCARS_Off[AbilityID],RawOfficer[AbilityID],RawOfficer[Tag_Assaults])</f>
        <v>✅</v>
      </c>
      <c r="O189" s="516" t="str">
        <f t="array" ref="O189">XLOOKUP(LCARS_Off[AbilityID],RawOfficer[AbilityID],RawOfficer[Tag_OutpostArmadas])</f>
        <v>✅</v>
      </c>
      <c r="P189" s="516" t="str">
        <f t="array" ref="P189">XLOOKUP(LCARS_Off[AbilityID],RawOfficer[AbilityID],RawOfficer[Tag_OutpostRetaliators])</f>
        <v>✅</v>
      </c>
      <c r="Q189" s="517" t="str">
        <f t="array" ref="Q189">XLOOKUP(LCARS_Off[AbilityID],RawOfficer[AbilityID],RawOfficer[Conditional_Reason])</f>
        <v/>
      </c>
      <c r="R189" s="518" t="str">
        <f t="array" ref="R189">XLOOKUP(LCARS_Off[AbilityID],RawOfficer[AbilityID],RawOfficer[Tag_Loot])</f>
        <v>➖</v>
      </c>
      <c r="S189" s="516" t="str">
        <f t="array" ref="S189">XLOOKUP(LCARS_Off[AbilityID],RawOfficer[AbilityID],RawOfficer[Tag_Utility])</f>
        <v>➖</v>
      </c>
      <c r="T189" s="429" t="str">
        <f t="array" ref="T189">XLOOKUP(LCARS_Off[AbilityID],RawOfficer[AbilityID],RawOfficer[OfficerSynergy])</f>
        <v>ANOTHER TIME</v>
      </c>
      <c r="U189" s="519" t="str">
        <f t="array" ref="U189">XLOOKUP(LCARS_Off[AbilityID],RawOfficer[AbilityID],RawOfficer[AbilityModifier])</f>
        <v>ShieldHPMax</v>
      </c>
      <c r="V189" s="519" t="str">
        <f t="array" ref="V189">XLOOKUP(LCARS_Off[AbilityID],RawOfficer[AbilityID],RawOfficer[AbilityAttributes])</f>
        <v/>
      </c>
      <c r="W189" s="520" t="str">
        <f t="array" ref="W189">XLOOKUP(LCARS_Off[AbilityID],RawOfficer[AbilityID],RawOfficer[AbilityConditions])</f>
        <v/>
      </c>
      <c r="X189" s="519" t="str">
        <f t="array" ref="X189">XLOOKUP(LCARS_Off[AbilityID],RawOfficer[AbilityID],RawOfficer[AbilityTrigger])</f>
        <v>ShipLaunched</v>
      </c>
      <c r="Y189" s="519" t="str">
        <f t="array" ref="Y189">XLOOKUP(LCARS_Off[AbilityID],RawOfficer[AbilityID],RawOfficer[AbilityTarget])</f>
        <v>SelfShip</v>
      </c>
      <c r="Z189" s="519" t="str">
        <f t="array" ref="Z189">XLOOKUP(LCARS_Off[AbilityID],RawOfficer[AbilityID],RawOfficer[AbilityOperation])</f>
        <v>MultiplyAdd</v>
      </c>
      <c r="AA189" s="521" t="str">
        <f t="array" ref="AA189">XLOOKUP(LCARS_Off[AbilityID],RawOfficer[AbilityID],RawOfficer[AbilityDescription])</f>
        <v>Cadet Uhura increases the Shield Health of the ship by X.</v>
      </c>
      <c r="AB189" s="429" t="b">
        <v>0</v>
      </c>
      <c r="AC189" s="522" t="str">
        <f t="array" ref="AC189">XLOOKUP(LCARS_Off[AbilityID],RawOfficer[AbilityID],RawOfficer[AbilityDescriptionShort])</f>
        <v>+X to Shield Health</v>
      </c>
      <c r="AD189" s="523"/>
      <c r="AE189" s="524"/>
      <c r="AF189" s="524"/>
      <c r="AG189" s="525" t="str">
        <f t="array" ref="AG189">XLOOKUP(LCARS_Off[AbilityID],RawOfficer[AbilityID],RawOfficer[AbilityChances])</f>
        <v>1.0, 1.0, 1.0, 1.0, 1.0</v>
      </c>
      <c r="AH189" s="525" t="str">
        <f t="array" ref="AH189">XLOOKUP(LCARS_Off[AbilityID],RawOfficer[AbilityID],RawOfficer[AbilityValues])</f>
        <v>0.05, 0.07, 0.09, 0.11, 0.14</v>
      </c>
      <c r="AI189" s="428" t="b">
        <f t="array" ref="AI189">XLOOKUP(LCARS_Off[AbilityID],RawOfficer[AbilityID],RawOfficer[AbilityHasChance])</f>
        <v>0</v>
      </c>
      <c r="AJ189" s="428" t="b">
        <f t="array" ref="AJ189">XLOOKUP(LCARS_Off[AbilityID],RawOfficer[AbilityID],RawOfficer[AbilityShowPercentage])</f>
        <v>1</v>
      </c>
      <c r="AK189" s="429">
        <f t="array" ref="AK189">XLOOKUP(LCARS_Off[AbilityID],RawOfficer[AbilityID],RawOfficer[OfficerArt])</f>
        <v>87</v>
      </c>
      <c r="AL189" s="430">
        <v>2.570807487E9</v>
      </c>
      <c r="AM189" s="430">
        <f t="array" ref="AM189">XLOOKUP(LCARS_Off[AbilityID],RawOfficer[AbilityID],RawOfficer[Default Order])</f>
        <v>186</v>
      </c>
    </row>
    <row r="190">
      <c r="A190" s="429" t="str">
        <f t="array" ref="A190">LEFT(XLOOKUP(LCARS_Off[AbilityID],RawOfficer[AbilityID],RawOfficer[OfficerRarity]), 1)</f>
        <v>C</v>
      </c>
      <c r="B190" s="429"/>
      <c r="C190" s="514" t="str">
        <f t="array" ref="C190">HYPERLINK("https://stfc.space/officers/" &amp; XLOOKUP(LCARS_Off[AbilityID],RawOfficer[AbilityID],RawOfficer[OfficerId]), XLOOKUP(LCARS_Off[AbilityID],RawOfficer[AbilityID],RawOfficer[OfficerName]))</f>
        <v>CADET SULU</v>
      </c>
      <c r="D190" s="515" t="str">
        <f t="array" ref="D190">XLOOKUP(LCARS_Off[AbilityID],RawOfficer[AbilityID],RawOfficer[AbilityType])</f>
        <v>CM</v>
      </c>
      <c r="E190" s="516" t="str">
        <f t="array" ref="E190">XLOOKUP(LCARS_Off[AbilityID],RawOfficer[AbilityID],RawOfficer[Tag_PvPinSpace])</f>
        <v>✅</v>
      </c>
      <c r="F190" s="516" t="str">
        <f t="array" ref="F190">XLOOKUP(LCARS_Off[AbilityID],RawOfficer[AbilityID],RawOfficer[Tag_PvPStation])</f>
        <v>✅</v>
      </c>
      <c r="G190" s="516" t="str">
        <f t="array" ref="G190">XLOOKUP(LCARS_Off[AbilityID],RawOfficer[AbilityID],RawOfficer[Tag_NonArmadaHostiles])</f>
        <v>✅</v>
      </c>
      <c r="H190" s="516" t="str">
        <f t="array" ref="H190">XLOOKUP(LCARS_Off[AbilityID],RawOfficer[AbilityID],RawOfficer[Tag_WaveDefense])</f>
        <v>✅</v>
      </c>
      <c r="I190" s="516" t="str">
        <f t="array" ref="I190">XLOOKUP(LCARS_Off[AbilityID],RawOfficer[AbilityID],RawOfficer[Tag_QTrial])</f>
        <v>✅</v>
      </c>
      <c r="J190" s="516" t="str">
        <f t="array" ref="J190">XLOOKUP(LCARS_Off[AbilityID],RawOfficer[AbilityID],RawOfficer[Tag_MissionBosses])</f>
        <v>✅</v>
      </c>
      <c r="K190" s="516" t="str">
        <f t="array" ref="K190">XLOOKUP(LCARS_Off[AbilityID],RawOfficer[AbilityID],RawOfficer[Tag_GroupArmadas])</f>
        <v>✅</v>
      </c>
      <c r="L190" s="516" t="str">
        <f t="array" ref="L190">XLOOKUP(LCARS_Off[AbilityID],RawOfficer[AbilityID],RawOfficer[Tag_SoloArmadas])</f>
        <v>✅</v>
      </c>
      <c r="M190" s="516" t="str">
        <f t="array" ref="M190">XLOOKUP(LCARS_Off[AbilityID],RawOfficer[AbilityID],RawOfficer[Tag_InvadingEntities])</f>
        <v>✅</v>
      </c>
      <c r="N190" s="516" t="str">
        <f t="array" ref="N190">XLOOKUP(LCARS_Off[AbilityID],RawOfficer[AbilityID],RawOfficer[Tag_Assaults])</f>
        <v>✅</v>
      </c>
      <c r="O190" s="516" t="str">
        <f t="array" ref="O190">XLOOKUP(LCARS_Off[AbilityID],RawOfficer[AbilityID],RawOfficer[Tag_OutpostArmadas])</f>
        <v>✅</v>
      </c>
      <c r="P190" s="516" t="str">
        <f t="array" ref="P190">XLOOKUP(LCARS_Off[AbilityID],RawOfficer[AbilityID],RawOfficer[Tag_OutpostRetaliators])</f>
        <v>✅</v>
      </c>
      <c r="Q190" s="517" t="str">
        <f t="array" ref="Q190">XLOOKUP(LCARS_Off[AbilityID],RawOfficer[AbilityID],RawOfficer[Conditional_Reason])</f>
        <v/>
      </c>
      <c r="R190" s="518" t="str">
        <f t="array" ref="R190">XLOOKUP(LCARS_Off[AbilityID],RawOfficer[AbilityID],RawOfficer[Tag_Loot])</f>
        <v>➖</v>
      </c>
      <c r="S190" s="516" t="str">
        <f t="array" ref="S190">XLOOKUP(LCARS_Off[AbilityID],RawOfficer[AbilityID],RawOfficer[Tag_Utility])</f>
        <v>➖</v>
      </c>
      <c r="T190" s="429" t="str">
        <f t="array" ref="T190">XLOOKUP(LCARS_Off[AbilityID],RawOfficer[AbilityID],RawOfficer[OfficerSynergy])</f>
        <v>ANOTHER TIME</v>
      </c>
      <c r="U190" s="519" t="str">
        <f t="array" ref="U190">XLOOKUP(LCARS_Off[AbilityID],RawOfficer[AbilityID],RawOfficer[AbilityModifier])</f>
        <v>AllDamage</v>
      </c>
      <c r="V190" s="519" t="str">
        <f t="array" ref="V190">XLOOKUP(LCARS_Off[AbilityID],RawOfficer[AbilityID],RawOfficer[AbilityAttributes])</f>
        <v>num_rounds=1</v>
      </c>
      <c r="W190" s="520" t="str">
        <f t="array" ref="W190">XLOOKUP(LCARS_Off[AbilityID],RawOfficer[AbilityID],RawOfficer[AbilityConditions])</f>
        <v/>
      </c>
      <c r="X190" s="519" t="str">
        <f t="array" ref="X190">XLOOKUP(LCARS_Off[AbilityID],RawOfficer[AbilityID],RawOfficer[AbilityTrigger])</f>
        <v>CombatStart</v>
      </c>
      <c r="Y190" s="519" t="str">
        <f t="array" ref="Y190">XLOOKUP(LCARS_Off[AbilityID],RawOfficer[AbilityID],RawOfficer[AbilityTarget])</f>
        <v>SelfShip</v>
      </c>
      <c r="Z190" s="519" t="str">
        <f t="array" ref="Z190">XLOOKUP(LCARS_Off[AbilityID],RawOfficer[AbilityID],RawOfficer[AbilityOperation])</f>
        <v>MultiplyAdd</v>
      </c>
      <c r="AA190" s="521" t="str">
        <f t="array" ref="AA190">XLOOKUP(LCARS_Off[AbilityID],RawOfficer[AbilityID],RawOfficer[AbilityDescription])</f>
        <v>Cadet Sulu increases the damage of the first shots of the ship by X for the first round.</v>
      </c>
      <c r="AB190" s="429" t="b">
        <v>0</v>
      </c>
      <c r="AC190" s="522" t="str">
        <f t="array" ref="AC190">XLOOKUP(LCARS_Off[AbilityID],RawOfficer[AbilityID],RawOfficer[AbilityDescriptionShort])</f>
        <v>+X to Damage for the first round</v>
      </c>
      <c r="AD190" s="523"/>
      <c r="AE190" s="524"/>
      <c r="AF190" s="524"/>
      <c r="AG190" s="525" t="str">
        <f t="array" ref="AG190">XLOOKUP(LCARS_Off[AbilityID],RawOfficer[AbilityID],RawOfficer[AbilityChances])</f>
        <v>1.0, 1.0, 1.0</v>
      </c>
      <c r="AH190" s="525" t="str">
        <f t="array" ref="AH190">XLOOKUP(LCARS_Off[AbilityID],RawOfficer[AbilityID],RawOfficer[AbilityValues])</f>
        <v>0.05, 0.05, 0.1</v>
      </c>
      <c r="AI190" s="428" t="b">
        <f t="array" ref="AI190">XLOOKUP(LCARS_Off[AbilityID],RawOfficer[AbilityID],RawOfficer[AbilityHasChance])</f>
        <v>0</v>
      </c>
      <c r="AJ190" s="428" t="b">
        <f t="array" ref="AJ190">XLOOKUP(LCARS_Off[AbilityID],RawOfficer[AbilityID],RawOfficer[AbilityShowPercentage])</f>
        <v>1</v>
      </c>
      <c r="AK190" s="429">
        <f t="array" ref="AK190">XLOOKUP(LCARS_Off[AbilityID],RawOfficer[AbilityID],RawOfficer[OfficerArt])</f>
        <v>88</v>
      </c>
      <c r="AL190" s="430">
        <v>1.782601905E9</v>
      </c>
      <c r="AM190" s="430">
        <f t="array" ref="AM190">XLOOKUP(LCARS_Off[AbilityID],RawOfficer[AbilityID],RawOfficer[Default Order])</f>
        <v>187</v>
      </c>
    </row>
    <row r="191">
      <c r="A191" s="429" t="str">
        <f t="array" ref="A191">LEFT(XLOOKUP(LCARS_Off[AbilityID],RawOfficer[AbilityID],RawOfficer[OfficerRarity]), 1)</f>
        <v>C</v>
      </c>
      <c r="B191" s="429"/>
      <c r="C191" s="514" t="str">
        <f t="array" ref="C191">HYPERLINK("https://stfc.space/officers/" &amp; XLOOKUP(LCARS_Off[AbilityID],RawOfficer[AbilityID],RawOfficer[OfficerId]), XLOOKUP(LCARS_Off[AbilityID],RawOfficer[AbilityID],RawOfficer[OfficerName]))</f>
        <v>CADET SULU</v>
      </c>
      <c r="D191" s="515" t="str">
        <f t="array" ref="D191">XLOOKUP(LCARS_Off[AbilityID],RawOfficer[AbilityID],RawOfficer[AbilityType])</f>
        <v>OA</v>
      </c>
      <c r="E191" s="516" t="str">
        <f t="array" ref="E191">XLOOKUP(LCARS_Off[AbilityID],RawOfficer[AbilityID],RawOfficer[Tag_PvPinSpace])</f>
        <v>✅</v>
      </c>
      <c r="F191" s="516" t="str">
        <f t="array" ref="F191">XLOOKUP(LCARS_Off[AbilityID],RawOfficer[AbilityID],RawOfficer[Tag_PvPStation])</f>
        <v>✅</v>
      </c>
      <c r="G191" s="516" t="str">
        <f t="array" ref="G191">XLOOKUP(LCARS_Off[AbilityID],RawOfficer[AbilityID],RawOfficer[Tag_NonArmadaHostiles])</f>
        <v>✅</v>
      </c>
      <c r="H191" s="516" t="str">
        <f t="array" ref="H191">XLOOKUP(LCARS_Off[AbilityID],RawOfficer[AbilityID],RawOfficer[Tag_WaveDefense])</f>
        <v>✅</v>
      </c>
      <c r="I191" s="516" t="str">
        <f t="array" ref="I191">XLOOKUP(LCARS_Off[AbilityID],RawOfficer[AbilityID],RawOfficer[Tag_QTrial])</f>
        <v>✅</v>
      </c>
      <c r="J191" s="516" t="str">
        <f t="array" ref="J191">XLOOKUP(LCARS_Off[AbilityID],RawOfficer[AbilityID],RawOfficer[Tag_MissionBosses])</f>
        <v>✅</v>
      </c>
      <c r="K191" s="516" t="str">
        <f t="array" ref="K191">XLOOKUP(LCARS_Off[AbilityID],RawOfficer[AbilityID],RawOfficer[Tag_GroupArmadas])</f>
        <v>✅</v>
      </c>
      <c r="L191" s="516" t="str">
        <f t="array" ref="L191">XLOOKUP(LCARS_Off[AbilityID],RawOfficer[AbilityID],RawOfficer[Tag_SoloArmadas])</f>
        <v>✅</v>
      </c>
      <c r="M191" s="516" t="str">
        <f t="array" ref="M191">XLOOKUP(LCARS_Off[AbilityID],RawOfficer[AbilityID],RawOfficer[Tag_InvadingEntities])</f>
        <v>✅</v>
      </c>
      <c r="N191" s="516" t="str">
        <f t="array" ref="N191">XLOOKUP(LCARS_Off[AbilityID],RawOfficer[AbilityID],RawOfficer[Tag_Assaults])</f>
        <v>✅</v>
      </c>
      <c r="O191" s="516" t="str">
        <f t="array" ref="O191">XLOOKUP(LCARS_Off[AbilityID],RawOfficer[AbilityID],RawOfficer[Tag_OutpostArmadas])</f>
        <v>✅</v>
      </c>
      <c r="P191" s="516" t="str">
        <f t="array" ref="P191">XLOOKUP(LCARS_Off[AbilityID],RawOfficer[AbilityID],RawOfficer[Tag_OutpostRetaliators])</f>
        <v>✅</v>
      </c>
      <c r="Q191" s="517" t="str">
        <f t="array" ref="Q191">XLOOKUP(LCARS_Off[AbilityID],RawOfficer[AbilityID],RawOfficer[Conditional_Reason])</f>
        <v/>
      </c>
      <c r="R191" s="518" t="str">
        <f t="array" ref="R191">XLOOKUP(LCARS_Off[AbilityID],RawOfficer[AbilityID],RawOfficer[Tag_Loot])</f>
        <v>➖</v>
      </c>
      <c r="S191" s="516" t="str">
        <f t="array" ref="S191">XLOOKUP(LCARS_Off[AbilityID],RawOfficer[AbilityID],RawOfficer[Tag_Utility])</f>
        <v>➖</v>
      </c>
      <c r="T191" s="429" t="str">
        <f t="array" ref="T191">XLOOKUP(LCARS_Off[AbilityID],RawOfficer[AbilityID],RawOfficer[OfficerSynergy])</f>
        <v>ANOTHER TIME</v>
      </c>
      <c r="U191" s="519" t="str">
        <f t="array" ref="U191">XLOOKUP(LCARS_Off[AbilityID],RawOfficer[AbilityID],RawOfficer[AbilityModifier])</f>
        <v>OfficerStatAttack</v>
      </c>
      <c r="V191" s="519" t="str">
        <f t="array" ref="V191">XLOOKUP(LCARS_Off[AbilityID],RawOfficer[AbilityID],RawOfficer[AbilityAttributes])</f>
        <v/>
      </c>
      <c r="W191" s="520" t="str">
        <f t="array" ref="W191">XLOOKUP(LCARS_Off[AbilityID],RawOfficer[AbilityID],RawOfficer[AbilityConditions])</f>
        <v/>
      </c>
      <c r="X191" s="519" t="str">
        <f t="array" ref="X191">XLOOKUP(LCARS_Off[AbilityID],RawOfficer[AbilityID],RawOfficer[AbilityTrigger])</f>
        <v>ShipLaunched</v>
      </c>
      <c r="Y191" s="519" t="str">
        <f t="array" ref="Y191">XLOOKUP(LCARS_Off[AbilityID],RawOfficer[AbilityID],RawOfficer[AbilityTarget])</f>
        <v>SelfBridge</v>
      </c>
      <c r="Z191" s="519" t="str">
        <f t="array" ref="Z191">XLOOKUP(LCARS_Off[AbilityID],RawOfficer[AbilityID],RawOfficer[AbilityOperation])</f>
        <v>MultiplyAdd</v>
      </c>
      <c r="AA191" s="521" t="str">
        <f t="array" ref="AA191">XLOOKUP(LCARS_Off[AbilityID],RawOfficer[AbilityID],RawOfficer[AbilityDescription])</f>
        <v>Cadet Sulu increases the Attack of all the Officers on the ship by X.</v>
      </c>
      <c r="AB191" s="429" t="b">
        <v>0</v>
      </c>
      <c r="AC191" s="522" t="str">
        <f t="array" ref="AC191">XLOOKUP(LCARS_Off[AbilityID],RawOfficer[AbilityID],RawOfficer[AbilityDescriptionShort])</f>
        <v>+X to the Attack of all the officers in the ship</v>
      </c>
      <c r="AD191" s="523"/>
      <c r="AE191" s="524"/>
      <c r="AF191" s="524"/>
      <c r="AG191" s="525" t="str">
        <f t="array" ref="AG191">XLOOKUP(LCARS_Off[AbilityID],RawOfficer[AbilityID],RawOfficer[AbilityChances])</f>
        <v>1.0, 1.0, 1.0, 1.0, 1.0</v>
      </c>
      <c r="AH191" s="525" t="str">
        <f t="array" ref="AH191">XLOOKUP(LCARS_Off[AbilityID],RawOfficer[AbilityID],RawOfficer[AbilityValues])</f>
        <v>0.05, 0.08, 0.1, 0.12, 0.15</v>
      </c>
      <c r="AI191" s="428" t="b">
        <f t="array" ref="AI191">XLOOKUP(LCARS_Off[AbilityID],RawOfficer[AbilityID],RawOfficer[AbilityHasChance])</f>
        <v>0</v>
      </c>
      <c r="AJ191" s="428" t="b">
        <f t="array" ref="AJ191">XLOOKUP(LCARS_Off[AbilityID],RawOfficer[AbilityID],RawOfficer[AbilityShowPercentage])</f>
        <v>1</v>
      </c>
      <c r="AK191" s="429">
        <f t="array" ref="AK191">XLOOKUP(LCARS_Off[AbilityID],RawOfficer[AbilityID],RawOfficer[OfficerArt])</f>
        <v>88</v>
      </c>
      <c r="AL191" s="430">
        <v>1.980387696E9</v>
      </c>
      <c r="AM191" s="430">
        <f t="array" ref="AM191">XLOOKUP(LCARS_Off[AbilityID],RawOfficer[AbilityID],RawOfficer[Default Order])</f>
        <v>188</v>
      </c>
    </row>
    <row r="192">
      <c r="A192" s="429" t="str">
        <f t="array" ref="A192">LEFT(XLOOKUP(LCARS_Off[AbilityID],RawOfficer[AbilityID],RawOfficer[OfficerRarity]), 1)</f>
        <v>E</v>
      </c>
      <c r="B192" s="429"/>
      <c r="C192" s="514" t="str">
        <f t="array" ref="C192">HYPERLINK("https://stfc.space/officers/" &amp; XLOOKUP(LCARS_Off[AbilityID],RawOfficer[AbilityID],RawOfficer[OfficerId]), XLOOKUP(LCARS_Off[AbilityID],RawOfficer[AbilityID],RawOfficer[OfficerName]))</f>
        <v>JAYLAH</v>
      </c>
      <c r="D192" s="515" t="str">
        <f t="array" ref="D192">XLOOKUP(LCARS_Off[AbilityID],RawOfficer[AbilityID],RawOfficer[AbilityType])</f>
        <v>CM</v>
      </c>
      <c r="E192" s="516" t="str">
        <f t="array" ref="E192">XLOOKUP(LCARS_Off[AbilityID],RawOfficer[AbilityID],RawOfficer[Tag_PvPinSpace])</f>
        <v>➖</v>
      </c>
      <c r="F192" s="516" t="str">
        <f t="array" ref="F192">XLOOKUP(LCARS_Off[AbilityID],RawOfficer[AbilityID],RawOfficer[Tag_PvPStation])</f>
        <v>➖</v>
      </c>
      <c r="G192" s="516" t="str">
        <f t="array" ref="G192">XLOOKUP(LCARS_Off[AbilityID],RawOfficer[AbilityID],RawOfficer[Tag_NonArmadaHostiles])</f>
        <v>✴️</v>
      </c>
      <c r="H192" s="516" t="str">
        <f t="array" ref="H192">XLOOKUP(LCARS_Off[AbilityID],RawOfficer[AbilityID],RawOfficer[Tag_WaveDefense])</f>
        <v>➖</v>
      </c>
      <c r="I192" s="516" t="str">
        <f t="array" ref="I192">XLOOKUP(LCARS_Off[AbilityID],RawOfficer[AbilityID],RawOfficer[Tag_QTrial])</f>
        <v>➖</v>
      </c>
      <c r="J192" s="516" t="str">
        <f t="array" ref="J192">XLOOKUP(LCARS_Off[AbilityID],RawOfficer[AbilityID],RawOfficer[Tag_MissionBosses])</f>
        <v>➖</v>
      </c>
      <c r="K192" s="516" t="str">
        <f t="array" ref="K192">XLOOKUP(LCARS_Off[AbilityID],RawOfficer[AbilityID],RawOfficer[Tag_GroupArmadas])</f>
        <v>✴️</v>
      </c>
      <c r="L192" s="516" t="str">
        <f t="array" ref="L192">XLOOKUP(LCARS_Off[AbilityID],RawOfficer[AbilityID],RawOfficer[Tag_SoloArmadas])</f>
        <v>✴️</v>
      </c>
      <c r="M192" s="516" t="str">
        <f t="array" ref="M192">XLOOKUP(LCARS_Off[AbilityID],RawOfficer[AbilityID],RawOfficer[Tag_InvadingEntities])</f>
        <v>✴️</v>
      </c>
      <c r="N192" s="516" t="str">
        <f t="array" ref="N192">XLOOKUP(LCARS_Off[AbilityID],RawOfficer[AbilityID],RawOfficer[Tag_Assaults])</f>
        <v>➖</v>
      </c>
      <c r="O192" s="516" t="str">
        <f t="array" ref="O192">XLOOKUP(LCARS_Off[AbilityID],RawOfficer[AbilityID],RawOfficer[Tag_OutpostArmadas])</f>
        <v>✴️</v>
      </c>
      <c r="P192" s="516" t="str">
        <f t="array" ref="P192">XLOOKUP(LCARS_Off[AbilityID],RawOfficer[AbilityID],RawOfficer[Tag_OutpostRetaliators])</f>
        <v>✴️</v>
      </c>
      <c r="Q192" s="517" t="str">
        <f t="array" ref="Q192">XLOOKUP(LCARS_Off[AbilityID],RawOfficer[AbilityID],RawOfficer[Conditional_Reason])</f>
        <v>CombatPveRewards (on USS-Franklin(-A))</v>
      </c>
      <c r="R192" s="518" t="str">
        <f t="array" ref="R192">XLOOKUP(LCARS_Off[AbilityID],RawOfficer[AbilityID],RawOfficer[Tag_Loot])</f>
        <v>✅</v>
      </c>
      <c r="S192" s="516" t="str">
        <f t="array" ref="S192">XLOOKUP(LCARS_Off[AbilityID],RawOfficer[AbilityID],RawOfficer[Tag_Utility])</f>
        <v>➖</v>
      </c>
      <c r="T192" s="429" t="str">
        <f t="array" ref="T192">XLOOKUP(LCARS_Off[AbilityID],RawOfficer[AbilityID],RawOfficer[OfficerSynergy])</f>
        <v>JAYLAH</v>
      </c>
      <c r="U192" s="519" t="str">
        <f t="array" ref="U192">XLOOKUP(LCARS_Off[AbilityID],RawOfficer[AbilityID],RawOfficer[AbilityModifier])</f>
        <v>CombatPveRewards</v>
      </c>
      <c r="V192" s="519" t="str">
        <f t="array" ref="V192">XLOOKUP(LCARS_Off[AbilityID],RawOfficer[AbilityID],RawOfficer[AbilityAttributes])</f>
        <v/>
      </c>
      <c r="W192" s="520" t="str">
        <f t="array" ref="W192">XLOOKUP(LCARS_Off[AbilityID],RawOfficer[AbilityID],RawOfficer[AbilityConditions])</f>
        <v>SelfHullFranklins</v>
      </c>
      <c r="X192" s="519" t="str">
        <f t="array" ref="X192">XLOOKUP(LCARS_Off[AbilityID],RawOfficer[AbilityID],RawOfficer[AbilityTrigger])</f>
        <v>ShipLaunched</v>
      </c>
      <c r="Y192" s="519" t="str">
        <f t="array" ref="Y192">XLOOKUP(LCARS_Off[AbilityID],RawOfficer[AbilityID],RawOfficer[AbilityTarget])</f>
        <v>SelfShip</v>
      </c>
      <c r="Z192" s="519" t="str">
        <f t="array" ref="Z192">XLOOKUP(LCARS_Off[AbilityID],RawOfficer[AbilityID],RawOfficer[AbilityOperation])</f>
        <v>MultiplyAdd</v>
      </c>
      <c r="AA192" s="521" t="str">
        <f t="array" ref="AA192">XLOOKUP(LCARS_Off[AbilityID],RawOfficer[AbilityID],RawOfficer[AbilityDescription])</f>
        <v>Jaylah increases the amount of resources you get from killing hostiles and Outposts by X while on the Franklin and Franklin-A.</v>
      </c>
      <c r="AB192" s="429" t="b">
        <v>1</v>
      </c>
      <c r="AC192" s="522" t="str">
        <f t="array" ref="AC192">XLOOKUP(LCARS_Off[AbilityID],RawOfficer[AbilityID],RawOfficer[AbilityDescriptionShort])</f>
        <v>+X to resources dropped by hostiles and Outposts when on either Franklin or Franklin-A.</v>
      </c>
      <c r="AD192" s="523"/>
      <c r="AE192" s="521" t="s">
        <v>568</v>
      </c>
      <c r="AF192" s="521" t="s">
        <v>569</v>
      </c>
      <c r="AG192" s="525" t="str">
        <f t="array" ref="AG192">XLOOKUP(LCARS_Off[AbilityID],RawOfficer[AbilityID],RawOfficer[AbilityChances])</f>
        <v>1.0, 1.0, 1.0</v>
      </c>
      <c r="AH192" s="525" t="str">
        <f t="array" ref="AH192">XLOOKUP(LCARS_Off[AbilityID],RawOfficer[AbilityID],RawOfficer[AbilityValues])</f>
        <v>1.0, 0.0, 0.0</v>
      </c>
      <c r="AI192" s="428" t="b">
        <f t="array" ref="AI192">XLOOKUP(LCARS_Off[AbilityID],RawOfficer[AbilityID],RawOfficer[AbilityHasChance])</f>
        <v>0</v>
      </c>
      <c r="AJ192" s="428" t="b">
        <f t="array" ref="AJ192">XLOOKUP(LCARS_Off[AbilityID],RawOfficer[AbilityID],RawOfficer[AbilityShowPercentage])</f>
        <v>1</v>
      </c>
      <c r="AK192" s="429">
        <f t="array" ref="AK192">XLOOKUP(LCARS_Off[AbilityID],RawOfficer[AbilityID],RawOfficer[OfficerArt])</f>
        <v>94</v>
      </c>
      <c r="AL192" s="430">
        <v>3.40693577E9</v>
      </c>
      <c r="AM192" s="430">
        <f t="array" ref="AM192">XLOOKUP(LCARS_Off[AbilityID],RawOfficer[AbilityID],RawOfficer[Default Order])</f>
        <v>189</v>
      </c>
    </row>
    <row r="193">
      <c r="A193" s="429" t="str">
        <f t="array" ref="A193">LEFT(XLOOKUP(LCARS_Off[AbilityID],RawOfficer[AbilityID],RawOfficer[OfficerRarity]), 1)</f>
        <v>E</v>
      </c>
      <c r="B193" s="429"/>
      <c r="C193" s="514" t="str">
        <f t="array" ref="C193">HYPERLINK("https://stfc.space/officers/" &amp; XLOOKUP(LCARS_Off[AbilityID],RawOfficer[AbilityID],RawOfficer[OfficerId]), XLOOKUP(LCARS_Off[AbilityID],RawOfficer[AbilityID],RawOfficer[OfficerName]))</f>
        <v>JAYLAH</v>
      </c>
      <c r="D193" s="515" t="str">
        <f t="array" ref="D193">XLOOKUP(LCARS_Off[AbilityID],RawOfficer[AbilityID],RawOfficer[AbilityType])</f>
        <v>OA</v>
      </c>
      <c r="E193" s="516" t="str">
        <f t="array" ref="E193">XLOOKUP(LCARS_Off[AbilityID],RawOfficer[AbilityID],RawOfficer[Tag_PvPinSpace])</f>
        <v>➖</v>
      </c>
      <c r="F193" s="516" t="str">
        <f t="array" ref="F193">XLOOKUP(LCARS_Off[AbilityID],RawOfficer[AbilityID],RawOfficer[Tag_PvPStation])</f>
        <v>➖</v>
      </c>
      <c r="G193" s="516" t="str">
        <f t="array" ref="G193">XLOOKUP(LCARS_Off[AbilityID],RawOfficer[AbilityID],RawOfficer[Tag_NonArmadaHostiles])</f>
        <v>✴️</v>
      </c>
      <c r="H193" s="516" t="str">
        <f t="array" ref="H193">XLOOKUP(LCARS_Off[AbilityID],RawOfficer[AbilityID],RawOfficer[Tag_WaveDefense])</f>
        <v>✴️</v>
      </c>
      <c r="I193" s="516" t="str">
        <f t="array" ref="I193">XLOOKUP(LCARS_Off[AbilityID],RawOfficer[AbilityID],RawOfficer[Tag_QTrial])</f>
        <v>✴️</v>
      </c>
      <c r="J193" s="516" t="str">
        <f t="array" ref="J193">XLOOKUP(LCARS_Off[AbilityID],RawOfficer[AbilityID],RawOfficer[Tag_MissionBosses])</f>
        <v>✴️</v>
      </c>
      <c r="K193" s="516" t="str">
        <f t="array" ref="K193">XLOOKUP(LCARS_Off[AbilityID],RawOfficer[AbilityID],RawOfficer[Tag_GroupArmadas])</f>
        <v>✴️</v>
      </c>
      <c r="L193" s="516" t="str">
        <f t="array" ref="L193">XLOOKUP(LCARS_Off[AbilityID],RawOfficer[AbilityID],RawOfficer[Tag_SoloArmadas])</f>
        <v>✴️</v>
      </c>
      <c r="M193" s="516" t="str">
        <f t="array" ref="M193">XLOOKUP(LCARS_Off[AbilityID],RawOfficer[AbilityID],RawOfficer[Tag_InvadingEntities])</f>
        <v>➖</v>
      </c>
      <c r="N193" s="516" t="str">
        <f t="array" ref="N193">XLOOKUP(LCARS_Off[AbilityID],RawOfficer[AbilityID],RawOfficer[Tag_Assaults])</f>
        <v>✴️</v>
      </c>
      <c r="O193" s="516" t="str">
        <f t="array" ref="O193">XLOOKUP(LCARS_Off[AbilityID],RawOfficer[AbilityID],RawOfficer[Tag_OutpostArmadas])</f>
        <v>➖</v>
      </c>
      <c r="P193" s="516" t="str">
        <f t="array" ref="P193">XLOOKUP(LCARS_Off[AbilityID],RawOfficer[AbilityID],RawOfficer[Tag_OutpostRetaliators])</f>
        <v>➖</v>
      </c>
      <c r="Q193" s="517" t="str">
        <f t="array" ref="Q193">XLOOKUP(LCARS_Off[AbilityID],RawOfficer[AbilityID],RawOfficer[Conditional_Reason])</f>
        <v>EnemyHullFaction, SelfHullFranklins</v>
      </c>
      <c r="R193" s="518" t="str">
        <f t="array" ref="R193">XLOOKUP(LCARS_Off[AbilityID],RawOfficer[AbilityID],RawOfficer[Tag_Loot])</f>
        <v>➖</v>
      </c>
      <c r="S193" s="516" t="str">
        <f t="array" ref="S193">XLOOKUP(LCARS_Off[AbilityID],RawOfficer[AbilityID],RawOfficer[Tag_Utility])</f>
        <v>➖</v>
      </c>
      <c r="T193" s="429" t="str">
        <f t="array" ref="T193">XLOOKUP(LCARS_Off[AbilityID],RawOfficer[AbilityID],RawOfficer[OfficerSynergy])</f>
        <v>JAYLAH</v>
      </c>
      <c r="U193" s="519" t="str">
        <f t="array" ref="U193">XLOOKUP(LCARS_Off[AbilityID],RawOfficer[AbilityID],RawOfficer[AbilityModifier])</f>
        <v>ShotsPerAttack</v>
      </c>
      <c r="V193" s="519" t="str">
        <f t="array" ref="V193">XLOOKUP(LCARS_Off[AbilityID],RawOfficer[AbilityID],RawOfficer[AbilityAttributes])</f>
        <v>faction_id=2489857622</v>
      </c>
      <c r="W193" s="520" t="str">
        <f t="array" ref="W193">XLOOKUP(LCARS_Off[AbilityID],RawOfficer[AbilityID],RawOfficer[AbilityConditions])</f>
        <v>EnemyHullFaction, SelfHullFranklins</v>
      </c>
      <c r="X193" s="519" t="str">
        <f t="array" ref="X193">XLOOKUP(LCARS_Off[AbilityID],RawOfficer[AbilityID],RawOfficer[AbilityTrigger])</f>
        <v>CombatStart</v>
      </c>
      <c r="Y193" s="519" t="str">
        <f t="array" ref="Y193">XLOOKUP(LCARS_Off[AbilityID],RawOfficer[AbilityID],RawOfficer[AbilityTarget])</f>
        <v>SelfShip</v>
      </c>
      <c r="Z193" s="519" t="str">
        <f t="array" ref="Z193">XLOOKUP(LCARS_Off[AbilityID],RawOfficer[AbilityID],RawOfficer[AbilityOperation])</f>
        <v>Add</v>
      </c>
      <c r="AA193" s="521" t="str">
        <f t="array" ref="AA193">XLOOKUP(LCARS_Off[AbilityID],RawOfficer[AbilityID],RawOfficer[AbilityDescription])</f>
        <v>When Jaylah is on the Franklin and fighting Swarm hostiles, Jaylah increases the number of shots of the Franklin and Franklin-A by X.</v>
      </c>
      <c r="AB193" s="429" t="b">
        <v>0</v>
      </c>
      <c r="AC193" s="522" t="str">
        <f t="array" ref="AC193">XLOOKUP(LCARS_Off[AbilityID],RawOfficer[AbilityID],RawOfficer[AbilityDescriptionShort])</f>
        <v>+X shots against Swarms on either Franklin.</v>
      </c>
      <c r="AD193" s="523"/>
      <c r="AE193" s="524"/>
      <c r="AF193" s="524"/>
      <c r="AG193" s="525" t="str">
        <f t="array" ref="AG193">XLOOKUP(LCARS_Off[AbilityID],RawOfficer[AbilityID],RawOfficer[AbilityChances])</f>
        <v>1.0, 1.0, 1.0, 1.0, 1.0</v>
      </c>
      <c r="AH193" s="525" t="str">
        <f t="array" ref="AH193">XLOOKUP(LCARS_Off[AbilityID],RawOfficer[AbilityID],RawOfficer[AbilityValues])</f>
        <v>1.0, 2.0, 3.0, 4.0, 5.0</v>
      </c>
      <c r="AI193" s="428" t="b">
        <f t="array" ref="AI193">XLOOKUP(LCARS_Off[AbilityID],RawOfficer[AbilityID],RawOfficer[AbilityHasChance])</f>
        <v>0</v>
      </c>
      <c r="AJ193" s="428" t="b">
        <f t="array" ref="AJ193">XLOOKUP(LCARS_Off[AbilityID],RawOfficer[AbilityID],RawOfficer[AbilityShowPercentage])</f>
        <v>0</v>
      </c>
      <c r="AK193" s="429">
        <f t="array" ref="AK193">XLOOKUP(LCARS_Off[AbilityID],RawOfficer[AbilityID],RawOfficer[OfficerArt])</f>
        <v>94</v>
      </c>
      <c r="AL193" s="430">
        <v>5.65052704E8</v>
      </c>
      <c r="AM193" s="430">
        <f t="array" ref="AM193">XLOOKUP(LCARS_Off[AbilityID],RawOfficer[AbilityID],RawOfficer[Default Order])</f>
        <v>190</v>
      </c>
    </row>
    <row r="194">
      <c r="A194" s="429" t="str">
        <f t="array" ref="A194">LEFT(XLOOKUP(LCARS_Off[AbilityID],RawOfficer[AbilityID],RawOfficer[OfficerRarity]), 1)</f>
        <v>R</v>
      </c>
      <c r="B194" s="429"/>
      <c r="C194" s="514" t="str">
        <f t="array" ref="C194">HYPERLINK("https://stfc.space/officers/" &amp; XLOOKUP(LCARS_Off[AbilityID],RawOfficer[AbilityID],RawOfficer[OfficerId]), XLOOKUP(LCARS_Off[AbilityID],RawOfficer[AbilityID],RawOfficer[OfficerName]))</f>
        <v>ONE OF ELEVEN</v>
      </c>
      <c r="D194" s="515" t="str">
        <f t="array" ref="D194">XLOOKUP(LCARS_Off[AbilityID],RawOfficer[AbilityID],RawOfficer[AbilityType])</f>
        <v>CM</v>
      </c>
      <c r="E194" s="516" t="str">
        <f t="array" ref="E194">XLOOKUP(LCARS_Off[AbilityID],RawOfficer[AbilityID],RawOfficer[Tag_PvPinSpace])</f>
        <v>✅</v>
      </c>
      <c r="F194" s="516" t="str">
        <f t="array" ref="F194">XLOOKUP(LCARS_Off[AbilityID],RawOfficer[AbilityID],RawOfficer[Tag_PvPStation])</f>
        <v>✅</v>
      </c>
      <c r="G194" s="516" t="str">
        <f t="array" ref="G194">XLOOKUP(LCARS_Off[AbilityID],RawOfficer[AbilityID],RawOfficer[Tag_NonArmadaHostiles])</f>
        <v>✅</v>
      </c>
      <c r="H194" s="516" t="str">
        <f t="array" ref="H194">XLOOKUP(LCARS_Off[AbilityID],RawOfficer[AbilityID],RawOfficer[Tag_WaveDefense])</f>
        <v>✅</v>
      </c>
      <c r="I194" s="516" t="str">
        <f t="array" ref="I194">XLOOKUP(LCARS_Off[AbilityID],RawOfficer[AbilityID],RawOfficer[Tag_QTrial])</f>
        <v>✅</v>
      </c>
      <c r="J194" s="516" t="str">
        <f t="array" ref="J194">XLOOKUP(LCARS_Off[AbilityID],RawOfficer[AbilityID],RawOfficer[Tag_MissionBosses])</f>
        <v>✅</v>
      </c>
      <c r="K194" s="516" t="str">
        <f t="array" ref="K194">XLOOKUP(LCARS_Off[AbilityID],RawOfficer[AbilityID],RawOfficer[Tag_GroupArmadas])</f>
        <v>✅</v>
      </c>
      <c r="L194" s="516" t="str">
        <f t="array" ref="L194">XLOOKUP(LCARS_Off[AbilityID],RawOfficer[AbilityID],RawOfficer[Tag_SoloArmadas])</f>
        <v>✅</v>
      </c>
      <c r="M194" s="516" t="str">
        <f t="array" ref="M194">XLOOKUP(LCARS_Off[AbilityID],RawOfficer[AbilityID],RawOfficer[Tag_InvadingEntities])</f>
        <v>✅</v>
      </c>
      <c r="N194" s="516" t="str">
        <f t="array" ref="N194">XLOOKUP(LCARS_Off[AbilityID],RawOfficer[AbilityID],RawOfficer[Tag_Assaults])</f>
        <v>✅</v>
      </c>
      <c r="O194" s="516" t="str">
        <f t="array" ref="O194">XLOOKUP(LCARS_Off[AbilityID],RawOfficer[AbilityID],RawOfficer[Tag_OutpostArmadas])</f>
        <v>✅</v>
      </c>
      <c r="P194" s="516" t="str">
        <f t="array" ref="P194">XLOOKUP(LCARS_Off[AbilityID],RawOfficer[AbilityID],RawOfficer[Tag_OutpostRetaliators])</f>
        <v>✅</v>
      </c>
      <c r="Q194" s="517" t="str">
        <f t="array" ref="Q194">XLOOKUP(LCARS_Off[AbilityID],RawOfficer[AbilityID],RawOfficer[Conditional_Reason])</f>
        <v/>
      </c>
      <c r="R194" s="518" t="str">
        <f t="array" ref="R194">XLOOKUP(LCARS_Off[AbilityID],RawOfficer[AbilityID],RawOfficer[Tag_Loot])</f>
        <v>➖</v>
      </c>
      <c r="S194" s="516" t="str">
        <f t="array" ref="S194">XLOOKUP(LCARS_Off[AbilityID],RawOfficer[AbilityID],RawOfficer[Tag_Utility])</f>
        <v>➖</v>
      </c>
      <c r="T194" s="429" t="str">
        <f t="array" ref="T194">XLOOKUP(LCARS_Off[AbilityID],RawOfficer[AbilityID],RawOfficer[OfficerSynergy])</f>
        <v>UNIMATRIX TWELVE</v>
      </c>
      <c r="U194" s="519" t="str">
        <f t="array" ref="U194">XLOOKUP(LCARS_Off[AbilityID],RawOfficer[AbilityID],RawOfficer[AbilityModifier])</f>
        <v>ShieldMitigation</v>
      </c>
      <c r="V194" s="519" t="str">
        <f t="array" ref="V194">XLOOKUP(LCARS_Off[AbilityID],RawOfficer[AbilityID],RawOfficer[AbilityAttributes])</f>
        <v/>
      </c>
      <c r="W194" s="520" t="str">
        <f t="array" ref="W194">XLOOKUP(LCARS_Off[AbilityID],RawOfficer[AbilityID],RawOfficer[AbilityConditions])</f>
        <v/>
      </c>
      <c r="X194" s="519" t="str">
        <f t="array" ref="X194">XLOOKUP(LCARS_Off[AbilityID],RawOfficer[AbilityID],RawOfficer[AbilityTrigger])</f>
        <v>CombatStart</v>
      </c>
      <c r="Y194" s="519" t="str">
        <f t="array" ref="Y194">XLOOKUP(LCARS_Off[AbilityID],RawOfficer[AbilityID],RawOfficer[AbilityTarget])</f>
        <v>SelfShip</v>
      </c>
      <c r="Z194" s="519" t="str">
        <f t="array" ref="Z194">XLOOKUP(LCARS_Off[AbilityID],RawOfficer[AbilityID],RawOfficer[AbilityOperation])</f>
        <v>Add</v>
      </c>
      <c r="AA194" s="521" t="str">
        <f t="array" ref="AA194">XLOOKUP(LCARS_Off[AbilityID],RawOfficer[AbilityID],RawOfficer[AbilityDescription])</f>
        <v>The ship mitigates X more damage to the Shield Health instead of the Hull Health.</v>
      </c>
      <c r="AB194" s="429" t="b">
        <v>0</v>
      </c>
      <c r="AC194" s="522" t="str">
        <f t="array" ref="AC194">XLOOKUP(LCARS_Off[AbilityID],RawOfficer[AbilityID],RawOfficer[AbilityDescriptionShort])</f>
        <v>+X damage mitigated by the shields.</v>
      </c>
      <c r="AD194" s="523"/>
      <c r="AE194" s="524"/>
      <c r="AF194" s="524"/>
      <c r="AG194" s="525" t="str">
        <f t="array" ref="AG194">XLOOKUP(LCARS_Off[AbilityID],RawOfficer[AbilityID],RawOfficer[AbilityChances])</f>
        <v>1.0, 1.0, 1.0</v>
      </c>
      <c r="AH194" s="525" t="str">
        <f t="array" ref="AH194">XLOOKUP(LCARS_Off[AbilityID],RawOfficer[AbilityID],RawOfficer[AbilityValues])</f>
        <v>0.05, 0.01, 0.02</v>
      </c>
      <c r="AI194" s="428" t="b">
        <f t="array" ref="AI194">XLOOKUP(LCARS_Off[AbilityID],RawOfficer[AbilityID],RawOfficer[AbilityHasChance])</f>
        <v>0</v>
      </c>
      <c r="AJ194" s="428" t="b">
        <f t="array" ref="AJ194">XLOOKUP(LCARS_Off[AbilityID],RawOfficer[AbilityID],RawOfficer[AbilityShowPercentage])</f>
        <v>1</v>
      </c>
      <c r="AK194" s="429">
        <f t="array" ref="AK194">XLOOKUP(LCARS_Off[AbilityID],RawOfficer[AbilityID],RawOfficer[OfficerArt])</f>
        <v>110</v>
      </c>
      <c r="AL194" s="430">
        <v>2.29656832E9</v>
      </c>
      <c r="AM194" s="430">
        <f t="array" ref="AM194">XLOOKUP(LCARS_Off[AbilityID],RawOfficer[AbilityID],RawOfficer[Default Order])</f>
        <v>191</v>
      </c>
    </row>
    <row r="195">
      <c r="A195" s="429" t="str">
        <f t="array" ref="A195">LEFT(XLOOKUP(LCARS_Off[AbilityID],RawOfficer[AbilityID],RawOfficer[OfficerRarity]), 1)</f>
        <v>R</v>
      </c>
      <c r="B195" s="429"/>
      <c r="C195" s="514" t="str">
        <f t="array" ref="C195">HYPERLINK("https://stfc.space/officers/" &amp; XLOOKUP(LCARS_Off[AbilityID],RawOfficer[AbilityID],RawOfficer[OfficerId]), XLOOKUP(LCARS_Off[AbilityID],RawOfficer[AbilityID],RawOfficer[OfficerName]))</f>
        <v>ONE OF ELEVEN</v>
      </c>
      <c r="D195" s="515" t="str">
        <f t="array" ref="D195">XLOOKUP(LCARS_Off[AbilityID],RawOfficer[AbilityID],RawOfficer[AbilityType])</f>
        <v>OA</v>
      </c>
      <c r="E195" s="516" t="str">
        <f t="array" ref="E195">XLOOKUP(LCARS_Off[AbilityID],RawOfficer[AbilityID],RawOfficer[Tag_PvPinSpace])</f>
        <v>➖</v>
      </c>
      <c r="F195" s="516" t="str">
        <f t="array" ref="F195">XLOOKUP(LCARS_Off[AbilityID],RawOfficer[AbilityID],RawOfficer[Tag_PvPStation])</f>
        <v>➖</v>
      </c>
      <c r="G195" s="516" t="str">
        <f t="array" ref="G195">XLOOKUP(LCARS_Off[AbilityID],RawOfficer[AbilityID],RawOfficer[Tag_NonArmadaHostiles])</f>
        <v>➖</v>
      </c>
      <c r="H195" s="516" t="str">
        <f t="array" ref="H195">XLOOKUP(LCARS_Off[AbilityID],RawOfficer[AbilityID],RawOfficer[Tag_WaveDefense])</f>
        <v>➖</v>
      </c>
      <c r="I195" s="516" t="str">
        <f t="array" ref="I195">XLOOKUP(LCARS_Off[AbilityID],RawOfficer[AbilityID],RawOfficer[Tag_QTrial])</f>
        <v>➖</v>
      </c>
      <c r="J195" s="516" t="str">
        <f t="array" ref="J195">XLOOKUP(LCARS_Off[AbilityID],RawOfficer[AbilityID],RawOfficer[Tag_MissionBosses])</f>
        <v>➖</v>
      </c>
      <c r="K195" s="516" t="str">
        <f t="array" ref="K195">XLOOKUP(LCARS_Off[AbilityID],RawOfficer[AbilityID],RawOfficer[Tag_GroupArmadas])</f>
        <v>➖</v>
      </c>
      <c r="L195" s="516" t="str">
        <f t="array" ref="L195">XLOOKUP(LCARS_Off[AbilityID],RawOfficer[AbilityID],RawOfficer[Tag_SoloArmadas])</f>
        <v>➖</v>
      </c>
      <c r="M195" s="516" t="str">
        <f t="array" ref="M195">XLOOKUP(LCARS_Off[AbilityID],RawOfficer[AbilityID],RawOfficer[Tag_InvadingEntities])</f>
        <v>➖</v>
      </c>
      <c r="N195" s="516" t="str">
        <f t="array" ref="N195">XLOOKUP(LCARS_Off[AbilityID],RawOfficer[AbilityID],RawOfficer[Tag_Assaults])</f>
        <v>➖</v>
      </c>
      <c r="O195" s="516" t="str">
        <f t="array" ref="O195">XLOOKUP(LCARS_Off[AbilityID],RawOfficer[AbilityID],RawOfficer[Tag_OutpostArmadas])</f>
        <v>➖</v>
      </c>
      <c r="P195" s="516" t="str">
        <f t="array" ref="P195">XLOOKUP(LCARS_Off[AbilityID],RawOfficer[AbilityID],RawOfficer[Tag_OutpostRetaliators])</f>
        <v>➖</v>
      </c>
      <c r="Q195" s="517" t="str">
        <f t="array" ref="Q195">XLOOKUP(LCARS_Off[AbilityID],RawOfficer[AbilityID],RawOfficer[Conditional_Reason])</f>
        <v/>
      </c>
      <c r="R195" s="518" t="str">
        <f t="array" ref="R195">XLOOKUP(LCARS_Off[AbilityID],RawOfficer[AbilityID],RawOfficer[Tag_Loot])</f>
        <v>➖</v>
      </c>
      <c r="S195" s="516" t="str">
        <f t="array" ref="S195">XLOOKUP(LCARS_Off[AbilityID],RawOfficer[AbilityID],RawOfficer[Tag_Utility])</f>
        <v>✅</v>
      </c>
      <c r="T195" s="429" t="str">
        <f t="array" ref="T195">XLOOKUP(LCARS_Off[AbilityID],RawOfficer[AbilityID],RawOfficer[OfficerSynergy])</f>
        <v>UNIMATRIX TWELVE</v>
      </c>
      <c r="U195" s="519" t="str">
        <f t="array" ref="U195">XLOOKUP(LCARS_Off[AbilityID],RawOfficer[AbilityID],RawOfficer[AbilityModifier])</f>
        <v>CargoProtection</v>
      </c>
      <c r="V195" s="519" t="str">
        <f t="array" ref="V195">XLOOKUP(LCARS_Off[AbilityID],RawOfficer[AbilityID],RawOfficer[AbilityAttributes])</f>
        <v/>
      </c>
      <c r="W195" s="520" t="str">
        <f t="array" ref="W195">XLOOKUP(LCARS_Off[AbilityID],RawOfficer[AbilityID],RawOfficer[AbilityConditions])</f>
        <v/>
      </c>
      <c r="X195" s="519" t="str">
        <f t="array" ref="X195">XLOOKUP(LCARS_Off[AbilityID],RawOfficer[AbilityID],RawOfficer[AbilityTrigger])</f>
        <v>ShipLaunched</v>
      </c>
      <c r="Y195" s="519" t="str">
        <f t="array" ref="Y195">XLOOKUP(LCARS_Off[AbilityID],RawOfficer[AbilityID],RawOfficer[AbilityTarget])</f>
        <v>SelfShip</v>
      </c>
      <c r="Z195" s="519" t="str">
        <f t="array" ref="Z195">XLOOKUP(LCARS_Off[AbilityID],RawOfficer[AbilityID],RawOfficer[AbilityOperation])</f>
        <v>MultiplyAdd</v>
      </c>
      <c r="AA195" s="521" t="str">
        <f t="array" ref="AA195">XLOOKUP(LCARS_Off[AbilityID],RawOfficer[AbilityID],RawOfficer[AbilityDescription])</f>
        <v>The Protected Cargo is increased by X</v>
      </c>
      <c r="AB195" s="429" t="b">
        <v>0</v>
      </c>
      <c r="AC195" s="522" t="str">
        <f t="array" ref="AC195">XLOOKUP(LCARS_Off[AbilityID],RawOfficer[AbilityID],RawOfficer[AbilityDescriptionShort])</f>
        <v>+X to the Protected Cargo of the ship</v>
      </c>
      <c r="AD195" s="523"/>
      <c r="AE195" s="524"/>
      <c r="AF195" s="524"/>
      <c r="AG195" s="525" t="str">
        <f t="array" ref="AG195">XLOOKUP(LCARS_Off[AbilityID],RawOfficer[AbilityID],RawOfficer[AbilityChances])</f>
        <v>1.0, 1.0, 1.0, 1.0, 1.0</v>
      </c>
      <c r="AH195" s="525" t="str">
        <f t="array" ref="AH195">XLOOKUP(LCARS_Off[AbilityID],RawOfficer[AbilityID],RawOfficer[AbilityValues])</f>
        <v>0.3, 0.35, 0.4, 0.45, 0.5</v>
      </c>
      <c r="AI195" s="428" t="b">
        <f t="array" ref="AI195">XLOOKUP(LCARS_Off[AbilityID],RawOfficer[AbilityID],RawOfficer[AbilityHasChance])</f>
        <v>0</v>
      </c>
      <c r="AJ195" s="428" t="b">
        <f t="array" ref="AJ195">XLOOKUP(LCARS_Off[AbilityID],RawOfficer[AbilityID],RawOfficer[AbilityShowPercentage])</f>
        <v>1</v>
      </c>
      <c r="AK195" s="429">
        <f t="array" ref="AK195">XLOOKUP(LCARS_Off[AbilityID],RawOfficer[AbilityID],RawOfficer[OfficerArt])</f>
        <v>110</v>
      </c>
      <c r="AL195" s="430">
        <v>4.130092864E9</v>
      </c>
      <c r="AM195" s="430">
        <f t="array" ref="AM195">XLOOKUP(LCARS_Off[AbilityID],RawOfficer[AbilityID],RawOfficer[Default Order])</f>
        <v>192</v>
      </c>
    </row>
    <row r="196">
      <c r="A196" s="429" t="str">
        <f t="array" ref="A196">LEFT(XLOOKUP(LCARS_Off[AbilityID],RawOfficer[AbilityID],RawOfficer[OfficerRarity]), 1)</f>
        <v>R</v>
      </c>
      <c r="B196" s="429"/>
      <c r="C196" s="514" t="str">
        <f t="array" ref="C196">HYPERLINK("https://stfc.space/officers/" &amp; XLOOKUP(LCARS_Off[AbilityID],RawOfficer[AbilityID],RawOfficer[OfficerId]), XLOOKUP(LCARS_Off[AbilityID],RawOfficer[AbilityID],RawOfficer[OfficerName]))</f>
        <v>TWO OF ELEVEN</v>
      </c>
      <c r="D196" s="515" t="str">
        <f t="array" ref="D196">XLOOKUP(LCARS_Off[AbilityID],RawOfficer[AbilityID],RawOfficer[AbilityType])</f>
        <v>CM</v>
      </c>
      <c r="E196" s="516" t="str">
        <f t="array" ref="E196">XLOOKUP(LCARS_Off[AbilityID],RawOfficer[AbilityID],RawOfficer[Tag_PvPinSpace])</f>
        <v>➖</v>
      </c>
      <c r="F196" s="516" t="str">
        <f t="array" ref="F196">XLOOKUP(LCARS_Off[AbilityID],RawOfficer[AbilityID],RawOfficer[Tag_PvPStation])</f>
        <v>➖</v>
      </c>
      <c r="G196" s="516" t="str">
        <f t="array" ref="G196">XLOOKUP(LCARS_Off[AbilityID],RawOfficer[AbilityID],RawOfficer[Tag_NonArmadaHostiles])</f>
        <v>➖</v>
      </c>
      <c r="H196" s="516" t="str">
        <f t="array" ref="H196">XLOOKUP(LCARS_Off[AbilityID],RawOfficer[AbilityID],RawOfficer[Tag_WaveDefense])</f>
        <v>➖</v>
      </c>
      <c r="I196" s="516" t="str">
        <f t="array" ref="I196">XLOOKUP(LCARS_Off[AbilityID],RawOfficer[AbilityID],RawOfficer[Tag_QTrial])</f>
        <v>➖</v>
      </c>
      <c r="J196" s="516" t="str">
        <f t="array" ref="J196">XLOOKUP(LCARS_Off[AbilityID],RawOfficer[AbilityID],RawOfficer[Tag_MissionBosses])</f>
        <v>➖</v>
      </c>
      <c r="K196" s="516" t="str">
        <f t="array" ref="K196">XLOOKUP(LCARS_Off[AbilityID],RawOfficer[AbilityID],RawOfficer[Tag_GroupArmadas])</f>
        <v>➖</v>
      </c>
      <c r="L196" s="516" t="str">
        <f t="array" ref="L196">XLOOKUP(LCARS_Off[AbilityID],RawOfficer[AbilityID],RawOfficer[Tag_SoloArmadas])</f>
        <v>➖</v>
      </c>
      <c r="M196" s="516" t="str">
        <f t="array" ref="M196">XLOOKUP(LCARS_Off[AbilityID],RawOfficer[AbilityID],RawOfficer[Tag_InvadingEntities])</f>
        <v>➖</v>
      </c>
      <c r="N196" s="516" t="str">
        <f t="array" ref="N196">XLOOKUP(LCARS_Off[AbilityID],RawOfficer[AbilityID],RawOfficer[Tag_Assaults])</f>
        <v>➖</v>
      </c>
      <c r="O196" s="516" t="str">
        <f t="array" ref="O196">XLOOKUP(LCARS_Off[AbilityID],RawOfficer[AbilityID],RawOfficer[Tag_OutpostArmadas])</f>
        <v>➖</v>
      </c>
      <c r="P196" s="516" t="str">
        <f t="array" ref="P196">XLOOKUP(LCARS_Off[AbilityID],RawOfficer[AbilityID],RawOfficer[Tag_OutpostRetaliators])</f>
        <v>➖</v>
      </c>
      <c r="Q196" s="517" t="str">
        <f t="array" ref="Q196">XLOOKUP(LCARS_Off[AbilityID],RawOfficer[AbilityID],RawOfficer[Conditional_Reason])</f>
        <v/>
      </c>
      <c r="R196" s="518" t="str">
        <f t="array" ref="R196">XLOOKUP(LCARS_Off[AbilityID],RawOfficer[AbilityID],RawOfficer[Tag_Loot])</f>
        <v>➖</v>
      </c>
      <c r="S196" s="516" t="str">
        <f t="array" ref="S196">XLOOKUP(LCARS_Off[AbilityID],RawOfficer[AbilityID],RawOfficer[Tag_Utility])</f>
        <v>✅</v>
      </c>
      <c r="T196" s="429" t="str">
        <f t="array" ref="T196">XLOOKUP(LCARS_Off[AbilityID],RawOfficer[AbilityID],RawOfficer[OfficerSynergy])</f>
        <v>UNIMATRIX TWELVE</v>
      </c>
      <c r="U196" s="519" t="str">
        <f t="array" ref="U196">XLOOKUP(LCARS_Off[AbilityID],RawOfficer[AbilityID],RawOfficer[AbilityModifier])</f>
        <v>CargoCapacity</v>
      </c>
      <c r="V196" s="519" t="str">
        <f t="array" ref="V196">XLOOKUP(LCARS_Off[AbilityID],RawOfficer[AbilityID],RawOfficer[AbilityAttributes])</f>
        <v/>
      </c>
      <c r="W196" s="520" t="str">
        <f t="array" ref="W196">XLOOKUP(LCARS_Off[AbilityID],RawOfficer[AbilityID],RawOfficer[AbilityConditions])</f>
        <v/>
      </c>
      <c r="X196" s="519" t="str">
        <f t="array" ref="X196">XLOOKUP(LCARS_Off[AbilityID],RawOfficer[AbilityID],RawOfficer[AbilityTrigger])</f>
        <v>ShipLaunched</v>
      </c>
      <c r="Y196" s="519" t="str">
        <f t="array" ref="Y196">XLOOKUP(LCARS_Off[AbilityID],RawOfficer[AbilityID],RawOfficer[AbilityTarget])</f>
        <v>SelfShip</v>
      </c>
      <c r="Z196" s="519" t="str">
        <f t="array" ref="Z196">XLOOKUP(LCARS_Off[AbilityID],RawOfficer[AbilityID],RawOfficer[AbilityOperation])</f>
        <v>MultiplyAdd</v>
      </c>
      <c r="AA196" s="521" t="str">
        <f t="array" ref="AA196">XLOOKUP(LCARS_Off[AbilityID],RawOfficer[AbilityID],RawOfficer[AbilityDescription])</f>
        <v>Two of Eleven increases the Cargo size of the ship by X.</v>
      </c>
      <c r="AB196" s="429" t="b">
        <v>0</v>
      </c>
      <c r="AC196" s="522" t="str">
        <f t="array" ref="AC196">XLOOKUP(LCARS_Off[AbilityID],RawOfficer[AbilityID],RawOfficer[AbilityDescriptionShort])</f>
        <v>+X to Cargo size</v>
      </c>
      <c r="AD196" s="523"/>
      <c r="AE196" s="524"/>
      <c r="AF196" s="524"/>
      <c r="AG196" s="525" t="str">
        <f t="array" ref="AG196">XLOOKUP(LCARS_Off[AbilityID],RawOfficer[AbilityID],RawOfficer[AbilityChances])</f>
        <v>1.0, 1.0, 1.0</v>
      </c>
      <c r="AH196" s="525" t="str">
        <f t="array" ref="AH196">XLOOKUP(LCARS_Off[AbilityID],RawOfficer[AbilityID],RawOfficer[AbilityValues])</f>
        <v>0.2, 0.05, 0.15</v>
      </c>
      <c r="AI196" s="428" t="b">
        <f t="array" ref="AI196">XLOOKUP(LCARS_Off[AbilityID],RawOfficer[AbilityID],RawOfficer[AbilityHasChance])</f>
        <v>0</v>
      </c>
      <c r="AJ196" s="428" t="b">
        <f t="array" ref="AJ196">XLOOKUP(LCARS_Off[AbilityID],RawOfficer[AbilityID],RawOfficer[AbilityShowPercentage])</f>
        <v>1</v>
      </c>
      <c r="AK196" s="429">
        <f t="array" ref="AK196">XLOOKUP(LCARS_Off[AbilityID],RawOfficer[AbilityID],RawOfficer[OfficerArt])</f>
        <v>157</v>
      </c>
      <c r="AL196" s="430">
        <v>1.012264418E9</v>
      </c>
      <c r="AM196" s="430">
        <f t="array" ref="AM196">XLOOKUP(LCARS_Off[AbilityID],RawOfficer[AbilityID],RawOfficer[Default Order])</f>
        <v>193</v>
      </c>
    </row>
    <row r="197">
      <c r="A197" s="429" t="str">
        <f t="array" ref="A197">LEFT(XLOOKUP(LCARS_Off[AbilityID],RawOfficer[AbilityID],RawOfficer[OfficerRarity]), 1)</f>
        <v>R</v>
      </c>
      <c r="B197" s="429"/>
      <c r="C197" s="514" t="str">
        <f t="array" ref="C197">HYPERLINK("https://stfc.space/officers/" &amp; XLOOKUP(LCARS_Off[AbilityID],RawOfficer[AbilityID],RawOfficer[OfficerId]), XLOOKUP(LCARS_Off[AbilityID],RawOfficer[AbilityID],RawOfficer[OfficerName]))</f>
        <v>TWO OF ELEVEN</v>
      </c>
      <c r="D197" s="515" t="str">
        <f t="array" ref="D197">XLOOKUP(LCARS_Off[AbilityID],RawOfficer[AbilityID],RawOfficer[AbilityType])</f>
        <v>OA</v>
      </c>
      <c r="E197" s="516" t="str">
        <f t="array" ref="E197">XLOOKUP(LCARS_Off[AbilityID],RawOfficer[AbilityID],RawOfficer[Tag_PvPinSpace])</f>
        <v>➖</v>
      </c>
      <c r="F197" s="516" t="str">
        <f t="array" ref="F197">XLOOKUP(LCARS_Off[AbilityID],RawOfficer[AbilityID],RawOfficer[Tag_PvPStation])</f>
        <v>➖</v>
      </c>
      <c r="G197" s="516" t="str">
        <f t="array" ref="G197">XLOOKUP(LCARS_Off[AbilityID],RawOfficer[AbilityID],RawOfficer[Tag_NonArmadaHostiles])</f>
        <v>➖</v>
      </c>
      <c r="H197" s="516" t="str">
        <f t="array" ref="H197">XLOOKUP(LCARS_Off[AbilityID],RawOfficer[AbilityID],RawOfficer[Tag_WaveDefense])</f>
        <v>➖</v>
      </c>
      <c r="I197" s="516" t="str">
        <f t="array" ref="I197">XLOOKUP(LCARS_Off[AbilityID],RawOfficer[AbilityID],RawOfficer[Tag_QTrial])</f>
        <v>➖</v>
      </c>
      <c r="J197" s="516" t="str">
        <f t="array" ref="J197">XLOOKUP(LCARS_Off[AbilityID],RawOfficer[AbilityID],RawOfficer[Tag_MissionBosses])</f>
        <v>➖</v>
      </c>
      <c r="K197" s="516" t="str">
        <f t="array" ref="K197">XLOOKUP(LCARS_Off[AbilityID],RawOfficer[AbilityID],RawOfficer[Tag_GroupArmadas])</f>
        <v>➖</v>
      </c>
      <c r="L197" s="516" t="str">
        <f t="array" ref="L197">XLOOKUP(LCARS_Off[AbilityID],RawOfficer[AbilityID],RawOfficer[Tag_SoloArmadas])</f>
        <v>➖</v>
      </c>
      <c r="M197" s="516" t="str">
        <f t="array" ref="M197">XLOOKUP(LCARS_Off[AbilityID],RawOfficer[AbilityID],RawOfficer[Tag_InvadingEntities])</f>
        <v>➖</v>
      </c>
      <c r="N197" s="516" t="str">
        <f t="array" ref="N197">XLOOKUP(LCARS_Off[AbilityID],RawOfficer[AbilityID],RawOfficer[Tag_Assaults])</f>
        <v>➖</v>
      </c>
      <c r="O197" s="516" t="str">
        <f t="array" ref="O197">XLOOKUP(LCARS_Off[AbilityID],RawOfficer[AbilityID],RawOfficer[Tag_OutpostArmadas])</f>
        <v>➖</v>
      </c>
      <c r="P197" s="516" t="str">
        <f t="array" ref="P197">XLOOKUP(LCARS_Off[AbilityID],RawOfficer[AbilityID],RawOfficer[Tag_OutpostRetaliators])</f>
        <v>➖</v>
      </c>
      <c r="Q197" s="517" t="str">
        <f t="array" ref="Q197">XLOOKUP(LCARS_Off[AbilityID],RawOfficer[AbilityID],RawOfficer[Conditional_Reason])</f>
        <v/>
      </c>
      <c r="R197" s="518" t="str">
        <f t="array" ref="R197">XLOOKUP(LCARS_Off[AbilityID],RawOfficer[AbilityID],RawOfficer[Tag_Loot])</f>
        <v>➖</v>
      </c>
      <c r="S197" s="516" t="str">
        <f t="array" ref="S197">XLOOKUP(LCARS_Off[AbilityID],RawOfficer[AbilityID],RawOfficer[Tag_Utility])</f>
        <v>✅</v>
      </c>
      <c r="T197" s="429" t="str">
        <f t="array" ref="T197">XLOOKUP(LCARS_Off[AbilityID],RawOfficer[AbilityID],RawOfficer[OfficerSynergy])</f>
        <v>UNIMATRIX TWELVE</v>
      </c>
      <c r="U197" s="519" t="str">
        <f t="array" ref="U197">XLOOKUP(LCARS_Off[AbilityID],RawOfficer[AbilityID],RawOfficer[AbilityModifier])</f>
        <v>MiningRate</v>
      </c>
      <c r="V197" s="519" t="str">
        <f t="array" ref="V197">XLOOKUP(LCARS_Off[AbilityID],RawOfficer[AbilityID],RawOfficer[AbilityAttributes])</f>
        <v>resources=[1371898528, 96209859, 1908242242, 680796905, 1779416627, 84292608, 3735331456, 2964093937, 802509572, 3598797204, 1349464922, 2905009151, 3842158911, 2002611017, 3739531165, 1586478890, 296474010, 2285412015]</v>
      </c>
      <c r="W197" s="520" t="str">
        <f t="array" ref="W197">XLOOKUP(LCARS_Off[AbilityID],RawOfficer[AbilityID],RawOfficer[AbilityConditions])</f>
        <v/>
      </c>
      <c r="X197" s="519" t="str">
        <f t="array" ref="X197">XLOOKUP(LCARS_Off[AbilityID],RawOfficer[AbilityID],RawOfficer[AbilityTrigger])</f>
        <v>ShipLaunched</v>
      </c>
      <c r="Y197" s="519" t="str">
        <f t="array" ref="Y197">XLOOKUP(LCARS_Off[AbilityID],RawOfficer[AbilityID],RawOfficer[AbilityTarget])</f>
        <v>SelfShip</v>
      </c>
      <c r="Z197" s="519" t="str">
        <f t="array" ref="Z197">XLOOKUP(LCARS_Off[AbilityID],RawOfficer[AbilityID],RawOfficer[AbilityOperation])</f>
        <v>MultiplyAdd</v>
      </c>
      <c r="AA197" s="521" t="str">
        <f t="array" ref="AA197">XLOOKUP(LCARS_Off[AbilityID],RawOfficer[AbilityID],RawOfficer[AbilityDescription])</f>
        <v>Two of Eleven increases the rate of Crystal, Gas, and Ore Mining by X.</v>
      </c>
      <c r="AB197" s="429" t="b">
        <v>0</v>
      </c>
      <c r="AC197" s="522" t="str">
        <f t="array" ref="AC197">XLOOKUP(LCARS_Off[AbilityID],RawOfficer[AbilityID],RawOfficer[AbilityDescriptionShort])</f>
        <v>+X to Crystal, Gas, and Ore Mining Speed.</v>
      </c>
      <c r="AD197" s="523"/>
      <c r="AE197" s="524"/>
      <c r="AF197" s="524"/>
      <c r="AG197" s="525" t="str">
        <f t="array" ref="AG197">XLOOKUP(LCARS_Off[AbilityID],RawOfficer[AbilityID],RawOfficer[AbilityChances])</f>
        <v>1.0, 1.0, 1.0, 1.0, 1.0</v>
      </c>
      <c r="AH197" s="525" t="str">
        <f t="array" ref="AH197">XLOOKUP(LCARS_Off[AbilityID],RawOfficer[AbilityID],RawOfficer[AbilityValues])</f>
        <v>0.5, 0.55, 0.6, 0.65, 0.75</v>
      </c>
      <c r="AI197" s="428" t="b">
        <f t="array" ref="AI197">XLOOKUP(LCARS_Off[AbilityID],RawOfficer[AbilityID],RawOfficer[AbilityHasChance])</f>
        <v>0</v>
      </c>
      <c r="AJ197" s="428" t="b">
        <f t="array" ref="AJ197">XLOOKUP(LCARS_Off[AbilityID],RawOfficer[AbilityID],RawOfficer[AbilityShowPercentage])</f>
        <v>1</v>
      </c>
      <c r="AK197" s="429">
        <f t="array" ref="AK197">XLOOKUP(LCARS_Off[AbilityID],RawOfficer[AbilityID],RawOfficer[OfficerArt])</f>
        <v>157</v>
      </c>
      <c r="AL197" s="430">
        <v>3.972571863E9</v>
      </c>
      <c r="AM197" s="430">
        <f t="array" ref="AM197">XLOOKUP(LCARS_Off[AbilityID],RawOfficer[AbilityID],RawOfficer[Default Order])</f>
        <v>194</v>
      </c>
    </row>
    <row r="198">
      <c r="A198" s="429" t="str">
        <f t="array" ref="A198">LEFT(XLOOKUP(LCARS_Off[AbilityID],RawOfficer[AbilityID],RawOfficer[OfficerRarity]), 1)</f>
        <v>E</v>
      </c>
      <c r="B198" s="429"/>
      <c r="C198" s="514" t="str">
        <f t="array" ref="C198">HYPERLINK("https://stfc.space/officers/" &amp; XLOOKUP(LCARS_Off[AbilityID],RawOfficer[AbilityID],RawOfficer[OfficerId]), XLOOKUP(LCARS_Off[AbilityID],RawOfficer[AbilityID],RawOfficer[OfficerName]))</f>
        <v>THREE OF ELEVEN</v>
      </c>
      <c r="D198" s="515" t="str">
        <f t="array" ref="D198">XLOOKUP(LCARS_Off[AbilityID],RawOfficer[AbilityID],RawOfficer[AbilityType])</f>
        <v>CM</v>
      </c>
      <c r="E198" s="516" t="str">
        <f t="array" ref="E198">XLOOKUP(LCARS_Off[AbilityID],RawOfficer[AbilityID],RawOfficer[Tag_PvPinSpace])</f>
        <v>➖</v>
      </c>
      <c r="F198" s="516" t="str">
        <f t="array" ref="F198">XLOOKUP(LCARS_Off[AbilityID],RawOfficer[AbilityID],RawOfficer[Tag_PvPStation])</f>
        <v>➖</v>
      </c>
      <c r="G198" s="516" t="str">
        <f t="array" ref="G198">XLOOKUP(LCARS_Off[AbilityID],RawOfficer[AbilityID],RawOfficer[Tag_NonArmadaHostiles])</f>
        <v>➖</v>
      </c>
      <c r="H198" s="516" t="str">
        <f t="array" ref="H198">XLOOKUP(LCARS_Off[AbilityID],RawOfficer[AbilityID],RawOfficer[Tag_WaveDefense])</f>
        <v>➖</v>
      </c>
      <c r="I198" s="516" t="str">
        <f t="array" ref="I198">XLOOKUP(LCARS_Off[AbilityID],RawOfficer[AbilityID],RawOfficer[Tag_QTrial])</f>
        <v>➖</v>
      </c>
      <c r="J198" s="516" t="str">
        <f t="array" ref="J198">XLOOKUP(LCARS_Off[AbilityID],RawOfficer[AbilityID],RawOfficer[Tag_MissionBosses])</f>
        <v>➖</v>
      </c>
      <c r="K198" s="516" t="str">
        <f t="array" ref="K198">XLOOKUP(LCARS_Off[AbilityID],RawOfficer[AbilityID],RawOfficer[Tag_GroupArmadas])</f>
        <v>➖</v>
      </c>
      <c r="L198" s="516" t="str">
        <f t="array" ref="L198">XLOOKUP(LCARS_Off[AbilityID],RawOfficer[AbilityID],RawOfficer[Tag_SoloArmadas])</f>
        <v>➖</v>
      </c>
      <c r="M198" s="516" t="str">
        <f t="array" ref="M198">XLOOKUP(LCARS_Off[AbilityID],RawOfficer[AbilityID],RawOfficer[Tag_InvadingEntities])</f>
        <v>➖</v>
      </c>
      <c r="N198" s="516" t="str">
        <f t="array" ref="N198">XLOOKUP(LCARS_Off[AbilityID],RawOfficer[AbilityID],RawOfficer[Tag_Assaults])</f>
        <v>➖</v>
      </c>
      <c r="O198" s="516" t="str">
        <f t="array" ref="O198">XLOOKUP(LCARS_Off[AbilityID],RawOfficer[AbilityID],RawOfficer[Tag_OutpostArmadas])</f>
        <v>➖</v>
      </c>
      <c r="P198" s="516" t="str">
        <f t="array" ref="P198">XLOOKUP(LCARS_Off[AbilityID],RawOfficer[AbilityID],RawOfficer[Tag_OutpostRetaliators])</f>
        <v>➖</v>
      </c>
      <c r="Q198" s="517" t="str">
        <f t="array" ref="Q198">XLOOKUP(LCARS_Off[AbilityID],RawOfficer[AbilityID],RawOfficer[Conditional_Reason])</f>
        <v/>
      </c>
      <c r="R198" s="518" t="str">
        <f t="array" ref="R198">XLOOKUP(LCARS_Off[AbilityID],RawOfficer[AbilityID],RawOfficer[Tag_Loot])</f>
        <v>➖</v>
      </c>
      <c r="S198" s="516" t="str">
        <f t="array" ref="S198">XLOOKUP(LCARS_Off[AbilityID],RawOfficer[AbilityID],RawOfficer[Tag_Utility])</f>
        <v>✅</v>
      </c>
      <c r="T198" s="429" t="str">
        <f t="array" ref="T198">XLOOKUP(LCARS_Off[AbilityID],RawOfficer[AbilityID],RawOfficer[OfficerSynergy])</f>
        <v>UNIMATRIX TWELVE</v>
      </c>
      <c r="U198" s="519" t="str">
        <f t="array" ref="U198">XLOOKUP(LCARS_Off[AbilityID],RawOfficer[AbilityID],RawOfficer[AbilityModifier])</f>
        <v>MiningRate</v>
      </c>
      <c r="V198" s="519" t="str">
        <f t="array" ref="V198">XLOOKUP(LCARS_Off[AbilityID],RawOfficer[AbilityID],RawOfficer[AbilityAttributes])</f>
        <v>resources=[96209859, 1779416627, 2964093937, 1349464922, 2002611017, 296474010]</v>
      </c>
      <c r="W198" s="520" t="str">
        <f t="array" ref="W198">XLOOKUP(LCARS_Off[AbilityID],RawOfficer[AbilityID],RawOfficer[AbilityConditions])</f>
        <v/>
      </c>
      <c r="X198" s="519" t="str">
        <f t="array" ref="X198">XLOOKUP(LCARS_Off[AbilityID],RawOfficer[AbilityID],RawOfficer[AbilityTrigger])</f>
        <v>ShipLaunched</v>
      </c>
      <c r="Y198" s="519" t="str">
        <f t="array" ref="Y198">XLOOKUP(LCARS_Off[AbilityID],RawOfficer[AbilityID],RawOfficer[AbilityTarget])</f>
        <v>SelfShip</v>
      </c>
      <c r="Z198" s="519" t="str">
        <f t="array" ref="Z198">XLOOKUP(LCARS_Off[AbilityID],RawOfficer[AbilityID],RawOfficer[AbilityOperation])</f>
        <v>MultiplyAdd</v>
      </c>
      <c r="AA198" s="521" t="str">
        <f t="array" ref="AA198">XLOOKUP(LCARS_Off[AbilityID],RawOfficer[AbilityID],RawOfficer[AbilityDescription])</f>
        <v>Three Of Eleven increases Gas mining speed by X.</v>
      </c>
      <c r="AB198" s="429" t="b">
        <v>0</v>
      </c>
      <c r="AC198" s="522" t="str">
        <f t="array" ref="AC198">XLOOKUP(LCARS_Off[AbilityID],RawOfficer[AbilityID],RawOfficer[AbilityDescriptionShort])</f>
        <v>+X to Gas mining speed.</v>
      </c>
      <c r="AD198" s="523"/>
      <c r="AE198" s="524"/>
      <c r="AF198" s="524"/>
      <c r="AG198" s="525" t="str">
        <f t="array" ref="AG198">XLOOKUP(LCARS_Off[AbilityID],RawOfficer[AbilityID],RawOfficer[AbilityChances])</f>
        <v>1.0, 1.0, 1.0</v>
      </c>
      <c r="AH198" s="525" t="str">
        <f t="array" ref="AH198">XLOOKUP(LCARS_Off[AbilityID],RawOfficer[AbilityID],RawOfficer[AbilityValues])</f>
        <v>0.6, 0.3, 0.45</v>
      </c>
      <c r="AI198" s="428" t="b">
        <f t="array" ref="AI198">XLOOKUP(LCARS_Off[AbilityID],RawOfficer[AbilityID],RawOfficer[AbilityHasChance])</f>
        <v>0</v>
      </c>
      <c r="AJ198" s="428" t="b">
        <f t="array" ref="AJ198">XLOOKUP(LCARS_Off[AbilityID],RawOfficer[AbilityID],RawOfficer[AbilityShowPercentage])</f>
        <v>1</v>
      </c>
      <c r="AK198" s="429">
        <f t="array" ref="AK198">XLOOKUP(LCARS_Off[AbilityID],RawOfficer[AbilityID],RawOfficer[OfficerArt])</f>
        <v>179</v>
      </c>
      <c r="AL198" s="430">
        <v>1.222862242E9</v>
      </c>
      <c r="AM198" s="430">
        <f t="array" ref="AM198">XLOOKUP(LCARS_Off[AbilityID],RawOfficer[AbilityID],RawOfficer[Default Order])</f>
        <v>195</v>
      </c>
    </row>
    <row r="199">
      <c r="A199" s="429" t="str">
        <f t="array" ref="A199">LEFT(XLOOKUP(LCARS_Off[AbilityID],RawOfficer[AbilityID],RawOfficer[OfficerRarity]), 1)</f>
        <v>E</v>
      </c>
      <c r="B199" s="429"/>
      <c r="C199" s="514" t="str">
        <f t="array" ref="C199">HYPERLINK("https://stfc.space/officers/" &amp; XLOOKUP(LCARS_Off[AbilityID],RawOfficer[AbilityID],RawOfficer[OfficerId]), XLOOKUP(LCARS_Off[AbilityID],RawOfficer[AbilityID],RawOfficer[OfficerName]))</f>
        <v>THREE OF ELEVEN</v>
      </c>
      <c r="D199" s="515" t="str">
        <f t="array" ref="D199">XLOOKUP(LCARS_Off[AbilityID],RawOfficer[AbilityID],RawOfficer[AbilityType])</f>
        <v>OA</v>
      </c>
      <c r="E199" s="516" t="str">
        <f t="array" ref="E199">XLOOKUP(LCARS_Off[AbilityID],RawOfficer[AbilityID],RawOfficer[Tag_PvPinSpace])</f>
        <v>➖</v>
      </c>
      <c r="F199" s="516" t="str">
        <f t="array" ref="F199">XLOOKUP(LCARS_Off[AbilityID],RawOfficer[AbilityID],RawOfficer[Tag_PvPStation])</f>
        <v>➖</v>
      </c>
      <c r="G199" s="516" t="str">
        <f t="array" ref="G199">XLOOKUP(LCARS_Off[AbilityID],RawOfficer[AbilityID],RawOfficer[Tag_NonArmadaHostiles])</f>
        <v>➖</v>
      </c>
      <c r="H199" s="516" t="str">
        <f t="array" ref="H199">XLOOKUP(LCARS_Off[AbilityID],RawOfficer[AbilityID],RawOfficer[Tag_WaveDefense])</f>
        <v>➖</v>
      </c>
      <c r="I199" s="516" t="str">
        <f t="array" ref="I199">XLOOKUP(LCARS_Off[AbilityID],RawOfficer[AbilityID],RawOfficer[Tag_QTrial])</f>
        <v>➖</v>
      </c>
      <c r="J199" s="516" t="str">
        <f t="array" ref="J199">XLOOKUP(LCARS_Off[AbilityID],RawOfficer[AbilityID],RawOfficer[Tag_MissionBosses])</f>
        <v>➖</v>
      </c>
      <c r="K199" s="516" t="str">
        <f t="array" ref="K199">XLOOKUP(LCARS_Off[AbilityID],RawOfficer[AbilityID],RawOfficer[Tag_GroupArmadas])</f>
        <v>➖</v>
      </c>
      <c r="L199" s="516" t="str">
        <f t="array" ref="L199">XLOOKUP(LCARS_Off[AbilityID],RawOfficer[AbilityID],RawOfficer[Tag_SoloArmadas])</f>
        <v>➖</v>
      </c>
      <c r="M199" s="516" t="str">
        <f t="array" ref="M199">XLOOKUP(LCARS_Off[AbilityID],RawOfficer[AbilityID],RawOfficer[Tag_InvadingEntities])</f>
        <v>➖</v>
      </c>
      <c r="N199" s="516" t="str">
        <f t="array" ref="N199">XLOOKUP(LCARS_Off[AbilityID],RawOfficer[AbilityID],RawOfficer[Tag_Assaults])</f>
        <v>➖</v>
      </c>
      <c r="O199" s="516" t="str">
        <f t="array" ref="O199">XLOOKUP(LCARS_Off[AbilityID],RawOfficer[AbilityID],RawOfficer[Tag_OutpostArmadas])</f>
        <v>➖</v>
      </c>
      <c r="P199" s="516" t="str">
        <f t="array" ref="P199">XLOOKUP(LCARS_Off[AbilityID],RawOfficer[AbilityID],RawOfficer[Tag_OutpostRetaliators])</f>
        <v>➖</v>
      </c>
      <c r="Q199" s="517" t="str">
        <f t="array" ref="Q199">XLOOKUP(LCARS_Off[AbilityID],RawOfficer[AbilityID],RawOfficer[Conditional_Reason])</f>
        <v/>
      </c>
      <c r="R199" s="518" t="str">
        <f t="array" ref="R199">XLOOKUP(LCARS_Off[AbilityID],RawOfficer[AbilityID],RawOfficer[Tag_Loot])</f>
        <v>➖</v>
      </c>
      <c r="S199" s="516" t="str">
        <f t="array" ref="S199">XLOOKUP(LCARS_Off[AbilityID],RawOfficer[AbilityID],RawOfficer[Tag_Utility])</f>
        <v>✅</v>
      </c>
      <c r="T199" s="429" t="str">
        <f t="array" ref="T199">XLOOKUP(LCARS_Off[AbilityID],RawOfficer[AbilityID],RawOfficer[OfficerSynergy])</f>
        <v>UNIMATRIX TWELVE</v>
      </c>
      <c r="U199" s="519" t="str">
        <f t="array" ref="U199">XLOOKUP(LCARS_Off[AbilityID],RawOfficer[AbilityID],RawOfficer[AbilityModifier])</f>
        <v>CargoProtection</v>
      </c>
      <c r="V199" s="519" t="str">
        <f t="array" ref="V199">XLOOKUP(LCARS_Off[AbilityID],RawOfficer[AbilityID],RawOfficer[AbilityAttributes])</f>
        <v/>
      </c>
      <c r="W199" s="520" t="str">
        <f t="array" ref="W199">XLOOKUP(LCARS_Off[AbilityID],RawOfficer[AbilityID],RawOfficer[AbilityConditions])</f>
        <v/>
      </c>
      <c r="X199" s="519" t="str">
        <f t="array" ref="X199">XLOOKUP(LCARS_Off[AbilityID],RawOfficer[AbilityID],RawOfficer[AbilityTrigger])</f>
        <v>ShipLaunched</v>
      </c>
      <c r="Y199" s="519" t="str">
        <f t="array" ref="Y199">XLOOKUP(LCARS_Off[AbilityID],RawOfficer[AbilityID],RawOfficer[AbilityTarget])</f>
        <v>SelfShip</v>
      </c>
      <c r="Z199" s="519" t="str">
        <f t="array" ref="Z199">XLOOKUP(LCARS_Off[AbilityID],RawOfficer[AbilityID],RawOfficer[AbilityOperation])</f>
        <v>MultiplyAdd</v>
      </c>
      <c r="AA199" s="521" t="str">
        <f t="array" ref="AA199">XLOOKUP(LCARS_Off[AbilityID],RawOfficer[AbilityID],RawOfficer[AbilityDescription])</f>
        <v>Three Of Eleven increases Protected Cargo by X.</v>
      </c>
      <c r="AB199" s="429" t="b">
        <v>0</v>
      </c>
      <c r="AC199" s="522" t="str">
        <f t="array" ref="AC199">XLOOKUP(LCARS_Off[AbilityID],RawOfficer[AbilityID],RawOfficer[AbilityDescriptionShort])</f>
        <v>+X to Protected Cargo.</v>
      </c>
      <c r="AD199" s="523"/>
      <c r="AE199" s="524"/>
      <c r="AF199" s="524"/>
      <c r="AG199" s="525" t="str">
        <f t="array" ref="AG199">XLOOKUP(LCARS_Off[AbilityID],RawOfficer[AbilityID],RawOfficer[AbilityChances])</f>
        <v>1.0, 1.0, 1.0, 1.0, 1.0</v>
      </c>
      <c r="AH199" s="525" t="str">
        <f t="array" ref="AH199">XLOOKUP(LCARS_Off[AbilityID],RawOfficer[AbilityID],RawOfficer[AbilityValues])</f>
        <v>3.0, 3.5, 4.0, 4.5, 5.0</v>
      </c>
      <c r="AI199" s="428" t="b">
        <f t="array" ref="AI199">XLOOKUP(LCARS_Off[AbilityID],RawOfficer[AbilityID],RawOfficer[AbilityHasChance])</f>
        <v>0</v>
      </c>
      <c r="AJ199" s="428" t="b">
        <f t="array" ref="AJ199">XLOOKUP(LCARS_Off[AbilityID],RawOfficer[AbilityID],RawOfficer[AbilityShowPercentage])</f>
        <v>1</v>
      </c>
      <c r="AK199" s="429">
        <f t="array" ref="AK199">XLOOKUP(LCARS_Off[AbilityID],RawOfficer[AbilityID],RawOfficer[OfficerArt])</f>
        <v>179</v>
      </c>
      <c r="AL199" s="430">
        <v>2.422039622E9</v>
      </c>
      <c r="AM199" s="430">
        <f t="array" ref="AM199">XLOOKUP(LCARS_Off[AbilityID],RawOfficer[AbilityID],RawOfficer[Default Order])</f>
        <v>196</v>
      </c>
    </row>
    <row r="200">
      <c r="A200" s="429" t="str">
        <f t="array" ref="A200">LEFT(XLOOKUP(LCARS_Off[AbilityID],RawOfficer[AbilityID],RawOfficer[OfficerRarity]), 1)</f>
        <v>E</v>
      </c>
      <c r="B200" s="429"/>
      <c r="C200" s="514" t="str">
        <f t="array" ref="C200">HYPERLINK("https://stfc.space/officers/" &amp; XLOOKUP(LCARS_Off[AbilityID],RawOfficer[AbilityID],RawOfficer[OfficerId]), XLOOKUP(LCARS_Off[AbilityID],RawOfficer[AbilityID],RawOfficer[OfficerName]))</f>
        <v>FOUR OF ELEVEN</v>
      </c>
      <c r="D200" s="515" t="str">
        <f t="array" ref="D200">XLOOKUP(LCARS_Off[AbilityID],RawOfficer[AbilityID],RawOfficer[AbilityType])</f>
        <v>CM</v>
      </c>
      <c r="E200" s="516" t="str">
        <f t="array" ref="E200">XLOOKUP(LCARS_Off[AbilityID],RawOfficer[AbilityID],RawOfficer[Tag_PvPinSpace])</f>
        <v>➖</v>
      </c>
      <c r="F200" s="516" t="str">
        <f t="array" ref="F200">XLOOKUP(LCARS_Off[AbilityID],RawOfficer[AbilityID],RawOfficer[Tag_PvPStation])</f>
        <v>➖</v>
      </c>
      <c r="G200" s="516" t="str">
        <f t="array" ref="G200">XLOOKUP(LCARS_Off[AbilityID],RawOfficer[AbilityID],RawOfficer[Tag_NonArmadaHostiles])</f>
        <v>➖</v>
      </c>
      <c r="H200" s="516" t="str">
        <f t="array" ref="H200">XLOOKUP(LCARS_Off[AbilityID],RawOfficer[AbilityID],RawOfficer[Tag_WaveDefense])</f>
        <v>➖</v>
      </c>
      <c r="I200" s="516" t="str">
        <f t="array" ref="I200">XLOOKUP(LCARS_Off[AbilityID],RawOfficer[AbilityID],RawOfficer[Tag_QTrial])</f>
        <v>➖</v>
      </c>
      <c r="J200" s="516" t="str">
        <f t="array" ref="J200">XLOOKUP(LCARS_Off[AbilityID],RawOfficer[AbilityID],RawOfficer[Tag_MissionBosses])</f>
        <v>➖</v>
      </c>
      <c r="K200" s="516" t="str">
        <f t="array" ref="K200">XLOOKUP(LCARS_Off[AbilityID],RawOfficer[AbilityID],RawOfficer[Tag_GroupArmadas])</f>
        <v>➖</v>
      </c>
      <c r="L200" s="516" t="str">
        <f t="array" ref="L200">XLOOKUP(LCARS_Off[AbilityID],RawOfficer[AbilityID],RawOfficer[Tag_SoloArmadas])</f>
        <v>➖</v>
      </c>
      <c r="M200" s="516" t="str">
        <f t="array" ref="M200">XLOOKUP(LCARS_Off[AbilityID],RawOfficer[AbilityID],RawOfficer[Tag_InvadingEntities])</f>
        <v>➖</v>
      </c>
      <c r="N200" s="516" t="str">
        <f t="array" ref="N200">XLOOKUP(LCARS_Off[AbilityID],RawOfficer[AbilityID],RawOfficer[Tag_Assaults])</f>
        <v>➖</v>
      </c>
      <c r="O200" s="516" t="str">
        <f t="array" ref="O200">XLOOKUP(LCARS_Off[AbilityID],RawOfficer[AbilityID],RawOfficer[Tag_OutpostArmadas])</f>
        <v>➖</v>
      </c>
      <c r="P200" s="516" t="str">
        <f t="array" ref="P200">XLOOKUP(LCARS_Off[AbilityID],RawOfficer[AbilityID],RawOfficer[Tag_OutpostRetaliators])</f>
        <v>➖</v>
      </c>
      <c r="Q200" s="517" t="str">
        <f t="array" ref="Q200">XLOOKUP(LCARS_Off[AbilityID],RawOfficer[AbilityID],RawOfficer[Conditional_Reason])</f>
        <v/>
      </c>
      <c r="R200" s="518" t="str">
        <f t="array" ref="R200">XLOOKUP(LCARS_Off[AbilityID],RawOfficer[AbilityID],RawOfficer[Tag_Loot])</f>
        <v>➖</v>
      </c>
      <c r="S200" s="516" t="str">
        <f t="array" ref="S200">XLOOKUP(LCARS_Off[AbilityID],RawOfficer[AbilityID],RawOfficer[Tag_Utility])</f>
        <v>✅</v>
      </c>
      <c r="T200" s="429" t="str">
        <f t="array" ref="T200">XLOOKUP(LCARS_Off[AbilityID],RawOfficer[AbilityID],RawOfficer[OfficerSynergy])</f>
        <v>UNIMATRIX TWELVE</v>
      </c>
      <c r="U200" s="519" t="str">
        <f t="array" ref="U200">XLOOKUP(LCARS_Off[AbilityID],RawOfficer[AbilityID],RawOfficer[AbilityModifier])</f>
        <v>MiningRate</v>
      </c>
      <c r="V200" s="519" t="str">
        <f t="array" ref="V200">XLOOKUP(LCARS_Off[AbilityID],RawOfficer[AbilityID],RawOfficer[AbilityAttributes])</f>
        <v>resources=[1908242242, 84292608, 802509572, 2905009151, 3842158911, 1586478890]</v>
      </c>
      <c r="W200" s="520" t="str">
        <f t="array" ref="W200">XLOOKUP(LCARS_Off[AbilityID],RawOfficer[AbilityID],RawOfficer[AbilityConditions])</f>
        <v/>
      </c>
      <c r="X200" s="519" t="str">
        <f t="array" ref="X200">XLOOKUP(LCARS_Off[AbilityID],RawOfficer[AbilityID],RawOfficer[AbilityTrigger])</f>
        <v>ShipLaunched</v>
      </c>
      <c r="Y200" s="519" t="str">
        <f t="array" ref="Y200">XLOOKUP(LCARS_Off[AbilityID],RawOfficer[AbilityID],RawOfficer[AbilityTarget])</f>
        <v>SelfShip</v>
      </c>
      <c r="Z200" s="519" t="str">
        <f t="array" ref="Z200">XLOOKUP(LCARS_Off[AbilityID],RawOfficer[AbilityID],RawOfficer[AbilityOperation])</f>
        <v>MultiplyAdd</v>
      </c>
      <c r="AA200" s="521" t="str">
        <f t="array" ref="AA200">XLOOKUP(LCARS_Off[AbilityID],RawOfficer[AbilityID],RawOfficer[AbilityDescription])</f>
        <v>Four of Eleven increases Ore mining speed by X.</v>
      </c>
      <c r="AB200" s="429" t="b">
        <v>0</v>
      </c>
      <c r="AC200" s="522" t="str">
        <f t="array" ref="AC200">XLOOKUP(LCARS_Off[AbilityID],RawOfficer[AbilityID],RawOfficer[AbilityDescriptionShort])</f>
        <v>+X to Ore mining speed.</v>
      </c>
      <c r="AD200" s="523"/>
      <c r="AE200" s="524"/>
      <c r="AF200" s="524"/>
      <c r="AG200" s="525" t="str">
        <f t="array" ref="AG200">XLOOKUP(LCARS_Off[AbilityID],RawOfficer[AbilityID],RawOfficer[AbilityChances])</f>
        <v>1.0, 1.0, 1.0</v>
      </c>
      <c r="AH200" s="525" t="str">
        <f t="array" ref="AH200">XLOOKUP(LCARS_Off[AbilityID],RawOfficer[AbilityID],RawOfficer[AbilityValues])</f>
        <v>0.6, 0.3, 0.45</v>
      </c>
      <c r="AI200" s="428" t="b">
        <f t="array" ref="AI200">XLOOKUP(LCARS_Off[AbilityID],RawOfficer[AbilityID],RawOfficer[AbilityHasChance])</f>
        <v>0</v>
      </c>
      <c r="AJ200" s="428" t="b">
        <f t="array" ref="AJ200">XLOOKUP(LCARS_Off[AbilityID],RawOfficer[AbilityID],RawOfficer[AbilityShowPercentage])</f>
        <v>1</v>
      </c>
      <c r="AK200" s="429">
        <f t="array" ref="AK200">XLOOKUP(LCARS_Off[AbilityID],RawOfficer[AbilityID],RawOfficer[OfficerArt])</f>
        <v>180</v>
      </c>
      <c r="AL200" s="430">
        <v>1.641795234E9</v>
      </c>
      <c r="AM200" s="430">
        <f t="array" ref="AM200">XLOOKUP(LCARS_Off[AbilityID],RawOfficer[AbilityID],RawOfficer[Default Order])</f>
        <v>197</v>
      </c>
    </row>
    <row r="201">
      <c r="A201" s="429" t="str">
        <f t="array" ref="A201">LEFT(XLOOKUP(LCARS_Off[AbilityID],RawOfficer[AbilityID],RawOfficer[OfficerRarity]), 1)</f>
        <v>E</v>
      </c>
      <c r="B201" s="429"/>
      <c r="C201" s="514" t="str">
        <f t="array" ref="C201">HYPERLINK("https://stfc.space/officers/" &amp; XLOOKUP(LCARS_Off[AbilityID],RawOfficer[AbilityID],RawOfficer[OfficerId]), XLOOKUP(LCARS_Off[AbilityID],RawOfficer[AbilityID],RawOfficer[OfficerName]))</f>
        <v>FOUR OF ELEVEN</v>
      </c>
      <c r="D201" s="515" t="str">
        <f t="array" ref="D201">XLOOKUP(LCARS_Off[AbilityID],RawOfficer[AbilityID],RawOfficer[AbilityType])</f>
        <v>OA</v>
      </c>
      <c r="E201" s="516" t="str">
        <f t="array" ref="E201">XLOOKUP(LCARS_Off[AbilityID],RawOfficer[AbilityID],RawOfficer[Tag_PvPinSpace])</f>
        <v>➖</v>
      </c>
      <c r="F201" s="516" t="str">
        <f t="array" ref="F201">XLOOKUP(LCARS_Off[AbilityID],RawOfficer[AbilityID],RawOfficer[Tag_PvPStation])</f>
        <v>➖</v>
      </c>
      <c r="G201" s="516" t="str">
        <f t="array" ref="G201">XLOOKUP(LCARS_Off[AbilityID],RawOfficer[AbilityID],RawOfficer[Tag_NonArmadaHostiles])</f>
        <v>➖</v>
      </c>
      <c r="H201" s="516" t="str">
        <f t="array" ref="H201">XLOOKUP(LCARS_Off[AbilityID],RawOfficer[AbilityID],RawOfficer[Tag_WaveDefense])</f>
        <v>➖</v>
      </c>
      <c r="I201" s="516" t="str">
        <f t="array" ref="I201">XLOOKUP(LCARS_Off[AbilityID],RawOfficer[AbilityID],RawOfficer[Tag_QTrial])</f>
        <v>➖</v>
      </c>
      <c r="J201" s="516" t="str">
        <f t="array" ref="J201">XLOOKUP(LCARS_Off[AbilityID],RawOfficer[AbilityID],RawOfficer[Tag_MissionBosses])</f>
        <v>➖</v>
      </c>
      <c r="K201" s="516" t="str">
        <f t="array" ref="K201">XLOOKUP(LCARS_Off[AbilityID],RawOfficer[AbilityID],RawOfficer[Tag_GroupArmadas])</f>
        <v>➖</v>
      </c>
      <c r="L201" s="516" t="str">
        <f t="array" ref="L201">XLOOKUP(LCARS_Off[AbilityID],RawOfficer[AbilityID],RawOfficer[Tag_SoloArmadas])</f>
        <v>➖</v>
      </c>
      <c r="M201" s="516" t="str">
        <f t="array" ref="M201">XLOOKUP(LCARS_Off[AbilityID],RawOfficer[AbilityID],RawOfficer[Tag_InvadingEntities])</f>
        <v>➖</v>
      </c>
      <c r="N201" s="516" t="str">
        <f t="array" ref="N201">XLOOKUP(LCARS_Off[AbilityID],RawOfficer[AbilityID],RawOfficer[Tag_Assaults])</f>
        <v>➖</v>
      </c>
      <c r="O201" s="516" t="str">
        <f t="array" ref="O201">XLOOKUP(LCARS_Off[AbilityID],RawOfficer[AbilityID],RawOfficer[Tag_OutpostArmadas])</f>
        <v>➖</v>
      </c>
      <c r="P201" s="516" t="str">
        <f t="array" ref="P201">XLOOKUP(LCARS_Off[AbilityID],RawOfficer[AbilityID],RawOfficer[Tag_OutpostRetaliators])</f>
        <v>➖</v>
      </c>
      <c r="Q201" s="517" t="str">
        <f t="array" ref="Q201">XLOOKUP(LCARS_Off[AbilityID],RawOfficer[AbilityID],RawOfficer[Conditional_Reason])</f>
        <v/>
      </c>
      <c r="R201" s="518" t="str">
        <f t="array" ref="R201">XLOOKUP(LCARS_Off[AbilityID],RawOfficer[AbilityID],RawOfficer[Tag_Loot])</f>
        <v>➖</v>
      </c>
      <c r="S201" s="516" t="str">
        <f t="array" ref="S201">XLOOKUP(LCARS_Off[AbilityID],RawOfficer[AbilityID],RawOfficer[Tag_Utility])</f>
        <v>✅</v>
      </c>
      <c r="T201" s="429" t="str">
        <f t="array" ref="T201">XLOOKUP(LCARS_Off[AbilityID],RawOfficer[AbilityID],RawOfficer[OfficerSynergy])</f>
        <v>UNIMATRIX TWELVE</v>
      </c>
      <c r="U201" s="519" t="str">
        <f t="array" ref="U201">XLOOKUP(LCARS_Off[AbilityID],RawOfficer[AbilityID],RawOfficer[AbilityModifier])</f>
        <v>CargoCapacity</v>
      </c>
      <c r="V201" s="519" t="str">
        <f t="array" ref="V201">XLOOKUP(LCARS_Off[AbilityID],RawOfficer[AbilityID],RawOfficer[AbilityAttributes])</f>
        <v/>
      </c>
      <c r="W201" s="520" t="str">
        <f t="array" ref="W201">XLOOKUP(LCARS_Off[AbilityID],RawOfficer[AbilityID],RawOfficer[AbilityConditions])</f>
        <v/>
      </c>
      <c r="X201" s="519" t="str">
        <f t="array" ref="X201">XLOOKUP(LCARS_Off[AbilityID],RawOfficer[AbilityID],RawOfficer[AbilityTrigger])</f>
        <v>ShipLaunched</v>
      </c>
      <c r="Y201" s="519" t="str">
        <f t="array" ref="Y201">XLOOKUP(LCARS_Off[AbilityID],RawOfficer[AbilityID],RawOfficer[AbilityTarget])</f>
        <v>SelfShip</v>
      </c>
      <c r="Z201" s="519" t="str">
        <f t="array" ref="Z201">XLOOKUP(LCARS_Off[AbilityID],RawOfficer[AbilityID],RawOfficer[AbilityOperation])</f>
        <v>MultiplyAdd</v>
      </c>
      <c r="AA201" s="521" t="str">
        <f t="array" ref="AA201">XLOOKUP(LCARS_Off[AbilityID],RawOfficer[AbilityID],RawOfficer[AbilityDescription])</f>
        <v>Four of Eleven increases Cargo size by X.</v>
      </c>
      <c r="AB201" s="429" t="b">
        <v>0</v>
      </c>
      <c r="AC201" s="522" t="str">
        <f t="array" ref="AC201">XLOOKUP(LCARS_Off[AbilityID],RawOfficer[AbilityID],RawOfficer[AbilityDescriptionShort])</f>
        <v>+X to Cargo size.</v>
      </c>
      <c r="AD201" s="523"/>
      <c r="AE201" s="524"/>
      <c r="AF201" s="524"/>
      <c r="AG201" s="525" t="str">
        <f t="array" ref="AG201">XLOOKUP(LCARS_Off[AbilityID],RawOfficer[AbilityID],RawOfficer[AbilityChances])</f>
        <v>1.0, 1.0, 1.0, 1.0, 1.0</v>
      </c>
      <c r="AH201" s="525" t="str">
        <f t="array" ref="AH201">XLOOKUP(LCARS_Off[AbilityID],RawOfficer[AbilityID],RawOfficer[AbilityValues])</f>
        <v>0.4, 0.45, 0.5, 0.55, 0.6</v>
      </c>
      <c r="AI201" s="428" t="b">
        <f t="array" ref="AI201">XLOOKUP(LCARS_Off[AbilityID],RawOfficer[AbilityID],RawOfficer[AbilityHasChance])</f>
        <v>0</v>
      </c>
      <c r="AJ201" s="428" t="b">
        <f t="array" ref="AJ201">XLOOKUP(LCARS_Off[AbilityID],RawOfficer[AbilityID],RawOfficer[AbilityShowPercentage])</f>
        <v>1</v>
      </c>
      <c r="AK201" s="429">
        <f t="array" ref="AK201">XLOOKUP(LCARS_Off[AbilityID],RawOfficer[AbilityID],RawOfficer[OfficerArt])</f>
        <v>180</v>
      </c>
      <c r="AL201" s="430">
        <v>1.89386619E8</v>
      </c>
      <c r="AM201" s="430">
        <f t="array" ref="AM201">XLOOKUP(LCARS_Off[AbilityID],RawOfficer[AbilityID],RawOfficer[Default Order])</f>
        <v>198</v>
      </c>
    </row>
    <row r="202">
      <c r="A202" s="429" t="str">
        <f t="array" ref="A202">LEFT(XLOOKUP(LCARS_Off[AbilityID],RawOfficer[AbilityID],RawOfficer[OfficerRarity]), 1)</f>
        <v>E</v>
      </c>
      <c r="B202" s="429"/>
      <c r="C202" s="514" t="str">
        <f t="array" ref="C202">HYPERLINK("https://stfc.space/officers/" &amp; XLOOKUP(LCARS_Off[AbilityID],RawOfficer[AbilityID],RawOfficer[OfficerId]), XLOOKUP(LCARS_Off[AbilityID],RawOfficer[AbilityID],RawOfficer[OfficerName]))</f>
        <v>FIVE OF ELEVEN</v>
      </c>
      <c r="D202" s="515" t="str">
        <f t="array" ref="D202">XLOOKUP(LCARS_Off[AbilityID],RawOfficer[AbilityID],RawOfficer[AbilityType])</f>
        <v>CM</v>
      </c>
      <c r="E202" s="516" t="str">
        <f t="array" ref="E202">XLOOKUP(LCARS_Off[AbilityID],RawOfficer[AbilityID],RawOfficer[Tag_PvPinSpace])</f>
        <v>✅</v>
      </c>
      <c r="F202" s="516" t="str">
        <f t="array" ref="F202">XLOOKUP(LCARS_Off[AbilityID],RawOfficer[AbilityID],RawOfficer[Tag_PvPStation])</f>
        <v>✅</v>
      </c>
      <c r="G202" s="516" t="str">
        <f t="array" ref="G202">XLOOKUP(LCARS_Off[AbilityID],RawOfficer[AbilityID],RawOfficer[Tag_NonArmadaHostiles])</f>
        <v>✅</v>
      </c>
      <c r="H202" s="516" t="str">
        <f t="array" ref="H202">XLOOKUP(LCARS_Off[AbilityID],RawOfficer[AbilityID],RawOfficer[Tag_WaveDefense])</f>
        <v>✅</v>
      </c>
      <c r="I202" s="516" t="str">
        <f t="array" ref="I202">XLOOKUP(LCARS_Off[AbilityID],RawOfficer[AbilityID],RawOfficer[Tag_QTrial])</f>
        <v>✅</v>
      </c>
      <c r="J202" s="516" t="str">
        <f t="array" ref="J202">XLOOKUP(LCARS_Off[AbilityID],RawOfficer[AbilityID],RawOfficer[Tag_MissionBosses])</f>
        <v>✅</v>
      </c>
      <c r="K202" s="516" t="str">
        <f t="array" ref="K202">XLOOKUP(LCARS_Off[AbilityID],RawOfficer[AbilityID],RawOfficer[Tag_GroupArmadas])</f>
        <v>✅</v>
      </c>
      <c r="L202" s="516" t="str">
        <f t="array" ref="L202">XLOOKUP(LCARS_Off[AbilityID],RawOfficer[AbilityID],RawOfficer[Tag_SoloArmadas])</f>
        <v>✅</v>
      </c>
      <c r="M202" s="516" t="str">
        <f t="array" ref="M202">XLOOKUP(LCARS_Off[AbilityID],RawOfficer[AbilityID],RawOfficer[Tag_InvadingEntities])</f>
        <v>✅</v>
      </c>
      <c r="N202" s="516" t="str">
        <f t="array" ref="N202">XLOOKUP(LCARS_Off[AbilityID],RawOfficer[AbilityID],RawOfficer[Tag_Assaults])</f>
        <v>✅</v>
      </c>
      <c r="O202" s="516" t="str">
        <f t="array" ref="O202">XLOOKUP(LCARS_Off[AbilityID],RawOfficer[AbilityID],RawOfficer[Tag_OutpostArmadas])</f>
        <v>✅</v>
      </c>
      <c r="P202" s="516" t="str">
        <f t="array" ref="P202">XLOOKUP(LCARS_Off[AbilityID],RawOfficer[AbilityID],RawOfficer[Tag_OutpostRetaliators])</f>
        <v>✅</v>
      </c>
      <c r="Q202" s="517" t="str">
        <f t="array" ref="Q202">XLOOKUP(LCARS_Off[AbilityID],RawOfficer[AbilityID],RawOfficer[Conditional_Reason])</f>
        <v/>
      </c>
      <c r="R202" s="518" t="str">
        <f t="array" ref="R202">XLOOKUP(LCARS_Off[AbilityID],RawOfficer[AbilityID],RawOfficer[Tag_Loot])</f>
        <v>➖</v>
      </c>
      <c r="S202" s="516" t="str">
        <f t="array" ref="S202">XLOOKUP(LCARS_Off[AbilityID],RawOfficer[AbilityID],RawOfficer[Tag_Utility])</f>
        <v>➖</v>
      </c>
      <c r="T202" s="429" t="str">
        <f t="array" ref="T202">XLOOKUP(LCARS_Off[AbilityID],RawOfficer[AbilityID],RawOfficer[OfficerSynergy])</f>
        <v>UNIMATRIX TWELVE</v>
      </c>
      <c r="U202" s="519" t="str">
        <f t="array" ref="U202">XLOOKUP(LCARS_Off[AbilityID],RawOfficer[AbilityID],RawOfficer[AbilityModifier])</f>
        <v>AllDefenses</v>
      </c>
      <c r="V202" s="519" t="str">
        <f t="array" ref="V202">XLOOKUP(LCARS_Off[AbilityID],RawOfficer[AbilityID],RawOfficer[AbilityAttributes])</f>
        <v>num_rounds=1, officer_stat=3</v>
      </c>
      <c r="W202" s="520" t="str">
        <f t="array" ref="W202">XLOOKUP(LCARS_Off[AbilityID],RawOfficer[AbilityID],RawOfficer[AbilityConditions])</f>
        <v/>
      </c>
      <c r="X202" s="519" t="str">
        <f t="array" ref="X202">XLOOKUP(LCARS_Off[AbilityID],RawOfficer[AbilityID],RawOfficer[AbilityTrigger])</f>
        <v>RoundStart</v>
      </c>
      <c r="Y202" s="519" t="str">
        <f t="array" ref="Y202">XLOOKUP(LCARS_Off[AbilityID],RawOfficer[AbilityID],RawOfficer[AbilityTarget])</f>
        <v>SelfShip</v>
      </c>
      <c r="Z202" s="519" t="str">
        <f t="array" ref="Z202">XLOOKUP(LCARS_Off[AbilityID],RawOfficer[AbilityID],RawOfficer[AbilityOperation])</f>
        <v>MultiplyBaseAdd</v>
      </c>
      <c r="AA202" s="521" t="str">
        <f t="array" ref="AA202">XLOOKUP(LCARS_Off[AbilityID],RawOfficer[AbilityID],RawOfficer[AbilityDescription])</f>
        <v>Five of Eleven Increases the Shield deflection, Armor and Dodge by X of the total Health of all Officers on the ship.</v>
      </c>
      <c r="AB202" s="429" t="b">
        <v>0</v>
      </c>
      <c r="AC202" s="522" t="str">
        <f t="array" ref="AC202">XLOOKUP(LCARS_Off[AbilityID],RawOfficer[AbilityID],RawOfficer[AbilityDescriptionShort])</f>
        <v>X of the crew's Health bonus to Mitigation</v>
      </c>
      <c r="AD202" s="523"/>
      <c r="AE202" s="524"/>
      <c r="AF202" s="524"/>
      <c r="AG202" s="525" t="str">
        <f t="array" ref="AG202">XLOOKUP(LCARS_Off[AbilityID],RawOfficer[AbilityID],RawOfficer[AbilityChances])</f>
        <v>1.0, 1.0, 1.0</v>
      </c>
      <c r="AH202" s="525" t="str">
        <f t="array" ref="AH202">XLOOKUP(LCARS_Off[AbilityID],RawOfficer[AbilityID],RawOfficer[AbilityValues])</f>
        <v>2.0, 2.0, 4.0</v>
      </c>
      <c r="AI202" s="428" t="b">
        <f t="array" ref="AI202">XLOOKUP(LCARS_Off[AbilityID],RawOfficer[AbilityID],RawOfficer[AbilityHasChance])</f>
        <v>0</v>
      </c>
      <c r="AJ202" s="428" t="b">
        <f t="array" ref="AJ202">XLOOKUP(LCARS_Off[AbilityID],RawOfficer[AbilityID],RawOfficer[AbilityShowPercentage])</f>
        <v>1</v>
      </c>
      <c r="AK202" s="429">
        <f t="array" ref="AK202">XLOOKUP(LCARS_Off[AbilityID],RawOfficer[AbilityID],RawOfficer[OfficerArt])</f>
        <v>111</v>
      </c>
      <c r="AL202" s="430">
        <v>1.107085046E9</v>
      </c>
      <c r="AM202" s="430">
        <f t="array" ref="AM202">XLOOKUP(LCARS_Off[AbilityID],RawOfficer[AbilityID],RawOfficer[Default Order])</f>
        <v>199</v>
      </c>
    </row>
    <row r="203">
      <c r="A203" s="429" t="str">
        <f t="array" ref="A203">LEFT(XLOOKUP(LCARS_Off[AbilityID],RawOfficer[AbilityID],RawOfficer[OfficerRarity]), 1)</f>
        <v>E</v>
      </c>
      <c r="B203" s="429"/>
      <c r="C203" s="514" t="str">
        <f t="array" ref="C203">HYPERLINK("https://stfc.space/officers/" &amp; XLOOKUP(LCARS_Off[AbilityID],RawOfficer[AbilityID],RawOfficer[OfficerId]), XLOOKUP(LCARS_Off[AbilityID],RawOfficer[AbilityID],RawOfficer[OfficerName]))</f>
        <v>FIVE OF ELEVEN</v>
      </c>
      <c r="D203" s="515" t="str">
        <f t="array" ref="D203">XLOOKUP(LCARS_Off[AbilityID],RawOfficer[AbilityID],RawOfficer[AbilityType])</f>
        <v>OA</v>
      </c>
      <c r="E203" s="516" t="str">
        <f t="array" ref="E203">XLOOKUP(LCARS_Off[AbilityID],RawOfficer[AbilityID],RawOfficer[Tag_PvPinSpace])</f>
        <v>➖</v>
      </c>
      <c r="F203" s="516" t="str">
        <f t="array" ref="F203">XLOOKUP(LCARS_Off[AbilityID],RawOfficer[AbilityID],RawOfficer[Tag_PvPStation])</f>
        <v>➖</v>
      </c>
      <c r="G203" s="516" t="str">
        <f t="array" ref="G203">XLOOKUP(LCARS_Off[AbilityID],RawOfficer[AbilityID],RawOfficer[Tag_NonArmadaHostiles])</f>
        <v>✅</v>
      </c>
      <c r="H203" s="516" t="str">
        <f t="array" ref="H203">XLOOKUP(LCARS_Off[AbilityID],RawOfficer[AbilityID],RawOfficer[Tag_WaveDefense])</f>
        <v>➖</v>
      </c>
      <c r="I203" s="516" t="str">
        <f t="array" ref="I203">XLOOKUP(LCARS_Off[AbilityID],RawOfficer[AbilityID],RawOfficer[Tag_QTrial])</f>
        <v>➖</v>
      </c>
      <c r="J203" s="516" t="str">
        <f t="array" ref="J203">XLOOKUP(LCARS_Off[AbilityID],RawOfficer[AbilityID],RawOfficer[Tag_MissionBosses])</f>
        <v>➖</v>
      </c>
      <c r="K203" s="516" t="str">
        <f t="array" ref="K203">XLOOKUP(LCARS_Off[AbilityID],RawOfficer[AbilityID],RawOfficer[Tag_GroupArmadas])</f>
        <v>✅</v>
      </c>
      <c r="L203" s="516" t="str">
        <f t="array" ref="L203">XLOOKUP(LCARS_Off[AbilityID],RawOfficer[AbilityID],RawOfficer[Tag_SoloArmadas])</f>
        <v>✅</v>
      </c>
      <c r="M203" s="516" t="str">
        <f t="array" ref="M203">XLOOKUP(LCARS_Off[AbilityID],RawOfficer[AbilityID],RawOfficer[Tag_InvadingEntities])</f>
        <v>✅</v>
      </c>
      <c r="N203" s="516" t="str">
        <f t="array" ref="N203">XLOOKUP(LCARS_Off[AbilityID],RawOfficer[AbilityID],RawOfficer[Tag_Assaults])</f>
        <v>➖</v>
      </c>
      <c r="O203" s="516" t="str">
        <f t="array" ref="O203">XLOOKUP(LCARS_Off[AbilityID],RawOfficer[AbilityID],RawOfficer[Tag_OutpostArmadas])</f>
        <v>✅</v>
      </c>
      <c r="P203" s="516" t="str">
        <f t="array" ref="P203">XLOOKUP(LCARS_Off[AbilityID],RawOfficer[AbilityID],RawOfficer[Tag_OutpostRetaliators])</f>
        <v>✅</v>
      </c>
      <c r="Q203" s="517" t="str">
        <f t="array" ref="Q203">XLOOKUP(LCARS_Off[AbilityID],RawOfficer[AbilityID],RawOfficer[Conditional_Reason])</f>
        <v/>
      </c>
      <c r="R203" s="518" t="str">
        <f t="array" ref="R203">XLOOKUP(LCARS_Off[AbilityID],RawOfficer[AbilityID],RawOfficer[Tag_Loot])</f>
        <v>✅</v>
      </c>
      <c r="S203" s="516" t="str">
        <f t="array" ref="S203">XLOOKUP(LCARS_Off[AbilityID],RawOfficer[AbilityID],RawOfficer[Tag_Utility])</f>
        <v>➖</v>
      </c>
      <c r="T203" s="429" t="str">
        <f t="array" ref="T203">XLOOKUP(LCARS_Off[AbilityID],RawOfficer[AbilityID],RawOfficer[OfficerSynergy])</f>
        <v>UNIMATRIX TWELVE</v>
      </c>
      <c r="U203" s="519" t="str">
        <f t="array" ref="U203">XLOOKUP(LCARS_Off[AbilityID],RawOfficer[AbilityID],RawOfficer[AbilityModifier])</f>
        <v>CombatPveRewards</v>
      </c>
      <c r="V203" s="519" t="str">
        <f t="array" ref="V203">XLOOKUP(LCARS_Off[AbilityID],RawOfficer[AbilityID],RawOfficer[AbilityAttributes])</f>
        <v/>
      </c>
      <c r="W203" s="520" t="str">
        <f t="array" ref="W203">XLOOKUP(LCARS_Off[AbilityID],RawOfficer[AbilityID],RawOfficer[AbilityConditions])</f>
        <v/>
      </c>
      <c r="X203" s="519" t="str">
        <f t="array" ref="X203">XLOOKUP(LCARS_Off[AbilityID],RawOfficer[AbilityID],RawOfficer[AbilityTrigger])</f>
        <v>ShipLaunched</v>
      </c>
      <c r="Y203" s="519" t="str">
        <f t="array" ref="Y203">XLOOKUP(LCARS_Off[AbilityID],RawOfficer[AbilityID],RawOfficer[AbilityTarget])</f>
        <v>SelfShip</v>
      </c>
      <c r="Z203" s="519" t="str">
        <f t="array" ref="Z203">XLOOKUP(LCARS_Off[AbilityID],RawOfficer[AbilityID],RawOfficer[AbilityTarget])</f>
        <v>SelfShip</v>
      </c>
      <c r="AA203" s="521" t="str">
        <f t="array" ref="AA203">XLOOKUP(LCARS_Off[AbilityID],RawOfficer[AbilityID],RawOfficer[AbilityDescription])</f>
        <v>Five of Eleven increases the amount of resources your ship receives from hostiles by X.</v>
      </c>
      <c r="AB203" s="429" t="b">
        <v>1</v>
      </c>
      <c r="AC203" s="522" t="str">
        <f t="array" ref="AC203">XLOOKUP(LCARS_Off[AbilityID],RawOfficer[AbilityID],RawOfficer[AbilityDescriptionShort])</f>
        <v>+X to resources that your ship receives from hostiles</v>
      </c>
      <c r="AD203" s="523"/>
      <c r="AE203" s="521" t="s">
        <v>542</v>
      </c>
      <c r="AF203" s="521" t="s">
        <v>543</v>
      </c>
      <c r="AG203" s="525" t="str">
        <f t="array" ref="AG203">XLOOKUP(LCARS_Off[AbilityID],RawOfficer[AbilityID],RawOfficer[AbilityChances])</f>
        <v>1.0, 1.0, 1.0, 1.0, 1.0</v>
      </c>
      <c r="AH203" s="525" t="str">
        <f t="array" ref="AH203">XLOOKUP(LCARS_Off[AbilityID],RawOfficer[AbilityID],RawOfficer[AbilityValues])</f>
        <v>0.2, 0.4, 0.6, 0.8, 1.0</v>
      </c>
      <c r="AI203" s="428" t="b">
        <f t="array" ref="AI203">XLOOKUP(LCARS_Off[AbilityID],RawOfficer[AbilityID],RawOfficer[AbilityHasChance])</f>
        <v>0</v>
      </c>
      <c r="AJ203" s="428" t="b">
        <f t="array" ref="AJ203">XLOOKUP(LCARS_Off[AbilityID],RawOfficer[AbilityID],RawOfficer[AbilityShowPercentage])</f>
        <v>1</v>
      </c>
      <c r="AK203" s="429">
        <f t="array" ref="AK203">XLOOKUP(LCARS_Off[AbilityID],RawOfficer[AbilityID],RawOfficer[OfficerArt])</f>
        <v>111</v>
      </c>
      <c r="AL203" s="430">
        <v>4.049923936E9</v>
      </c>
      <c r="AM203" s="430">
        <f t="array" ref="AM203">XLOOKUP(LCARS_Off[AbilityID],RawOfficer[AbilityID],RawOfficer[Default Order])</f>
        <v>200</v>
      </c>
    </row>
    <row r="204">
      <c r="A204" s="429" t="str">
        <f t="array" ref="A204">LEFT(XLOOKUP(LCARS_Off[AbilityID],RawOfficer[AbilityID],RawOfficer[OfficerRarity]), 1)</f>
        <v>E</v>
      </c>
      <c r="B204" s="429"/>
      <c r="C204" s="514" t="str">
        <f t="array" ref="C204">HYPERLINK("https://stfc.space/officers/" &amp; XLOOKUP(LCARS_Off[AbilityID],RawOfficer[AbilityID],RawOfficer[OfficerId]), XLOOKUP(LCARS_Off[AbilityID],RawOfficer[AbilityID],RawOfficer[OfficerName]))</f>
        <v>SIX OF ELEVEN</v>
      </c>
      <c r="D204" s="515" t="str">
        <f t="array" ref="D204">XLOOKUP(LCARS_Off[AbilityID],RawOfficer[AbilityID],RawOfficer[AbilityType])</f>
        <v>CM</v>
      </c>
      <c r="E204" s="516" t="str">
        <f t="array" ref="E204">XLOOKUP(LCARS_Off[AbilityID],RawOfficer[AbilityID],RawOfficer[Tag_PvPinSpace])</f>
        <v>✅</v>
      </c>
      <c r="F204" s="516" t="str">
        <f t="array" ref="F204">XLOOKUP(LCARS_Off[AbilityID],RawOfficer[AbilityID],RawOfficer[Tag_PvPStation])</f>
        <v>✅</v>
      </c>
      <c r="G204" s="516" t="str">
        <f t="array" ref="G204">XLOOKUP(LCARS_Off[AbilityID],RawOfficer[AbilityID],RawOfficer[Tag_NonArmadaHostiles])</f>
        <v>✅</v>
      </c>
      <c r="H204" s="516" t="str">
        <f t="array" ref="H204">XLOOKUP(LCARS_Off[AbilityID],RawOfficer[AbilityID],RawOfficer[Tag_WaveDefense])</f>
        <v>✅</v>
      </c>
      <c r="I204" s="516" t="str">
        <f t="array" ref="I204">XLOOKUP(LCARS_Off[AbilityID],RawOfficer[AbilityID],RawOfficer[Tag_QTrial])</f>
        <v>✅</v>
      </c>
      <c r="J204" s="516" t="str">
        <f t="array" ref="J204">XLOOKUP(LCARS_Off[AbilityID],RawOfficer[AbilityID],RawOfficer[Tag_MissionBosses])</f>
        <v>✅</v>
      </c>
      <c r="K204" s="516" t="str">
        <f t="array" ref="K204">XLOOKUP(LCARS_Off[AbilityID],RawOfficer[AbilityID],RawOfficer[Tag_GroupArmadas])</f>
        <v>✅</v>
      </c>
      <c r="L204" s="516" t="str">
        <f t="array" ref="L204">XLOOKUP(LCARS_Off[AbilityID],RawOfficer[AbilityID],RawOfficer[Tag_SoloArmadas])</f>
        <v>✅</v>
      </c>
      <c r="M204" s="516" t="str">
        <f t="array" ref="M204">XLOOKUP(LCARS_Off[AbilityID],RawOfficer[AbilityID],RawOfficer[Tag_InvadingEntities])</f>
        <v>✅</v>
      </c>
      <c r="N204" s="516" t="str">
        <f t="array" ref="N204">XLOOKUP(LCARS_Off[AbilityID],RawOfficer[AbilityID],RawOfficer[Tag_Assaults])</f>
        <v>✅</v>
      </c>
      <c r="O204" s="516" t="str">
        <f t="array" ref="O204">XLOOKUP(LCARS_Off[AbilityID],RawOfficer[AbilityID],RawOfficer[Tag_OutpostArmadas])</f>
        <v>✅</v>
      </c>
      <c r="P204" s="516" t="str">
        <f t="array" ref="P204">XLOOKUP(LCARS_Off[AbilityID],RawOfficer[AbilityID],RawOfficer[Tag_OutpostRetaliators])</f>
        <v>✅</v>
      </c>
      <c r="Q204" s="517" t="str">
        <f t="array" ref="Q204">XLOOKUP(LCARS_Off[AbilityID],RawOfficer[AbilityID],RawOfficer[Conditional_Reason])</f>
        <v/>
      </c>
      <c r="R204" s="518" t="str">
        <f t="array" ref="R204">XLOOKUP(LCARS_Off[AbilityID],RawOfficer[AbilityID],RawOfficer[Tag_Loot])</f>
        <v>➖</v>
      </c>
      <c r="S204" s="516" t="str">
        <f t="array" ref="S204">XLOOKUP(LCARS_Off[AbilityID],RawOfficer[AbilityID],RawOfficer[Tag_Utility])</f>
        <v>➖</v>
      </c>
      <c r="T204" s="429" t="str">
        <f t="array" ref="T204">XLOOKUP(LCARS_Off[AbilityID],RawOfficer[AbilityID],RawOfficer[OfficerSynergy])</f>
        <v>UNIMATRIX TWELVE</v>
      </c>
      <c r="U204" s="519" t="str">
        <f t="array" ref="U204">XLOOKUP(LCARS_Off[AbilityID],RawOfficer[AbilityID],RawOfficer[AbilityModifier])</f>
        <v>ShieldHPRepair</v>
      </c>
      <c r="V204" s="519" t="str">
        <f t="array" ref="V204">XLOOKUP(LCARS_Off[AbilityID],RawOfficer[AbilityID],RawOfficer[AbilityAttributes])</f>
        <v>officer_stat=2</v>
      </c>
      <c r="W204" s="520" t="str">
        <f t="array" ref="W204">XLOOKUP(LCARS_Off[AbilityID],RawOfficer[AbilityID],RawOfficer[AbilityConditions])</f>
        <v/>
      </c>
      <c r="X204" s="519" t="str">
        <f t="array" ref="X204">XLOOKUP(LCARS_Off[AbilityID],RawOfficer[AbilityID],RawOfficer[AbilityTrigger])</f>
        <v>EnemyTakesHit</v>
      </c>
      <c r="Y204" s="519" t="str">
        <f t="array" ref="Y204">XLOOKUP(LCARS_Off[AbilityID],RawOfficer[AbilityID],RawOfficer[AbilityTarget])</f>
        <v>EnemyShip</v>
      </c>
      <c r="Z204" s="519" t="str">
        <f t="array" ref="Z204">XLOOKUP(LCARS_Off[AbilityID],RawOfficer[AbilityID],RawOfficer[AbilityOperation])</f>
        <v>MultiplyBaseSub</v>
      </c>
      <c r="AA204" s="521" t="str">
        <f t="array" ref="AA204">XLOOKUP(LCARS_Off[AbilityID],RawOfficer[AbilityID],RawOfficer[AbilityDescription])</f>
        <v>Every time the ship hits an opponent with a weapon attack, Six of Eleven decreases the opponent's Shield Health by X of the total Defense of all officers on the ship. -- (Weapons with multiple shots will only trigger this maneuver once per attack.)</v>
      </c>
      <c r="AB204" s="429" t="b">
        <v>1</v>
      </c>
      <c r="AC204" s="522" t="str">
        <f t="array" ref="AC204">XLOOKUP(LCARS_Off[AbilityID],RawOfficer[AbilityID],RawOfficer[AbilityDescriptionShort])</f>
        <v>X of Defense removed from opponent's SHP when hitting the opponent</v>
      </c>
      <c r="AD204" s="523"/>
      <c r="AE204" s="521" t="s">
        <v>570</v>
      </c>
      <c r="AF204" s="521"/>
      <c r="AG204" s="525" t="str">
        <f t="array" ref="AG204">XLOOKUP(LCARS_Off[AbilityID],RawOfficer[AbilityID],RawOfficer[AbilityChances])</f>
        <v>1.0, 1.0, 1.0</v>
      </c>
      <c r="AH204" s="525" t="str">
        <f t="array" ref="AH204">XLOOKUP(LCARS_Off[AbilityID],RawOfficer[AbilityID],RawOfficer[AbilityValues])</f>
        <v>0.2, 0.1, 0.4</v>
      </c>
      <c r="AI204" s="428" t="b">
        <f t="array" ref="AI204">XLOOKUP(LCARS_Off[AbilityID],RawOfficer[AbilityID],RawOfficer[AbilityHasChance])</f>
        <v>0</v>
      </c>
      <c r="AJ204" s="428" t="b">
        <f t="array" ref="AJ204">XLOOKUP(LCARS_Off[AbilityID],RawOfficer[AbilityID],RawOfficer[AbilityShowPercentage])</f>
        <v>1</v>
      </c>
      <c r="AK204" s="429">
        <f t="array" ref="AK204">XLOOKUP(LCARS_Off[AbilityID],RawOfficer[AbilityID],RawOfficer[OfficerArt])</f>
        <v>116</v>
      </c>
      <c r="AL204" s="430">
        <v>1.15416486E8</v>
      </c>
      <c r="AM204" s="430">
        <f t="array" ref="AM204">XLOOKUP(LCARS_Off[AbilityID],RawOfficer[AbilityID],RawOfficer[Default Order])</f>
        <v>201</v>
      </c>
    </row>
    <row r="205">
      <c r="A205" s="429" t="str">
        <f t="array" ref="A205">LEFT(XLOOKUP(LCARS_Off[AbilityID],RawOfficer[AbilityID],RawOfficer[OfficerRarity]), 1)</f>
        <v>E</v>
      </c>
      <c r="B205" s="429"/>
      <c r="C205" s="514" t="str">
        <f t="array" ref="C205">HYPERLINK("https://stfc.space/officers/" &amp; XLOOKUP(LCARS_Off[AbilityID],RawOfficer[AbilityID],RawOfficer[OfficerId]), XLOOKUP(LCARS_Off[AbilityID],RawOfficer[AbilityID],RawOfficer[OfficerName]))</f>
        <v>SIX OF ELEVEN</v>
      </c>
      <c r="D205" s="515" t="str">
        <f t="array" ref="D205">XLOOKUP(LCARS_Off[AbilityID],RawOfficer[AbilityID],RawOfficer[AbilityType])</f>
        <v>OA</v>
      </c>
      <c r="E205" s="516" t="str">
        <f t="array" ref="E205">XLOOKUP(LCARS_Off[AbilityID],RawOfficer[AbilityID],RawOfficer[Tag_PvPinSpace])</f>
        <v>➖</v>
      </c>
      <c r="F205" s="516" t="str">
        <f t="array" ref="F205">XLOOKUP(LCARS_Off[AbilityID],RawOfficer[AbilityID],RawOfficer[Tag_PvPStation])</f>
        <v>➖</v>
      </c>
      <c r="G205" s="516" t="str">
        <f t="array" ref="G205">XLOOKUP(LCARS_Off[AbilityID],RawOfficer[AbilityID],RawOfficer[Tag_NonArmadaHostiles])</f>
        <v>➖</v>
      </c>
      <c r="H205" s="516" t="str">
        <f t="array" ref="H205">XLOOKUP(LCARS_Off[AbilityID],RawOfficer[AbilityID],RawOfficer[Tag_WaveDefense])</f>
        <v>➖</v>
      </c>
      <c r="I205" s="516" t="str">
        <f t="array" ref="I205">XLOOKUP(LCARS_Off[AbilityID],RawOfficer[AbilityID],RawOfficer[Tag_QTrial])</f>
        <v>➖</v>
      </c>
      <c r="J205" s="516" t="str">
        <f t="array" ref="J205">XLOOKUP(LCARS_Off[AbilityID],RawOfficer[AbilityID],RawOfficer[Tag_MissionBosses])</f>
        <v>➖</v>
      </c>
      <c r="K205" s="516" t="str">
        <f t="array" ref="K205">XLOOKUP(LCARS_Off[AbilityID],RawOfficer[AbilityID],RawOfficer[Tag_GroupArmadas])</f>
        <v>✅</v>
      </c>
      <c r="L205" s="516" t="str">
        <f t="array" ref="L205">XLOOKUP(LCARS_Off[AbilityID],RawOfficer[AbilityID],RawOfficer[Tag_SoloArmadas])</f>
        <v>✅</v>
      </c>
      <c r="M205" s="516" t="str">
        <f t="array" ref="M205">XLOOKUP(LCARS_Off[AbilityID],RawOfficer[AbilityID],RawOfficer[Tag_InvadingEntities])</f>
        <v>➖</v>
      </c>
      <c r="N205" s="516" t="str">
        <f t="array" ref="N205">XLOOKUP(LCARS_Off[AbilityID],RawOfficer[AbilityID],RawOfficer[Tag_Assaults])</f>
        <v>➖</v>
      </c>
      <c r="O205" s="516" t="str">
        <f t="array" ref="O205">XLOOKUP(LCARS_Off[AbilityID],RawOfficer[AbilityID],RawOfficer[Tag_OutpostArmadas])</f>
        <v>➖</v>
      </c>
      <c r="P205" s="516" t="str">
        <f t="array" ref="P205">XLOOKUP(LCARS_Off[AbilityID],RawOfficer[AbilityID],RawOfficer[Tag_OutpostRetaliators])</f>
        <v>➖</v>
      </c>
      <c r="Q205" s="517" t="str">
        <f t="array" ref="Q205">XLOOKUP(LCARS_Off[AbilityID],RawOfficer[AbilityID],RawOfficer[Conditional_Reason])</f>
        <v/>
      </c>
      <c r="R205" s="518" t="str">
        <f t="array" ref="R205">XLOOKUP(LCARS_Off[AbilityID],RawOfficer[AbilityID],RawOfficer[Tag_Loot])</f>
        <v>➖</v>
      </c>
      <c r="S205" s="516" t="str">
        <f t="array" ref="S205">XLOOKUP(LCARS_Off[AbilityID],RawOfficer[AbilityID],RawOfficer[Tag_Utility])</f>
        <v>➖</v>
      </c>
      <c r="T205" s="429" t="str">
        <f t="array" ref="T205">XLOOKUP(LCARS_Off[AbilityID],RawOfficer[AbilityID],RawOfficer[OfficerSynergy])</f>
        <v>UNIMATRIX TWELVE</v>
      </c>
      <c r="U205" s="519" t="str">
        <f t="array" ref="U205">XLOOKUP(LCARS_Off[AbilityID],RawOfficer[AbilityID],RawOfficer[AbilityModifier])</f>
        <v>AllPiercing</v>
      </c>
      <c r="V205" s="519" t="str">
        <f t="array" ref="V205">XLOOKUP(LCARS_Off[AbilityID],RawOfficer[AbilityID],RawOfficer[AbilityAttributes])</f>
        <v>officer_stat=1</v>
      </c>
      <c r="W205" s="520" t="str">
        <f t="array" ref="W205">XLOOKUP(LCARS_Off[AbilityID],RawOfficer[AbilityID],RawOfficer[AbilityConditions])</f>
        <v>TargetIsArmada</v>
      </c>
      <c r="X205" s="519" t="str">
        <f t="array" ref="X205">XLOOKUP(LCARS_Off[AbilityID],RawOfficer[AbilityID],RawOfficer[AbilityTrigger])</f>
        <v>EnemyTakesHit</v>
      </c>
      <c r="Y205" s="519" t="str">
        <f t="array" ref="Y205">XLOOKUP(LCARS_Off[AbilityID],RawOfficer[AbilityID],RawOfficer[AbilityTarget])</f>
        <v>SelfShip</v>
      </c>
      <c r="Z205" s="519" t="str">
        <f t="array" ref="Z205">XLOOKUP(LCARS_Off[AbilityID],RawOfficer[AbilityID],RawOfficer[AbilityOperation])</f>
        <v>MultiplyBaseAdd</v>
      </c>
      <c r="AA205" s="521" t="str">
        <f t="array" ref="AA205">XLOOKUP(LCARS_Off[AbilityID],RawOfficer[AbilityID],RawOfficer[AbilityDescription])</f>
        <v>When attacking an Armada Target, every time the ship hits the opponent with a weapon attack, Six of Eleven increases the Accuracy, Armor Piercing and Shield Piercing of the ship by X of the total Attack of all officers on the ship. -- (Weapons with multiple shots will only trigger this ability once per attack.)</v>
      </c>
      <c r="AB205" s="429" t="b">
        <v>0</v>
      </c>
      <c r="AC205" s="522" t="str">
        <f t="array" ref="AC205">XLOOKUP(LCARS_Off[AbilityID],RawOfficer[AbilityID],RawOfficer[AbilityDescriptionShort])</f>
        <v>X of Attack added to Penetration values when firing at Armada Targets</v>
      </c>
      <c r="AD205" s="523"/>
      <c r="AE205" s="524"/>
      <c r="AF205" s="524"/>
      <c r="AG205" s="525" t="str">
        <f t="array" ref="AG205">XLOOKUP(LCARS_Off[AbilityID],RawOfficer[AbilityID],RawOfficer[AbilityChances])</f>
        <v>1.0, 1.0, 1.0, 1.0, 1.0</v>
      </c>
      <c r="AH205" s="525" t="str">
        <f t="array" ref="AH205">XLOOKUP(LCARS_Off[AbilityID],RawOfficer[AbilityID],RawOfficer[AbilityValues])</f>
        <v>0.05, 0.1, 0.2, 0.3, 0.4</v>
      </c>
      <c r="AI205" s="428" t="b">
        <f t="array" ref="AI205">XLOOKUP(LCARS_Off[AbilityID],RawOfficer[AbilityID],RawOfficer[AbilityHasChance])</f>
        <v>0</v>
      </c>
      <c r="AJ205" s="428" t="b">
        <f t="array" ref="AJ205">XLOOKUP(LCARS_Off[AbilityID],RawOfficer[AbilityID],RawOfficer[AbilityShowPercentage])</f>
        <v>1</v>
      </c>
      <c r="AK205" s="429">
        <f t="array" ref="AK205">XLOOKUP(LCARS_Off[AbilityID],RawOfficer[AbilityID],RawOfficer[OfficerArt])</f>
        <v>116</v>
      </c>
      <c r="AL205" s="430">
        <v>3.353791415E9</v>
      </c>
      <c r="AM205" s="430">
        <f t="array" ref="AM205">XLOOKUP(LCARS_Off[AbilityID],RawOfficer[AbilityID],RawOfficer[Default Order])</f>
        <v>202</v>
      </c>
    </row>
    <row r="206">
      <c r="A206" s="429" t="str">
        <f t="array" ref="A206">LEFT(XLOOKUP(LCARS_Off[AbilityID],RawOfficer[AbilityID],RawOfficer[OfficerRarity]), 1)</f>
        <v>R</v>
      </c>
      <c r="B206" s="429"/>
      <c r="C206" s="514" t="str">
        <f t="array" ref="C206">HYPERLINK("https://stfc.space/officers/" &amp; XLOOKUP(LCARS_Off[AbilityID],RawOfficer[AbilityID],RawOfficer[OfficerId]), XLOOKUP(LCARS_Off[AbilityID],RawOfficer[AbilityID],RawOfficer[OfficerName]))</f>
        <v>SEVEN OF ELEVEN</v>
      </c>
      <c r="D206" s="515" t="str">
        <f t="array" ref="D206">XLOOKUP(LCARS_Off[AbilityID],RawOfficer[AbilityID],RawOfficer[AbilityType])</f>
        <v>CM</v>
      </c>
      <c r="E206" s="516" t="str">
        <f t="array" ref="E206">XLOOKUP(LCARS_Off[AbilityID],RawOfficer[AbilityID],RawOfficer[Tag_PvPinSpace])</f>
        <v>➖</v>
      </c>
      <c r="F206" s="516" t="str">
        <f t="array" ref="F206">XLOOKUP(LCARS_Off[AbilityID],RawOfficer[AbilityID],RawOfficer[Tag_PvPStation])</f>
        <v>➖</v>
      </c>
      <c r="G206" s="516" t="str">
        <f t="array" ref="G206">XLOOKUP(LCARS_Off[AbilityID],RawOfficer[AbilityID],RawOfficer[Tag_NonArmadaHostiles])</f>
        <v>✴️</v>
      </c>
      <c r="H206" s="516" t="str">
        <f t="array" ref="H206">XLOOKUP(LCARS_Off[AbilityID],RawOfficer[AbilityID],RawOfficer[Tag_WaveDefense])</f>
        <v>✴️</v>
      </c>
      <c r="I206" s="516" t="str">
        <f t="array" ref="I206">XLOOKUP(LCARS_Off[AbilityID],RawOfficer[AbilityID],RawOfficer[Tag_QTrial])</f>
        <v>✴️</v>
      </c>
      <c r="J206" s="516" t="str">
        <f t="array" ref="J206">XLOOKUP(LCARS_Off[AbilityID],RawOfficer[AbilityID],RawOfficer[Tag_MissionBosses])</f>
        <v>✴️</v>
      </c>
      <c r="K206" s="516" t="str">
        <f t="array" ref="K206">XLOOKUP(LCARS_Off[AbilityID],RawOfficer[AbilityID],RawOfficer[Tag_GroupArmadas])</f>
        <v>➖</v>
      </c>
      <c r="L206" s="516" t="str">
        <f t="array" ref="L206">XLOOKUP(LCARS_Off[AbilityID],RawOfficer[AbilityID],RawOfficer[Tag_SoloArmadas])</f>
        <v>➖</v>
      </c>
      <c r="M206" s="516" t="str">
        <f t="array" ref="M206">XLOOKUP(LCARS_Off[AbilityID],RawOfficer[AbilityID],RawOfficer[Tag_InvadingEntities])</f>
        <v>➖</v>
      </c>
      <c r="N206" s="516" t="str">
        <f t="array" ref="N206">XLOOKUP(LCARS_Off[AbilityID],RawOfficer[AbilityID],RawOfficer[Tag_Assaults])</f>
        <v>✴️</v>
      </c>
      <c r="O206" s="516" t="str">
        <f t="array" ref="O206">XLOOKUP(LCARS_Off[AbilityID],RawOfficer[AbilityID],RawOfficer[Tag_OutpostArmadas])</f>
        <v>➖</v>
      </c>
      <c r="P206" s="516" t="str">
        <f t="array" ref="P206">XLOOKUP(LCARS_Off[AbilityID],RawOfficer[AbilityID],RawOfficer[Tag_OutpostRetaliators])</f>
        <v>➖</v>
      </c>
      <c r="Q206" s="517" t="str">
        <f t="array" ref="Q206">XLOOKUP(LCARS_Off[AbilityID],RawOfficer[AbilityID],RawOfficer[Conditional_Reason])</f>
        <v>Borg</v>
      </c>
      <c r="R206" s="518" t="str">
        <f t="array" ref="R206">XLOOKUP(LCARS_Off[AbilityID],RawOfficer[AbilityID],RawOfficer[Tag_Loot])</f>
        <v>➖</v>
      </c>
      <c r="S206" s="516" t="str">
        <f t="array" ref="S206">XLOOKUP(LCARS_Off[AbilityID],RawOfficer[AbilityID],RawOfficer[Tag_Utility])</f>
        <v>➖</v>
      </c>
      <c r="T206" s="429" t="str">
        <f t="array" ref="T206">XLOOKUP(LCARS_Off[AbilityID],RawOfficer[AbilityID],RawOfficer[OfficerSynergy])</f>
        <v>UNIMATRIX TWELVE</v>
      </c>
      <c r="U206" s="519" t="str">
        <f t="array" ref="U206">XLOOKUP(LCARS_Off[AbilityID],RawOfficer[AbilityID],RawOfficer[AbilityModifier])</f>
        <v>ShotsPerAttack</v>
      </c>
      <c r="V206" s="519" t="str">
        <f t="array" ref="V206">XLOOKUP(LCARS_Off[AbilityID],RawOfficer[AbilityID],RawOfficer[AbilityAttributes])</f>
        <v>faction_id=2943562711</v>
      </c>
      <c r="W206" s="520" t="str">
        <f t="array" ref="W206">XLOOKUP(LCARS_Off[AbilityID],RawOfficer[AbilityID],RawOfficer[AbilityConditions])</f>
        <v>EnemyHullFaction, TargetNotArmada</v>
      </c>
      <c r="X206" s="519" t="str">
        <f t="array" ref="X206">XLOOKUP(LCARS_Off[AbilityID],RawOfficer[AbilityID],RawOfficer[AbilityTrigger])</f>
        <v>CombatStart</v>
      </c>
      <c r="Y206" s="519" t="str">
        <f t="array" ref="Y206">XLOOKUP(LCARS_Off[AbilityID],RawOfficer[AbilityID],RawOfficer[AbilityTarget])</f>
        <v>SelfShip</v>
      </c>
      <c r="Z206" s="519" t="str">
        <f t="array" ref="Z206">XLOOKUP(LCARS_Off[AbilityID],RawOfficer[AbilityID],RawOfficer[AbilityOperation])</f>
        <v>Add</v>
      </c>
      <c r="AA206" s="521" t="str">
        <f t="array" ref="AA206">XLOOKUP(LCARS_Off[AbilityID],RawOfficer[AbilityID],RawOfficer[AbilityDescription])</f>
        <v>When fighting a Borg Tactical Probe, Seven of Eleven has a X chance of increasing the number of shots of each weapon by 2.</v>
      </c>
      <c r="AB206" s="429" t="b">
        <v>0</v>
      </c>
      <c r="AC206" s="522" t="str">
        <f t="array" ref="AC206">XLOOKUP(LCARS_Off[AbilityID],RawOfficer[AbilityID],RawOfficer[AbilityDescriptionShort])</f>
        <v>X chance of adding 2 shots to each weapon when fighting Borg Tactical Probes</v>
      </c>
      <c r="AD206" s="523"/>
      <c r="AE206" s="524"/>
      <c r="AF206" s="524"/>
      <c r="AG206" s="525" t="str">
        <f t="array" ref="AG206">XLOOKUP(LCARS_Off[AbilityID],RawOfficer[AbilityID],RawOfficer[AbilityChances])</f>
        <v>0.2, 0.15, 0.35</v>
      </c>
      <c r="AH206" s="525" t="str">
        <f t="array" ref="AH206">XLOOKUP(LCARS_Off[AbilityID],RawOfficer[AbilityID],RawOfficer[AbilityValues])</f>
        <v>2.0, 0.0, 0.0</v>
      </c>
      <c r="AI206" s="428" t="b">
        <f t="array" ref="AI206">XLOOKUP(LCARS_Off[AbilityID],RawOfficer[AbilityID],RawOfficer[AbilityHasChance])</f>
        <v>1</v>
      </c>
      <c r="AJ206" s="428" t="b">
        <f t="array" ref="AJ206">XLOOKUP(LCARS_Off[AbilityID],RawOfficer[AbilityID],RawOfficer[AbilityShowPercentage])</f>
        <v>1</v>
      </c>
      <c r="AK206" s="429">
        <f t="array" ref="AK206">XLOOKUP(LCARS_Off[AbilityID],RawOfficer[AbilityID],RawOfficer[OfficerArt])</f>
        <v>114</v>
      </c>
      <c r="AL206" s="430">
        <v>3.774124358E9</v>
      </c>
      <c r="AM206" s="430">
        <f t="array" ref="AM206">XLOOKUP(LCARS_Off[AbilityID],RawOfficer[AbilityID],RawOfficer[Default Order])</f>
        <v>203</v>
      </c>
    </row>
    <row r="207">
      <c r="A207" s="429" t="str">
        <f t="array" ref="A207">LEFT(XLOOKUP(LCARS_Off[AbilityID],RawOfficer[AbilityID],RawOfficer[OfficerRarity]), 1)</f>
        <v>R</v>
      </c>
      <c r="B207" s="429"/>
      <c r="C207" s="514" t="str">
        <f t="array" ref="C207">HYPERLINK("https://stfc.space/officers/" &amp; XLOOKUP(LCARS_Off[AbilityID],RawOfficer[AbilityID],RawOfficer[OfficerId]), XLOOKUP(LCARS_Off[AbilityID],RawOfficer[AbilityID],RawOfficer[OfficerName]))</f>
        <v>SEVEN OF ELEVEN</v>
      </c>
      <c r="D207" s="515" t="str">
        <f t="array" ref="D207">XLOOKUP(LCARS_Off[AbilityID],RawOfficer[AbilityID],RawOfficer[AbilityType])</f>
        <v>OA</v>
      </c>
      <c r="E207" s="516" t="str">
        <f t="array" ref="E207">XLOOKUP(LCARS_Off[AbilityID],RawOfficer[AbilityID],RawOfficer[Tag_PvPinSpace])</f>
        <v>✅</v>
      </c>
      <c r="F207" s="516" t="str">
        <f t="array" ref="F207">XLOOKUP(LCARS_Off[AbilityID],RawOfficer[AbilityID],RawOfficer[Tag_PvPStation])</f>
        <v>✅</v>
      </c>
      <c r="G207" s="516" t="str">
        <f t="array" ref="G207">XLOOKUP(LCARS_Off[AbilityID],RawOfficer[AbilityID],RawOfficer[Tag_NonArmadaHostiles])</f>
        <v>✅</v>
      </c>
      <c r="H207" s="516" t="str">
        <f t="array" ref="H207">XLOOKUP(LCARS_Off[AbilityID],RawOfficer[AbilityID],RawOfficer[Tag_WaveDefense])</f>
        <v>✅</v>
      </c>
      <c r="I207" s="516" t="str">
        <f t="array" ref="I207">XLOOKUP(LCARS_Off[AbilityID],RawOfficer[AbilityID],RawOfficer[Tag_QTrial])</f>
        <v>✅</v>
      </c>
      <c r="J207" s="516" t="str">
        <f t="array" ref="J207">XLOOKUP(LCARS_Off[AbilityID],RawOfficer[AbilityID],RawOfficer[Tag_MissionBosses])</f>
        <v>✅</v>
      </c>
      <c r="K207" s="516" t="str">
        <f t="array" ref="K207">XLOOKUP(LCARS_Off[AbilityID],RawOfficer[AbilityID],RawOfficer[Tag_GroupArmadas])</f>
        <v>✅</v>
      </c>
      <c r="L207" s="516" t="str">
        <f t="array" ref="L207">XLOOKUP(LCARS_Off[AbilityID],RawOfficer[AbilityID],RawOfficer[Tag_SoloArmadas])</f>
        <v>✅</v>
      </c>
      <c r="M207" s="516" t="str">
        <f t="array" ref="M207">XLOOKUP(LCARS_Off[AbilityID],RawOfficer[AbilityID],RawOfficer[Tag_InvadingEntities])</f>
        <v>✅</v>
      </c>
      <c r="N207" s="516" t="str">
        <f t="array" ref="N207">XLOOKUP(LCARS_Off[AbilityID],RawOfficer[AbilityID],RawOfficer[Tag_Assaults])</f>
        <v>✅</v>
      </c>
      <c r="O207" s="516" t="str">
        <f t="array" ref="O207">XLOOKUP(LCARS_Off[AbilityID],RawOfficer[AbilityID],RawOfficer[Tag_OutpostArmadas])</f>
        <v>✅</v>
      </c>
      <c r="P207" s="516" t="str">
        <f t="array" ref="P207">XLOOKUP(LCARS_Off[AbilityID],RawOfficer[AbilityID],RawOfficer[Tag_OutpostRetaliators])</f>
        <v>✅</v>
      </c>
      <c r="Q207" s="517" t="str">
        <f t="array" ref="Q207">XLOOKUP(LCARS_Off[AbilityID],RawOfficer[AbilityID],RawOfficer[Conditional_Reason])</f>
        <v/>
      </c>
      <c r="R207" s="518" t="str">
        <f t="array" ref="R207">XLOOKUP(LCARS_Off[AbilityID],RawOfficer[AbilityID],RawOfficer[Tag_Loot])</f>
        <v>➖</v>
      </c>
      <c r="S207" s="516" t="str">
        <f t="array" ref="S207">XLOOKUP(LCARS_Off[AbilityID],RawOfficer[AbilityID],RawOfficer[Tag_Utility])</f>
        <v>➖</v>
      </c>
      <c r="T207" s="429" t="str">
        <f t="array" ref="T207">XLOOKUP(LCARS_Off[AbilityID],RawOfficer[AbilityID],RawOfficer[OfficerSynergy])</f>
        <v>UNIMATRIX TWELVE</v>
      </c>
      <c r="U207" s="519" t="str">
        <f t="array" ref="U207">XLOOKUP(LCARS_Off[AbilityID],RawOfficer[AbilityID],RawOfficer[AbilityModifier])</f>
        <v>OfficerStatHealth</v>
      </c>
      <c r="V207" s="519" t="str">
        <f t="array" ref="V207">XLOOKUP(LCARS_Off[AbilityID],RawOfficer[AbilityID],RawOfficer[AbilityAttributes])</f>
        <v/>
      </c>
      <c r="W207" s="520" t="str">
        <f t="array" ref="W207">XLOOKUP(LCARS_Off[AbilityID],RawOfficer[AbilityID],RawOfficer[AbilityConditions])</f>
        <v/>
      </c>
      <c r="X207" s="519" t="str">
        <f t="array" ref="X207">XLOOKUP(LCARS_Off[AbilityID],RawOfficer[AbilityID],RawOfficer[AbilityTrigger])</f>
        <v>ShipLaunched</v>
      </c>
      <c r="Y207" s="519" t="str">
        <f t="array" ref="Y207">XLOOKUP(LCARS_Off[AbilityID],RawOfficer[AbilityID],RawOfficer[AbilityTarget])</f>
        <v>SelfAll</v>
      </c>
      <c r="Z207" s="519" t="str">
        <f t="array" ref="Z207">XLOOKUP(LCARS_Off[AbilityID],RawOfficer[AbilityID],RawOfficer[AbilityOperation])</f>
        <v>MultiplyAdd</v>
      </c>
      <c r="AA207" s="521" t="str">
        <f t="array" ref="AA207">XLOOKUP(LCARS_Off[AbilityID],RawOfficer[AbilityID],RawOfficer[AbilityDescription])</f>
        <v>Seven of Eleven increases the Health of every Officer on the ship by X.</v>
      </c>
      <c r="AB207" s="429" t="b">
        <v>0</v>
      </c>
      <c r="AC207" s="522" t="str">
        <f t="array" ref="AC207">XLOOKUP(LCARS_Off[AbilityID],RawOfficer[AbilityID],RawOfficer[AbilityDescriptionShort])</f>
        <v>+X to the Health of all Officers on the ship</v>
      </c>
      <c r="AD207" s="523"/>
      <c r="AE207" s="524"/>
      <c r="AF207" s="524"/>
      <c r="AG207" s="525" t="str">
        <f t="array" ref="AG207">XLOOKUP(LCARS_Off[AbilityID],RawOfficer[AbilityID],RawOfficer[AbilityChances])</f>
        <v>1.0, 1.0, 1.0, 1.0, 1.0</v>
      </c>
      <c r="AH207" s="525" t="str">
        <f t="array" ref="AH207">XLOOKUP(LCARS_Off[AbilityID],RawOfficer[AbilityID],RawOfficer[AbilityValues])</f>
        <v>0.6, 0.7, 0.8, 0.9, 1.0</v>
      </c>
      <c r="AI207" s="428" t="b">
        <f t="array" ref="AI207">XLOOKUP(LCARS_Off[AbilityID],RawOfficer[AbilityID],RawOfficer[AbilityHasChance])</f>
        <v>0</v>
      </c>
      <c r="AJ207" s="428" t="b">
        <f t="array" ref="AJ207">XLOOKUP(LCARS_Off[AbilityID],RawOfficer[AbilityID],RawOfficer[AbilityShowPercentage])</f>
        <v>1</v>
      </c>
      <c r="AK207" s="429">
        <f t="array" ref="AK207">XLOOKUP(LCARS_Off[AbilityID],RawOfficer[AbilityID],RawOfficer[OfficerArt])</f>
        <v>114</v>
      </c>
      <c r="AL207" s="430">
        <v>1.955519035E9</v>
      </c>
      <c r="AM207" s="430">
        <f t="array" ref="AM207">XLOOKUP(LCARS_Off[AbilityID],RawOfficer[AbilityID],RawOfficer[Default Order])</f>
        <v>204</v>
      </c>
    </row>
    <row r="208">
      <c r="A208" s="429" t="str">
        <f t="array" ref="A208">LEFT(XLOOKUP(LCARS_Off[AbilityID],RawOfficer[AbilityID],RawOfficer[OfficerRarity]), 1)</f>
        <v>U</v>
      </c>
      <c r="B208" s="429"/>
      <c r="C208" s="514" t="str">
        <f t="array" ref="C208">HYPERLINK("https://stfc.space/officers/" &amp; XLOOKUP(LCARS_Off[AbilityID],RawOfficer[AbilityID],RawOfficer[OfficerId]), XLOOKUP(LCARS_Off[AbilityID],RawOfficer[AbilityID],RawOfficer[OfficerName]))</f>
        <v>EIGHT OF ELEVEN</v>
      </c>
      <c r="D208" s="515" t="str">
        <f t="array" ref="D208">XLOOKUP(LCARS_Off[AbilityID],RawOfficer[AbilityID],RawOfficer[AbilityType])</f>
        <v>CM</v>
      </c>
      <c r="E208" s="516" t="str">
        <f t="array" ref="E208">XLOOKUP(LCARS_Off[AbilityID],RawOfficer[AbilityID],RawOfficer[Tag_PvPinSpace])</f>
        <v>➖</v>
      </c>
      <c r="F208" s="516" t="str">
        <f t="array" ref="F208">XLOOKUP(LCARS_Off[AbilityID],RawOfficer[AbilityID],RawOfficer[Tag_PvPStation])</f>
        <v>➖</v>
      </c>
      <c r="G208" s="516" t="str">
        <f t="array" ref="G208">XLOOKUP(LCARS_Off[AbilityID],RawOfficer[AbilityID],RawOfficer[Tag_NonArmadaHostiles])</f>
        <v>✴️</v>
      </c>
      <c r="H208" s="516" t="str">
        <f t="array" ref="H208">XLOOKUP(LCARS_Off[AbilityID],RawOfficer[AbilityID],RawOfficer[Tag_WaveDefense])</f>
        <v>✴️</v>
      </c>
      <c r="I208" s="516" t="str">
        <f t="array" ref="I208">XLOOKUP(LCARS_Off[AbilityID],RawOfficer[AbilityID],RawOfficer[Tag_QTrial])</f>
        <v>✴️</v>
      </c>
      <c r="J208" s="516" t="str">
        <f t="array" ref="J208">XLOOKUP(LCARS_Off[AbilityID],RawOfficer[AbilityID],RawOfficer[Tag_MissionBosses])</f>
        <v>✴️</v>
      </c>
      <c r="K208" s="516" t="str">
        <f t="array" ref="K208">XLOOKUP(LCARS_Off[AbilityID],RawOfficer[AbilityID],RawOfficer[Tag_GroupArmadas])</f>
        <v>✴️</v>
      </c>
      <c r="L208" s="516" t="str">
        <f t="array" ref="L208">XLOOKUP(LCARS_Off[AbilityID],RawOfficer[AbilityID],RawOfficer[Tag_SoloArmadas])</f>
        <v>✴️</v>
      </c>
      <c r="M208" s="516" t="str">
        <f t="array" ref="M208">XLOOKUP(LCARS_Off[AbilityID],RawOfficer[AbilityID],RawOfficer[Tag_InvadingEntities])</f>
        <v>➖</v>
      </c>
      <c r="N208" s="516" t="str">
        <f t="array" ref="N208">XLOOKUP(LCARS_Off[AbilityID],RawOfficer[AbilityID],RawOfficer[Tag_Assaults])</f>
        <v>✴️</v>
      </c>
      <c r="O208" s="516" t="str">
        <f t="array" ref="O208">XLOOKUP(LCARS_Off[AbilityID],RawOfficer[AbilityID],RawOfficer[Tag_OutpostArmadas])</f>
        <v>➖</v>
      </c>
      <c r="P208" s="516" t="str">
        <f t="array" ref="P208">XLOOKUP(LCARS_Off[AbilityID],RawOfficer[AbilityID],RawOfficer[Tag_OutpostRetaliators])</f>
        <v>➖</v>
      </c>
      <c r="Q208" s="517" t="str">
        <f t="array" ref="Q208">XLOOKUP(LCARS_Off[AbilityID],RawOfficer[AbilityID],RawOfficer[Conditional_Reason])</f>
        <v>Borg</v>
      </c>
      <c r="R208" s="518" t="str">
        <f t="array" ref="R208">XLOOKUP(LCARS_Off[AbilityID],RawOfficer[AbilityID],RawOfficer[Tag_Loot])</f>
        <v>➖</v>
      </c>
      <c r="S208" s="516" t="str">
        <f t="array" ref="S208">XLOOKUP(LCARS_Off[AbilityID],RawOfficer[AbilityID],RawOfficer[Tag_Utility])</f>
        <v>➖</v>
      </c>
      <c r="T208" s="429" t="str">
        <f t="array" ref="T208">XLOOKUP(LCARS_Off[AbilityID],RawOfficer[AbilityID],RawOfficer[OfficerSynergy])</f>
        <v>UNIMATRIX TWELVE</v>
      </c>
      <c r="U208" s="519" t="str">
        <f t="array" ref="U208">XLOOKUP(LCARS_Off[AbilityID],RawOfficer[AbilityID],RawOfficer[AbilityModifier])</f>
        <v>CritChance</v>
      </c>
      <c r="V208" s="519" t="str">
        <f t="array" ref="V208">XLOOKUP(LCARS_Off[AbilityID],RawOfficer[AbilityID],RawOfficer[AbilityAttributes])</f>
        <v>faction_id=2943562711</v>
      </c>
      <c r="W208" s="520" t="str">
        <f t="array" ref="W208">XLOOKUP(LCARS_Off[AbilityID],RawOfficer[AbilityID],RawOfficer[AbilityConditions])</f>
        <v>EnemyHullFaction</v>
      </c>
      <c r="X208" s="519" t="str">
        <f t="array" ref="X208">XLOOKUP(LCARS_Off[AbilityID],RawOfficer[AbilityID],RawOfficer[AbilityTrigger])</f>
        <v>CombatStart</v>
      </c>
      <c r="Y208" s="519" t="str">
        <f t="array" ref="Y208">XLOOKUP(LCARS_Off[AbilityID],RawOfficer[AbilityID],RawOfficer[AbilityTarget])</f>
        <v>SelfShip</v>
      </c>
      <c r="Z208" s="519" t="str">
        <f t="array" ref="Z208">XLOOKUP(LCARS_Off[AbilityID],RawOfficer[AbilityID],RawOfficer[AbilityOperation])</f>
        <v>Add</v>
      </c>
      <c r="AA208" s="521" t="str">
        <f t="array" ref="AA208">XLOOKUP(LCARS_Off[AbilityID],RawOfficer[AbilityID],RawOfficer[AbilityDescription])</f>
        <v>When fighting a Borg ship, Eight of Eleven increases the Chance of dealing a critical hit by X.</v>
      </c>
      <c r="AB208" s="429" t="b">
        <v>0</v>
      </c>
      <c r="AC208" s="522" t="str">
        <f t="array" ref="AC208">XLOOKUP(LCARS_Off[AbilityID],RawOfficer[AbilityID],RawOfficer[AbilityDescriptionShort])</f>
        <v>+X to Critical Hit Chance against Borg ships</v>
      </c>
      <c r="AD208" s="523"/>
      <c r="AE208" s="524"/>
      <c r="AF208" s="524"/>
      <c r="AG208" s="525" t="str">
        <f t="array" ref="AG208">XLOOKUP(LCARS_Off[AbilityID],RawOfficer[AbilityID],RawOfficer[AbilityChances])</f>
        <v>1.0, 1.0, 1.0</v>
      </c>
      <c r="AH208" s="525" t="str">
        <f t="array" ref="AH208">XLOOKUP(LCARS_Off[AbilityID],RawOfficer[AbilityID],RawOfficer[AbilityValues])</f>
        <v>0.1, 0.05, 0.2</v>
      </c>
      <c r="AI208" s="428" t="b">
        <f t="array" ref="AI208">XLOOKUP(LCARS_Off[AbilityID],RawOfficer[AbilityID],RawOfficer[AbilityHasChance])</f>
        <v>0</v>
      </c>
      <c r="AJ208" s="428" t="b">
        <f t="array" ref="AJ208">XLOOKUP(LCARS_Off[AbilityID],RawOfficer[AbilityID],RawOfficer[AbilityShowPercentage])</f>
        <v>1</v>
      </c>
      <c r="AK208" s="429">
        <f t="array" ref="AK208">XLOOKUP(LCARS_Off[AbilityID],RawOfficer[AbilityID],RawOfficer[OfficerArt])</f>
        <v>112</v>
      </c>
      <c r="AL208" s="430">
        <v>3.537186442E9</v>
      </c>
      <c r="AM208" s="430">
        <f t="array" ref="AM208">XLOOKUP(LCARS_Off[AbilityID],RawOfficer[AbilityID],RawOfficer[Default Order])</f>
        <v>205</v>
      </c>
    </row>
    <row r="209">
      <c r="A209" s="429" t="str">
        <f t="array" ref="A209">LEFT(XLOOKUP(LCARS_Off[AbilityID],RawOfficer[AbilityID],RawOfficer[OfficerRarity]), 1)</f>
        <v>U</v>
      </c>
      <c r="B209" s="429"/>
      <c r="C209" s="514" t="str">
        <f t="array" ref="C209">HYPERLINK("https://stfc.space/officers/" &amp; XLOOKUP(LCARS_Off[AbilityID],RawOfficer[AbilityID],RawOfficer[OfficerId]), XLOOKUP(LCARS_Off[AbilityID],RawOfficer[AbilityID],RawOfficer[OfficerName]))</f>
        <v>EIGHT OF ELEVEN</v>
      </c>
      <c r="D209" s="515" t="str">
        <f t="array" ref="D209">XLOOKUP(LCARS_Off[AbilityID],RawOfficer[AbilityID],RawOfficer[AbilityType])</f>
        <v>OA</v>
      </c>
      <c r="E209" s="516" t="str">
        <f t="array" ref="E209">XLOOKUP(LCARS_Off[AbilityID],RawOfficer[AbilityID],RawOfficer[Tag_PvPinSpace])</f>
        <v>✅</v>
      </c>
      <c r="F209" s="516" t="str">
        <f t="array" ref="F209">XLOOKUP(LCARS_Off[AbilityID],RawOfficer[AbilityID],RawOfficer[Tag_PvPStation])</f>
        <v>✅</v>
      </c>
      <c r="G209" s="516" t="str">
        <f t="array" ref="G209">XLOOKUP(LCARS_Off[AbilityID],RawOfficer[AbilityID],RawOfficer[Tag_NonArmadaHostiles])</f>
        <v>✅</v>
      </c>
      <c r="H209" s="516" t="str">
        <f t="array" ref="H209">XLOOKUP(LCARS_Off[AbilityID],RawOfficer[AbilityID],RawOfficer[Tag_WaveDefense])</f>
        <v>✅</v>
      </c>
      <c r="I209" s="516" t="str">
        <f t="array" ref="I209">XLOOKUP(LCARS_Off[AbilityID],RawOfficer[AbilityID],RawOfficer[Tag_QTrial])</f>
        <v>✅</v>
      </c>
      <c r="J209" s="516" t="str">
        <f t="array" ref="J209">XLOOKUP(LCARS_Off[AbilityID],RawOfficer[AbilityID],RawOfficer[Tag_MissionBosses])</f>
        <v>✅</v>
      </c>
      <c r="K209" s="516" t="str">
        <f t="array" ref="K209">XLOOKUP(LCARS_Off[AbilityID],RawOfficer[AbilityID],RawOfficer[Tag_GroupArmadas])</f>
        <v>✅</v>
      </c>
      <c r="L209" s="516" t="str">
        <f t="array" ref="L209">XLOOKUP(LCARS_Off[AbilityID],RawOfficer[AbilityID],RawOfficer[Tag_SoloArmadas])</f>
        <v>✅</v>
      </c>
      <c r="M209" s="516" t="str">
        <f t="array" ref="M209">XLOOKUP(LCARS_Off[AbilityID],RawOfficer[AbilityID],RawOfficer[Tag_InvadingEntities])</f>
        <v>✅</v>
      </c>
      <c r="N209" s="516" t="str">
        <f t="array" ref="N209">XLOOKUP(LCARS_Off[AbilityID],RawOfficer[AbilityID],RawOfficer[Tag_Assaults])</f>
        <v>✅</v>
      </c>
      <c r="O209" s="516" t="str">
        <f t="array" ref="O209">XLOOKUP(LCARS_Off[AbilityID],RawOfficer[AbilityID],RawOfficer[Tag_OutpostArmadas])</f>
        <v>✅</v>
      </c>
      <c r="P209" s="516" t="str">
        <f t="array" ref="P209">XLOOKUP(LCARS_Off[AbilityID],RawOfficer[AbilityID],RawOfficer[Tag_OutpostRetaliators])</f>
        <v>✅</v>
      </c>
      <c r="Q209" s="517" t="str">
        <f t="array" ref="Q209">XLOOKUP(LCARS_Off[AbilityID],RawOfficer[AbilityID],RawOfficer[Conditional_Reason])</f>
        <v/>
      </c>
      <c r="R209" s="518" t="str">
        <f t="array" ref="R209">XLOOKUP(LCARS_Off[AbilityID],RawOfficer[AbilityID],RawOfficer[Tag_Loot])</f>
        <v>➖</v>
      </c>
      <c r="S209" s="516" t="str">
        <f t="array" ref="S209">XLOOKUP(LCARS_Off[AbilityID],RawOfficer[AbilityID],RawOfficer[Tag_Utility])</f>
        <v>➖</v>
      </c>
      <c r="T209" s="429" t="str">
        <f t="array" ref="T209">XLOOKUP(LCARS_Off[AbilityID],RawOfficer[AbilityID],RawOfficer[OfficerSynergy])</f>
        <v>UNIMATRIX TWELVE</v>
      </c>
      <c r="U209" s="519" t="str">
        <f t="array" ref="U209">XLOOKUP(LCARS_Off[AbilityID],RawOfficer[AbilityID],RawOfficer[AbilityModifier])</f>
        <v>OfficerStatAttack</v>
      </c>
      <c r="V209" s="519" t="str">
        <f t="array" ref="V209">XLOOKUP(LCARS_Off[AbilityID],RawOfficer[AbilityID],RawOfficer[AbilityAttributes])</f>
        <v/>
      </c>
      <c r="W209" s="520" t="str">
        <f t="array" ref="W209">XLOOKUP(LCARS_Off[AbilityID],RawOfficer[AbilityID],RawOfficer[AbilityConditions])</f>
        <v/>
      </c>
      <c r="X209" s="519" t="str">
        <f t="array" ref="X209">XLOOKUP(LCARS_Off[AbilityID],RawOfficer[AbilityID],RawOfficer[AbilityTrigger])</f>
        <v>ShipLaunched</v>
      </c>
      <c r="Y209" s="519" t="str">
        <f t="array" ref="Y209">XLOOKUP(LCARS_Off[AbilityID],RawOfficer[AbilityID],RawOfficer[AbilityTarget])</f>
        <v>SelfAll</v>
      </c>
      <c r="Z209" s="519" t="str">
        <f t="array" ref="Z209">XLOOKUP(LCARS_Off[AbilityID],RawOfficer[AbilityID],RawOfficer[AbilityOperation])</f>
        <v>MultiplyAdd</v>
      </c>
      <c r="AA209" s="521" t="str">
        <f t="array" ref="AA209">XLOOKUP(LCARS_Off[AbilityID],RawOfficer[AbilityID],RawOfficer[AbilityDescription])</f>
        <v>Eight of Eleven increases the Attack of every Officer on the ship by X.</v>
      </c>
      <c r="AB209" s="429" t="b">
        <v>0</v>
      </c>
      <c r="AC209" s="522" t="str">
        <f t="array" ref="AC209">XLOOKUP(LCARS_Off[AbilityID],RawOfficer[AbilityID],RawOfficer[AbilityDescriptionShort])</f>
        <v>+X to the Attack of all Officers on the Ship</v>
      </c>
      <c r="AD209" s="523"/>
      <c r="AE209" s="524"/>
      <c r="AF209" s="524"/>
      <c r="AG209" s="525" t="str">
        <f t="array" ref="AG209">XLOOKUP(LCARS_Off[AbilityID],RawOfficer[AbilityID],RawOfficer[AbilityChances])</f>
        <v>1.0, 1.0, 1.0, 1.0, 1.0</v>
      </c>
      <c r="AH209" s="525" t="str">
        <f t="array" ref="AH209">XLOOKUP(LCARS_Off[AbilityID],RawOfficer[AbilityID],RawOfficer[AbilityValues])</f>
        <v>0.45, 0.55, 0.65, 0.75, 0.85</v>
      </c>
      <c r="AI209" s="428" t="b">
        <f t="array" ref="AI209">XLOOKUP(LCARS_Off[AbilityID],RawOfficer[AbilityID],RawOfficer[AbilityHasChance])</f>
        <v>0</v>
      </c>
      <c r="AJ209" s="428" t="b">
        <f t="array" ref="AJ209">XLOOKUP(LCARS_Off[AbilityID],RawOfficer[AbilityID],RawOfficer[AbilityShowPercentage])</f>
        <v>1</v>
      </c>
      <c r="AK209" s="429">
        <f t="array" ref="AK209">XLOOKUP(LCARS_Off[AbilityID],RawOfficer[AbilityID],RawOfficer[OfficerArt])</f>
        <v>112</v>
      </c>
      <c r="AL209" s="430">
        <v>3.979049942E9</v>
      </c>
      <c r="AM209" s="430">
        <f t="array" ref="AM209">XLOOKUP(LCARS_Off[AbilityID],RawOfficer[AbilityID],RawOfficer[Default Order])</f>
        <v>206</v>
      </c>
    </row>
    <row r="210">
      <c r="A210" s="429" t="str">
        <f t="array" ref="A210">LEFT(XLOOKUP(LCARS_Off[AbilityID],RawOfficer[AbilityID],RawOfficer[OfficerRarity]), 1)</f>
        <v>U</v>
      </c>
      <c r="B210" s="429"/>
      <c r="C210" s="514" t="str">
        <f t="array" ref="C210">HYPERLINK("https://stfc.space/officers/" &amp; XLOOKUP(LCARS_Off[AbilityID],RawOfficer[AbilityID],RawOfficer[OfficerId]), XLOOKUP(LCARS_Off[AbilityID],RawOfficer[AbilityID],RawOfficer[OfficerName]))</f>
        <v>NINE OF ELEVEN</v>
      </c>
      <c r="D210" s="515" t="str">
        <f t="array" ref="D210">XLOOKUP(LCARS_Off[AbilityID],RawOfficer[AbilityID],RawOfficer[AbilityType])</f>
        <v>CM</v>
      </c>
      <c r="E210" s="516" t="str">
        <f t="array" ref="E210">XLOOKUP(LCARS_Off[AbilityID],RawOfficer[AbilityID],RawOfficer[Tag_PvPinSpace])</f>
        <v>➖</v>
      </c>
      <c r="F210" s="516" t="str">
        <f t="array" ref="F210">XLOOKUP(LCARS_Off[AbilityID],RawOfficer[AbilityID],RawOfficer[Tag_PvPStation])</f>
        <v>➖</v>
      </c>
      <c r="G210" s="516" t="str">
        <f t="array" ref="G210">XLOOKUP(LCARS_Off[AbilityID],RawOfficer[AbilityID],RawOfficer[Tag_NonArmadaHostiles])</f>
        <v>✴️</v>
      </c>
      <c r="H210" s="516" t="str">
        <f t="array" ref="H210">XLOOKUP(LCARS_Off[AbilityID],RawOfficer[AbilityID],RawOfficer[Tag_WaveDefense])</f>
        <v>✴️</v>
      </c>
      <c r="I210" s="516" t="str">
        <f t="array" ref="I210">XLOOKUP(LCARS_Off[AbilityID],RawOfficer[AbilityID],RawOfficer[Tag_QTrial])</f>
        <v>✴️</v>
      </c>
      <c r="J210" s="516" t="str">
        <f t="array" ref="J210">XLOOKUP(LCARS_Off[AbilityID],RawOfficer[AbilityID],RawOfficer[Tag_MissionBosses])</f>
        <v>✴️</v>
      </c>
      <c r="K210" s="516" t="str">
        <f t="array" ref="K210">XLOOKUP(LCARS_Off[AbilityID],RawOfficer[AbilityID],RawOfficer[Tag_GroupArmadas])</f>
        <v>✴️</v>
      </c>
      <c r="L210" s="516" t="str">
        <f t="array" ref="L210">XLOOKUP(LCARS_Off[AbilityID],RawOfficer[AbilityID],RawOfficer[Tag_SoloArmadas])</f>
        <v>✴️</v>
      </c>
      <c r="M210" s="516" t="str">
        <f t="array" ref="M210">XLOOKUP(LCARS_Off[AbilityID],RawOfficer[AbilityID],RawOfficer[Tag_InvadingEntities])</f>
        <v>➖</v>
      </c>
      <c r="N210" s="516" t="str">
        <f t="array" ref="N210">XLOOKUP(LCARS_Off[AbilityID],RawOfficer[AbilityID],RawOfficer[Tag_Assaults])</f>
        <v>✴️</v>
      </c>
      <c r="O210" s="516" t="str">
        <f t="array" ref="O210">XLOOKUP(LCARS_Off[AbilityID],RawOfficer[AbilityID],RawOfficer[Tag_OutpostArmadas])</f>
        <v>➖</v>
      </c>
      <c r="P210" s="516" t="str">
        <f t="array" ref="P210">XLOOKUP(LCARS_Off[AbilityID],RawOfficer[AbilityID],RawOfficer[Tag_OutpostRetaliators])</f>
        <v>➖</v>
      </c>
      <c r="Q210" s="517" t="str">
        <f t="array" ref="Q210">XLOOKUP(LCARS_Off[AbilityID],RawOfficer[AbilityID],RawOfficer[Conditional_Reason])</f>
        <v>Borg</v>
      </c>
      <c r="R210" s="518" t="str">
        <f t="array" ref="R210">XLOOKUP(LCARS_Off[AbilityID],RawOfficer[AbilityID],RawOfficer[Tag_Loot])</f>
        <v>➖</v>
      </c>
      <c r="S210" s="516" t="str">
        <f t="array" ref="S210">XLOOKUP(LCARS_Off[AbilityID],RawOfficer[AbilityID],RawOfficer[Tag_Utility])</f>
        <v>➖</v>
      </c>
      <c r="T210" s="429" t="str">
        <f t="array" ref="T210">XLOOKUP(LCARS_Off[AbilityID],RawOfficer[AbilityID],RawOfficer[OfficerSynergy])</f>
        <v>UNIMATRIX TWELVE</v>
      </c>
      <c r="U210" s="519" t="str">
        <f t="array" ref="U210">XLOOKUP(LCARS_Off[AbilityID],RawOfficer[AbilityID],RawOfficer[AbilityModifier])</f>
        <v>CritChance</v>
      </c>
      <c r="V210" s="519" t="str">
        <f t="array" ref="V210">XLOOKUP(LCARS_Off[AbilityID],RawOfficer[AbilityID],RawOfficer[AbilityAttributes])</f>
        <v>faction_id=2943562711</v>
      </c>
      <c r="W210" s="520" t="str">
        <f t="array" ref="W210">XLOOKUP(LCARS_Off[AbilityID],RawOfficer[AbilityID],RawOfficer[AbilityConditions])</f>
        <v>EnemyHullFaction</v>
      </c>
      <c r="X210" s="519" t="str">
        <f t="array" ref="X210">XLOOKUP(LCARS_Off[AbilityID],RawOfficer[AbilityID],RawOfficer[AbilityTrigger])</f>
        <v>CombatStart</v>
      </c>
      <c r="Y210" s="519" t="str">
        <f t="array" ref="Y210">XLOOKUP(LCARS_Off[AbilityID],RawOfficer[AbilityID],RawOfficer[AbilityTarget])</f>
        <v>EnemyShip</v>
      </c>
      <c r="Z210" s="519" t="str">
        <f t="array" ref="Z210">XLOOKUP(LCARS_Off[AbilityID],RawOfficer[AbilityID],RawOfficer[AbilityOperation])</f>
        <v>Sub</v>
      </c>
      <c r="AA210" s="521" t="str">
        <f t="array" ref="AA210">XLOOKUP(LCARS_Off[AbilityID],RawOfficer[AbilityID],RawOfficer[AbilityDescription])</f>
        <v>When fighting a Borg ship, Nine of Eleven decreases the Chance of dealing a critical hit of the opponent by X.</v>
      </c>
      <c r="AB210" s="429" t="b">
        <v>0</v>
      </c>
      <c r="AC210" s="522" t="str">
        <f t="array" ref="AC210">XLOOKUP(LCARS_Off[AbilityID],RawOfficer[AbilityID],RawOfficer[AbilityDescriptionShort])</f>
        <v>-X to opponent Borg Critical Hit Chance</v>
      </c>
      <c r="AD210" s="523"/>
      <c r="AE210" s="524"/>
      <c r="AF210" s="524"/>
      <c r="AG210" s="525" t="str">
        <f t="array" ref="AG210">XLOOKUP(LCARS_Off[AbilityID],RawOfficer[AbilityID],RawOfficer[AbilityChances])</f>
        <v>1.0, 1.0, 1.0</v>
      </c>
      <c r="AH210" s="525" t="str">
        <f t="array" ref="AH210">XLOOKUP(LCARS_Off[AbilityID],RawOfficer[AbilityID],RawOfficer[AbilityValues])</f>
        <v>0.1, 0.05, 0.1</v>
      </c>
      <c r="AI210" s="428" t="b">
        <f t="array" ref="AI210">XLOOKUP(LCARS_Off[AbilityID],RawOfficer[AbilityID],RawOfficer[AbilityHasChance])</f>
        <v>0</v>
      </c>
      <c r="AJ210" s="428" t="b">
        <f t="array" ref="AJ210">XLOOKUP(LCARS_Off[AbilityID],RawOfficer[AbilityID],RawOfficer[AbilityShowPercentage])</f>
        <v>1</v>
      </c>
      <c r="AK210" s="429">
        <f t="array" ref="AK210">XLOOKUP(LCARS_Off[AbilityID],RawOfficer[AbilityID],RawOfficer[OfficerArt])</f>
        <v>113</v>
      </c>
      <c r="AL210" s="430">
        <v>9.66801625E8</v>
      </c>
      <c r="AM210" s="430">
        <f t="array" ref="AM210">XLOOKUP(LCARS_Off[AbilityID],RawOfficer[AbilityID],RawOfficer[Default Order])</f>
        <v>207</v>
      </c>
    </row>
    <row r="211">
      <c r="A211" s="429" t="str">
        <f t="array" ref="A211">LEFT(XLOOKUP(LCARS_Off[AbilityID],RawOfficer[AbilityID],RawOfficer[OfficerRarity]), 1)</f>
        <v>U</v>
      </c>
      <c r="B211" s="429"/>
      <c r="C211" s="514" t="str">
        <f t="array" ref="C211">HYPERLINK("https://stfc.space/officers/" &amp; XLOOKUP(LCARS_Off[AbilityID],RawOfficer[AbilityID],RawOfficer[OfficerId]), XLOOKUP(LCARS_Off[AbilityID],RawOfficer[AbilityID],RawOfficer[OfficerName]))</f>
        <v>NINE OF ELEVEN</v>
      </c>
      <c r="D211" s="515" t="str">
        <f t="array" ref="D211">XLOOKUP(LCARS_Off[AbilityID],RawOfficer[AbilityID],RawOfficer[AbilityType])</f>
        <v>OA</v>
      </c>
      <c r="E211" s="516" t="str">
        <f t="array" ref="E211">XLOOKUP(LCARS_Off[AbilityID],RawOfficer[AbilityID],RawOfficer[Tag_PvPinSpace])</f>
        <v>✅</v>
      </c>
      <c r="F211" s="516" t="str">
        <f t="array" ref="F211">XLOOKUP(LCARS_Off[AbilityID],RawOfficer[AbilityID],RawOfficer[Tag_PvPStation])</f>
        <v>✅</v>
      </c>
      <c r="G211" s="516" t="str">
        <f t="array" ref="G211">XLOOKUP(LCARS_Off[AbilityID],RawOfficer[AbilityID],RawOfficer[Tag_NonArmadaHostiles])</f>
        <v>✅</v>
      </c>
      <c r="H211" s="516" t="str">
        <f t="array" ref="H211">XLOOKUP(LCARS_Off[AbilityID],RawOfficer[AbilityID],RawOfficer[Tag_WaveDefense])</f>
        <v>✅</v>
      </c>
      <c r="I211" s="516" t="str">
        <f t="array" ref="I211">XLOOKUP(LCARS_Off[AbilityID],RawOfficer[AbilityID],RawOfficer[Tag_QTrial])</f>
        <v>✅</v>
      </c>
      <c r="J211" s="516" t="str">
        <f t="array" ref="J211">XLOOKUP(LCARS_Off[AbilityID],RawOfficer[AbilityID],RawOfficer[Tag_MissionBosses])</f>
        <v>✅</v>
      </c>
      <c r="K211" s="516" t="str">
        <f t="array" ref="K211">XLOOKUP(LCARS_Off[AbilityID],RawOfficer[AbilityID],RawOfficer[Tag_GroupArmadas])</f>
        <v>✅</v>
      </c>
      <c r="L211" s="516" t="str">
        <f t="array" ref="L211">XLOOKUP(LCARS_Off[AbilityID],RawOfficer[AbilityID],RawOfficer[Tag_SoloArmadas])</f>
        <v>✅</v>
      </c>
      <c r="M211" s="516" t="str">
        <f t="array" ref="M211">XLOOKUP(LCARS_Off[AbilityID],RawOfficer[AbilityID],RawOfficer[Tag_InvadingEntities])</f>
        <v>✅</v>
      </c>
      <c r="N211" s="516" t="str">
        <f t="array" ref="N211">XLOOKUP(LCARS_Off[AbilityID],RawOfficer[AbilityID],RawOfficer[Tag_Assaults])</f>
        <v>✅</v>
      </c>
      <c r="O211" s="516" t="str">
        <f t="array" ref="O211">XLOOKUP(LCARS_Off[AbilityID],RawOfficer[AbilityID],RawOfficer[Tag_OutpostArmadas])</f>
        <v>✅</v>
      </c>
      <c r="P211" s="516" t="str">
        <f t="array" ref="P211">XLOOKUP(LCARS_Off[AbilityID],RawOfficer[AbilityID],RawOfficer[Tag_OutpostRetaliators])</f>
        <v>✅</v>
      </c>
      <c r="Q211" s="517" t="str">
        <f t="array" ref="Q211">XLOOKUP(LCARS_Off[AbilityID],RawOfficer[AbilityID],RawOfficer[Conditional_Reason])</f>
        <v/>
      </c>
      <c r="R211" s="518" t="str">
        <f t="array" ref="R211">XLOOKUP(LCARS_Off[AbilityID],RawOfficer[AbilityID],RawOfficer[Tag_Loot])</f>
        <v>➖</v>
      </c>
      <c r="S211" s="516" t="str">
        <f t="array" ref="S211">XLOOKUP(LCARS_Off[AbilityID],RawOfficer[AbilityID],RawOfficer[Tag_Utility])</f>
        <v>➖</v>
      </c>
      <c r="T211" s="429" t="str">
        <f t="array" ref="T211">XLOOKUP(LCARS_Off[AbilityID],RawOfficer[AbilityID],RawOfficer[OfficerSynergy])</f>
        <v>UNIMATRIX TWELVE</v>
      </c>
      <c r="U211" s="519" t="str">
        <f t="array" ref="U211">XLOOKUP(LCARS_Off[AbilityID],RawOfficer[AbilityID],RawOfficer[AbilityModifier])</f>
        <v>OfficerStatDefense</v>
      </c>
      <c r="V211" s="519" t="str">
        <f t="array" ref="V211">XLOOKUP(LCARS_Off[AbilityID],RawOfficer[AbilityID],RawOfficer[AbilityAttributes])</f>
        <v/>
      </c>
      <c r="W211" s="520" t="str">
        <f t="array" ref="W211">XLOOKUP(LCARS_Off[AbilityID],RawOfficer[AbilityID],RawOfficer[AbilityConditions])</f>
        <v/>
      </c>
      <c r="X211" s="519" t="str">
        <f t="array" ref="X211">XLOOKUP(LCARS_Off[AbilityID],RawOfficer[AbilityID],RawOfficer[AbilityTrigger])</f>
        <v>ShipLaunched</v>
      </c>
      <c r="Y211" s="519" t="str">
        <f t="array" ref="Y211">XLOOKUP(LCARS_Off[AbilityID],RawOfficer[AbilityID],RawOfficer[AbilityTarget])</f>
        <v>SelfAll</v>
      </c>
      <c r="Z211" s="519" t="str">
        <f t="array" ref="Z211">XLOOKUP(LCARS_Off[AbilityID],RawOfficer[AbilityID],RawOfficer[AbilityOperation])</f>
        <v>MultiplyAdd</v>
      </c>
      <c r="AA211" s="521" t="str">
        <f t="array" ref="AA211">XLOOKUP(LCARS_Off[AbilityID],RawOfficer[AbilityID],RawOfficer[AbilityDescription])</f>
        <v>Nine of Eleven increases the Defense of every Officer on the ship by X.</v>
      </c>
      <c r="AB211" s="429" t="b">
        <v>0</v>
      </c>
      <c r="AC211" s="522" t="str">
        <f t="array" ref="AC211">XLOOKUP(LCARS_Off[AbilityID],RawOfficer[AbilityID],RawOfficer[AbilityDescriptionShort])</f>
        <v>+X to the Defense of all Officers on the Ship</v>
      </c>
      <c r="AD211" s="523"/>
      <c r="AE211" s="524"/>
      <c r="AF211" s="524"/>
      <c r="AG211" s="525" t="str">
        <f t="array" ref="AG211">XLOOKUP(LCARS_Off[AbilityID],RawOfficer[AbilityID],RawOfficer[AbilityChances])</f>
        <v>1.0, 1.0, 1.0, 1.0, 1.0</v>
      </c>
      <c r="AH211" s="525" t="str">
        <f t="array" ref="AH211">XLOOKUP(LCARS_Off[AbilityID],RawOfficer[AbilityID],RawOfficer[AbilityValues])</f>
        <v>0.45, 0.55, 0.65, 0.75, 0.85</v>
      </c>
      <c r="AI211" s="428" t="b">
        <f t="array" ref="AI211">XLOOKUP(LCARS_Off[AbilityID],RawOfficer[AbilityID],RawOfficer[AbilityHasChance])</f>
        <v>0</v>
      </c>
      <c r="AJ211" s="428" t="b">
        <f t="array" ref="AJ211">XLOOKUP(LCARS_Off[AbilityID],RawOfficer[AbilityID],RawOfficer[AbilityShowPercentage])</f>
        <v>1</v>
      </c>
      <c r="AK211" s="429">
        <f t="array" ref="AK211">XLOOKUP(LCARS_Off[AbilityID],RawOfficer[AbilityID],RawOfficer[OfficerArt])</f>
        <v>113</v>
      </c>
      <c r="AL211" s="430">
        <v>1.49413627E8</v>
      </c>
      <c r="AM211" s="430">
        <f t="array" ref="AM211">XLOOKUP(LCARS_Off[AbilityID],RawOfficer[AbilityID],RawOfficer[Default Order])</f>
        <v>208</v>
      </c>
    </row>
    <row r="212">
      <c r="A212" s="429" t="str">
        <f t="array" ref="A212">LEFT(XLOOKUP(LCARS_Off[AbilityID],RawOfficer[AbilityID],RawOfficer[OfficerRarity]), 1)</f>
        <v>E</v>
      </c>
      <c r="B212" s="429"/>
      <c r="C212" s="514" t="str">
        <f t="array" ref="C212">HYPERLINK("https://stfc.space/officers/" &amp; XLOOKUP(LCARS_Off[AbilityID],RawOfficer[AbilityID],RawOfficer[OfficerId]), XLOOKUP(LCARS_Off[AbilityID],RawOfficer[AbilityID],RawOfficer[OfficerName]))</f>
        <v>TEN OF ELEVEN</v>
      </c>
      <c r="D212" s="515" t="str">
        <f t="array" ref="D212">XLOOKUP(LCARS_Off[AbilityID],RawOfficer[AbilityID],RawOfficer[AbilityType])</f>
        <v>CM</v>
      </c>
      <c r="E212" s="516" t="str">
        <f t="array" ref="E212">XLOOKUP(LCARS_Off[AbilityID],RawOfficer[AbilityID],RawOfficer[Tag_PvPinSpace])</f>
        <v>➖</v>
      </c>
      <c r="F212" s="516" t="str">
        <f t="array" ref="F212">XLOOKUP(LCARS_Off[AbilityID],RawOfficer[AbilityID],RawOfficer[Tag_PvPStation])</f>
        <v>➖</v>
      </c>
      <c r="G212" s="516" t="str">
        <f t="array" ref="G212">XLOOKUP(LCARS_Off[AbilityID],RawOfficer[AbilityID],RawOfficer[Tag_NonArmadaHostiles])</f>
        <v>➖</v>
      </c>
      <c r="H212" s="516" t="str">
        <f t="array" ref="H212">XLOOKUP(LCARS_Off[AbilityID],RawOfficer[AbilityID],RawOfficer[Tag_WaveDefense])</f>
        <v>➖</v>
      </c>
      <c r="I212" s="516" t="str">
        <f t="array" ref="I212">XLOOKUP(LCARS_Off[AbilityID],RawOfficer[AbilityID],RawOfficer[Tag_QTrial])</f>
        <v>➖</v>
      </c>
      <c r="J212" s="516" t="str">
        <f t="array" ref="J212">XLOOKUP(LCARS_Off[AbilityID],RawOfficer[AbilityID],RawOfficer[Tag_MissionBosses])</f>
        <v>➖</v>
      </c>
      <c r="K212" s="516" t="str">
        <f t="array" ref="K212">XLOOKUP(LCARS_Off[AbilityID],RawOfficer[AbilityID],RawOfficer[Tag_GroupArmadas])</f>
        <v>➖</v>
      </c>
      <c r="L212" s="516" t="str">
        <f t="array" ref="L212">XLOOKUP(LCARS_Off[AbilityID],RawOfficer[AbilityID],RawOfficer[Tag_SoloArmadas])</f>
        <v>➖</v>
      </c>
      <c r="M212" s="516" t="str">
        <f t="array" ref="M212">XLOOKUP(LCARS_Off[AbilityID],RawOfficer[AbilityID],RawOfficer[Tag_InvadingEntities])</f>
        <v>➖</v>
      </c>
      <c r="N212" s="516" t="str">
        <f t="array" ref="N212">XLOOKUP(LCARS_Off[AbilityID],RawOfficer[AbilityID],RawOfficer[Tag_Assaults])</f>
        <v>➖</v>
      </c>
      <c r="O212" s="516" t="str">
        <f t="array" ref="O212">XLOOKUP(LCARS_Off[AbilityID],RawOfficer[AbilityID],RawOfficer[Tag_OutpostArmadas])</f>
        <v>➖</v>
      </c>
      <c r="P212" s="516" t="str">
        <f t="array" ref="P212">XLOOKUP(LCARS_Off[AbilityID],RawOfficer[AbilityID],RawOfficer[Tag_OutpostRetaliators])</f>
        <v>➖</v>
      </c>
      <c r="Q212" s="517" t="str">
        <f t="array" ref="Q212">XLOOKUP(LCARS_Off[AbilityID],RawOfficer[AbilityID],RawOfficer[Conditional_Reason])</f>
        <v/>
      </c>
      <c r="R212" s="518" t="str">
        <f t="array" ref="R212">XLOOKUP(LCARS_Off[AbilityID],RawOfficer[AbilityID],RawOfficer[Tag_Loot])</f>
        <v>➖</v>
      </c>
      <c r="S212" s="516" t="str">
        <f t="array" ref="S212">XLOOKUP(LCARS_Off[AbilityID],RawOfficer[AbilityID],RawOfficer[Tag_Utility])</f>
        <v>✅</v>
      </c>
      <c r="T212" s="429" t="str">
        <f t="array" ref="T212">XLOOKUP(LCARS_Off[AbilityID],RawOfficer[AbilityID],RawOfficer[OfficerSynergy])</f>
        <v>UNIMATRIX TWELVE</v>
      </c>
      <c r="U212" s="519" t="str">
        <f t="array" ref="U212">XLOOKUP(LCARS_Off[AbilityID],RawOfficer[AbilityID],RawOfficer[AbilityModifier])</f>
        <v>MiningRate</v>
      </c>
      <c r="V212" s="519" t="str">
        <f t="array" ref="V212">XLOOKUP(LCARS_Off[AbilityID],RawOfficer[AbilityID],RawOfficer[AbilityAttributes])</f>
        <v>resources=[2325683920, 743985951, 2614028847, 999782265, 580616659, 3043859351]</v>
      </c>
      <c r="W212" s="520" t="str">
        <f t="array" ref="W212">XLOOKUP(LCARS_Off[AbilityID],RawOfficer[AbilityID],RawOfficer[AbilityConditions])</f>
        <v/>
      </c>
      <c r="X212" s="519" t="str">
        <f t="array" ref="X212">XLOOKUP(LCARS_Off[AbilityID],RawOfficer[AbilityID],RawOfficer[AbilityTrigger])</f>
        <v>ShipLaunched</v>
      </c>
      <c r="Y212" s="519" t="str">
        <f t="array" ref="Y212">XLOOKUP(LCARS_Off[AbilityID],RawOfficer[AbilityID],RawOfficer[AbilityTarget])</f>
        <v>SelfShip</v>
      </c>
      <c r="Z212" s="519" t="str">
        <f t="array" ref="Z212">XLOOKUP(LCARS_Off[AbilityID],RawOfficer[AbilityID],RawOfficer[AbilityOperation])</f>
        <v>MultiplyAdd</v>
      </c>
      <c r="AA212" s="521" t="str">
        <f t="array" ref="AA212">XLOOKUP(LCARS_Off[AbilityID],RawOfficer[AbilityID],RawOfficer[AbilityDescription])</f>
        <v>Ten of Eleven increases the speed of Parsteel, Tritanium and Dilithium Mining by X.</v>
      </c>
      <c r="AB212" s="429" t="b">
        <v>0</v>
      </c>
      <c r="AC212" s="522" t="str">
        <f t="array" ref="AC212">XLOOKUP(LCARS_Off[AbilityID],RawOfficer[AbilityID],RawOfficer[AbilityDescriptionShort])</f>
        <v>+X to Parsteel, Tritanium and Dilithium Mining Speed</v>
      </c>
      <c r="AD212" s="523"/>
      <c r="AE212" s="524"/>
      <c r="AF212" s="524"/>
      <c r="AG212" s="525" t="str">
        <f t="array" ref="AG212">XLOOKUP(LCARS_Off[AbilityID],RawOfficer[AbilityID],RawOfficer[AbilityChances])</f>
        <v>1.0, 1.0, 1.0</v>
      </c>
      <c r="AH212" s="525" t="str">
        <f t="array" ref="AH212">XLOOKUP(LCARS_Off[AbilityID],RawOfficer[AbilityID],RawOfficer[AbilityValues])</f>
        <v>0.5, 0.25, 0.75</v>
      </c>
      <c r="AI212" s="428" t="b">
        <f t="array" ref="AI212">XLOOKUP(LCARS_Off[AbilityID],RawOfficer[AbilityID],RawOfficer[AbilityHasChance])</f>
        <v>0</v>
      </c>
      <c r="AJ212" s="428" t="b">
        <f t="array" ref="AJ212">XLOOKUP(LCARS_Off[AbilityID],RawOfficer[AbilityID],RawOfficer[AbilityShowPercentage])</f>
        <v>1</v>
      </c>
      <c r="AK212" s="429">
        <f t="array" ref="AK212">XLOOKUP(LCARS_Off[AbilityID],RawOfficer[AbilityID],RawOfficer[OfficerArt])</f>
        <v>115</v>
      </c>
      <c r="AL212" s="430">
        <v>2.859510273E9</v>
      </c>
      <c r="AM212" s="430">
        <f t="array" ref="AM212">XLOOKUP(LCARS_Off[AbilityID],RawOfficer[AbilityID],RawOfficer[Default Order])</f>
        <v>209</v>
      </c>
    </row>
    <row r="213">
      <c r="A213" s="429" t="str">
        <f t="array" ref="A213">LEFT(XLOOKUP(LCARS_Off[AbilityID],RawOfficer[AbilityID],RawOfficer[OfficerRarity]), 1)</f>
        <v>E</v>
      </c>
      <c r="B213" s="429"/>
      <c r="C213" s="514" t="str">
        <f t="array" ref="C213">HYPERLINK("https://stfc.space/officers/" &amp; XLOOKUP(LCARS_Off[AbilityID],RawOfficer[AbilityID],RawOfficer[OfficerId]), XLOOKUP(LCARS_Off[AbilityID],RawOfficer[AbilityID],RawOfficer[OfficerName]))</f>
        <v>TEN OF ELEVEN</v>
      </c>
      <c r="D213" s="515" t="str">
        <f t="array" ref="D213">XLOOKUP(LCARS_Off[AbilityID],RawOfficer[AbilityID],RawOfficer[AbilityType])</f>
        <v>OA</v>
      </c>
      <c r="E213" s="516" t="str">
        <f t="array" ref="E213">XLOOKUP(LCARS_Off[AbilityID],RawOfficer[AbilityID],RawOfficer[Tag_PvPinSpace])</f>
        <v>➖</v>
      </c>
      <c r="F213" s="516" t="str">
        <f t="array" ref="F213">XLOOKUP(LCARS_Off[AbilityID],RawOfficer[AbilityID],RawOfficer[Tag_PvPStation])</f>
        <v>➖</v>
      </c>
      <c r="G213" s="516" t="str">
        <f t="array" ref="G213">XLOOKUP(LCARS_Off[AbilityID],RawOfficer[AbilityID],RawOfficer[Tag_NonArmadaHostiles])</f>
        <v>➖</v>
      </c>
      <c r="H213" s="516" t="str">
        <f t="array" ref="H213">XLOOKUP(LCARS_Off[AbilityID],RawOfficer[AbilityID],RawOfficer[Tag_WaveDefense])</f>
        <v>➖</v>
      </c>
      <c r="I213" s="516" t="str">
        <f t="array" ref="I213">XLOOKUP(LCARS_Off[AbilityID],RawOfficer[AbilityID],RawOfficer[Tag_QTrial])</f>
        <v>➖</v>
      </c>
      <c r="J213" s="516" t="str">
        <f t="array" ref="J213">XLOOKUP(LCARS_Off[AbilityID],RawOfficer[AbilityID],RawOfficer[Tag_MissionBosses])</f>
        <v>➖</v>
      </c>
      <c r="K213" s="516" t="str">
        <f t="array" ref="K213">XLOOKUP(LCARS_Off[AbilityID],RawOfficer[AbilityID],RawOfficer[Tag_GroupArmadas])</f>
        <v>➖</v>
      </c>
      <c r="L213" s="516" t="str">
        <f t="array" ref="L213">XLOOKUP(LCARS_Off[AbilityID],RawOfficer[AbilityID],RawOfficer[Tag_SoloArmadas])</f>
        <v>➖</v>
      </c>
      <c r="M213" s="516" t="str">
        <f t="array" ref="M213">XLOOKUP(LCARS_Off[AbilityID],RawOfficer[AbilityID],RawOfficer[Tag_InvadingEntities])</f>
        <v>➖</v>
      </c>
      <c r="N213" s="516" t="str">
        <f t="array" ref="N213">XLOOKUP(LCARS_Off[AbilityID],RawOfficer[AbilityID],RawOfficer[Tag_Assaults])</f>
        <v>➖</v>
      </c>
      <c r="O213" s="516" t="str">
        <f t="array" ref="O213">XLOOKUP(LCARS_Off[AbilityID],RawOfficer[AbilityID],RawOfficer[Tag_OutpostArmadas])</f>
        <v>➖</v>
      </c>
      <c r="P213" s="516" t="str">
        <f t="array" ref="P213">XLOOKUP(LCARS_Off[AbilityID],RawOfficer[AbilityID],RawOfficer[Tag_OutpostRetaliators])</f>
        <v>➖</v>
      </c>
      <c r="Q213" s="517" t="str">
        <f t="array" ref="Q213">XLOOKUP(LCARS_Off[AbilityID],RawOfficer[AbilityID],RawOfficer[Conditional_Reason])</f>
        <v/>
      </c>
      <c r="R213" s="518" t="str">
        <f t="array" ref="R213">XLOOKUP(LCARS_Off[AbilityID],RawOfficer[AbilityID],RawOfficer[Tag_Loot])</f>
        <v>➖</v>
      </c>
      <c r="S213" s="516" t="str">
        <f t="array" ref="S213">XLOOKUP(LCARS_Off[AbilityID],RawOfficer[AbilityID],RawOfficer[Tag_Utility])</f>
        <v>✅</v>
      </c>
      <c r="T213" s="429" t="str">
        <f t="array" ref="T213">XLOOKUP(LCARS_Off[AbilityID],RawOfficer[AbilityID],RawOfficer[OfficerSynergy])</f>
        <v>UNIMATRIX TWELVE</v>
      </c>
      <c r="U213" s="519" t="str">
        <f t="array" ref="U213">XLOOKUP(LCARS_Off[AbilityID],RawOfficer[AbilityID],RawOfficer[AbilityModifier])</f>
        <v>MiningRate</v>
      </c>
      <c r="V213" s="519" t="str">
        <f t="array" ref="V213">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213" s="520" t="str">
        <f t="array" ref="W213">XLOOKUP(LCARS_Off[AbilityID],RawOfficer[AbilityID],RawOfficer[AbilityConditions])</f>
        <v/>
      </c>
      <c r="X213" s="519" t="str">
        <f t="array" ref="X213">XLOOKUP(LCARS_Off[AbilityID],RawOfficer[AbilityID],RawOfficer[AbilityTrigger])</f>
        <v>ShipLaunched</v>
      </c>
      <c r="Y213" s="519" t="str">
        <f t="array" ref="Y213">XLOOKUP(LCARS_Off[AbilityID],RawOfficer[AbilityID],RawOfficer[AbilityTarget])</f>
        <v>SelfShip</v>
      </c>
      <c r="Z213" s="519" t="str">
        <f t="array" ref="Z213">XLOOKUP(LCARS_Off[AbilityID],RawOfficer[AbilityID],RawOfficer[AbilityOperation])</f>
        <v>MultiplyAdd</v>
      </c>
      <c r="AA213" s="521" t="str">
        <f t="array" ref="AA213">XLOOKUP(LCARS_Off[AbilityID],RawOfficer[AbilityID],RawOfficer[AbilityDescription])</f>
        <v>Ten of Eleven increases the Mining Speed of the ship by X.</v>
      </c>
      <c r="AB213" s="429" t="b">
        <v>0</v>
      </c>
      <c r="AC213" s="522" t="str">
        <f t="array" ref="AC213">XLOOKUP(LCARS_Off[AbilityID],RawOfficer[AbilityID],RawOfficer[AbilityDescriptionShort])</f>
        <v>+X to Mining Speed</v>
      </c>
      <c r="AD213" s="523"/>
      <c r="AE213" s="524"/>
      <c r="AF213" s="524"/>
      <c r="AG213" s="525" t="str">
        <f t="array" ref="AG213">XLOOKUP(LCARS_Off[AbilityID],RawOfficer[AbilityID],RawOfficer[AbilityChances])</f>
        <v>1.0, 1.0, 1.0, 1.0, 1.0</v>
      </c>
      <c r="AH213" s="525" t="str">
        <f t="array" ref="AH213">XLOOKUP(LCARS_Off[AbilityID],RawOfficer[AbilityID],RawOfficer[AbilityValues])</f>
        <v>0.8, 1.0, 1.2, 1.4, 1.6</v>
      </c>
      <c r="AI213" s="428" t="b">
        <f t="array" ref="AI213">XLOOKUP(LCARS_Off[AbilityID],RawOfficer[AbilityID],RawOfficer[AbilityHasChance])</f>
        <v>0</v>
      </c>
      <c r="AJ213" s="428" t="b">
        <f t="array" ref="AJ213">XLOOKUP(LCARS_Off[AbilityID],RawOfficer[AbilityID],RawOfficer[AbilityShowPercentage])</f>
        <v>1</v>
      </c>
      <c r="AK213" s="429">
        <f t="array" ref="AK213">XLOOKUP(LCARS_Off[AbilityID],RawOfficer[AbilityID],RawOfficer[OfficerArt])</f>
        <v>115</v>
      </c>
      <c r="AL213" s="430">
        <v>3.585546924E9</v>
      </c>
      <c r="AM213" s="430">
        <f t="array" ref="AM213">XLOOKUP(LCARS_Off[AbilityID],RawOfficer[AbilityID],RawOfficer[Default Order])</f>
        <v>210</v>
      </c>
    </row>
    <row r="214">
      <c r="A214" s="429" t="str">
        <f t="array" ref="A214">LEFT(XLOOKUP(LCARS_Off[AbilityID],RawOfficer[AbilityID],RawOfficer[OfficerRarity]), 1)</f>
        <v>U</v>
      </c>
      <c r="B214" s="429"/>
      <c r="C214" s="514" t="str">
        <f t="array" ref="C214">HYPERLINK("https://stfc.space/officers/" &amp; XLOOKUP(LCARS_Off[AbilityID],RawOfficer[AbilityID],RawOfficer[OfficerId]), XLOOKUP(LCARS_Off[AbilityID],RawOfficer[AbilityID],RawOfficer[OfficerName]))</f>
        <v>ORIGINS BURNHAM</v>
      </c>
      <c r="D214" s="515" t="str">
        <f t="array" ref="D214">XLOOKUP(LCARS_Off[AbilityID],RawOfficer[AbilityID],RawOfficer[AbilityType])</f>
        <v>CM</v>
      </c>
      <c r="E214" s="516" t="str">
        <f t="array" ref="E214">XLOOKUP(LCARS_Off[AbilityID],RawOfficer[AbilityID],RawOfficer[Tag_PvPinSpace])</f>
        <v>✅</v>
      </c>
      <c r="F214" s="516" t="str">
        <f t="array" ref="F214">XLOOKUP(LCARS_Off[AbilityID],RawOfficer[AbilityID],RawOfficer[Tag_PvPStation])</f>
        <v>✅</v>
      </c>
      <c r="G214" s="516" t="str">
        <f t="array" ref="G214">XLOOKUP(LCARS_Off[AbilityID],RawOfficer[AbilityID],RawOfficer[Tag_NonArmadaHostiles])</f>
        <v>✅</v>
      </c>
      <c r="H214" s="516" t="str">
        <f t="array" ref="H214">XLOOKUP(LCARS_Off[AbilityID],RawOfficer[AbilityID],RawOfficer[Tag_WaveDefense])</f>
        <v>✅</v>
      </c>
      <c r="I214" s="516" t="str">
        <f t="array" ref="I214">XLOOKUP(LCARS_Off[AbilityID],RawOfficer[AbilityID],RawOfficer[Tag_QTrial])</f>
        <v>✅</v>
      </c>
      <c r="J214" s="516" t="str">
        <f t="array" ref="J214">XLOOKUP(LCARS_Off[AbilityID],RawOfficer[AbilityID],RawOfficer[Tag_MissionBosses])</f>
        <v>✅</v>
      </c>
      <c r="K214" s="516" t="str">
        <f t="array" ref="K214">XLOOKUP(LCARS_Off[AbilityID],RawOfficer[AbilityID],RawOfficer[Tag_GroupArmadas])</f>
        <v>✅</v>
      </c>
      <c r="L214" s="516" t="str">
        <f t="array" ref="L214">XLOOKUP(LCARS_Off[AbilityID],RawOfficer[AbilityID],RawOfficer[Tag_SoloArmadas])</f>
        <v>✅</v>
      </c>
      <c r="M214" s="516" t="str">
        <f t="array" ref="M214">XLOOKUP(LCARS_Off[AbilityID],RawOfficer[AbilityID],RawOfficer[Tag_InvadingEntities])</f>
        <v>✅</v>
      </c>
      <c r="N214" s="516" t="str">
        <f t="array" ref="N214">XLOOKUP(LCARS_Off[AbilityID],RawOfficer[AbilityID],RawOfficer[Tag_Assaults])</f>
        <v>✅</v>
      </c>
      <c r="O214" s="516" t="str">
        <f t="array" ref="O214">XLOOKUP(LCARS_Off[AbilityID],RawOfficer[AbilityID],RawOfficer[Tag_OutpostArmadas])</f>
        <v>✅</v>
      </c>
      <c r="P214" s="516" t="str">
        <f t="array" ref="P214">XLOOKUP(LCARS_Off[AbilityID],RawOfficer[AbilityID],RawOfficer[Tag_OutpostRetaliators])</f>
        <v>✅</v>
      </c>
      <c r="Q214" s="517" t="str">
        <f t="array" ref="Q214">XLOOKUP(LCARS_Off[AbilityID],RawOfficer[AbilityID],RawOfficer[Conditional_Reason])</f>
        <v/>
      </c>
      <c r="R214" s="518" t="str">
        <f t="array" ref="R214">XLOOKUP(LCARS_Off[AbilityID],RawOfficer[AbilityID],RawOfficer[Tag_Loot])</f>
        <v>➖</v>
      </c>
      <c r="S214" s="516" t="str">
        <f t="array" ref="S214">XLOOKUP(LCARS_Off[AbilityID],RawOfficer[AbilityID],RawOfficer[Tag_Utility])</f>
        <v>➖</v>
      </c>
      <c r="T214" s="429" t="str">
        <f t="array" ref="T214">XLOOKUP(LCARS_Off[AbilityID],RawOfficer[AbilityID],RawOfficer[OfficerSynergy])</f>
        <v>DISCOVERY ORIGINS</v>
      </c>
      <c r="U214" s="519" t="str">
        <f t="array" ref="U214">XLOOKUP(LCARS_Off[AbilityID],RawOfficer[AbilityID],RawOfficer[AbilityModifier])</f>
        <v>OfficerStatAttack</v>
      </c>
      <c r="V214" s="519" t="str">
        <f t="array" ref="V214">XLOOKUP(LCARS_Off[AbilityID],RawOfficer[AbilityID],RawOfficer[AbilityAttributes])</f>
        <v/>
      </c>
      <c r="W214" s="520" t="str">
        <f t="array" ref="W214">XLOOKUP(LCARS_Off[AbilityID],RawOfficer[AbilityID],RawOfficer[AbilityConditions])</f>
        <v/>
      </c>
      <c r="X214" s="519" t="str">
        <f t="array" ref="X214">XLOOKUP(LCARS_Off[AbilityID],RawOfficer[AbilityID],RawOfficer[AbilityTrigger])</f>
        <v>ShipLaunched</v>
      </c>
      <c r="Y214" s="519" t="str">
        <f t="array" ref="Y214">XLOOKUP(LCARS_Off[AbilityID],RawOfficer[AbilityID],RawOfficer[AbilityTarget])</f>
        <v>SelfAll</v>
      </c>
      <c r="Z214" s="519" t="str">
        <f t="array" ref="Z214">XLOOKUP(LCARS_Off[AbilityID],RawOfficer[AbilityID],RawOfficer[AbilityOperation])</f>
        <v>Add</v>
      </c>
      <c r="AA214" s="521" t="str">
        <f t="array" ref="AA214">XLOOKUP(LCARS_Off[AbilityID],RawOfficer[AbilityID],RawOfficer[AbilityDescription])</f>
        <v>Origins Burnham increases the Attack of all the Officers on the ship by X.</v>
      </c>
      <c r="AB214" s="429" t="b">
        <v>0</v>
      </c>
      <c r="AC214" s="522" t="str">
        <f t="array" ref="AC214">XLOOKUP(LCARS_Off[AbilityID],RawOfficer[AbilityID],RawOfficer[AbilityDescriptionShort])</f>
        <v>+X to all Officer Attack</v>
      </c>
      <c r="AD214" s="523"/>
      <c r="AE214" s="524"/>
      <c r="AF214" s="524"/>
      <c r="AG214" s="525" t="str">
        <f t="array" ref="AG214">XLOOKUP(LCARS_Off[AbilityID],RawOfficer[AbilityID],RawOfficer[AbilityChances])</f>
        <v>1.0, 1.0, 1.0</v>
      </c>
      <c r="AH214" s="525" t="str">
        <f t="array" ref="AH214">XLOOKUP(LCARS_Off[AbilityID],RawOfficer[AbilityID],RawOfficer[AbilityValues])</f>
        <v>15.0, 2.0, 5.0</v>
      </c>
      <c r="AI214" s="428" t="b">
        <f t="array" ref="AI214">XLOOKUP(LCARS_Off[AbilityID],RawOfficer[AbilityID],RawOfficer[AbilityHasChance])</f>
        <v>0</v>
      </c>
      <c r="AJ214" s="428" t="b">
        <f t="array" ref="AJ214">XLOOKUP(LCARS_Off[AbilityID],RawOfficer[AbilityID],RawOfficer[AbilityShowPercentage])</f>
        <v>0</v>
      </c>
      <c r="AK214" s="429">
        <f t="array" ref="AK214">XLOOKUP(LCARS_Off[AbilityID],RawOfficer[AbilityID],RawOfficer[OfficerArt])</f>
        <v>141</v>
      </c>
      <c r="AL214" s="430">
        <v>5.68584807E8</v>
      </c>
      <c r="AM214" s="430">
        <f t="array" ref="AM214">XLOOKUP(LCARS_Off[AbilityID],RawOfficer[AbilityID],RawOfficer[Default Order])</f>
        <v>211</v>
      </c>
    </row>
    <row r="215">
      <c r="A215" s="429" t="str">
        <f t="array" ref="A215">LEFT(XLOOKUP(LCARS_Off[AbilityID],RawOfficer[AbilityID],RawOfficer[OfficerRarity]), 1)</f>
        <v>U</v>
      </c>
      <c r="B215" s="429"/>
      <c r="C215" s="514" t="str">
        <f t="array" ref="C215">HYPERLINK("https://stfc.space/officers/" &amp; XLOOKUP(LCARS_Off[AbilityID],RawOfficer[AbilityID],RawOfficer[OfficerId]), XLOOKUP(LCARS_Off[AbilityID],RawOfficer[AbilityID],RawOfficer[OfficerName]))</f>
        <v>ORIGINS BURNHAM</v>
      </c>
      <c r="D215" s="515" t="str">
        <f t="array" ref="D215">XLOOKUP(LCARS_Off[AbilityID],RawOfficer[AbilityID],RawOfficer[AbilityType])</f>
        <v>OA</v>
      </c>
      <c r="E215" s="516" t="str">
        <f t="array" ref="E215">XLOOKUP(LCARS_Off[AbilityID],RawOfficer[AbilityID],RawOfficer[Tag_PvPinSpace])</f>
        <v>✅</v>
      </c>
      <c r="F215" s="516" t="str">
        <f t="array" ref="F215">XLOOKUP(LCARS_Off[AbilityID],RawOfficer[AbilityID],RawOfficer[Tag_PvPStation])</f>
        <v>✅</v>
      </c>
      <c r="G215" s="516" t="str">
        <f t="array" ref="G215">XLOOKUP(LCARS_Off[AbilityID],RawOfficer[AbilityID],RawOfficer[Tag_NonArmadaHostiles])</f>
        <v>✅</v>
      </c>
      <c r="H215" s="516" t="str">
        <f t="array" ref="H215">XLOOKUP(LCARS_Off[AbilityID],RawOfficer[AbilityID],RawOfficer[Tag_WaveDefense])</f>
        <v>✅</v>
      </c>
      <c r="I215" s="516" t="str">
        <f t="array" ref="I215">XLOOKUP(LCARS_Off[AbilityID],RawOfficer[AbilityID],RawOfficer[Tag_QTrial])</f>
        <v>✅</v>
      </c>
      <c r="J215" s="516" t="str">
        <f t="array" ref="J215">XLOOKUP(LCARS_Off[AbilityID],RawOfficer[AbilityID],RawOfficer[Tag_MissionBosses])</f>
        <v>✅</v>
      </c>
      <c r="K215" s="516" t="str">
        <f t="array" ref="K215">XLOOKUP(LCARS_Off[AbilityID],RawOfficer[AbilityID],RawOfficer[Tag_GroupArmadas])</f>
        <v>✅</v>
      </c>
      <c r="L215" s="516" t="str">
        <f t="array" ref="L215">XLOOKUP(LCARS_Off[AbilityID],RawOfficer[AbilityID],RawOfficer[Tag_SoloArmadas])</f>
        <v>✅</v>
      </c>
      <c r="M215" s="516" t="str">
        <f t="array" ref="M215">XLOOKUP(LCARS_Off[AbilityID],RawOfficer[AbilityID],RawOfficer[Tag_InvadingEntities])</f>
        <v>✅</v>
      </c>
      <c r="N215" s="516" t="str">
        <f t="array" ref="N215">XLOOKUP(LCARS_Off[AbilityID],RawOfficer[AbilityID],RawOfficer[Tag_Assaults])</f>
        <v>✅</v>
      </c>
      <c r="O215" s="516" t="str">
        <f t="array" ref="O215">XLOOKUP(LCARS_Off[AbilityID],RawOfficer[AbilityID],RawOfficer[Tag_OutpostArmadas])</f>
        <v>✅</v>
      </c>
      <c r="P215" s="516" t="str">
        <f t="array" ref="P215">XLOOKUP(LCARS_Off[AbilityID],RawOfficer[AbilityID],RawOfficer[Tag_OutpostRetaliators])</f>
        <v>✅</v>
      </c>
      <c r="Q215" s="517" t="str">
        <f t="array" ref="Q215">XLOOKUP(LCARS_Off[AbilityID],RawOfficer[AbilityID],RawOfficer[Conditional_Reason])</f>
        <v/>
      </c>
      <c r="R215" s="518" t="str">
        <f t="array" ref="R215">XLOOKUP(LCARS_Off[AbilityID],RawOfficer[AbilityID],RawOfficer[Tag_Loot])</f>
        <v>➖</v>
      </c>
      <c r="S215" s="516" t="str">
        <f t="array" ref="S215">XLOOKUP(LCARS_Off[AbilityID],RawOfficer[AbilityID],RawOfficer[Tag_Utility])</f>
        <v>➖</v>
      </c>
      <c r="T215" s="429" t="str">
        <f t="array" ref="T215">XLOOKUP(LCARS_Off[AbilityID],RawOfficer[AbilityID],RawOfficer[OfficerSynergy])</f>
        <v>DISCOVERY ORIGINS</v>
      </c>
      <c r="U215" s="519" t="str">
        <f t="array" ref="U215">XLOOKUP(LCARS_Off[AbilityID],RawOfficer[AbilityID],RawOfficer[AbilityModifier])</f>
        <v>AllDamage</v>
      </c>
      <c r="V215" s="519" t="str">
        <f t="array" ref="V215">XLOOKUP(LCARS_Off[AbilityID],RawOfficer[AbilityID],RawOfficer[AbilityAttributes])</f>
        <v/>
      </c>
      <c r="W215" s="520" t="str">
        <f t="array" ref="W215">XLOOKUP(LCARS_Off[AbilityID],RawOfficer[AbilityID],RawOfficer[AbilityConditions])</f>
        <v/>
      </c>
      <c r="X215" s="519" t="str">
        <f t="array" ref="X215">XLOOKUP(LCARS_Off[AbilityID],RawOfficer[AbilityID],RawOfficer[AbilityTrigger])</f>
        <v>ShipLaunched</v>
      </c>
      <c r="Y215" s="519" t="str">
        <f t="array" ref="Y215">XLOOKUP(LCARS_Off[AbilityID],RawOfficer[AbilityID],RawOfficer[AbilityTarget])</f>
        <v>SelfShip</v>
      </c>
      <c r="Z215" s="519" t="str">
        <f t="array" ref="Z215">XLOOKUP(LCARS_Off[AbilityID],RawOfficer[AbilityID],RawOfficer[AbilityOperation])</f>
        <v>MultiplyAdd</v>
      </c>
      <c r="AA215" s="521" t="str">
        <f t="array" ref="AA215">XLOOKUP(LCARS_Off[AbilityID],RawOfficer[AbilityID],RawOfficer[AbilityDescription])</f>
        <v>Origins Burnham increases the Weapon Damage of the ship by X.</v>
      </c>
      <c r="AB215" s="429" t="b">
        <v>0</v>
      </c>
      <c r="AC215" s="522" t="str">
        <f t="array" ref="AC215">XLOOKUP(LCARS_Off[AbilityID],RawOfficer[AbilityID],RawOfficer[AbilityDescriptionShort])</f>
        <v>+X to Damage</v>
      </c>
      <c r="AD215" s="523"/>
      <c r="AE215" s="524"/>
      <c r="AF215" s="524"/>
      <c r="AG215" s="525" t="str">
        <f t="array" ref="AG215">XLOOKUP(LCARS_Off[AbilityID],RawOfficer[AbilityID],RawOfficer[AbilityChances])</f>
        <v>1.0, 1.0, 1.0, 1.0, 1.0</v>
      </c>
      <c r="AH215" s="525" t="str">
        <f t="array" ref="AH215">XLOOKUP(LCARS_Off[AbilityID],RawOfficer[AbilityID],RawOfficer[AbilityValues])</f>
        <v>0.07, 0.11, 0.16, 0.2, 0.25</v>
      </c>
      <c r="AI215" s="428" t="b">
        <f t="array" ref="AI215">XLOOKUP(LCARS_Off[AbilityID],RawOfficer[AbilityID],RawOfficer[AbilityHasChance])</f>
        <v>0</v>
      </c>
      <c r="AJ215" s="428" t="b">
        <f t="array" ref="AJ215">XLOOKUP(LCARS_Off[AbilityID],RawOfficer[AbilityID],RawOfficer[AbilityShowPercentage])</f>
        <v>1</v>
      </c>
      <c r="AK215" s="429">
        <f t="array" ref="AK215">XLOOKUP(LCARS_Off[AbilityID],RawOfficer[AbilityID],RawOfficer[OfficerArt])</f>
        <v>141</v>
      </c>
      <c r="AL215" s="430">
        <v>4.94500487E8</v>
      </c>
      <c r="AM215" s="430">
        <f t="array" ref="AM215">XLOOKUP(LCARS_Off[AbilityID],RawOfficer[AbilityID],RawOfficer[Default Order])</f>
        <v>212</v>
      </c>
    </row>
    <row r="216">
      <c r="A216" s="429" t="str">
        <f t="array" ref="A216">LEFT(XLOOKUP(LCARS_Off[AbilityID],RawOfficer[AbilityID],RawOfficer[OfficerRarity]), 1)</f>
        <v>C</v>
      </c>
      <c r="B216" s="429"/>
      <c r="C216" s="514" t="str">
        <f t="array" ref="C216">HYPERLINK("https://stfc.space/officers/" &amp; XLOOKUP(LCARS_Off[AbilityID],RawOfficer[AbilityID],RawOfficer[OfficerId]), XLOOKUP(LCARS_Off[AbilityID],RawOfficer[AbilityID],RawOfficer[OfficerName]))</f>
        <v>ORIGINS SARU</v>
      </c>
      <c r="D216" s="515" t="str">
        <f t="array" ref="D216">XLOOKUP(LCARS_Off[AbilityID],RawOfficer[AbilityID],RawOfficer[AbilityType])</f>
        <v>CM</v>
      </c>
      <c r="E216" s="516" t="str">
        <f t="array" ref="E216">XLOOKUP(LCARS_Off[AbilityID],RawOfficer[AbilityID],RawOfficer[Tag_PvPinSpace])</f>
        <v>✅</v>
      </c>
      <c r="F216" s="516" t="str">
        <f t="array" ref="F216">XLOOKUP(LCARS_Off[AbilityID],RawOfficer[AbilityID],RawOfficer[Tag_PvPStation])</f>
        <v>✅</v>
      </c>
      <c r="G216" s="516" t="str">
        <f t="array" ref="G216">XLOOKUP(LCARS_Off[AbilityID],RawOfficer[AbilityID],RawOfficer[Tag_NonArmadaHostiles])</f>
        <v>✅</v>
      </c>
      <c r="H216" s="516" t="str">
        <f t="array" ref="H216">XLOOKUP(LCARS_Off[AbilityID],RawOfficer[AbilityID],RawOfficer[Tag_WaveDefense])</f>
        <v>✅</v>
      </c>
      <c r="I216" s="516" t="str">
        <f t="array" ref="I216">XLOOKUP(LCARS_Off[AbilityID],RawOfficer[AbilityID],RawOfficer[Tag_QTrial])</f>
        <v>✅</v>
      </c>
      <c r="J216" s="516" t="str">
        <f t="array" ref="J216">XLOOKUP(LCARS_Off[AbilityID],RawOfficer[AbilityID],RawOfficer[Tag_MissionBosses])</f>
        <v>✅</v>
      </c>
      <c r="K216" s="516" t="str">
        <f t="array" ref="K216">XLOOKUP(LCARS_Off[AbilityID],RawOfficer[AbilityID],RawOfficer[Tag_GroupArmadas])</f>
        <v>✅</v>
      </c>
      <c r="L216" s="516" t="str">
        <f t="array" ref="L216">XLOOKUP(LCARS_Off[AbilityID],RawOfficer[AbilityID],RawOfficer[Tag_SoloArmadas])</f>
        <v>✅</v>
      </c>
      <c r="M216" s="516" t="str">
        <f t="array" ref="M216">XLOOKUP(LCARS_Off[AbilityID],RawOfficer[AbilityID],RawOfficer[Tag_InvadingEntities])</f>
        <v>✅</v>
      </c>
      <c r="N216" s="516" t="str">
        <f t="array" ref="N216">XLOOKUP(LCARS_Off[AbilityID],RawOfficer[AbilityID],RawOfficer[Tag_Assaults])</f>
        <v>✅</v>
      </c>
      <c r="O216" s="516" t="str">
        <f t="array" ref="O216">XLOOKUP(LCARS_Off[AbilityID],RawOfficer[AbilityID],RawOfficer[Tag_OutpostArmadas])</f>
        <v>✅</v>
      </c>
      <c r="P216" s="516" t="str">
        <f t="array" ref="P216">XLOOKUP(LCARS_Off[AbilityID],RawOfficer[AbilityID],RawOfficer[Tag_OutpostRetaliators])</f>
        <v>✅</v>
      </c>
      <c r="Q216" s="517" t="str">
        <f t="array" ref="Q216">XLOOKUP(LCARS_Off[AbilityID],RawOfficer[AbilityID],RawOfficer[Conditional_Reason])</f>
        <v/>
      </c>
      <c r="R216" s="518" t="str">
        <f t="array" ref="R216">XLOOKUP(LCARS_Off[AbilityID],RawOfficer[AbilityID],RawOfficer[Tag_Loot])</f>
        <v>➖</v>
      </c>
      <c r="S216" s="516" t="str">
        <f t="array" ref="S216">XLOOKUP(LCARS_Off[AbilityID],RawOfficer[AbilityID],RawOfficer[Tag_Utility])</f>
        <v>➖</v>
      </c>
      <c r="T216" s="429" t="str">
        <f t="array" ref="T216">XLOOKUP(LCARS_Off[AbilityID],RawOfficer[AbilityID],RawOfficer[OfficerSynergy])</f>
        <v>DISCOVERY ORIGINS</v>
      </c>
      <c r="U216" s="519" t="str">
        <f t="array" ref="U216">XLOOKUP(LCARS_Off[AbilityID],RawOfficer[AbilityID],RawOfficer[AbilityModifier])</f>
        <v>OfficerStatDefense</v>
      </c>
      <c r="V216" s="519" t="str">
        <f t="array" ref="V216">XLOOKUP(LCARS_Off[AbilityID],RawOfficer[AbilityID],RawOfficer[AbilityAttributes])</f>
        <v/>
      </c>
      <c r="W216" s="520" t="str">
        <f t="array" ref="W216">XLOOKUP(LCARS_Off[AbilityID],RawOfficer[AbilityID],RawOfficer[AbilityConditions])</f>
        <v/>
      </c>
      <c r="X216" s="519" t="str">
        <f t="array" ref="X216">XLOOKUP(LCARS_Off[AbilityID],RawOfficer[AbilityID],RawOfficer[AbilityTrigger])</f>
        <v>ShipLaunched</v>
      </c>
      <c r="Y216" s="519" t="str">
        <f t="array" ref="Y216">XLOOKUP(LCARS_Off[AbilityID],RawOfficer[AbilityID],RawOfficer[AbilityTarget])</f>
        <v>SelfAll</v>
      </c>
      <c r="Z216" s="519" t="str">
        <f t="array" ref="Z216">XLOOKUP(LCARS_Off[AbilityID],RawOfficer[AbilityID],RawOfficer[AbilityOperation])</f>
        <v>Add</v>
      </c>
      <c r="AA216" s="521" t="str">
        <f t="array" ref="AA216">XLOOKUP(LCARS_Off[AbilityID],RawOfficer[AbilityID],RawOfficer[AbilityDescription])</f>
        <v>Origins Saru increases the Defense of all the Officers on the ship by X.</v>
      </c>
      <c r="AB216" s="429" t="b">
        <v>0</v>
      </c>
      <c r="AC216" s="522" t="str">
        <f t="array" ref="AC216">XLOOKUP(LCARS_Off[AbilityID],RawOfficer[AbilityID],RawOfficer[AbilityDescriptionShort])</f>
        <v>+X to all Officer Defense</v>
      </c>
      <c r="AD216" s="523"/>
      <c r="AE216" s="524"/>
      <c r="AF216" s="524"/>
      <c r="AG216" s="525" t="str">
        <f t="array" ref="AG216">XLOOKUP(LCARS_Off[AbilityID],RawOfficer[AbilityID],RawOfficer[AbilityChances])</f>
        <v>1.0, 1.0, 1.0</v>
      </c>
      <c r="AH216" s="525" t="str">
        <f t="array" ref="AH216">XLOOKUP(LCARS_Off[AbilityID],RawOfficer[AbilityID],RawOfficer[AbilityValues])</f>
        <v>10.0, 2.0, 5.0</v>
      </c>
      <c r="AI216" s="428" t="b">
        <f t="array" ref="AI216">XLOOKUP(LCARS_Off[AbilityID],RawOfficer[AbilityID],RawOfficer[AbilityHasChance])</f>
        <v>0</v>
      </c>
      <c r="AJ216" s="428" t="b">
        <f t="array" ref="AJ216">XLOOKUP(LCARS_Off[AbilityID],RawOfficer[AbilityID],RawOfficer[AbilityShowPercentage])</f>
        <v>0</v>
      </c>
      <c r="AK216" s="429">
        <f t="array" ref="AK216">XLOOKUP(LCARS_Off[AbilityID],RawOfficer[AbilityID],RawOfficer[OfficerArt])</f>
        <v>142</v>
      </c>
      <c r="AL216" s="430">
        <v>7.14063495E8</v>
      </c>
      <c r="AM216" s="430">
        <f t="array" ref="AM216">XLOOKUP(LCARS_Off[AbilityID],RawOfficer[AbilityID],RawOfficer[Default Order])</f>
        <v>213</v>
      </c>
    </row>
    <row r="217">
      <c r="A217" s="429" t="str">
        <f t="array" ref="A217">LEFT(XLOOKUP(LCARS_Off[AbilityID],RawOfficer[AbilityID],RawOfficer[OfficerRarity]), 1)</f>
        <v>C</v>
      </c>
      <c r="B217" s="429"/>
      <c r="C217" s="514" t="str">
        <f t="array" ref="C217">HYPERLINK("https://stfc.space/officers/" &amp; XLOOKUP(LCARS_Off[AbilityID],RawOfficer[AbilityID],RawOfficer[OfficerId]), XLOOKUP(LCARS_Off[AbilityID],RawOfficer[AbilityID],RawOfficer[OfficerName]))</f>
        <v>ORIGINS SARU</v>
      </c>
      <c r="D217" s="515" t="str">
        <f t="array" ref="D217">XLOOKUP(LCARS_Off[AbilityID],RawOfficer[AbilityID],RawOfficer[AbilityType])</f>
        <v>OA</v>
      </c>
      <c r="E217" s="516" t="str">
        <f t="array" ref="E217">XLOOKUP(LCARS_Off[AbilityID],RawOfficer[AbilityID],RawOfficer[Tag_PvPinSpace])</f>
        <v>✅</v>
      </c>
      <c r="F217" s="516" t="str">
        <f t="array" ref="F217">XLOOKUP(LCARS_Off[AbilityID],RawOfficer[AbilityID],RawOfficer[Tag_PvPStation])</f>
        <v>✅</v>
      </c>
      <c r="G217" s="516" t="str">
        <f t="array" ref="G217">XLOOKUP(LCARS_Off[AbilityID],RawOfficer[AbilityID],RawOfficer[Tag_NonArmadaHostiles])</f>
        <v>✅</v>
      </c>
      <c r="H217" s="516" t="str">
        <f t="array" ref="H217">XLOOKUP(LCARS_Off[AbilityID],RawOfficer[AbilityID],RawOfficer[Tag_WaveDefense])</f>
        <v>✅</v>
      </c>
      <c r="I217" s="516" t="str">
        <f t="array" ref="I217">XLOOKUP(LCARS_Off[AbilityID],RawOfficer[AbilityID],RawOfficer[Tag_QTrial])</f>
        <v>✅</v>
      </c>
      <c r="J217" s="516" t="str">
        <f t="array" ref="J217">XLOOKUP(LCARS_Off[AbilityID],RawOfficer[AbilityID],RawOfficer[Tag_MissionBosses])</f>
        <v>✅</v>
      </c>
      <c r="K217" s="516" t="str">
        <f t="array" ref="K217">XLOOKUP(LCARS_Off[AbilityID],RawOfficer[AbilityID],RawOfficer[Tag_GroupArmadas])</f>
        <v>✅</v>
      </c>
      <c r="L217" s="516" t="str">
        <f t="array" ref="L217">XLOOKUP(LCARS_Off[AbilityID],RawOfficer[AbilityID],RawOfficer[Tag_SoloArmadas])</f>
        <v>✅</v>
      </c>
      <c r="M217" s="516" t="str">
        <f t="array" ref="M217">XLOOKUP(LCARS_Off[AbilityID],RawOfficer[AbilityID],RawOfficer[Tag_InvadingEntities])</f>
        <v>✅</v>
      </c>
      <c r="N217" s="516" t="str">
        <f t="array" ref="N217">XLOOKUP(LCARS_Off[AbilityID],RawOfficer[AbilityID],RawOfficer[Tag_Assaults])</f>
        <v>✅</v>
      </c>
      <c r="O217" s="516" t="str">
        <f t="array" ref="O217">XLOOKUP(LCARS_Off[AbilityID],RawOfficer[AbilityID],RawOfficer[Tag_OutpostArmadas])</f>
        <v>✅</v>
      </c>
      <c r="P217" s="516" t="str">
        <f t="array" ref="P217">XLOOKUP(LCARS_Off[AbilityID],RawOfficer[AbilityID],RawOfficer[Tag_OutpostRetaliators])</f>
        <v>✅</v>
      </c>
      <c r="Q217" s="517" t="str">
        <f t="array" ref="Q217">XLOOKUP(LCARS_Off[AbilityID],RawOfficer[AbilityID],RawOfficer[Conditional_Reason])</f>
        <v/>
      </c>
      <c r="R217" s="518" t="str">
        <f t="array" ref="R217">XLOOKUP(LCARS_Off[AbilityID],RawOfficer[AbilityID],RawOfficer[Tag_Loot])</f>
        <v>➖</v>
      </c>
      <c r="S217" s="516" t="str">
        <f t="array" ref="S217">XLOOKUP(LCARS_Off[AbilityID],RawOfficer[AbilityID],RawOfficer[Tag_Utility])</f>
        <v>➖</v>
      </c>
      <c r="T217" s="429" t="str">
        <f t="array" ref="T217">XLOOKUP(LCARS_Off[AbilityID],RawOfficer[AbilityID],RawOfficer[OfficerSynergy])</f>
        <v>DISCOVERY ORIGINS</v>
      </c>
      <c r="U217" s="519" t="str">
        <f t="array" ref="U217">XLOOKUP(LCARS_Off[AbilityID],RawOfficer[AbilityID],RawOfficer[AbilityModifier])</f>
        <v>HullHPMax</v>
      </c>
      <c r="V217" s="519" t="str">
        <f t="array" ref="V217">XLOOKUP(LCARS_Off[AbilityID],RawOfficer[AbilityID],RawOfficer[AbilityAttributes])</f>
        <v/>
      </c>
      <c r="W217" s="520" t="str">
        <f t="array" ref="W217">XLOOKUP(LCARS_Off[AbilityID],RawOfficer[AbilityID],RawOfficer[AbilityConditions])</f>
        <v/>
      </c>
      <c r="X217" s="519" t="str">
        <f t="array" ref="X217">XLOOKUP(LCARS_Off[AbilityID],RawOfficer[AbilityID],RawOfficer[AbilityTrigger])</f>
        <v>ShipLaunched</v>
      </c>
      <c r="Y217" s="519" t="str">
        <f t="array" ref="Y217">XLOOKUP(LCARS_Off[AbilityID],RawOfficer[AbilityID],RawOfficer[AbilityTarget])</f>
        <v>SelfShip</v>
      </c>
      <c r="Z217" s="519" t="str">
        <f t="array" ref="Z217">XLOOKUP(LCARS_Off[AbilityID],RawOfficer[AbilityID],RawOfficer[AbilityOperation])</f>
        <v>MultiplyAdd</v>
      </c>
      <c r="AA217" s="521" t="str">
        <f t="array" ref="AA217">XLOOKUP(LCARS_Off[AbilityID],RawOfficer[AbilityID],RawOfficer[AbilityDescription])</f>
        <v>Origins Saru increases the Hull Health of the ship by X.</v>
      </c>
      <c r="AB217" s="429" t="b">
        <v>0</v>
      </c>
      <c r="AC217" s="522" t="str">
        <f t="array" ref="AC217">XLOOKUP(LCARS_Off[AbilityID],RawOfficer[AbilityID],RawOfficer[AbilityDescriptionShort])</f>
        <v>+X to Hull Health</v>
      </c>
      <c r="AD217" s="523"/>
      <c r="AE217" s="524"/>
      <c r="AF217" s="524"/>
      <c r="AG217" s="525" t="str">
        <f t="array" ref="AG217">XLOOKUP(LCARS_Off[AbilityID],RawOfficer[AbilityID],RawOfficer[AbilityChances])</f>
        <v>1.0, 1.0, 1.0, 1.0, 1.0</v>
      </c>
      <c r="AH217" s="525" t="str">
        <f t="array" ref="AH217">XLOOKUP(LCARS_Off[AbilityID],RawOfficer[AbilityID],RawOfficer[AbilityValues])</f>
        <v>0.05, 0.07, 0.1, 0.12, 0.15</v>
      </c>
      <c r="AI217" s="428" t="b">
        <f t="array" ref="AI217">XLOOKUP(LCARS_Off[AbilityID],RawOfficer[AbilityID],RawOfficer[AbilityHasChance])</f>
        <v>0</v>
      </c>
      <c r="AJ217" s="428" t="b">
        <f t="array" ref="AJ217">XLOOKUP(LCARS_Off[AbilityID],RawOfficer[AbilityID],RawOfficer[AbilityShowPercentage])</f>
        <v>1</v>
      </c>
      <c r="AK217" s="429">
        <f t="array" ref="AK217">XLOOKUP(LCARS_Off[AbilityID],RawOfficer[AbilityID],RawOfficer[OfficerArt])</f>
        <v>142</v>
      </c>
      <c r="AL217" s="430">
        <v>1.714820297E9</v>
      </c>
      <c r="AM217" s="430">
        <f t="array" ref="AM217">XLOOKUP(LCARS_Off[AbilityID],RawOfficer[AbilityID],RawOfficer[Default Order])</f>
        <v>214</v>
      </c>
    </row>
    <row r="218">
      <c r="A218" s="429" t="str">
        <f t="array" ref="A218">LEFT(XLOOKUP(LCARS_Off[AbilityID],RawOfficer[AbilityID],RawOfficer[OfficerRarity]), 1)</f>
        <v>C</v>
      </c>
      <c r="B218" s="429"/>
      <c r="C218" s="514" t="str">
        <f t="array" ref="C218">HYPERLINK("https://stfc.space/officers/" &amp; XLOOKUP(LCARS_Off[AbilityID],RawOfficer[AbilityID],RawOfficer[OfficerId]), XLOOKUP(LCARS_Off[AbilityID],RawOfficer[AbilityID],RawOfficer[OfficerName]))</f>
        <v>ORIGINS STAMETS</v>
      </c>
      <c r="D218" s="515" t="str">
        <f t="array" ref="D218">XLOOKUP(LCARS_Off[AbilityID],RawOfficer[AbilityID],RawOfficer[AbilityType])</f>
        <v>CM</v>
      </c>
      <c r="E218" s="516" t="str">
        <f t="array" ref="E218">XLOOKUP(LCARS_Off[AbilityID],RawOfficer[AbilityID],RawOfficer[Tag_PvPinSpace])</f>
        <v>✅</v>
      </c>
      <c r="F218" s="516" t="str">
        <f t="array" ref="F218">XLOOKUP(LCARS_Off[AbilityID],RawOfficer[AbilityID],RawOfficer[Tag_PvPStation])</f>
        <v>✅</v>
      </c>
      <c r="G218" s="516" t="str">
        <f t="array" ref="G218">XLOOKUP(LCARS_Off[AbilityID],RawOfficer[AbilityID],RawOfficer[Tag_NonArmadaHostiles])</f>
        <v>✅</v>
      </c>
      <c r="H218" s="516" t="str">
        <f t="array" ref="H218">XLOOKUP(LCARS_Off[AbilityID],RawOfficer[AbilityID],RawOfficer[Tag_WaveDefense])</f>
        <v>✅</v>
      </c>
      <c r="I218" s="516" t="str">
        <f t="array" ref="I218">XLOOKUP(LCARS_Off[AbilityID],RawOfficer[AbilityID],RawOfficer[Tag_QTrial])</f>
        <v>✅</v>
      </c>
      <c r="J218" s="516" t="str">
        <f t="array" ref="J218">XLOOKUP(LCARS_Off[AbilityID],RawOfficer[AbilityID],RawOfficer[Tag_MissionBosses])</f>
        <v>✅</v>
      </c>
      <c r="K218" s="516" t="str">
        <f t="array" ref="K218">XLOOKUP(LCARS_Off[AbilityID],RawOfficer[AbilityID],RawOfficer[Tag_GroupArmadas])</f>
        <v>✅</v>
      </c>
      <c r="L218" s="516" t="str">
        <f t="array" ref="L218">XLOOKUP(LCARS_Off[AbilityID],RawOfficer[AbilityID],RawOfficer[Tag_SoloArmadas])</f>
        <v>✅</v>
      </c>
      <c r="M218" s="516" t="str">
        <f t="array" ref="M218">XLOOKUP(LCARS_Off[AbilityID],RawOfficer[AbilityID],RawOfficer[Tag_InvadingEntities])</f>
        <v>✅</v>
      </c>
      <c r="N218" s="516" t="str">
        <f t="array" ref="N218">XLOOKUP(LCARS_Off[AbilityID],RawOfficer[AbilityID],RawOfficer[Tag_Assaults])</f>
        <v>✅</v>
      </c>
      <c r="O218" s="516" t="str">
        <f t="array" ref="O218">XLOOKUP(LCARS_Off[AbilityID],RawOfficer[AbilityID],RawOfficer[Tag_OutpostArmadas])</f>
        <v>✅</v>
      </c>
      <c r="P218" s="516" t="str">
        <f t="array" ref="P218">XLOOKUP(LCARS_Off[AbilityID],RawOfficer[AbilityID],RawOfficer[Tag_OutpostRetaliators])</f>
        <v>✅</v>
      </c>
      <c r="Q218" s="517" t="str">
        <f t="array" ref="Q218">XLOOKUP(LCARS_Off[AbilityID],RawOfficer[AbilityID],RawOfficer[Conditional_Reason])</f>
        <v/>
      </c>
      <c r="R218" s="518" t="str">
        <f t="array" ref="R218">XLOOKUP(LCARS_Off[AbilityID],RawOfficer[AbilityID],RawOfficer[Tag_Loot])</f>
        <v>➖</v>
      </c>
      <c r="S218" s="516" t="str">
        <f t="array" ref="S218">XLOOKUP(LCARS_Off[AbilityID],RawOfficer[AbilityID],RawOfficer[Tag_Utility])</f>
        <v>➖</v>
      </c>
      <c r="T218" s="429" t="str">
        <f t="array" ref="T218">XLOOKUP(LCARS_Off[AbilityID],RawOfficer[AbilityID],RawOfficer[OfficerSynergy])</f>
        <v>DISCOVERY ORIGINS</v>
      </c>
      <c r="U218" s="519" t="str">
        <f t="array" ref="U218">XLOOKUP(LCARS_Off[AbilityID],RawOfficer[AbilityID],RawOfficer[AbilityModifier])</f>
        <v>OfficerStatHealth</v>
      </c>
      <c r="V218" s="519" t="str">
        <f t="array" ref="V218">XLOOKUP(LCARS_Off[AbilityID],RawOfficer[AbilityID],RawOfficer[AbilityAttributes])</f>
        <v/>
      </c>
      <c r="W218" s="520" t="str">
        <f t="array" ref="W218">XLOOKUP(LCARS_Off[AbilityID],RawOfficer[AbilityID],RawOfficer[AbilityConditions])</f>
        <v/>
      </c>
      <c r="X218" s="519" t="str">
        <f t="array" ref="X218">XLOOKUP(LCARS_Off[AbilityID],RawOfficer[AbilityID],RawOfficer[AbilityTrigger])</f>
        <v>ShipLaunched</v>
      </c>
      <c r="Y218" s="519" t="str">
        <f t="array" ref="Y218">XLOOKUP(LCARS_Off[AbilityID],RawOfficer[AbilityID],RawOfficer[AbilityTarget])</f>
        <v>SelfAll</v>
      </c>
      <c r="Z218" s="519" t="str">
        <f t="array" ref="Z218">XLOOKUP(LCARS_Off[AbilityID],RawOfficer[AbilityID],RawOfficer[AbilityOperation])</f>
        <v>Add</v>
      </c>
      <c r="AA218" s="521" t="str">
        <f t="array" ref="AA218">XLOOKUP(LCARS_Off[AbilityID],RawOfficer[AbilityID],RawOfficer[AbilityDescription])</f>
        <v>Origins Stamets increases the Health of all the Officers on the ship by X.</v>
      </c>
      <c r="AB218" s="429" t="b">
        <v>0</v>
      </c>
      <c r="AC218" s="522" t="str">
        <f t="array" ref="AC218">XLOOKUP(LCARS_Off[AbilityID],RawOfficer[AbilityID],RawOfficer[AbilityDescriptionShort])</f>
        <v>+X to all Officer Health</v>
      </c>
      <c r="AD218" s="523"/>
      <c r="AE218" s="524"/>
      <c r="AF218" s="524"/>
      <c r="AG218" s="525" t="str">
        <f t="array" ref="AG218">XLOOKUP(LCARS_Off[AbilityID],RawOfficer[AbilityID],RawOfficer[AbilityChances])</f>
        <v>1.0, 1.0, 1.0</v>
      </c>
      <c r="AH218" s="525" t="str">
        <f t="array" ref="AH218">XLOOKUP(LCARS_Off[AbilityID],RawOfficer[AbilityID],RawOfficer[AbilityValues])</f>
        <v>10.0, 2.0, 5.0</v>
      </c>
      <c r="AI218" s="428" t="b">
        <f t="array" ref="AI218">XLOOKUP(LCARS_Off[AbilityID],RawOfficer[AbilityID],RawOfficer[AbilityHasChance])</f>
        <v>0</v>
      </c>
      <c r="AJ218" s="428" t="b">
        <f t="array" ref="AJ218">XLOOKUP(LCARS_Off[AbilityID],RawOfficer[AbilityID],RawOfficer[AbilityShowPercentage])</f>
        <v>0</v>
      </c>
      <c r="AK218" s="429">
        <f t="array" ref="AK218">XLOOKUP(LCARS_Off[AbilityID],RawOfficer[AbilityID],RawOfficer[OfficerArt])</f>
        <v>143</v>
      </c>
      <c r="AL218" s="430">
        <v>2.081533684E9</v>
      </c>
      <c r="AM218" s="430">
        <f t="array" ref="AM218">XLOOKUP(LCARS_Off[AbilityID],RawOfficer[AbilityID],RawOfficer[Default Order])</f>
        <v>215</v>
      </c>
    </row>
    <row r="219">
      <c r="A219" s="429" t="str">
        <f t="array" ref="A219">LEFT(XLOOKUP(LCARS_Off[AbilityID],RawOfficer[AbilityID],RawOfficer[OfficerRarity]), 1)</f>
        <v>C</v>
      </c>
      <c r="B219" s="429"/>
      <c r="C219" s="514" t="str">
        <f t="array" ref="C219">HYPERLINK("https://stfc.space/officers/" &amp; XLOOKUP(LCARS_Off[AbilityID],RawOfficer[AbilityID],RawOfficer[OfficerId]), XLOOKUP(LCARS_Off[AbilityID],RawOfficer[AbilityID],RawOfficer[OfficerName]))</f>
        <v>ORIGINS STAMETS</v>
      </c>
      <c r="D219" s="515" t="str">
        <f t="array" ref="D219">XLOOKUP(LCARS_Off[AbilityID],RawOfficer[AbilityID],RawOfficer[AbilityType])</f>
        <v>OA</v>
      </c>
      <c r="E219" s="516" t="str">
        <f t="array" ref="E219">XLOOKUP(LCARS_Off[AbilityID],RawOfficer[AbilityID],RawOfficer[Tag_PvPinSpace])</f>
        <v>➖</v>
      </c>
      <c r="F219" s="516" t="str">
        <f t="array" ref="F219">XLOOKUP(LCARS_Off[AbilityID],RawOfficer[AbilityID],RawOfficer[Tag_PvPStation])</f>
        <v>➖</v>
      </c>
      <c r="G219" s="516" t="str">
        <f t="array" ref="G219">XLOOKUP(LCARS_Off[AbilityID],RawOfficer[AbilityID],RawOfficer[Tag_NonArmadaHostiles])</f>
        <v>➖</v>
      </c>
      <c r="H219" s="516" t="str">
        <f t="array" ref="H219">XLOOKUP(LCARS_Off[AbilityID],RawOfficer[AbilityID],RawOfficer[Tag_WaveDefense])</f>
        <v>➖</v>
      </c>
      <c r="I219" s="516" t="str">
        <f t="array" ref="I219">XLOOKUP(LCARS_Off[AbilityID],RawOfficer[AbilityID],RawOfficer[Tag_QTrial])</f>
        <v>➖</v>
      </c>
      <c r="J219" s="516" t="str">
        <f t="array" ref="J219">XLOOKUP(LCARS_Off[AbilityID],RawOfficer[AbilityID],RawOfficer[Tag_MissionBosses])</f>
        <v>➖</v>
      </c>
      <c r="K219" s="516" t="str">
        <f t="array" ref="K219">XLOOKUP(LCARS_Off[AbilityID],RawOfficer[AbilityID],RawOfficer[Tag_GroupArmadas])</f>
        <v>➖</v>
      </c>
      <c r="L219" s="516" t="str">
        <f t="array" ref="L219">XLOOKUP(LCARS_Off[AbilityID],RawOfficer[AbilityID],RawOfficer[Tag_SoloArmadas])</f>
        <v>➖</v>
      </c>
      <c r="M219" s="516" t="str">
        <f t="array" ref="M219">XLOOKUP(LCARS_Off[AbilityID],RawOfficer[AbilityID],RawOfficer[Tag_InvadingEntities])</f>
        <v>➖</v>
      </c>
      <c r="N219" s="516" t="str">
        <f t="array" ref="N219">XLOOKUP(LCARS_Off[AbilityID],RawOfficer[AbilityID],RawOfficer[Tag_Assaults])</f>
        <v>➖</v>
      </c>
      <c r="O219" s="516" t="str">
        <f t="array" ref="O219">XLOOKUP(LCARS_Off[AbilityID],RawOfficer[AbilityID],RawOfficer[Tag_OutpostArmadas])</f>
        <v>➖</v>
      </c>
      <c r="P219" s="516" t="str">
        <f t="array" ref="P219">XLOOKUP(LCARS_Off[AbilityID],RawOfficer[AbilityID],RawOfficer[Tag_OutpostRetaliators])</f>
        <v>➖</v>
      </c>
      <c r="Q219" s="517" t="str">
        <f t="array" ref="Q219">XLOOKUP(LCARS_Off[AbilityID],RawOfficer[AbilityID],RawOfficer[Conditional_Reason])</f>
        <v/>
      </c>
      <c r="R219" s="518" t="str">
        <f t="array" ref="R219">XLOOKUP(LCARS_Off[AbilityID],RawOfficer[AbilityID],RawOfficer[Tag_Loot])</f>
        <v>➖</v>
      </c>
      <c r="S219" s="516" t="str">
        <f t="array" ref="S219">XLOOKUP(LCARS_Off[AbilityID],RawOfficer[AbilityID],RawOfficer[Tag_Utility])</f>
        <v>✅</v>
      </c>
      <c r="T219" s="429" t="str">
        <f t="array" ref="T219">XLOOKUP(LCARS_Off[AbilityID],RawOfficer[AbilityID],RawOfficer[OfficerSynergy])</f>
        <v>DISCOVERY ORIGINS</v>
      </c>
      <c r="U219" s="519" t="str">
        <f t="array" ref="U219">XLOOKUP(LCARS_Off[AbilityID],RawOfficer[AbilityID],RawOfficer[AbilityModifier])</f>
        <v>WarpSpeed</v>
      </c>
      <c r="V219" s="519" t="str">
        <f t="array" ref="V219">XLOOKUP(LCARS_Off[AbilityID],RawOfficer[AbilityID],RawOfficer[AbilityAttributes])</f>
        <v/>
      </c>
      <c r="W219" s="520" t="str">
        <f t="array" ref="W219">XLOOKUP(LCARS_Off[AbilityID],RawOfficer[AbilityID],RawOfficer[AbilityConditions])</f>
        <v/>
      </c>
      <c r="X219" s="519" t="str">
        <f t="array" ref="X219">XLOOKUP(LCARS_Off[AbilityID],RawOfficer[AbilityID],RawOfficer[AbilityTrigger])</f>
        <v>ShipLaunched</v>
      </c>
      <c r="Y219" s="519" t="str">
        <f t="array" ref="Y219">XLOOKUP(LCARS_Off[AbilityID],RawOfficer[AbilityID],RawOfficer[AbilityTarget])</f>
        <v>SelfShip</v>
      </c>
      <c r="Z219" s="519" t="str">
        <f t="array" ref="Z219">XLOOKUP(LCARS_Off[AbilityID],RawOfficer[AbilityID],RawOfficer[AbilityOperation])</f>
        <v>MultiplyAdd</v>
      </c>
      <c r="AA219" s="521" t="str">
        <f t="array" ref="AA219">XLOOKUP(LCARS_Off[AbilityID],RawOfficer[AbilityID],RawOfficer[AbilityDescription])</f>
        <v>Origins Stamets increases the Warp Speed of the ship by X.</v>
      </c>
      <c r="AB219" s="429" t="b">
        <v>0</v>
      </c>
      <c r="AC219" s="522" t="str">
        <f t="array" ref="AC219">XLOOKUP(LCARS_Off[AbilityID],RawOfficer[AbilityID],RawOfficer[AbilityDescriptionShort])</f>
        <v>+X to Warp Speed</v>
      </c>
      <c r="AD219" s="523"/>
      <c r="AE219" s="524"/>
      <c r="AF219" s="524"/>
      <c r="AG219" s="525" t="str">
        <f t="array" ref="AG219">XLOOKUP(LCARS_Off[AbilityID],RawOfficer[AbilityID],RawOfficer[AbilityChances])</f>
        <v>1.0, 1.0, 1.0, 1.0, 1.0</v>
      </c>
      <c r="AH219" s="525" t="str">
        <f t="array" ref="AH219">XLOOKUP(LCARS_Off[AbilityID],RawOfficer[AbilityID],RawOfficer[AbilityValues])</f>
        <v>0.3, 0.34, 0.38, 0.42, 0.45</v>
      </c>
      <c r="AI219" s="428" t="b">
        <f t="array" ref="AI219">XLOOKUP(LCARS_Off[AbilityID],RawOfficer[AbilityID],RawOfficer[AbilityHasChance])</f>
        <v>0</v>
      </c>
      <c r="AJ219" s="428" t="b">
        <f t="array" ref="AJ219">XLOOKUP(LCARS_Off[AbilityID],RawOfficer[AbilityID],RawOfficer[AbilityShowPercentage])</f>
        <v>1</v>
      </c>
      <c r="AK219" s="429">
        <f t="array" ref="AK219">XLOOKUP(LCARS_Off[AbilityID],RawOfficer[AbilityID],RawOfficer[OfficerArt])</f>
        <v>143</v>
      </c>
      <c r="AL219" s="430">
        <v>1.703022152E9</v>
      </c>
      <c r="AM219" s="430">
        <f t="array" ref="AM219">XLOOKUP(LCARS_Off[AbilityID],RawOfficer[AbilityID],RawOfficer[Default Order])</f>
        <v>216</v>
      </c>
    </row>
    <row r="220">
      <c r="A220" s="429" t="str">
        <f t="array" ref="A220">LEFT(XLOOKUP(LCARS_Off[AbilityID],RawOfficer[AbilityID],RawOfficer[OfficerRarity]), 1)</f>
        <v>E</v>
      </c>
      <c r="B220" s="429"/>
      <c r="C220" s="514" t="str">
        <f t="array" ref="C220">HYPERLINK("https://stfc.space/officers/" &amp; XLOOKUP(LCARS_Off[AbilityID],RawOfficer[AbilityID],RawOfficer[OfficerId]), XLOOKUP(LCARS_Off[AbilityID],RawOfficer[AbilityID],RawOfficer[OfficerName]))</f>
        <v>MICHAEL BURNHAM</v>
      </c>
      <c r="D220" s="515" t="str">
        <f t="array" ref="D220">XLOOKUP(LCARS_Off[AbilityID],RawOfficer[AbilityID],RawOfficer[AbilityType])</f>
        <v>CM</v>
      </c>
      <c r="E220" s="516" t="str">
        <f t="array" ref="E220">XLOOKUP(LCARS_Off[AbilityID],RawOfficer[AbilityID],RawOfficer[Tag_PvPinSpace])</f>
        <v>➖</v>
      </c>
      <c r="F220" s="516" t="str">
        <f t="array" ref="F220">XLOOKUP(LCARS_Off[AbilityID],RawOfficer[AbilityID],RawOfficer[Tag_PvPStation])</f>
        <v>➖</v>
      </c>
      <c r="G220" s="516" t="str">
        <f t="array" ref="G220">XLOOKUP(LCARS_Off[AbilityID],RawOfficer[AbilityID],RawOfficer[Tag_NonArmadaHostiles])</f>
        <v>➖</v>
      </c>
      <c r="H220" s="516" t="str">
        <f t="array" ref="H220">XLOOKUP(LCARS_Off[AbilityID],RawOfficer[AbilityID],RawOfficer[Tag_WaveDefense])</f>
        <v>➖</v>
      </c>
      <c r="I220" s="516" t="str">
        <f t="array" ref="I220">XLOOKUP(LCARS_Off[AbilityID],RawOfficer[AbilityID],RawOfficer[Tag_QTrial])</f>
        <v>➖</v>
      </c>
      <c r="J220" s="516" t="str">
        <f t="array" ref="J220">XLOOKUP(LCARS_Off[AbilityID],RawOfficer[AbilityID],RawOfficer[Tag_MissionBosses])</f>
        <v>➖</v>
      </c>
      <c r="K220" s="516" t="str">
        <f t="array" ref="K220">XLOOKUP(LCARS_Off[AbilityID],RawOfficer[AbilityID],RawOfficer[Tag_GroupArmadas])</f>
        <v>➖</v>
      </c>
      <c r="L220" s="516" t="str">
        <f t="array" ref="L220">XLOOKUP(LCARS_Off[AbilityID],RawOfficer[AbilityID],RawOfficer[Tag_SoloArmadas])</f>
        <v>➖</v>
      </c>
      <c r="M220" s="516" t="str">
        <f t="array" ref="M220">XLOOKUP(LCARS_Off[AbilityID],RawOfficer[AbilityID],RawOfficer[Tag_InvadingEntities])</f>
        <v>➖</v>
      </c>
      <c r="N220" s="516" t="str">
        <f t="array" ref="N220">XLOOKUP(LCARS_Off[AbilityID],RawOfficer[AbilityID],RawOfficer[Tag_Assaults])</f>
        <v>➖</v>
      </c>
      <c r="O220" s="516" t="str">
        <f t="array" ref="O220">XLOOKUP(LCARS_Off[AbilityID],RawOfficer[AbilityID],RawOfficer[Tag_OutpostArmadas])</f>
        <v>➖</v>
      </c>
      <c r="P220" s="516" t="str">
        <f t="array" ref="P220">XLOOKUP(LCARS_Off[AbilityID],RawOfficer[AbilityID],RawOfficer[Tag_OutpostRetaliators])</f>
        <v>➖</v>
      </c>
      <c r="Q220" s="517" t="str">
        <f t="array" ref="Q220">XLOOKUP(LCARS_Off[AbilityID],RawOfficer[AbilityID],RawOfficer[Conditional_Reason])</f>
        <v/>
      </c>
      <c r="R220" s="518" t="str">
        <f t="array" ref="R220">XLOOKUP(LCARS_Off[AbilityID],RawOfficer[AbilityID],RawOfficer[Tag_Loot])</f>
        <v>➖</v>
      </c>
      <c r="S220" s="516" t="str">
        <f t="array" ref="S220">XLOOKUP(LCARS_Off[AbilityID],RawOfficer[AbilityID],RawOfficer[Tag_Utility])</f>
        <v>✅</v>
      </c>
      <c r="T220" s="429" t="str">
        <f t="array" ref="T220">XLOOKUP(LCARS_Off[AbilityID],RawOfficer[AbilityID],RawOfficer[OfficerSynergy])</f>
        <v>DISCOVERY CREW</v>
      </c>
      <c r="U220" s="519" t="str">
        <f t="array" ref="U220">XLOOKUP(LCARS_Off[AbilityID],RawOfficer[AbilityID],RawOfficer[AbilityModifier])</f>
        <v>ImpulseSpeed</v>
      </c>
      <c r="V220" s="519" t="str">
        <f t="array" ref="V220">XLOOKUP(LCARS_Off[AbilityID],RawOfficer[AbilityID],RawOfficer[AbilityAttributes])</f>
        <v/>
      </c>
      <c r="W220" s="520" t="str">
        <f t="array" ref="W220">XLOOKUP(LCARS_Off[AbilityID],RawOfficer[AbilityID],RawOfficer[AbilityConditions])</f>
        <v/>
      </c>
      <c r="X220" s="519" t="str">
        <f t="array" ref="X220">XLOOKUP(LCARS_Off[AbilityID],RawOfficer[AbilityID],RawOfficer[AbilityTrigger])</f>
        <v>ShipLaunched</v>
      </c>
      <c r="Y220" s="519" t="str">
        <f t="array" ref="Y220">XLOOKUP(LCARS_Off[AbilityID],RawOfficer[AbilityID],RawOfficer[AbilityTarget])</f>
        <v>SelfShip</v>
      </c>
      <c r="Z220" s="519" t="str">
        <f t="array" ref="Z220">XLOOKUP(LCARS_Off[AbilityID],RawOfficer[AbilityID],RawOfficer[AbilityOperation])</f>
        <v>Add</v>
      </c>
      <c r="AA220" s="521" t="str">
        <f t="array" ref="AA220">XLOOKUP(LCARS_Off[AbilityID],RawOfficer[AbilityID],RawOfficer[AbilityDescription])</f>
        <v>Michael Burnham increases the Impulse Speed of the ship by X.</v>
      </c>
      <c r="AB220" s="429" t="b">
        <v>0</v>
      </c>
      <c r="AC220" s="522" t="str">
        <f t="array" ref="AC220">XLOOKUP(LCARS_Off[AbilityID],RawOfficer[AbilityID],RawOfficer[AbilityDescriptionShort])</f>
        <v>+X to Impulse Speed</v>
      </c>
      <c r="AD220" s="523"/>
      <c r="AE220" s="524"/>
      <c r="AF220" s="524"/>
      <c r="AG220" s="525" t="str">
        <f t="array" ref="AG220">XLOOKUP(LCARS_Off[AbilityID],RawOfficer[AbilityID],RawOfficer[AbilityChances])</f>
        <v>1.0, 1.0, 1.0</v>
      </c>
      <c r="AH220" s="525" t="str">
        <f t="array" ref="AH220">XLOOKUP(LCARS_Off[AbilityID],RawOfficer[AbilityID],RawOfficer[AbilityValues])</f>
        <v>15.0, 5.0, 10.0</v>
      </c>
      <c r="AI220" s="428" t="b">
        <f t="array" ref="AI220">XLOOKUP(LCARS_Off[AbilityID],RawOfficer[AbilityID],RawOfficer[AbilityHasChance])</f>
        <v>0</v>
      </c>
      <c r="AJ220" s="428" t="b">
        <f t="array" ref="AJ220">XLOOKUP(LCARS_Off[AbilityID],RawOfficer[AbilityID],RawOfficer[AbilityShowPercentage])</f>
        <v>0</v>
      </c>
      <c r="AK220" s="429">
        <f t="array" ref="AK220">XLOOKUP(LCARS_Off[AbilityID],RawOfficer[AbilityID],RawOfficer[OfficerArt])</f>
        <v>131</v>
      </c>
      <c r="AL220" s="430">
        <v>3.309231106E9</v>
      </c>
      <c r="AM220" s="430">
        <f t="array" ref="AM220">XLOOKUP(LCARS_Off[AbilityID],RawOfficer[AbilityID],RawOfficer[Default Order])</f>
        <v>217</v>
      </c>
    </row>
    <row r="221">
      <c r="A221" s="429" t="str">
        <f t="array" ref="A221">LEFT(XLOOKUP(LCARS_Off[AbilityID],RawOfficer[AbilityID],RawOfficer[OfficerRarity]), 1)</f>
        <v>E</v>
      </c>
      <c r="B221" s="429"/>
      <c r="C221" s="514" t="str">
        <f t="array" ref="C221">HYPERLINK("https://stfc.space/officers/" &amp; XLOOKUP(LCARS_Off[AbilityID],RawOfficer[AbilityID],RawOfficer[OfficerId]), XLOOKUP(LCARS_Off[AbilityID],RawOfficer[AbilityID],RawOfficer[OfficerName]))</f>
        <v>MICHAEL BURNHAM</v>
      </c>
      <c r="D221" s="515" t="str">
        <f t="array" ref="D221">XLOOKUP(LCARS_Off[AbilityID],RawOfficer[AbilityID],RawOfficer[AbilityType])</f>
        <v>OA</v>
      </c>
      <c r="E221" s="516" t="str">
        <f t="array" ref="E221">XLOOKUP(LCARS_Off[AbilityID],RawOfficer[AbilityID],RawOfficer[Tag_PvPinSpace])</f>
        <v>✅</v>
      </c>
      <c r="F221" s="516" t="str">
        <f t="array" ref="F221">XLOOKUP(LCARS_Off[AbilityID],RawOfficer[AbilityID],RawOfficer[Tag_PvPStation])</f>
        <v>✅</v>
      </c>
      <c r="G221" s="516" t="str">
        <f t="array" ref="G221">XLOOKUP(LCARS_Off[AbilityID],RawOfficer[AbilityID],RawOfficer[Tag_NonArmadaHostiles])</f>
        <v>➖</v>
      </c>
      <c r="H221" s="516" t="str">
        <f t="array" ref="H221">XLOOKUP(LCARS_Off[AbilityID],RawOfficer[AbilityID],RawOfficer[Tag_WaveDefense])</f>
        <v>➖</v>
      </c>
      <c r="I221" s="516" t="str">
        <f t="array" ref="I221">XLOOKUP(LCARS_Off[AbilityID],RawOfficer[AbilityID],RawOfficer[Tag_QTrial])</f>
        <v>➖</v>
      </c>
      <c r="J221" s="516" t="str">
        <f t="array" ref="J221">XLOOKUP(LCARS_Off[AbilityID],RawOfficer[AbilityID],RawOfficer[Tag_MissionBosses])</f>
        <v>➖</v>
      </c>
      <c r="K221" s="516" t="str">
        <f t="array" ref="K221">XLOOKUP(LCARS_Off[AbilityID],RawOfficer[AbilityID],RawOfficer[Tag_GroupArmadas])</f>
        <v>➖</v>
      </c>
      <c r="L221" s="516" t="str">
        <f t="array" ref="L221">XLOOKUP(LCARS_Off[AbilityID],RawOfficer[AbilityID],RawOfficer[Tag_SoloArmadas])</f>
        <v>➖</v>
      </c>
      <c r="M221" s="516" t="str">
        <f t="array" ref="M221">XLOOKUP(LCARS_Off[AbilityID],RawOfficer[AbilityID],RawOfficer[Tag_InvadingEntities])</f>
        <v>➖</v>
      </c>
      <c r="N221" s="516" t="str">
        <f t="array" ref="N221">XLOOKUP(LCARS_Off[AbilityID],RawOfficer[AbilityID],RawOfficer[Tag_Assaults])</f>
        <v>➖</v>
      </c>
      <c r="O221" s="516" t="str">
        <f t="array" ref="O221">XLOOKUP(LCARS_Off[AbilityID],RawOfficer[AbilityID],RawOfficer[Tag_OutpostArmadas])</f>
        <v>➖</v>
      </c>
      <c r="P221" s="516" t="str">
        <f t="array" ref="P221">XLOOKUP(LCARS_Off[AbilityID],RawOfficer[AbilityID],RawOfficer[Tag_OutpostRetaliators])</f>
        <v>➖</v>
      </c>
      <c r="Q221" s="517" t="str">
        <f t="array" ref="Q221">XLOOKUP(LCARS_Off[AbilityID],RawOfficer[AbilityID],RawOfficer[Conditional_Reason])</f>
        <v/>
      </c>
      <c r="R221" s="518" t="str">
        <f t="array" ref="R221">XLOOKUP(LCARS_Off[AbilityID],RawOfficer[AbilityID],RawOfficer[Tag_Loot])</f>
        <v>➖</v>
      </c>
      <c r="S221" s="516" t="str">
        <f t="array" ref="S221">XLOOKUP(LCARS_Off[AbilityID],RawOfficer[AbilityID],RawOfficer[Tag_Utility])</f>
        <v>➖</v>
      </c>
      <c r="T221" s="429" t="str">
        <f t="array" ref="T221">XLOOKUP(LCARS_Off[AbilityID],RawOfficer[AbilityID],RawOfficer[OfficerSynergy])</f>
        <v>DISCOVERY CREW</v>
      </c>
      <c r="U221" s="519" t="str">
        <f t="array" ref="U221">XLOOKUP(LCARS_Off[AbilityID],RawOfficer[AbilityID],RawOfficer[AbilityModifier])</f>
        <v>ShieldHPRepair</v>
      </c>
      <c r="V221" s="519" t="str">
        <f t="array" ref="V221">XLOOKUP(LCARS_Off[AbilityID],RawOfficer[AbilityID],RawOfficer[AbilityAttributes])</f>
        <v>officer_stat=1</v>
      </c>
      <c r="W221" s="520" t="str">
        <f t="array" ref="W221">XLOOKUP(LCARS_Off[AbilityID],RawOfficer[AbilityID],RawOfficer[AbilityConditions])</f>
        <v>EnemyPlayer</v>
      </c>
      <c r="X221" s="519" t="str">
        <f t="array" ref="X221">XLOOKUP(LCARS_Off[AbilityID],RawOfficer[AbilityID],RawOfficer[AbilityTrigger])</f>
        <v>HullDamageTaken</v>
      </c>
      <c r="Y221" s="519" t="str">
        <f t="array" ref="Y221">XLOOKUP(LCARS_Off[AbilityID],RawOfficer[AbilityID],RawOfficer[AbilityTarget])</f>
        <v>EnemyShip</v>
      </c>
      <c r="Z221" s="519" t="str">
        <f t="array" ref="Z221">XLOOKUP(LCARS_Off[AbilityID],RawOfficer[AbilityID],RawOfficer[AbilityOperation])</f>
        <v>MultiplyBaseSub</v>
      </c>
      <c r="AA221" s="521" t="str">
        <f t="array" ref="AA221">XLOOKUP(LCARS_Off[AbilityID],RawOfficer[AbilityID],RawOfficer[AbilityDescription])</f>
        <v>When fighting players, for each weapon attack that hits the opponent, Michael Burnham removes X of the total Attack of all Officers on your Ship from the opponent's Shield Health. -- (Weapons with multiple shots will only trigger this ability once per attack.)</v>
      </c>
      <c r="AB221" s="429" t="b">
        <v>0</v>
      </c>
      <c r="AC221" s="522" t="str">
        <f t="array" ref="AC221">XLOOKUP(LCARS_Off[AbilityID],RawOfficer[AbilityID],RawOfficer[AbilityDescriptionShort])</f>
        <v>X of Attack removed from opponent's SHP</v>
      </c>
      <c r="AD221" s="523"/>
      <c r="AE221" s="524"/>
      <c r="AF221" s="524"/>
      <c r="AG221" s="525" t="str">
        <f t="array" ref="AG221">XLOOKUP(LCARS_Off[AbilityID],RawOfficer[AbilityID],RawOfficer[AbilityChances])</f>
        <v>1.0, 1.0, 1.0, 1.0, 1.0</v>
      </c>
      <c r="AH221" s="525" t="str">
        <f t="array" ref="AH221">XLOOKUP(LCARS_Off[AbilityID],RawOfficer[AbilityID],RawOfficer[AbilityValues])</f>
        <v>0.3, 0.55, 0.85, 3.0, 4.5</v>
      </c>
      <c r="AI221" s="428" t="b">
        <f t="array" ref="AI221">XLOOKUP(LCARS_Off[AbilityID],RawOfficer[AbilityID],RawOfficer[AbilityHasChance])</f>
        <v>0</v>
      </c>
      <c r="AJ221" s="428" t="b">
        <f t="array" ref="AJ221">XLOOKUP(LCARS_Off[AbilityID],RawOfficer[AbilityID],RawOfficer[AbilityShowPercentage])</f>
        <v>1</v>
      </c>
      <c r="AK221" s="429">
        <f t="array" ref="AK221">XLOOKUP(LCARS_Off[AbilityID],RawOfficer[AbilityID],RawOfficer[OfficerArt])</f>
        <v>131</v>
      </c>
      <c r="AL221" s="430">
        <v>2.958606151E9</v>
      </c>
      <c r="AM221" s="430">
        <f t="array" ref="AM221">XLOOKUP(LCARS_Off[AbilityID],RawOfficer[AbilityID],RawOfficer[Default Order])</f>
        <v>218</v>
      </c>
    </row>
    <row r="222">
      <c r="A222" s="429" t="str">
        <f t="array" ref="A222">LEFT(XLOOKUP(LCARS_Off[AbilityID],RawOfficer[AbilityID],RawOfficer[OfficerRarity]), 1)</f>
        <v>R</v>
      </c>
      <c r="B222" s="429"/>
      <c r="C222" s="514" t="str">
        <f t="array" ref="C222">HYPERLINK("https://stfc.space/officers/" &amp; XLOOKUP(LCARS_Off[AbilityID],RawOfficer[AbilityID],RawOfficer[OfficerId]), XLOOKUP(LCARS_Off[AbilityID],RawOfficer[AbilityID],RawOfficer[OfficerName]))</f>
        <v>SARU</v>
      </c>
      <c r="D222" s="515" t="str">
        <f t="array" ref="D222">XLOOKUP(LCARS_Off[AbilityID],RawOfficer[AbilityID],RawOfficer[AbilityType])</f>
        <v>CM</v>
      </c>
      <c r="E222" s="516" t="str">
        <f t="array" ref="E222">XLOOKUP(LCARS_Off[AbilityID],RawOfficer[AbilityID],RawOfficer[Tag_PvPinSpace])</f>
        <v>✅</v>
      </c>
      <c r="F222" s="516" t="str">
        <f t="array" ref="F222">XLOOKUP(LCARS_Off[AbilityID],RawOfficer[AbilityID],RawOfficer[Tag_PvPStation])</f>
        <v>✅</v>
      </c>
      <c r="G222" s="516" t="str">
        <f t="array" ref="G222">XLOOKUP(LCARS_Off[AbilityID],RawOfficer[AbilityID],RawOfficer[Tag_NonArmadaHostiles])</f>
        <v>➖</v>
      </c>
      <c r="H222" s="516" t="str">
        <f t="array" ref="H222">XLOOKUP(LCARS_Off[AbilityID],RawOfficer[AbilityID],RawOfficer[Tag_WaveDefense])</f>
        <v>➖</v>
      </c>
      <c r="I222" s="516" t="str">
        <f t="array" ref="I222">XLOOKUP(LCARS_Off[AbilityID],RawOfficer[AbilityID],RawOfficer[Tag_QTrial])</f>
        <v>➖</v>
      </c>
      <c r="J222" s="516" t="str">
        <f t="array" ref="J222">XLOOKUP(LCARS_Off[AbilityID],RawOfficer[AbilityID],RawOfficer[Tag_MissionBosses])</f>
        <v>➖</v>
      </c>
      <c r="K222" s="516" t="str">
        <f t="array" ref="K222">XLOOKUP(LCARS_Off[AbilityID],RawOfficer[AbilityID],RawOfficer[Tag_GroupArmadas])</f>
        <v>➖</v>
      </c>
      <c r="L222" s="516" t="str">
        <f t="array" ref="L222">XLOOKUP(LCARS_Off[AbilityID],RawOfficer[AbilityID],RawOfficer[Tag_SoloArmadas])</f>
        <v>➖</v>
      </c>
      <c r="M222" s="516" t="str">
        <f t="array" ref="M222">XLOOKUP(LCARS_Off[AbilityID],RawOfficer[AbilityID],RawOfficer[Tag_InvadingEntities])</f>
        <v>➖</v>
      </c>
      <c r="N222" s="516" t="str">
        <f t="array" ref="N222">XLOOKUP(LCARS_Off[AbilityID],RawOfficer[AbilityID],RawOfficer[Tag_Assaults])</f>
        <v>➖</v>
      </c>
      <c r="O222" s="516" t="str">
        <f t="array" ref="O222">XLOOKUP(LCARS_Off[AbilityID],RawOfficer[AbilityID],RawOfficer[Tag_OutpostArmadas])</f>
        <v>➖</v>
      </c>
      <c r="P222" s="516" t="str">
        <f t="array" ref="P222">XLOOKUP(LCARS_Off[AbilityID],RawOfficer[AbilityID],RawOfficer[Tag_OutpostRetaliators])</f>
        <v>➖</v>
      </c>
      <c r="Q222" s="517" t="str">
        <f t="array" ref="Q222">XLOOKUP(LCARS_Off[AbilityID],RawOfficer[AbilityID],RawOfficer[Conditional_Reason])</f>
        <v/>
      </c>
      <c r="R222" s="518" t="str">
        <f t="array" ref="R222">XLOOKUP(LCARS_Off[AbilityID],RawOfficer[AbilityID],RawOfficer[Tag_Loot])</f>
        <v>➖</v>
      </c>
      <c r="S222" s="516" t="str">
        <f t="array" ref="S222">XLOOKUP(LCARS_Off[AbilityID],RawOfficer[AbilityID],RawOfficer[Tag_Utility])</f>
        <v>➖</v>
      </c>
      <c r="T222" s="429" t="str">
        <f t="array" ref="T222">XLOOKUP(LCARS_Off[AbilityID],RawOfficer[AbilityID],RawOfficer[OfficerSynergy])</f>
        <v>DISCOVERY CREW</v>
      </c>
      <c r="U222" s="519" t="str">
        <f t="array" ref="U222">XLOOKUP(LCARS_Off[AbilityID],RawOfficer[AbilityID],RawOfficer[AbilityModifier])</f>
        <v>CritChance</v>
      </c>
      <c r="V222" s="519" t="str">
        <f t="array" ref="V222">XLOOKUP(LCARS_Off[AbilityID],RawOfficer[AbilityID],RawOfficer[AbilityAttributes])</f>
        <v/>
      </c>
      <c r="W222" s="520" t="str">
        <f t="array" ref="W222">XLOOKUP(LCARS_Off[AbilityID],RawOfficer[AbilityID],RawOfficer[AbilityConditions])</f>
        <v>EnemyPlayer</v>
      </c>
      <c r="X222" s="519" t="str">
        <f t="array" ref="X222">XLOOKUP(LCARS_Off[AbilityID],RawOfficer[AbilityID],RawOfficer[AbilityTrigger])</f>
        <v>CriticalShotTaken</v>
      </c>
      <c r="Y222" s="519" t="str">
        <f t="array" ref="Y222">XLOOKUP(LCARS_Off[AbilityID],RawOfficer[AbilityID],RawOfficer[AbilityTarget])</f>
        <v>EnemyShip</v>
      </c>
      <c r="Z222" s="519" t="str">
        <f t="array" ref="Z222">XLOOKUP(LCARS_Off[AbilityID],RawOfficer[AbilityID],RawOfficer[AbilityOperation])</f>
        <v>Sub</v>
      </c>
      <c r="AA222" s="521" t="str">
        <f t="array" ref="AA222">XLOOKUP(LCARS_Off[AbilityID],RawOfficer[AbilityID],RawOfficer[AbilityDescription])</f>
        <v>When fighting players, every time your ship is hit by a Critical Hit, Saru decreases the Critical Hit Chance of the opponent's ship by X.</v>
      </c>
      <c r="AB222" s="429" t="b">
        <v>0</v>
      </c>
      <c r="AC222" s="522" t="str">
        <f t="array" ref="AC222">XLOOKUP(LCARS_Off[AbilityID],RawOfficer[AbilityID],RawOfficer[AbilityDescriptionShort])</f>
        <v>-X to opponent's Critical Hit Chance when receiving a Critical Hit.</v>
      </c>
      <c r="AD222" s="523"/>
      <c r="AE222" s="524"/>
      <c r="AF222" s="524"/>
      <c r="AG222" s="525" t="str">
        <f t="array" ref="AG222">XLOOKUP(LCARS_Off[AbilityID],RawOfficer[AbilityID],RawOfficer[AbilityChances])</f>
        <v>1.0, 1.0, 1.0</v>
      </c>
      <c r="AH222" s="525" t="str">
        <f t="array" ref="AH222">XLOOKUP(LCARS_Off[AbilityID],RawOfficer[AbilityID],RawOfficer[AbilityValues])</f>
        <v>0.1, 0.05, 0.1</v>
      </c>
      <c r="AI222" s="428" t="b">
        <f t="array" ref="AI222">XLOOKUP(LCARS_Off[AbilityID],RawOfficer[AbilityID],RawOfficer[AbilityHasChance])</f>
        <v>0</v>
      </c>
      <c r="AJ222" s="428" t="b">
        <f t="array" ref="AJ222">XLOOKUP(LCARS_Off[AbilityID],RawOfficer[AbilityID],RawOfficer[AbilityShowPercentage])</f>
        <v>1</v>
      </c>
      <c r="AK222" s="429">
        <f t="array" ref="AK222">XLOOKUP(LCARS_Off[AbilityID],RawOfficer[AbilityID],RawOfficer[OfficerArt])</f>
        <v>132</v>
      </c>
      <c r="AL222" s="430">
        <v>9.65390436E8</v>
      </c>
      <c r="AM222" s="430">
        <f t="array" ref="AM222">XLOOKUP(LCARS_Off[AbilityID],RawOfficer[AbilityID],RawOfficer[Default Order])</f>
        <v>219</v>
      </c>
    </row>
    <row r="223">
      <c r="A223" s="429" t="str">
        <f t="array" ref="A223">LEFT(XLOOKUP(LCARS_Off[AbilityID],RawOfficer[AbilityID],RawOfficer[OfficerRarity]), 1)</f>
        <v>R</v>
      </c>
      <c r="B223" s="429"/>
      <c r="C223" s="514" t="str">
        <f t="array" ref="C223">HYPERLINK("https://stfc.space/officers/" &amp; XLOOKUP(LCARS_Off[AbilityID],RawOfficer[AbilityID],RawOfficer[OfficerId]), XLOOKUP(LCARS_Off[AbilityID],RawOfficer[AbilityID],RawOfficer[OfficerName]))</f>
        <v>SARU</v>
      </c>
      <c r="D223" s="515" t="str">
        <f t="array" ref="D223">XLOOKUP(LCARS_Off[AbilityID],RawOfficer[AbilityID],RawOfficer[AbilityType])</f>
        <v>OA</v>
      </c>
      <c r="E223" s="516" t="str">
        <f t="array" ref="E223">XLOOKUP(LCARS_Off[AbilityID],RawOfficer[AbilityID],RawOfficer[Tag_PvPinSpace])</f>
        <v>✅</v>
      </c>
      <c r="F223" s="516" t="str">
        <f t="array" ref="F223">XLOOKUP(LCARS_Off[AbilityID],RawOfficer[AbilityID],RawOfficer[Tag_PvPStation])</f>
        <v>✅</v>
      </c>
      <c r="G223" s="516" t="str">
        <f t="array" ref="G223">XLOOKUP(LCARS_Off[AbilityID],RawOfficer[AbilityID],RawOfficer[Tag_NonArmadaHostiles])</f>
        <v>➖</v>
      </c>
      <c r="H223" s="516" t="str">
        <f t="array" ref="H223">XLOOKUP(LCARS_Off[AbilityID],RawOfficer[AbilityID],RawOfficer[Tag_WaveDefense])</f>
        <v>➖</v>
      </c>
      <c r="I223" s="516" t="str">
        <f t="array" ref="I223">XLOOKUP(LCARS_Off[AbilityID],RawOfficer[AbilityID],RawOfficer[Tag_QTrial])</f>
        <v>➖</v>
      </c>
      <c r="J223" s="516" t="str">
        <f t="array" ref="J223">XLOOKUP(LCARS_Off[AbilityID],RawOfficer[AbilityID],RawOfficer[Tag_MissionBosses])</f>
        <v>➖</v>
      </c>
      <c r="K223" s="516" t="str">
        <f t="array" ref="K223">XLOOKUP(LCARS_Off[AbilityID],RawOfficer[AbilityID],RawOfficer[Tag_GroupArmadas])</f>
        <v>➖</v>
      </c>
      <c r="L223" s="516" t="str">
        <f t="array" ref="L223">XLOOKUP(LCARS_Off[AbilityID],RawOfficer[AbilityID],RawOfficer[Tag_SoloArmadas])</f>
        <v>➖</v>
      </c>
      <c r="M223" s="516" t="str">
        <f t="array" ref="M223">XLOOKUP(LCARS_Off[AbilityID],RawOfficer[AbilityID],RawOfficer[Tag_InvadingEntities])</f>
        <v>➖</v>
      </c>
      <c r="N223" s="516" t="str">
        <f t="array" ref="N223">XLOOKUP(LCARS_Off[AbilityID],RawOfficer[AbilityID],RawOfficer[Tag_Assaults])</f>
        <v>➖</v>
      </c>
      <c r="O223" s="516" t="str">
        <f t="array" ref="O223">XLOOKUP(LCARS_Off[AbilityID],RawOfficer[AbilityID],RawOfficer[Tag_OutpostArmadas])</f>
        <v>➖</v>
      </c>
      <c r="P223" s="516" t="str">
        <f t="array" ref="P223">XLOOKUP(LCARS_Off[AbilityID],RawOfficer[AbilityID],RawOfficer[Tag_OutpostRetaliators])</f>
        <v>➖</v>
      </c>
      <c r="Q223" s="517" t="str">
        <f t="array" ref="Q223">XLOOKUP(LCARS_Off[AbilityID],RawOfficer[AbilityID],RawOfficer[Conditional_Reason])</f>
        <v/>
      </c>
      <c r="R223" s="518" t="str">
        <f t="array" ref="R223">XLOOKUP(LCARS_Off[AbilityID],RawOfficer[AbilityID],RawOfficer[Tag_Loot])</f>
        <v>➖</v>
      </c>
      <c r="S223" s="516" t="str">
        <f t="array" ref="S223">XLOOKUP(LCARS_Off[AbilityID],RawOfficer[AbilityID],RawOfficer[Tag_Utility])</f>
        <v>➖</v>
      </c>
      <c r="T223" s="429" t="str">
        <f t="array" ref="T223">XLOOKUP(LCARS_Off[AbilityID],RawOfficer[AbilityID],RawOfficer[OfficerSynergy])</f>
        <v>DISCOVERY CREW</v>
      </c>
      <c r="U223" s="519" t="str">
        <f t="array" ref="U223">XLOOKUP(LCARS_Off[AbilityID],RawOfficer[AbilityID],RawOfficer[AbilityModifier])</f>
        <v>AllDamage</v>
      </c>
      <c r="V223" s="519" t="str">
        <f t="array" ref="V223">XLOOKUP(LCARS_Off[AbilityID],RawOfficer[AbilityID],RawOfficer[AbilityAttributes])</f>
        <v/>
      </c>
      <c r="W223" s="520" t="str">
        <f t="array" ref="W223">XLOOKUP(LCARS_Off[AbilityID],RawOfficer[AbilityID],RawOfficer[AbilityConditions])</f>
        <v>EnemyPlayer</v>
      </c>
      <c r="X223" s="519" t="str">
        <f t="array" ref="X223">XLOOKUP(LCARS_Off[AbilityID],RawOfficer[AbilityID],RawOfficer[AbilityTrigger])</f>
        <v>CombatStart</v>
      </c>
      <c r="Y223" s="519" t="str">
        <f t="array" ref="Y223">XLOOKUP(LCARS_Off[AbilityID],RawOfficer[AbilityID],RawOfficer[AbilityTarget])</f>
        <v>EnemyShip</v>
      </c>
      <c r="Z223" s="519" t="str">
        <f t="array" ref="Z223">XLOOKUP(LCARS_Off[AbilityID],RawOfficer[AbilityID],RawOfficer[AbilityOperation])</f>
        <v>MultiplySub</v>
      </c>
      <c r="AA223" s="521" t="str">
        <f t="array" ref="AA223">XLOOKUP(LCARS_Off[AbilityID],RawOfficer[AbilityID],RawOfficer[AbilityDescription])</f>
        <v>When fighting players, Saru decreases the opponent's weapon damage by X.</v>
      </c>
      <c r="AB223" s="429" t="b">
        <v>0</v>
      </c>
      <c r="AC223" s="522" t="str">
        <f t="array" ref="AC223">XLOOKUP(LCARS_Off[AbilityID],RawOfficer[AbilityID],RawOfficer[AbilityDescriptionShort])</f>
        <v>-X to opponent's weapon damage</v>
      </c>
      <c r="AD223" s="523"/>
      <c r="AE223" s="524"/>
      <c r="AF223" s="524"/>
      <c r="AG223" s="525" t="str">
        <f t="array" ref="AG223">XLOOKUP(LCARS_Off[AbilityID],RawOfficer[AbilityID],RawOfficer[AbilityChances])</f>
        <v>1.0, 1.0, 1.0, 1.0, 1.0</v>
      </c>
      <c r="AH223" s="525" t="str">
        <f t="array" ref="AH223">XLOOKUP(LCARS_Off[AbilityID],RawOfficer[AbilityID],RawOfficer[AbilityValues])</f>
        <v>0.3, 0.4, 0.5, 0.6, 0.7</v>
      </c>
      <c r="AI223" s="428" t="b">
        <f t="array" ref="AI223">XLOOKUP(LCARS_Off[AbilityID],RawOfficer[AbilityID],RawOfficer[AbilityHasChance])</f>
        <v>0</v>
      </c>
      <c r="AJ223" s="428" t="b">
        <f t="array" ref="AJ223">XLOOKUP(LCARS_Off[AbilityID],RawOfficer[AbilityID],RawOfficer[AbilityShowPercentage])</f>
        <v>1</v>
      </c>
      <c r="AK223" s="429">
        <f t="array" ref="AK223">XLOOKUP(LCARS_Off[AbilityID],RawOfficer[AbilityID],RawOfficer[OfficerArt])</f>
        <v>132</v>
      </c>
      <c r="AL223" s="430">
        <v>2.273274943E9</v>
      </c>
      <c r="AM223" s="430">
        <f t="array" ref="AM223">XLOOKUP(LCARS_Off[AbilityID],RawOfficer[AbilityID],RawOfficer[Default Order])</f>
        <v>220</v>
      </c>
    </row>
    <row r="224">
      <c r="A224" s="429" t="str">
        <f t="array" ref="A224">LEFT(XLOOKUP(LCARS_Off[AbilityID],RawOfficer[AbilityID],RawOfficer[OfficerRarity]), 1)</f>
        <v>R</v>
      </c>
      <c r="B224" s="429"/>
      <c r="C224" s="514" t="str">
        <f t="array" ref="C224">HYPERLINK("https://stfc.space/officers/" &amp; XLOOKUP(LCARS_Off[AbilityID],RawOfficer[AbilityID],RawOfficer[OfficerId]), XLOOKUP(LCARS_Off[AbilityID],RawOfficer[AbilityID],RawOfficer[OfficerName]))</f>
        <v>PAUL STAMETS</v>
      </c>
      <c r="D224" s="515" t="str">
        <f t="array" ref="D224">XLOOKUP(LCARS_Off[AbilityID],RawOfficer[AbilityID],RawOfficer[AbilityType])</f>
        <v>CM</v>
      </c>
      <c r="E224" s="516" t="str">
        <f t="array" ref="E224">XLOOKUP(LCARS_Off[AbilityID],RawOfficer[AbilityID],RawOfficer[Tag_PvPinSpace])</f>
        <v>➖</v>
      </c>
      <c r="F224" s="516" t="str">
        <f t="array" ref="F224">XLOOKUP(LCARS_Off[AbilityID],RawOfficer[AbilityID],RawOfficer[Tag_PvPStation])</f>
        <v>➖</v>
      </c>
      <c r="G224" s="516" t="str">
        <f t="array" ref="G224">XLOOKUP(LCARS_Off[AbilityID],RawOfficer[AbilityID],RawOfficer[Tag_NonArmadaHostiles])</f>
        <v>➖</v>
      </c>
      <c r="H224" s="516" t="str">
        <f t="array" ref="H224">XLOOKUP(LCARS_Off[AbilityID],RawOfficer[AbilityID],RawOfficer[Tag_WaveDefense])</f>
        <v>➖</v>
      </c>
      <c r="I224" s="516" t="str">
        <f t="array" ref="I224">XLOOKUP(LCARS_Off[AbilityID],RawOfficer[AbilityID],RawOfficer[Tag_QTrial])</f>
        <v>➖</v>
      </c>
      <c r="J224" s="516" t="str">
        <f t="array" ref="J224">XLOOKUP(LCARS_Off[AbilityID],RawOfficer[AbilityID],RawOfficer[Tag_MissionBosses])</f>
        <v>➖</v>
      </c>
      <c r="K224" s="516" t="str">
        <f t="array" ref="K224">XLOOKUP(LCARS_Off[AbilityID],RawOfficer[AbilityID],RawOfficer[Tag_GroupArmadas])</f>
        <v>➖</v>
      </c>
      <c r="L224" s="516" t="str">
        <f t="array" ref="L224">XLOOKUP(LCARS_Off[AbilityID],RawOfficer[AbilityID],RawOfficer[Tag_SoloArmadas])</f>
        <v>➖</v>
      </c>
      <c r="M224" s="516" t="str">
        <f t="array" ref="M224">XLOOKUP(LCARS_Off[AbilityID],RawOfficer[AbilityID],RawOfficer[Tag_InvadingEntities])</f>
        <v>➖</v>
      </c>
      <c r="N224" s="516" t="str">
        <f t="array" ref="N224">XLOOKUP(LCARS_Off[AbilityID],RawOfficer[AbilityID],RawOfficer[Tag_Assaults])</f>
        <v>➖</v>
      </c>
      <c r="O224" s="516" t="str">
        <f t="array" ref="O224">XLOOKUP(LCARS_Off[AbilityID],RawOfficer[AbilityID],RawOfficer[Tag_OutpostArmadas])</f>
        <v>➖</v>
      </c>
      <c r="P224" s="516" t="str">
        <f t="array" ref="P224">XLOOKUP(LCARS_Off[AbilityID],RawOfficer[AbilityID],RawOfficer[Tag_OutpostRetaliators])</f>
        <v>➖</v>
      </c>
      <c r="Q224" s="517" t="str">
        <f t="array" ref="Q224">XLOOKUP(LCARS_Off[AbilityID],RawOfficer[AbilityID],RawOfficer[Conditional_Reason])</f>
        <v/>
      </c>
      <c r="R224" s="518" t="str">
        <f t="array" ref="R224">XLOOKUP(LCARS_Off[AbilityID],RawOfficer[AbilityID],RawOfficer[Tag_Loot])</f>
        <v>➖</v>
      </c>
      <c r="S224" s="516" t="str">
        <f t="array" ref="S224">XLOOKUP(LCARS_Off[AbilityID],RawOfficer[AbilityID],RawOfficer[Tag_Utility])</f>
        <v>✅</v>
      </c>
      <c r="T224" s="429" t="str">
        <f t="array" ref="T224">XLOOKUP(LCARS_Off[AbilityID],RawOfficer[AbilityID],RawOfficer[OfficerSynergy])</f>
        <v>DISCOVERY CREW</v>
      </c>
      <c r="U224" s="519" t="str">
        <f t="array" ref="U224">XLOOKUP(LCARS_Off[AbilityID],RawOfficer[AbilityID],RawOfficer[AbilityModifier])</f>
        <v>JumpAndTowCostEff</v>
      </c>
      <c r="V224" s="519" t="str">
        <f t="array" ref="V224">XLOOKUP(LCARS_Off[AbilityID],RawOfficer[AbilityID],RawOfficer[AbilityAttributes])</f>
        <v/>
      </c>
      <c r="W224" s="520" t="str">
        <f t="array" ref="W224">XLOOKUP(LCARS_Off[AbilityID],RawOfficer[AbilityID],RawOfficer[AbilityConditions])</f>
        <v>SelfHullDiscovery</v>
      </c>
      <c r="X224" s="519" t="str">
        <f t="array" ref="X224">XLOOKUP(LCARS_Off[AbilityID],RawOfficer[AbilityID],RawOfficer[AbilityTrigger])</f>
        <v>ShipLaunched</v>
      </c>
      <c r="Y224" s="519" t="str">
        <f t="array" ref="Y224">XLOOKUP(LCARS_Off[AbilityID],RawOfficer[AbilityID],RawOfficer[AbilityTarget])</f>
        <v>SelfShip</v>
      </c>
      <c r="Z224" s="519" t="str">
        <f t="array" ref="Z224">XLOOKUP(LCARS_Off[AbilityID],RawOfficer[AbilityID],RawOfficer[AbilityOperation])</f>
        <v>MultiplyAdd</v>
      </c>
      <c r="AA224" s="521" t="str">
        <f t="array" ref="AA224">XLOOKUP(LCARS_Off[AbilityID],RawOfficer[AbilityID],RawOfficer[AbilityDescription])</f>
        <v>Stamets increases the Cost Efficiency of Jumping and Summoning with the Discovery by X.</v>
      </c>
      <c r="AB224" s="429" t="b">
        <v>0</v>
      </c>
      <c r="AC224" s="522" t="str">
        <f t="array" ref="AC224">XLOOKUP(LCARS_Off[AbilityID],RawOfficer[AbilityID],RawOfficer[AbilityDescriptionShort])</f>
        <v>+X to Jumping and Summoning Cost Efficiency</v>
      </c>
      <c r="AD224" s="523"/>
      <c r="AE224" s="524"/>
      <c r="AF224" s="524"/>
      <c r="AG224" s="525" t="str">
        <f t="array" ref="AG224">XLOOKUP(LCARS_Off[AbilityID],RawOfficer[AbilityID],RawOfficer[AbilityChances])</f>
        <v>1.0, 1.0, 1.0</v>
      </c>
      <c r="AH224" s="525" t="str">
        <f t="array" ref="AH224">XLOOKUP(LCARS_Off[AbilityID],RawOfficer[AbilityID],RawOfficer[AbilityValues])</f>
        <v>0.2, 0.02, 0.03</v>
      </c>
      <c r="AI224" s="428" t="b">
        <f t="array" ref="AI224">XLOOKUP(LCARS_Off[AbilityID],RawOfficer[AbilityID],RawOfficer[AbilityHasChance])</f>
        <v>0</v>
      </c>
      <c r="AJ224" s="428" t="b">
        <f t="array" ref="AJ224">XLOOKUP(LCARS_Off[AbilityID],RawOfficer[AbilityID],RawOfficer[AbilityShowPercentage])</f>
        <v>1</v>
      </c>
      <c r="AK224" s="429">
        <f t="array" ref="AK224">XLOOKUP(LCARS_Off[AbilityID],RawOfficer[AbilityID],RawOfficer[OfficerArt])</f>
        <v>133</v>
      </c>
      <c r="AL224" s="430">
        <v>1.584210106E9</v>
      </c>
      <c r="AM224" s="430">
        <f t="array" ref="AM224">XLOOKUP(LCARS_Off[AbilityID],RawOfficer[AbilityID],RawOfficer[Default Order])</f>
        <v>221</v>
      </c>
    </row>
    <row r="225">
      <c r="A225" s="429" t="str">
        <f t="array" ref="A225">LEFT(XLOOKUP(LCARS_Off[AbilityID],RawOfficer[AbilityID],RawOfficer[OfficerRarity]), 1)</f>
        <v>R</v>
      </c>
      <c r="B225" s="429"/>
      <c r="C225" s="514" t="str">
        <f t="array" ref="C225">HYPERLINK("https://stfc.space/officers/" &amp; XLOOKUP(LCARS_Off[AbilityID],RawOfficer[AbilityID],RawOfficer[OfficerId]), XLOOKUP(LCARS_Off[AbilityID],RawOfficer[AbilityID],RawOfficer[OfficerName]))</f>
        <v>PAUL STAMETS</v>
      </c>
      <c r="D225" s="515" t="str">
        <f t="array" ref="D225">XLOOKUP(LCARS_Off[AbilityID],RawOfficer[AbilityID],RawOfficer[AbilityType])</f>
        <v>OA</v>
      </c>
      <c r="E225" s="516" t="str">
        <f t="array" ref="E225">XLOOKUP(LCARS_Off[AbilityID],RawOfficer[AbilityID],RawOfficer[Tag_PvPinSpace])</f>
        <v>✅</v>
      </c>
      <c r="F225" s="516" t="str">
        <f t="array" ref="F225">XLOOKUP(LCARS_Off[AbilityID],RawOfficer[AbilityID],RawOfficer[Tag_PvPStation])</f>
        <v>✅</v>
      </c>
      <c r="G225" s="516" t="str">
        <f t="array" ref="G225">XLOOKUP(LCARS_Off[AbilityID],RawOfficer[AbilityID],RawOfficer[Tag_NonArmadaHostiles])</f>
        <v>➖</v>
      </c>
      <c r="H225" s="516" t="str">
        <f t="array" ref="H225">XLOOKUP(LCARS_Off[AbilityID],RawOfficer[AbilityID],RawOfficer[Tag_WaveDefense])</f>
        <v>➖</v>
      </c>
      <c r="I225" s="516" t="str">
        <f t="array" ref="I225">XLOOKUP(LCARS_Off[AbilityID],RawOfficer[AbilityID],RawOfficer[Tag_QTrial])</f>
        <v>➖</v>
      </c>
      <c r="J225" s="516" t="str">
        <f t="array" ref="J225">XLOOKUP(LCARS_Off[AbilityID],RawOfficer[AbilityID],RawOfficer[Tag_MissionBosses])</f>
        <v>➖</v>
      </c>
      <c r="K225" s="516" t="str">
        <f t="array" ref="K225">XLOOKUP(LCARS_Off[AbilityID],RawOfficer[AbilityID],RawOfficer[Tag_GroupArmadas])</f>
        <v>➖</v>
      </c>
      <c r="L225" s="516" t="str">
        <f t="array" ref="L225">XLOOKUP(LCARS_Off[AbilityID],RawOfficer[AbilityID],RawOfficer[Tag_SoloArmadas])</f>
        <v>➖</v>
      </c>
      <c r="M225" s="516" t="str">
        <f t="array" ref="M225">XLOOKUP(LCARS_Off[AbilityID],RawOfficer[AbilityID],RawOfficer[Tag_InvadingEntities])</f>
        <v>➖</v>
      </c>
      <c r="N225" s="516" t="str">
        <f t="array" ref="N225">XLOOKUP(LCARS_Off[AbilityID],RawOfficer[AbilityID],RawOfficer[Tag_Assaults])</f>
        <v>➖</v>
      </c>
      <c r="O225" s="516" t="str">
        <f t="array" ref="O225">XLOOKUP(LCARS_Off[AbilityID],RawOfficer[AbilityID],RawOfficer[Tag_OutpostArmadas])</f>
        <v>➖</v>
      </c>
      <c r="P225" s="516" t="str">
        <f t="array" ref="P225">XLOOKUP(LCARS_Off[AbilityID],RawOfficer[AbilityID],RawOfficer[Tag_OutpostRetaliators])</f>
        <v>➖</v>
      </c>
      <c r="Q225" s="517" t="str">
        <f t="array" ref="Q225">XLOOKUP(LCARS_Off[AbilityID],RawOfficer[AbilityID],RawOfficer[Conditional_Reason])</f>
        <v/>
      </c>
      <c r="R225" s="518" t="str">
        <f t="array" ref="R225">XLOOKUP(LCARS_Off[AbilityID],RawOfficer[AbilityID],RawOfficer[Tag_Loot])</f>
        <v>➖</v>
      </c>
      <c r="S225" s="516" t="str">
        <f t="array" ref="S225">XLOOKUP(LCARS_Off[AbilityID],RawOfficer[AbilityID],RawOfficer[Tag_Utility])</f>
        <v>➖</v>
      </c>
      <c r="T225" s="429" t="str">
        <f t="array" ref="T225">XLOOKUP(LCARS_Off[AbilityID],RawOfficer[AbilityID],RawOfficer[OfficerSynergy])</f>
        <v>DISCOVERY CREW</v>
      </c>
      <c r="U225" s="519" t="str">
        <f t="array" ref="U225">XLOOKUP(LCARS_Off[AbilityID],RawOfficer[AbilityID],RawOfficer[AbilityModifier])</f>
        <v>ArmorPiercing</v>
      </c>
      <c r="V225" s="519" t="str">
        <f t="array" ref="V225">XLOOKUP(LCARS_Off[AbilityID],RawOfficer[AbilityID],RawOfficer[AbilityAttributes])</f>
        <v/>
      </c>
      <c r="W225" s="520" t="str">
        <f t="array" ref="W225">XLOOKUP(LCARS_Off[AbilityID],RawOfficer[AbilityID],RawOfficer[AbilityConditions])</f>
        <v>EnemyPlayer, SelfDefending</v>
      </c>
      <c r="X225" s="519" t="str">
        <f t="array" ref="X225">XLOOKUP(LCARS_Off[AbilityID],RawOfficer[AbilityID],RawOfficer[AbilityTrigger])</f>
        <v>CombatStart</v>
      </c>
      <c r="Y225" s="519" t="str">
        <f t="array" ref="Y225">XLOOKUP(LCARS_Off[AbilityID],RawOfficer[AbilityID],RawOfficer[AbilityTarget])</f>
        <v>EnemyShip</v>
      </c>
      <c r="Z225" s="519" t="str">
        <f t="array" ref="Z225">XLOOKUP(LCARS_Off[AbilityID],RawOfficer[AbilityID],RawOfficer[AbilityOperation])</f>
        <v>MultiplySub</v>
      </c>
      <c r="AA225" s="521" t="str">
        <f t="array" ref="AA225">XLOOKUP(LCARS_Off[AbilityID],RawOfficer[AbilityID],RawOfficer[AbilityDescription])</f>
        <v>When defending against a Player, Stamets decreases the opponent's Armor Piercing by X.</v>
      </c>
      <c r="AB225" s="429" t="b">
        <v>0</v>
      </c>
      <c r="AC225" s="522" t="str">
        <f t="array" ref="AC225">XLOOKUP(LCARS_Off[AbilityID],RawOfficer[AbilityID],RawOfficer[AbilityDescriptionShort])</f>
        <v>-X to opponent's Armor Piercing when defending from a player</v>
      </c>
      <c r="AD225" s="523"/>
      <c r="AE225" s="524"/>
      <c r="AF225" s="524"/>
      <c r="AG225" s="525" t="str">
        <f t="array" ref="AG225">XLOOKUP(LCARS_Off[AbilityID],RawOfficer[AbilityID],RawOfficer[AbilityChances])</f>
        <v>1.0, 1.0, 1.0, 1.0, 1.0</v>
      </c>
      <c r="AH225" s="525" t="str">
        <f t="array" ref="AH225">XLOOKUP(LCARS_Off[AbilityID],RawOfficer[AbilityID],RawOfficer[AbilityValues])</f>
        <v>0.4, 0.8, 1.2, 1.6, 2.0</v>
      </c>
      <c r="AI225" s="428" t="b">
        <f t="array" ref="AI225">XLOOKUP(LCARS_Off[AbilityID],RawOfficer[AbilityID],RawOfficer[AbilityHasChance])</f>
        <v>0</v>
      </c>
      <c r="AJ225" s="428" t="b">
        <f t="array" ref="AJ225">XLOOKUP(LCARS_Off[AbilityID],RawOfficer[AbilityID],RawOfficer[AbilityShowPercentage])</f>
        <v>1</v>
      </c>
      <c r="AK225" s="429">
        <f t="array" ref="AK225">XLOOKUP(LCARS_Off[AbilityID],RawOfficer[AbilityID],RawOfficer[OfficerArt])</f>
        <v>133</v>
      </c>
      <c r="AL225" s="430">
        <v>8.62911683E8</v>
      </c>
      <c r="AM225" s="430">
        <f t="array" ref="AM225">XLOOKUP(LCARS_Off[AbilityID],RawOfficer[AbilityID],RawOfficer[Default Order])</f>
        <v>222</v>
      </c>
    </row>
    <row r="226">
      <c r="A226" s="429" t="str">
        <f t="array" ref="A226">LEFT(XLOOKUP(LCARS_Off[AbilityID],RawOfficer[AbilityID],RawOfficer[OfficerRarity]), 1)</f>
        <v>E</v>
      </c>
      <c r="B226" s="429"/>
      <c r="C226" s="514" t="str">
        <f t="array" ref="C226">HYPERLINK("https://stfc.space/officers/" &amp; XLOOKUP(LCARS_Off[AbilityID],RawOfficer[AbilityID],RawOfficer[OfficerId]), XLOOKUP(LCARS_Off[AbilityID],RawOfficer[AbilityID],RawOfficer[OfficerName]))</f>
        <v>GEORGIOU</v>
      </c>
      <c r="D226" s="515" t="str">
        <f t="array" ref="D226">XLOOKUP(LCARS_Off[AbilityID],RawOfficer[AbilityID],RawOfficer[AbilityType])</f>
        <v>CM</v>
      </c>
      <c r="E226" s="516" t="str">
        <f t="array" ref="E226">XLOOKUP(LCARS_Off[AbilityID],RawOfficer[AbilityID],RawOfficer[Tag_PvPinSpace])</f>
        <v>✴️</v>
      </c>
      <c r="F226" s="516" t="str">
        <f t="array" ref="F226">XLOOKUP(LCARS_Off[AbilityID],RawOfficer[AbilityID],RawOfficer[Tag_PvPStation])</f>
        <v>✴️</v>
      </c>
      <c r="G226" s="516" t="str">
        <f t="array" ref="G226">XLOOKUP(LCARS_Off[AbilityID],RawOfficer[AbilityID],RawOfficer[Tag_NonArmadaHostiles])</f>
        <v>✴️</v>
      </c>
      <c r="H226" s="516" t="str">
        <f t="array" ref="H226">XLOOKUP(LCARS_Off[AbilityID],RawOfficer[AbilityID],RawOfficer[Tag_WaveDefense])</f>
        <v>✴️</v>
      </c>
      <c r="I226" s="516" t="str">
        <f t="array" ref="I226">XLOOKUP(LCARS_Off[AbilityID],RawOfficer[AbilityID],RawOfficer[Tag_QTrial])</f>
        <v>✴️</v>
      </c>
      <c r="J226" s="516" t="str">
        <f t="array" ref="J226">XLOOKUP(LCARS_Off[AbilityID],RawOfficer[AbilityID],RawOfficer[Tag_MissionBosses])</f>
        <v>✴️</v>
      </c>
      <c r="K226" s="516" t="str">
        <f t="array" ref="K226">XLOOKUP(LCARS_Off[AbilityID],RawOfficer[AbilityID],RawOfficer[Tag_GroupArmadas])</f>
        <v>✴️</v>
      </c>
      <c r="L226" s="516" t="str">
        <f t="array" ref="L226">XLOOKUP(LCARS_Off[AbilityID],RawOfficer[AbilityID],RawOfficer[Tag_SoloArmadas])</f>
        <v>✴️</v>
      </c>
      <c r="M226" s="516" t="str">
        <f t="array" ref="M226">XLOOKUP(LCARS_Off[AbilityID],RawOfficer[AbilityID],RawOfficer[Tag_InvadingEntities])</f>
        <v>✴️</v>
      </c>
      <c r="N226" s="516" t="str">
        <f t="array" ref="N226">XLOOKUP(LCARS_Off[AbilityID],RawOfficer[AbilityID],RawOfficer[Tag_Assaults])</f>
        <v>✴️</v>
      </c>
      <c r="O226" s="516" t="str">
        <f t="array" ref="O226">XLOOKUP(LCARS_Off[AbilityID],RawOfficer[AbilityID],RawOfficer[Tag_OutpostArmadas])</f>
        <v>✴️</v>
      </c>
      <c r="P226" s="516" t="str">
        <f t="array" ref="P226">XLOOKUP(LCARS_Off[AbilityID],RawOfficer[AbilityID],RawOfficer[Tag_OutpostRetaliators])</f>
        <v>✴️</v>
      </c>
      <c r="Q226" s="517" t="str">
        <f t="array" ref="Q226">XLOOKUP(LCARS_Off[AbilityID],RawOfficer[AbilityID],RawOfficer[Conditional_Reason])</f>
        <v>TargetHasBurning</v>
      </c>
      <c r="R226" s="518" t="str">
        <f t="array" ref="R226">XLOOKUP(LCARS_Off[AbilityID],RawOfficer[AbilityID],RawOfficer[Tag_Loot])</f>
        <v>➖</v>
      </c>
      <c r="S226" s="516" t="str">
        <f t="array" ref="S226">XLOOKUP(LCARS_Off[AbilityID],RawOfficer[AbilityID],RawOfficer[Tag_Utility])</f>
        <v>➖</v>
      </c>
      <c r="T226" s="429" t="str">
        <f t="array" ref="T226">XLOOKUP(LCARS_Off[AbilityID],RawOfficer[AbilityID],RawOfficer[OfficerSynergy])</f>
        <v>DISCOVERY CREW</v>
      </c>
      <c r="U226" s="519" t="str">
        <f t="array" ref="U226">XLOOKUP(LCARS_Off[AbilityID],RawOfficer[AbilityID],RawOfficer[AbilityModifier])</f>
        <v>OfficerStatAttack</v>
      </c>
      <c r="V226" s="519" t="str">
        <f t="array" ref="V226">XLOOKUP(LCARS_Off[AbilityID],RawOfficer[AbilityID],RawOfficer[AbilityAttributes])</f>
        <v>num_rounds=1</v>
      </c>
      <c r="W226" s="520" t="str">
        <f t="array" ref="W226">XLOOKUP(LCARS_Off[AbilityID],RawOfficer[AbilityID],RawOfficer[AbilityConditions])</f>
        <v>TargetHasBurning</v>
      </c>
      <c r="X226" s="519" t="str">
        <f t="array" ref="X226">XLOOKUP(LCARS_Off[AbilityID],RawOfficer[AbilityID],RawOfficer[AbilityTrigger])</f>
        <v>RoundStart</v>
      </c>
      <c r="Y226" s="519" t="str">
        <f t="array" ref="Y226">XLOOKUP(LCARS_Off[AbilityID],RawOfficer[AbilityID],RawOfficer[AbilityTarget])</f>
        <v>EnemyAll</v>
      </c>
      <c r="Z226" s="519" t="str">
        <f t="array" ref="Z226">XLOOKUP(LCARS_Off[AbilityID],RawOfficer[AbilityID],RawOfficer[AbilityOperation])</f>
        <v>MultiplySub</v>
      </c>
      <c r="AA226" s="521" t="str">
        <f t="array" ref="AA226">XLOOKUP(LCARS_Off[AbilityID],RawOfficer[AbilityID],RawOfficer[AbilityDescription])</f>
        <v>At the start of each round, if the opponent is Burning , Captain Georgiou decreases the Attack of all Officers on the opponent's ship by X for that round. -- Decreasing Attack may result in a decrease in Damage</v>
      </c>
      <c r="AB226" s="429" t="b">
        <v>0</v>
      </c>
      <c r="AC226" s="522" t="str">
        <f t="array" ref="AC226">XLOOKUP(LCARS_Off[AbilityID],RawOfficer[AbilityID],RawOfficer[AbilityDescriptionShort])</f>
        <v>-X to opponent's Officer Attack when the opponent's ship is Burning</v>
      </c>
      <c r="AD226" s="523"/>
      <c r="AE226" s="524"/>
      <c r="AF226" s="524"/>
      <c r="AG226" s="525" t="str">
        <f t="array" ref="AG226">XLOOKUP(LCARS_Off[AbilityID],RawOfficer[AbilityID],RawOfficer[AbilityChances])</f>
        <v>1.0, 1.0, 1.0</v>
      </c>
      <c r="AH226" s="525" t="str">
        <f t="array" ref="AH226">XLOOKUP(LCARS_Off[AbilityID],RawOfficer[AbilityID],RawOfficer[AbilityValues])</f>
        <v>1.0, 0.15, 0.25</v>
      </c>
      <c r="AI226" s="428" t="b">
        <f t="array" ref="AI226">XLOOKUP(LCARS_Off[AbilityID],RawOfficer[AbilityID],RawOfficer[AbilityHasChance])</f>
        <v>0</v>
      </c>
      <c r="AJ226" s="428" t="b">
        <f t="array" ref="AJ226">XLOOKUP(LCARS_Off[AbilityID],RawOfficer[AbilityID],RawOfficer[AbilityShowPercentage])</f>
        <v>1</v>
      </c>
      <c r="AK226" s="429">
        <f t="array" ref="AK226">XLOOKUP(LCARS_Off[AbilityID],RawOfficer[AbilityID],RawOfficer[OfficerArt])</f>
        <v>138</v>
      </c>
      <c r="AL226" s="430">
        <v>3.904063321E9</v>
      </c>
      <c r="AM226" s="430">
        <f t="array" ref="AM226">XLOOKUP(LCARS_Off[AbilityID],RawOfficer[AbilityID],RawOfficer[Default Order])</f>
        <v>223</v>
      </c>
    </row>
    <row r="227">
      <c r="A227" s="429" t="str">
        <f t="array" ref="A227">LEFT(XLOOKUP(LCARS_Off[AbilityID],RawOfficer[AbilityID],RawOfficer[OfficerRarity]), 1)</f>
        <v>E</v>
      </c>
      <c r="B227" s="429"/>
      <c r="C227" s="514" t="str">
        <f t="array" ref="C227">HYPERLINK("https://stfc.space/officers/" &amp; XLOOKUP(LCARS_Off[AbilityID],RawOfficer[AbilityID],RawOfficer[OfficerId]), XLOOKUP(LCARS_Off[AbilityID],RawOfficer[AbilityID],RawOfficer[OfficerName]))</f>
        <v>GEORGIOU</v>
      </c>
      <c r="D227" s="515" t="str">
        <f t="array" ref="D227">XLOOKUP(LCARS_Off[AbilityID],RawOfficer[AbilityID],RawOfficer[AbilityType])</f>
        <v>OA</v>
      </c>
      <c r="E227" s="516" t="str">
        <f t="array" ref="E227">XLOOKUP(LCARS_Off[AbilityID],RawOfficer[AbilityID],RawOfficer[Tag_PvPinSpace])</f>
        <v>✅</v>
      </c>
      <c r="F227" s="516" t="str">
        <f t="array" ref="F227">XLOOKUP(LCARS_Off[AbilityID],RawOfficer[AbilityID],RawOfficer[Tag_PvPStation])</f>
        <v>✅</v>
      </c>
      <c r="G227" s="516" t="str">
        <f t="array" ref="G227">XLOOKUP(LCARS_Off[AbilityID],RawOfficer[AbilityID],RawOfficer[Tag_NonArmadaHostiles])</f>
        <v>✅</v>
      </c>
      <c r="H227" s="516" t="str">
        <f t="array" ref="H227">XLOOKUP(LCARS_Off[AbilityID],RawOfficer[AbilityID],RawOfficer[Tag_WaveDefense])</f>
        <v>✅</v>
      </c>
      <c r="I227" s="516" t="str">
        <f t="array" ref="I227">XLOOKUP(LCARS_Off[AbilityID],RawOfficer[AbilityID],RawOfficer[Tag_QTrial])</f>
        <v>✅</v>
      </c>
      <c r="J227" s="516" t="str">
        <f t="array" ref="J227">XLOOKUP(LCARS_Off[AbilityID],RawOfficer[AbilityID],RawOfficer[Tag_MissionBosses])</f>
        <v>✅</v>
      </c>
      <c r="K227" s="516" t="str">
        <f t="array" ref="K227">XLOOKUP(LCARS_Off[AbilityID],RawOfficer[AbilityID],RawOfficer[Tag_GroupArmadas])</f>
        <v>✅</v>
      </c>
      <c r="L227" s="516" t="str">
        <f t="array" ref="L227">XLOOKUP(LCARS_Off[AbilityID],RawOfficer[AbilityID],RawOfficer[Tag_SoloArmadas])</f>
        <v>✅</v>
      </c>
      <c r="M227" s="516" t="str">
        <f t="array" ref="M227">XLOOKUP(LCARS_Off[AbilityID],RawOfficer[AbilityID],RawOfficer[Tag_InvadingEntities])</f>
        <v>✅</v>
      </c>
      <c r="N227" s="516" t="str">
        <f t="array" ref="N227">XLOOKUP(LCARS_Off[AbilityID],RawOfficer[AbilityID],RawOfficer[Tag_Assaults])</f>
        <v>✅</v>
      </c>
      <c r="O227" s="516" t="str">
        <f t="array" ref="O227">XLOOKUP(LCARS_Off[AbilityID],RawOfficer[AbilityID],RawOfficer[Tag_OutpostArmadas])</f>
        <v>✅</v>
      </c>
      <c r="P227" s="516" t="str">
        <f t="array" ref="P227">XLOOKUP(LCARS_Off[AbilityID],RawOfficer[AbilityID],RawOfficer[Tag_OutpostRetaliators])</f>
        <v>✅</v>
      </c>
      <c r="Q227" s="517" t="str">
        <f t="array" ref="Q227">XLOOKUP(LCARS_Off[AbilityID],RawOfficer[AbilityID],RawOfficer[Conditional_Reason])</f>
        <v/>
      </c>
      <c r="R227" s="518" t="str">
        <f t="array" ref="R227">XLOOKUP(LCARS_Off[AbilityID],RawOfficer[AbilityID],RawOfficer[Tag_Loot])</f>
        <v>➖</v>
      </c>
      <c r="S227" s="516" t="str">
        <f t="array" ref="S227">XLOOKUP(LCARS_Off[AbilityID],RawOfficer[AbilityID],RawOfficer[Tag_Utility])</f>
        <v>➖</v>
      </c>
      <c r="T227" s="429" t="str">
        <f t="array" ref="T227">XLOOKUP(LCARS_Off[AbilityID],RawOfficer[AbilityID],RawOfficer[OfficerSynergy])</f>
        <v>DISCOVERY CREW</v>
      </c>
      <c r="U227" s="519" t="str">
        <f t="array" ref="U227">XLOOKUP(LCARS_Off[AbilityID],RawOfficer[AbilityID],RawOfficer[AbilityModifier])</f>
        <v>AddState</v>
      </c>
      <c r="V227" s="519" t="str">
        <f t="array" ref="V227">XLOOKUP(LCARS_Off[AbilityID],RawOfficer[AbilityID],RawOfficer[AbilityAttributes])</f>
        <v>num_rounds=2, state=2</v>
      </c>
      <c r="W227" s="520" t="str">
        <f t="array" ref="W227">XLOOKUP(LCARS_Off[AbilityID],RawOfficer[AbilityID],RawOfficer[AbilityConditions])</f>
        <v/>
      </c>
      <c r="X227" s="519" t="str">
        <f t="array" ref="X227">XLOOKUP(LCARS_Off[AbilityID],RawOfficer[AbilityID],RawOfficer[AbilityTrigger])</f>
        <v>RoundStart</v>
      </c>
      <c r="Y227" s="519" t="str">
        <f t="array" ref="Y227">XLOOKUP(LCARS_Off[AbilityID],RawOfficer[AbilityID],RawOfficer[AbilityTarget])</f>
        <v>EnemyShip</v>
      </c>
      <c r="Z227" s="519" t="str">
        <f t="array" ref="Z227">XLOOKUP(LCARS_Off[AbilityID],RawOfficer[AbilityID],RawOfficer[AbilityOperation])</f>
        <v>Set</v>
      </c>
      <c r="AA227" s="521" t="str">
        <f t="array" ref="AA227">XLOOKUP(LCARS_Off[AbilityID],RawOfficer[AbilityID],RawOfficer[AbilityDescription])</f>
        <v>At the beginning of each round, Georgiou has a X chance of Burning the opponent's ship for 2 rounds.</v>
      </c>
      <c r="AB227" s="429" t="b">
        <v>0</v>
      </c>
      <c r="AC227" s="522" t="str">
        <f t="array" ref="AC227">XLOOKUP(LCARS_Off[AbilityID],RawOfficer[AbilityID],RawOfficer[AbilityDescriptionShort])</f>
        <v>X chance to deal Burning for two rounds at the start of each round</v>
      </c>
      <c r="AD227" s="523"/>
      <c r="AE227" s="524"/>
      <c r="AF227" s="524"/>
      <c r="AG227" s="525" t="str">
        <f t="array" ref="AG227">XLOOKUP(LCARS_Off[AbilityID],RawOfficer[AbilityID],RawOfficer[AbilityChances])</f>
        <v>0.5, 0.6, 0.7, 0.75, 0.8</v>
      </c>
      <c r="AH227" s="525" t="str">
        <f t="array" ref="AH227">XLOOKUP(LCARS_Off[AbilityID],RawOfficer[AbilityID],RawOfficer[AbilityValues])</f>
        <v>0.5, 0.6, 0.7, 0.75, 0.8</v>
      </c>
      <c r="AI227" s="428" t="b">
        <f t="array" ref="AI227">XLOOKUP(LCARS_Off[AbilityID],RawOfficer[AbilityID],RawOfficer[AbilityHasChance])</f>
        <v>1</v>
      </c>
      <c r="AJ227" s="428" t="b">
        <f t="array" ref="AJ227">XLOOKUP(LCARS_Off[AbilityID],RawOfficer[AbilityID],RawOfficer[AbilityShowPercentage])</f>
        <v>1</v>
      </c>
      <c r="AK227" s="429">
        <f t="array" ref="AK227">XLOOKUP(LCARS_Off[AbilityID],RawOfficer[AbilityID],RawOfficer[OfficerArt])</f>
        <v>138</v>
      </c>
      <c r="AL227" s="430">
        <v>2.490699031E9</v>
      </c>
      <c r="AM227" s="430">
        <f t="array" ref="AM227">XLOOKUP(LCARS_Off[AbilityID],RawOfficer[AbilityID],RawOfficer[Default Order])</f>
        <v>224</v>
      </c>
    </row>
    <row r="228">
      <c r="A228" s="429" t="str">
        <f t="array" ref="A228">LEFT(XLOOKUP(LCARS_Off[AbilityID],RawOfficer[AbilityID],RawOfficer[OfficerRarity]), 1)</f>
        <v>U</v>
      </c>
      <c r="B228" s="429"/>
      <c r="C228" s="514" t="str">
        <f t="array" ref="C228">HYPERLINK("https://stfc.space/officers/" &amp; XLOOKUP(LCARS_Off[AbilityID],RawOfficer[AbilityID],RawOfficer[OfficerId]), XLOOKUP(LCARS_Off[AbilityID],RawOfficer[AbilityID],RawOfficer[OfficerName]))</f>
        <v>TILLY</v>
      </c>
      <c r="D228" s="515" t="str">
        <f t="array" ref="D228">XLOOKUP(LCARS_Off[AbilityID],RawOfficer[AbilityID],RawOfficer[AbilityType])</f>
        <v>CM</v>
      </c>
      <c r="E228" s="516" t="str">
        <f t="array" ref="E228">XLOOKUP(LCARS_Off[AbilityID],RawOfficer[AbilityID],RawOfficer[Tag_PvPinSpace])</f>
        <v>✅</v>
      </c>
      <c r="F228" s="516" t="str">
        <f t="array" ref="F228">XLOOKUP(LCARS_Off[AbilityID],RawOfficer[AbilityID],RawOfficer[Tag_PvPStation])</f>
        <v>✅</v>
      </c>
      <c r="G228" s="516" t="str">
        <f t="array" ref="G228">XLOOKUP(LCARS_Off[AbilityID],RawOfficer[AbilityID],RawOfficer[Tag_NonArmadaHostiles])</f>
        <v>➖</v>
      </c>
      <c r="H228" s="516" t="str">
        <f t="array" ref="H228">XLOOKUP(LCARS_Off[AbilityID],RawOfficer[AbilityID],RawOfficer[Tag_WaveDefense])</f>
        <v>➖</v>
      </c>
      <c r="I228" s="516" t="str">
        <f t="array" ref="I228">XLOOKUP(LCARS_Off[AbilityID],RawOfficer[AbilityID],RawOfficer[Tag_QTrial])</f>
        <v>➖</v>
      </c>
      <c r="J228" s="516" t="str">
        <f t="array" ref="J228">XLOOKUP(LCARS_Off[AbilityID],RawOfficer[AbilityID],RawOfficer[Tag_MissionBosses])</f>
        <v>➖</v>
      </c>
      <c r="K228" s="516" t="str">
        <f t="array" ref="K228">XLOOKUP(LCARS_Off[AbilityID],RawOfficer[AbilityID],RawOfficer[Tag_GroupArmadas])</f>
        <v>➖</v>
      </c>
      <c r="L228" s="516" t="str">
        <f t="array" ref="L228">XLOOKUP(LCARS_Off[AbilityID],RawOfficer[AbilityID],RawOfficer[Tag_SoloArmadas])</f>
        <v>➖</v>
      </c>
      <c r="M228" s="516" t="str">
        <f t="array" ref="M228">XLOOKUP(LCARS_Off[AbilityID],RawOfficer[AbilityID],RawOfficer[Tag_InvadingEntities])</f>
        <v>➖</v>
      </c>
      <c r="N228" s="516" t="str">
        <f t="array" ref="N228">XLOOKUP(LCARS_Off[AbilityID],RawOfficer[AbilityID],RawOfficer[Tag_Assaults])</f>
        <v>➖</v>
      </c>
      <c r="O228" s="516" t="str">
        <f t="array" ref="O228">XLOOKUP(LCARS_Off[AbilityID],RawOfficer[AbilityID],RawOfficer[Tag_OutpostArmadas])</f>
        <v>➖</v>
      </c>
      <c r="P228" s="516" t="str">
        <f t="array" ref="P228">XLOOKUP(LCARS_Off[AbilityID],RawOfficer[AbilityID],RawOfficer[Tag_OutpostRetaliators])</f>
        <v>➖</v>
      </c>
      <c r="Q228" s="517" t="str">
        <f t="array" ref="Q228">XLOOKUP(LCARS_Off[AbilityID],RawOfficer[AbilityID],RawOfficer[Conditional_Reason])</f>
        <v/>
      </c>
      <c r="R228" s="518" t="str">
        <f t="array" ref="R228">XLOOKUP(LCARS_Off[AbilityID],RawOfficer[AbilityID],RawOfficer[Tag_Loot])</f>
        <v>➖</v>
      </c>
      <c r="S228" s="516" t="str">
        <f t="array" ref="S228">XLOOKUP(LCARS_Off[AbilityID],RawOfficer[AbilityID],RawOfficer[Tag_Utility])</f>
        <v>➖</v>
      </c>
      <c r="T228" s="429" t="str">
        <f t="array" ref="T228">XLOOKUP(LCARS_Off[AbilityID],RawOfficer[AbilityID],RawOfficer[OfficerSynergy])</f>
        <v>DISCOVERY CREW</v>
      </c>
      <c r="U228" s="519" t="str">
        <f t="array" ref="U228">XLOOKUP(LCARS_Off[AbilityID],RawOfficer[AbilityID],RawOfficer[AbilityModifier])</f>
        <v>ShieldHPRepair</v>
      </c>
      <c r="V228" s="519" t="str">
        <f t="array" ref="V228">XLOOKUP(LCARS_Off[AbilityID],RawOfficer[AbilityID],RawOfficer[AbilityAttributes])</f>
        <v/>
      </c>
      <c r="W228" s="520" t="str">
        <f t="array" ref="W228">XLOOKUP(LCARS_Off[AbilityID],RawOfficer[AbilityID],RawOfficer[AbilityConditions])</f>
        <v>EnemyPlayer, SelfDefending</v>
      </c>
      <c r="X228" s="519" t="str">
        <f t="array" ref="X228">XLOOKUP(LCARS_Off[AbilityID],RawOfficer[AbilityID],RawOfficer[AbilityTrigger])</f>
        <v>CombatStart</v>
      </c>
      <c r="Y228" s="519" t="str">
        <f t="array" ref="Y228">XLOOKUP(LCARS_Off[AbilityID],RawOfficer[AbilityID],RawOfficer[AbilityTarget])</f>
        <v>EnemyShip</v>
      </c>
      <c r="Z228" s="519" t="str">
        <f t="array" ref="Z228">XLOOKUP(LCARS_Off[AbilityID],RawOfficer[AbilityID],RawOfficer[AbilityOperation])</f>
        <v>MultiplySub</v>
      </c>
      <c r="AA228" s="521" t="str">
        <f t="array" ref="AA228">XLOOKUP(LCARS_Off[AbilityID],RawOfficer[AbilityID],RawOfficer[AbilityDescription])</f>
        <v>At the start of combat, when defending from a player attack, Tilly decreases the opponent's Shield Health by X of its starting Shield Health.</v>
      </c>
      <c r="AB228" s="429" t="b">
        <v>0</v>
      </c>
      <c r="AC228" s="522" t="str">
        <f t="array" ref="AC228">XLOOKUP(LCARS_Off[AbilityID],RawOfficer[AbilityID],RawOfficer[AbilityDescriptionShort])</f>
        <v>-X to opponent's Shield Health when defending from a player</v>
      </c>
      <c r="AD228" s="523"/>
      <c r="AE228" s="524"/>
      <c r="AF228" s="524"/>
      <c r="AG228" s="525" t="str">
        <f t="array" ref="AG228">XLOOKUP(LCARS_Off[AbilityID],RawOfficer[AbilityID],RawOfficer[AbilityChances])</f>
        <v>1.0, 1.0, 1.0</v>
      </c>
      <c r="AH228" s="525" t="str">
        <f t="array" ref="AH228">XLOOKUP(LCARS_Off[AbilityID],RawOfficer[AbilityID],RawOfficer[AbilityValues])</f>
        <v>0.1, 0.05, 0.1</v>
      </c>
      <c r="AI228" s="428" t="b">
        <f t="array" ref="AI228">XLOOKUP(LCARS_Off[AbilityID],RawOfficer[AbilityID],RawOfficer[AbilityHasChance])</f>
        <v>0</v>
      </c>
      <c r="AJ228" s="428" t="b">
        <f t="array" ref="AJ228">XLOOKUP(LCARS_Off[AbilityID],RawOfficer[AbilityID],RawOfficer[AbilityShowPercentage])</f>
        <v>1</v>
      </c>
      <c r="AK228" s="429">
        <f t="array" ref="AK228">XLOOKUP(LCARS_Off[AbilityID],RawOfficer[AbilityID],RawOfficer[OfficerArt])</f>
        <v>134</v>
      </c>
      <c r="AL228" s="430">
        <v>1.999787012E9</v>
      </c>
      <c r="AM228" s="430">
        <f t="array" ref="AM228">XLOOKUP(LCARS_Off[AbilityID],RawOfficer[AbilityID],RawOfficer[Default Order])</f>
        <v>225</v>
      </c>
    </row>
    <row r="229">
      <c r="A229" s="429" t="str">
        <f t="array" ref="A229">LEFT(XLOOKUP(LCARS_Off[AbilityID],RawOfficer[AbilityID],RawOfficer[OfficerRarity]), 1)</f>
        <v>U</v>
      </c>
      <c r="B229" s="429"/>
      <c r="C229" s="514" t="str">
        <f t="array" ref="C229">HYPERLINK("https://stfc.space/officers/" &amp; XLOOKUP(LCARS_Off[AbilityID],RawOfficer[AbilityID],RawOfficer[OfficerId]), XLOOKUP(LCARS_Off[AbilityID],RawOfficer[AbilityID],RawOfficer[OfficerName]))</f>
        <v>TILLY</v>
      </c>
      <c r="D229" s="515" t="str">
        <f t="array" ref="D229">XLOOKUP(LCARS_Off[AbilityID],RawOfficer[AbilityID],RawOfficer[AbilityType])</f>
        <v>OA</v>
      </c>
      <c r="E229" s="516" t="str">
        <f t="array" ref="E229">XLOOKUP(LCARS_Off[AbilityID],RawOfficer[AbilityID],RawOfficer[Tag_PvPinSpace])</f>
        <v>✅</v>
      </c>
      <c r="F229" s="516" t="str">
        <f t="array" ref="F229">XLOOKUP(LCARS_Off[AbilityID],RawOfficer[AbilityID],RawOfficer[Tag_PvPStation])</f>
        <v>✅</v>
      </c>
      <c r="G229" s="516" t="str">
        <f t="array" ref="G229">XLOOKUP(LCARS_Off[AbilityID],RawOfficer[AbilityID],RawOfficer[Tag_NonArmadaHostiles])</f>
        <v>✅</v>
      </c>
      <c r="H229" s="516" t="str">
        <f t="array" ref="H229">XLOOKUP(LCARS_Off[AbilityID],RawOfficer[AbilityID],RawOfficer[Tag_WaveDefense])</f>
        <v>✅</v>
      </c>
      <c r="I229" s="516" t="str">
        <f t="array" ref="I229">XLOOKUP(LCARS_Off[AbilityID],RawOfficer[AbilityID],RawOfficer[Tag_QTrial])</f>
        <v>✅</v>
      </c>
      <c r="J229" s="516" t="str">
        <f t="array" ref="J229">XLOOKUP(LCARS_Off[AbilityID],RawOfficer[AbilityID],RawOfficer[Tag_MissionBosses])</f>
        <v>✅</v>
      </c>
      <c r="K229" s="516" t="str">
        <f t="array" ref="K229">XLOOKUP(LCARS_Off[AbilityID],RawOfficer[AbilityID],RawOfficer[Tag_GroupArmadas])</f>
        <v>✅</v>
      </c>
      <c r="L229" s="516" t="str">
        <f t="array" ref="L229">XLOOKUP(LCARS_Off[AbilityID],RawOfficer[AbilityID],RawOfficer[Tag_SoloArmadas])</f>
        <v>✅</v>
      </c>
      <c r="M229" s="516" t="str">
        <f t="array" ref="M229">XLOOKUP(LCARS_Off[AbilityID],RawOfficer[AbilityID],RawOfficer[Tag_InvadingEntities])</f>
        <v>✅</v>
      </c>
      <c r="N229" s="516" t="str">
        <f t="array" ref="N229">XLOOKUP(LCARS_Off[AbilityID],RawOfficer[AbilityID],RawOfficer[Tag_Assaults])</f>
        <v>✅</v>
      </c>
      <c r="O229" s="516" t="str">
        <f t="array" ref="O229">XLOOKUP(LCARS_Off[AbilityID],RawOfficer[AbilityID],RawOfficer[Tag_OutpostArmadas])</f>
        <v>✅</v>
      </c>
      <c r="P229" s="516" t="str">
        <f t="array" ref="P229">XLOOKUP(LCARS_Off[AbilityID],RawOfficer[AbilityID],RawOfficer[Tag_OutpostRetaliators])</f>
        <v>✅</v>
      </c>
      <c r="Q229" s="517" t="str">
        <f t="array" ref="Q229">XLOOKUP(LCARS_Off[AbilityID],RawOfficer[AbilityID],RawOfficer[Conditional_Reason])</f>
        <v/>
      </c>
      <c r="R229" s="518" t="str">
        <f t="array" ref="R229">XLOOKUP(LCARS_Off[AbilityID],RawOfficer[AbilityID],RawOfficer[Tag_Loot])</f>
        <v>➖</v>
      </c>
      <c r="S229" s="516" t="str">
        <f t="array" ref="S229">XLOOKUP(LCARS_Off[AbilityID],RawOfficer[AbilityID],RawOfficer[Tag_Utility])</f>
        <v>➖</v>
      </c>
      <c r="T229" s="429" t="str">
        <f t="array" ref="T229">XLOOKUP(LCARS_Off[AbilityID],RawOfficer[AbilityID],RawOfficer[OfficerSynergy])</f>
        <v>DISCOVERY CREW</v>
      </c>
      <c r="U229" s="519" t="str">
        <f t="array" ref="U229">XLOOKUP(LCARS_Off[AbilityID],RawOfficer[AbilityID],RawOfficer[AbilityModifier])</f>
        <v>OfficerStatAttack</v>
      </c>
      <c r="V229" s="519" t="str">
        <f t="array" ref="V229">XLOOKUP(LCARS_Off[AbilityID],RawOfficer[AbilityID],RawOfficer[AbilityAttributes])</f>
        <v/>
      </c>
      <c r="W229" s="520" t="str">
        <f t="array" ref="W229">XLOOKUP(LCARS_Off[AbilityID],RawOfficer[AbilityID],RawOfficer[AbilityConditions])</f>
        <v/>
      </c>
      <c r="X229" s="519" t="str">
        <f t="array" ref="X229">XLOOKUP(LCARS_Off[AbilityID],RawOfficer[AbilityID],RawOfficer[AbilityTrigger])</f>
        <v>HitTaken</v>
      </c>
      <c r="Y229" s="519" t="str">
        <f t="array" ref="Y229">XLOOKUP(LCARS_Off[AbilityID],RawOfficer[AbilityID],RawOfficer[AbilityTarget])</f>
        <v>EnemyBridge</v>
      </c>
      <c r="Z229" s="519" t="str">
        <f t="array" ref="Z229">XLOOKUP(LCARS_Off[AbilityID],RawOfficer[AbilityID],RawOfficer[AbilityOperation])</f>
        <v>MultiplySub</v>
      </c>
      <c r="AA229" s="521" t="str">
        <f t="array" ref="AA229">XLOOKUP(LCARS_Off[AbilityID],RawOfficer[AbilityID],RawOfficer[AbilityDescription])</f>
        <v>Every time the ship is hit by an opponent's weapon attack, Tilly has a X chance to decrease the opponent's officers Attack by 15% (cumulative) -- Decreasing Attack may result in a decrease in Damage</v>
      </c>
      <c r="AB229" s="429" t="b">
        <v>0</v>
      </c>
      <c r="AC229" s="522" t="str">
        <f t="array" ref="AC229">XLOOKUP(LCARS_Off[AbilityID],RawOfficer[AbilityID],RawOfficer[AbilityDescriptionShort])</f>
        <v>X chance to decrease opponent's Officer Attack by 15% when hit</v>
      </c>
      <c r="AD229" s="523"/>
      <c r="AE229" s="524"/>
      <c r="AF229" s="524"/>
      <c r="AG229" s="525" t="str">
        <f t="array" ref="AG229">XLOOKUP(LCARS_Off[AbilityID],RawOfficer[AbilityID],RawOfficer[AbilityChances])</f>
        <v>0.3, 0.35, 0.4, 0.45, 0.5</v>
      </c>
      <c r="AH229" s="525" t="str">
        <f t="array" ref="AH229">XLOOKUP(LCARS_Off[AbilityID],RawOfficer[AbilityID],RawOfficer[AbilityValues])</f>
        <v>0.15, 0.15, 0.15, 0.15, 0.15</v>
      </c>
      <c r="AI229" s="428" t="b">
        <f t="array" ref="AI229">XLOOKUP(LCARS_Off[AbilityID],RawOfficer[AbilityID],RawOfficer[AbilityHasChance])</f>
        <v>1</v>
      </c>
      <c r="AJ229" s="428" t="b">
        <f t="array" ref="AJ229">XLOOKUP(LCARS_Off[AbilityID],RawOfficer[AbilityID],RawOfficer[AbilityShowPercentage])</f>
        <v>1</v>
      </c>
      <c r="AK229" s="429">
        <f t="array" ref="AK229">XLOOKUP(LCARS_Off[AbilityID],RawOfficer[AbilityID],RawOfficer[OfficerArt])</f>
        <v>134</v>
      </c>
      <c r="AL229" s="430">
        <v>1.776666269E9</v>
      </c>
      <c r="AM229" s="430">
        <f t="array" ref="AM229">XLOOKUP(LCARS_Off[AbilityID],RawOfficer[AbilityID],RawOfficer[Default Order])</f>
        <v>226</v>
      </c>
    </row>
    <row r="230">
      <c r="A230" s="429" t="str">
        <f t="array" ref="A230">LEFT(XLOOKUP(LCARS_Off[AbilityID],RawOfficer[AbilityID],RawOfficer[OfficerRarity]), 1)</f>
        <v>R</v>
      </c>
      <c r="B230" s="429"/>
      <c r="C230" s="514" t="str">
        <f t="array" ref="C230">HYPERLINK("https://stfc.space/officers/" &amp; XLOOKUP(LCARS_Off[AbilityID],RawOfficer[AbilityID],RawOfficer[OfficerId]), XLOOKUP(LCARS_Off[AbilityID],RawOfficer[AbilityID],RawOfficer[OfficerName]))</f>
        <v>TYLER</v>
      </c>
      <c r="D230" s="515" t="str">
        <f t="array" ref="D230">XLOOKUP(LCARS_Off[AbilityID],RawOfficer[AbilityID],RawOfficer[AbilityType])</f>
        <v>CM</v>
      </c>
      <c r="E230" s="516" t="str">
        <f t="array" ref="E230">XLOOKUP(LCARS_Off[AbilityID],RawOfficer[AbilityID],RawOfficer[Tag_PvPinSpace])</f>
        <v>✴️</v>
      </c>
      <c r="F230" s="516" t="str">
        <f t="array" ref="F230">XLOOKUP(LCARS_Off[AbilityID],RawOfficer[AbilityID],RawOfficer[Tag_PvPStation])</f>
        <v>➖</v>
      </c>
      <c r="G230" s="516" t="str">
        <f t="array" ref="G230">XLOOKUP(LCARS_Off[AbilityID],RawOfficer[AbilityID],RawOfficer[Tag_NonArmadaHostiles])</f>
        <v>➖</v>
      </c>
      <c r="H230" s="516" t="str">
        <f t="array" ref="H230">XLOOKUP(LCARS_Off[AbilityID],RawOfficer[AbilityID],RawOfficer[Tag_WaveDefense])</f>
        <v>➖</v>
      </c>
      <c r="I230" s="516" t="str">
        <f t="array" ref="I230">XLOOKUP(LCARS_Off[AbilityID],RawOfficer[AbilityID],RawOfficer[Tag_QTrial])</f>
        <v>➖</v>
      </c>
      <c r="J230" s="516" t="str">
        <f t="array" ref="J230">XLOOKUP(LCARS_Off[AbilityID],RawOfficer[AbilityID],RawOfficer[Tag_MissionBosses])</f>
        <v>➖</v>
      </c>
      <c r="K230" s="516" t="str">
        <f t="array" ref="K230">XLOOKUP(LCARS_Off[AbilityID],RawOfficer[AbilityID],RawOfficer[Tag_GroupArmadas])</f>
        <v>➖</v>
      </c>
      <c r="L230" s="516" t="str">
        <f t="array" ref="L230">XLOOKUP(LCARS_Off[AbilityID],RawOfficer[AbilityID],RawOfficer[Tag_SoloArmadas])</f>
        <v>➖</v>
      </c>
      <c r="M230" s="516" t="str">
        <f t="array" ref="M230">XLOOKUP(LCARS_Off[AbilityID],RawOfficer[AbilityID],RawOfficer[Tag_InvadingEntities])</f>
        <v>➖</v>
      </c>
      <c r="N230" s="516" t="str">
        <f t="array" ref="N230">XLOOKUP(LCARS_Off[AbilityID],RawOfficer[AbilityID],RawOfficer[Tag_Assaults])</f>
        <v>➖</v>
      </c>
      <c r="O230" s="516" t="str">
        <f t="array" ref="O230">XLOOKUP(LCARS_Off[AbilityID],RawOfficer[AbilityID],RawOfficer[Tag_OutpostArmadas])</f>
        <v>➖</v>
      </c>
      <c r="P230" s="516" t="str">
        <f t="array" ref="P230">XLOOKUP(LCARS_Off[AbilityID],RawOfficer[AbilityID],RawOfficer[Tag_OutpostRetaliators])</f>
        <v>➖</v>
      </c>
      <c r="Q230" s="517" t="str">
        <f t="array" ref="Q230">XLOOKUP(LCARS_Off[AbilityID],RawOfficer[AbilityID],RawOfficer[Conditional_Reason])</f>
        <v>docked on a node, on a Capture Node</v>
      </c>
      <c r="R230" s="518" t="str">
        <f t="array" ref="R230">XLOOKUP(LCARS_Off[AbilityID],RawOfficer[AbilityID],RawOfficer[Tag_Loot])</f>
        <v>➖</v>
      </c>
      <c r="S230" s="516" t="str">
        <f t="array" ref="S230">XLOOKUP(LCARS_Off[AbilityID],RawOfficer[AbilityID],RawOfficer[Tag_Utility])</f>
        <v>➖</v>
      </c>
      <c r="T230" s="429" t="str">
        <f t="array" ref="T230">XLOOKUP(LCARS_Off[AbilityID],RawOfficer[AbilityID],RawOfficer[OfficerSynergy])</f>
        <v>DISCOVERY CREW</v>
      </c>
      <c r="U230" s="519" t="str">
        <f t="array" ref="U230">XLOOKUP(LCARS_Off[AbilityID],RawOfficer[AbilityID],RawOfficer[AbilityModifier])</f>
        <v>OfficerStatAttack</v>
      </c>
      <c r="V230" s="519" t="str">
        <f t="array" ref="V230">XLOOKUP(LCARS_Off[AbilityID],RawOfficer[AbilityID],RawOfficer[AbilityAttributes])</f>
        <v>battle_types=[4], game_context=capture_node</v>
      </c>
      <c r="W230" s="520" t="str">
        <f t="array" ref="W230">XLOOKUP(LCARS_Off[AbilityID],RawOfficer[AbilityID],RawOfficer[AbilityConditions])</f>
        <v>CombatBattleType, CombatGameContext, SelfDefending</v>
      </c>
      <c r="X230" s="519" t="str">
        <f t="array" ref="X230">XLOOKUP(LCARS_Off[AbilityID],RawOfficer[AbilityID],RawOfficer[AbilityTrigger])</f>
        <v>CombatStart</v>
      </c>
      <c r="Y230" s="519" t="str">
        <f t="array" ref="Y230">XLOOKUP(LCARS_Off[AbilityID],RawOfficer[AbilityID],RawOfficer[AbilityTarget])</f>
        <v>SelfAll</v>
      </c>
      <c r="Z230" s="519" t="str">
        <f t="array" ref="Z230">XLOOKUP(LCARS_Off[AbilityID],RawOfficer[AbilityID],RawOfficer[AbilityOperation])</f>
        <v>MultiplyAdd</v>
      </c>
      <c r="AA230" s="521" t="str">
        <f t="array" ref="AA230">XLOOKUP(LCARS_Off[AbilityID],RawOfficer[AbilityID],RawOfficer[AbilityDescription])</f>
        <v>When defending on a Capture Node, Ash Tyler gives all Officers on the ship a bonus of X to their Attack. -- Increasing Attack may result in an increase in Damage</v>
      </c>
      <c r="AB230" s="429" t="b">
        <v>0</v>
      </c>
      <c r="AC230" s="522" t="str">
        <f t="array" ref="AC230">XLOOKUP(LCARS_Off[AbilityID],RawOfficer[AbilityID],RawOfficer[AbilityDescriptionShort])</f>
        <v>+X to all Officers Attack when the ship defends a Capture Node</v>
      </c>
      <c r="AD230" s="523"/>
      <c r="AE230" s="524"/>
      <c r="AF230" s="524"/>
      <c r="AG230" s="525" t="str">
        <f t="array" ref="AG230">XLOOKUP(LCARS_Off[AbilityID],RawOfficer[AbilityID],RawOfficer[AbilityChances])</f>
        <v>1.0, 1.0, 1.0</v>
      </c>
      <c r="AH230" s="525" t="str">
        <f t="array" ref="AH230">XLOOKUP(LCARS_Off[AbilityID],RawOfficer[AbilityID],RawOfficer[AbilityValues])</f>
        <v>0.6, 0.15, 0.3</v>
      </c>
      <c r="AI230" s="428" t="b">
        <f t="array" ref="AI230">XLOOKUP(LCARS_Off[AbilityID],RawOfficer[AbilityID],RawOfficer[AbilityHasChance])</f>
        <v>0</v>
      </c>
      <c r="AJ230" s="428" t="b">
        <f t="array" ref="AJ230">XLOOKUP(LCARS_Off[AbilityID],RawOfficer[AbilityID],RawOfficer[AbilityShowPercentage])</f>
        <v>1</v>
      </c>
      <c r="AK230" s="429">
        <f t="array" ref="AK230">XLOOKUP(LCARS_Off[AbilityID],RawOfficer[AbilityID],RawOfficer[OfficerArt])</f>
        <v>135</v>
      </c>
      <c r="AL230" s="430">
        <v>1.48521835E9</v>
      </c>
      <c r="AM230" s="430">
        <f t="array" ref="AM230">XLOOKUP(LCARS_Off[AbilityID],RawOfficer[AbilityID],RawOfficer[Default Order])</f>
        <v>227</v>
      </c>
    </row>
    <row r="231">
      <c r="A231" s="429" t="str">
        <f t="array" ref="A231">LEFT(XLOOKUP(LCARS_Off[AbilityID],RawOfficer[AbilityID],RawOfficer[OfficerRarity]), 1)</f>
        <v>R</v>
      </c>
      <c r="B231" s="429"/>
      <c r="C231" s="514" t="str">
        <f t="array" ref="C231">HYPERLINK("https://stfc.space/officers/" &amp; XLOOKUP(LCARS_Off[AbilityID],RawOfficer[AbilityID],RawOfficer[OfficerId]), XLOOKUP(LCARS_Off[AbilityID],RawOfficer[AbilityID],RawOfficer[OfficerName]))</f>
        <v>TYLER</v>
      </c>
      <c r="D231" s="515" t="str">
        <f t="array" ref="D231">XLOOKUP(LCARS_Off[AbilityID],RawOfficer[AbilityID],RawOfficer[AbilityType])</f>
        <v>OA</v>
      </c>
      <c r="E231" s="516" t="str">
        <f t="array" ref="E231">XLOOKUP(LCARS_Off[AbilityID],RawOfficer[AbilityID],RawOfficer[Tag_PvPinSpace])</f>
        <v>✴️</v>
      </c>
      <c r="F231" s="516" t="str">
        <f t="array" ref="F231">XLOOKUP(LCARS_Off[AbilityID],RawOfficer[AbilityID],RawOfficer[Tag_PvPStation])</f>
        <v>✴️</v>
      </c>
      <c r="G231" s="516" t="str">
        <f t="array" ref="G231">XLOOKUP(LCARS_Off[AbilityID],RawOfficer[AbilityID],RawOfficer[Tag_NonArmadaHostiles])</f>
        <v>✴️</v>
      </c>
      <c r="H231" s="516" t="str">
        <f t="array" ref="H231">XLOOKUP(LCARS_Off[AbilityID],RawOfficer[AbilityID],RawOfficer[Tag_WaveDefense])</f>
        <v>✴️</v>
      </c>
      <c r="I231" s="516" t="str">
        <f t="array" ref="I231">XLOOKUP(LCARS_Off[AbilityID],RawOfficer[AbilityID],RawOfficer[Tag_QTrial])</f>
        <v>✴️</v>
      </c>
      <c r="J231" s="516" t="str">
        <f t="array" ref="J231">XLOOKUP(LCARS_Off[AbilityID],RawOfficer[AbilityID],RawOfficer[Tag_MissionBosses])</f>
        <v>✴️</v>
      </c>
      <c r="K231" s="516" t="str">
        <f t="array" ref="K231">XLOOKUP(LCARS_Off[AbilityID],RawOfficer[AbilityID],RawOfficer[Tag_GroupArmadas])</f>
        <v>✴️</v>
      </c>
      <c r="L231" s="516" t="str">
        <f t="array" ref="L231">XLOOKUP(LCARS_Off[AbilityID],RawOfficer[AbilityID],RawOfficer[Tag_SoloArmadas])</f>
        <v>✴️</v>
      </c>
      <c r="M231" s="516" t="str">
        <f t="array" ref="M231">XLOOKUP(LCARS_Off[AbilityID],RawOfficer[AbilityID],RawOfficer[Tag_InvadingEntities])</f>
        <v>✴️</v>
      </c>
      <c r="N231" s="516" t="str">
        <f t="array" ref="N231">XLOOKUP(LCARS_Off[AbilityID],RawOfficer[AbilityID],RawOfficer[Tag_Assaults])</f>
        <v>✴️</v>
      </c>
      <c r="O231" s="516" t="str">
        <f t="array" ref="O231">XLOOKUP(LCARS_Off[AbilityID],RawOfficer[AbilityID],RawOfficer[Tag_OutpostArmadas])</f>
        <v>✴️</v>
      </c>
      <c r="P231" s="516" t="str">
        <f t="array" ref="P231">XLOOKUP(LCARS_Off[AbilityID],RawOfficer[AbilityID],RawOfficer[Tag_OutpostRetaliators])</f>
        <v>✴️</v>
      </c>
      <c r="Q231" s="517" t="str">
        <f t="array" ref="Q231">XLOOKUP(LCARS_Off[AbilityID],RawOfficer[AbilityID],RawOfficer[Conditional_Reason])</f>
        <v>TargetHasBurning</v>
      </c>
      <c r="R231" s="518" t="str">
        <f t="array" ref="R231">XLOOKUP(LCARS_Off[AbilityID],RawOfficer[AbilityID],RawOfficer[Tag_Loot])</f>
        <v>➖</v>
      </c>
      <c r="S231" s="516" t="str">
        <f t="array" ref="S231">XLOOKUP(LCARS_Off[AbilityID],RawOfficer[AbilityID],RawOfficer[Tag_Utility])</f>
        <v>➖</v>
      </c>
      <c r="T231" s="429" t="str">
        <f t="array" ref="T231">XLOOKUP(LCARS_Off[AbilityID],RawOfficer[AbilityID],RawOfficer[OfficerSynergy])</f>
        <v>DISCOVERY CREW</v>
      </c>
      <c r="U231" s="519" t="str">
        <f t="array" ref="U231">XLOOKUP(LCARS_Off[AbilityID],RawOfficer[AbilityID],RawOfficer[AbilityModifier])</f>
        <v>AllDamage</v>
      </c>
      <c r="V231" s="519" t="str">
        <f t="array" ref="V231">XLOOKUP(LCARS_Off[AbilityID],RawOfficer[AbilityID],RawOfficer[AbilityAttributes])</f>
        <v>officer_stat=1</v>
      </c>
      <c r="W231" s="520" t="str">
        <f t="array" ref="W231">XLOOKUP(LCARS_Off[AbilityID],RawOfficer[AbilityID],RawOfficer[AbilityConditions])</f>
        <v>TargetHasBurning</v>
      </c>
      <c r="X231" s="519" t="str">
        <f t="array" ref="X231">XLOOKUP(LCARS_Off[AbilityID],RawOfficer[AbilityID],RawOfficer[AbilityTrigger])</f>
        <v>RoundStart</v>
      </c>
      <c r="Y231" s="519" t="str">
        <f t="array" ref="Y231">XLOOKUP(LCARS_Off[AbilityID],RawOfficer[AbilityID],RawOfficer[AbilityTarget])</f>
        <v>SelfShip</v>
      </c>
      <c r="Z231" s="519" t="str">
        <f t="array" ref="Z231">XLOOKUP(LCARS_Off[AbilityID],RawOfficer[AbilityID],RawOfficer[AbilityOperation])</f>
        <v>MultiplyBaseAdd</v>
      </c>
      <c r="AA231" s="521" t="str">
        <f t="array" ref="AA231">XLOOKUP(LCARS_Off[AbilityID],RawOfficer[AbilityID],RawOfficer[AbilityDescription])</f>
        <v>At the start of each round, if the opponent is Burning, Ash Tyler increases the damage of the ship by X of the total Attack of all officers on the ship (cumulative).</v>
      </c>
      <c r="AB231" s="429" t="b">
        <v>0</v>
      </c>
      <c r="AC231" s="522" t="str">
        <f t="array" ref="AC231">XLOOKUP(LCARS_Off[AbilityID],RawOfficer[AbilityID],RawOfficer[AbilityDescriptionShort])</f>
        <v>X of Officer Attack to damage when the opponent's ship is Burning</v>
      </c>
      <c r="AD231" s="523"/>
      <c r="AE231" s="524"/>
      <c r="AF231" s="524"/>
      <c r="AG231" s="525" t="str">
        <f t="array" ref="AG231">XLOOKUP(LCARS_Off[AbilityID],RawOfficer[AbilityID],RawOfficer[AbilityChances])</f>
        <v>1.0, 1.0, 1.0, 1.0, 1.0</v>
      </c>
      <c r="AH231" s="525" t="str">
        <f t="array" ref="AH231">XLOOKUP(LCARS_Off[AbilityID],RawOfficer[AbilityID],RawOfficer[AbilityValues])</f>
        <v>0.5, 0.6, 0.7, 0.8, 1.0</v>
      </c>
      <c r="AI231" s="428" t="b">
        <f t="array" ref="AI231">XLOOKUP(LCARS_Off[AbilityID],RawOfficer[AbilityID],RawOfficer[AbilityHasChance])</f>
        <v>0</v>
      </c>
      <c r="AJ231" s="428" t="b">
        <f t="array" ref="AJ231">XLOOKUP(LCARS_Off[AbilityID],RawOfficer[AbilityID],RawOfficer[AbilityShowPercentage])</f>
        <v>1</v>
      </c>
      <c r="AK231" s="429">
        <f t="array" ref="AK231">XLOOKUP(LCARS_Off[AbilityID],RawOfficer[AbilityID],RawOfficer[OfficerArt])</f>
        <v>135</v>
      </c>
      <c r="AL231" s="430">
        <v>2.478131502E9</v>
      </c>
      <c r="AM231" s="430">
        <f t="array" ref="AM231">XLOOKUP(LCARS_Off[AbilityID],RawOfficer[AbilityID],RawOfficer[Default Order])</f>
        <v>228</v>
      </c>
    </row>
    <row r="232">
      <c r="A232" s="429" t="str">
        <f t="array" ref="A232">LEFT(XLOOKUP(LCARS_Off[AbilityID],RawOfficer[AbilityID],RawOfficer[OfficerRarity]), 1)</f>
        <v>U</v>
      </c>
      <c r="B232" s="429"/>
      <c r="C232" s="514" t="str">
        <f t="array" ref="C232">HYPERLINK("https://stfc.space/officers/" &amp; XLOOKUP(LCARS_Off[AbilityID],RawOfficer[AbilityID],RawOfficer[OfficerId]), XLOOKUP(LCARS_Off[AbilityID],RawOfficer[AbilityID],RawOfficer[OfficerName]))</f>
        <v>CULBER</v>
      </c>
      <c r="D232" s="515" t="str">
        <f t="array" ref="D232">XLOOKUP(LCARS_Off[AbilityID],RawOfficer[AbilityID],RawOfficer[AbilityType])</f>
        <v>CM</v>
      </c>
      <c r="E232" s="516" t="str">
        <f t="array" ref="E232">XLOOKUP(LCARS_Off[AbilityID],RawOfficer[AbilityID],RawOfficer[Tag_PvPinSpace])</f>
        <v>✴️</v>
      </c>
      <c r="F232" s="516" t="str">
        <f t="array" ref="F232">XLOOKUP(LCARS_Off[AbilityID],RawOfficer[AbilityID],RawOfficer[Tag_PvPStation])</f>
        <v>➖</v>
      </c>
      <c r="G232" s="516" t="str">
        <f t="array" ref="G232">XLOOKUP(LCARS_Off[AbilityID],RawOfficer[AbilityID],RawOfficer[Tag_NonArmadaHostiles])</f>
        <v>➖</v>
      </c>
      <c r="H232" s="516" t="str">
        <f t="array" ref="H232">XLOOKUP(LCARS_Off[AbilityID],RawOfficer[AbilityID],RawOfficer[Tag_WaveDefense])</f>
        <v>➖</v>
      </c>
      <c r="I232" s="516" t="str">
        <f t="array" ref="I232">XLOOKUP(LCARS_Off[AbilityID],RawOfficer[AbilityID],RawOfficer[Tag_QTrial])</f>
        <v>➖</v>
      </c>
      <c r="J232" s="516" t="str">
        <f t="array" ref="J232">XLOOKUP(LCARS_Off[AbilityID],RawOfficer[AbilityID],RawOfficer[Tag_MissionBosses])</f>
        <v>➖</v>
      </c>
      <c r="K232" s="516" t="str">
        <f t="array" ref="K232">XLOOKUP(LCARS_Off[AbilityID],RawOfficer[AbilityID],RawOfficer[Tag_GroupArmadas])</f>
        <v>➖</v>
      </c>
      <c r="L232" s="516" t="str">
        <f t="array" ref="L232">XLOOKUP(LCARS_Off[AbilityID],RawOfficer[AbilityID],RawOfficer[Tag_SoloArmadas])</f>
        <v>➖</v>
      </c>
      <c r="M232" s="516" t="str">
        <f t="array" ref="M232">XLOOKUP(LCARS_Off[AbilityID],RawOfficer[AbilityID],RawOfficer[Tag_InvadingEntities])</f>
        <v>➖</v>
      </c>
      <c r="N232" s="516" t="str">
        <f t="array" ref="N232">XLOOKUP(LCARS_Off[AbilityID],RawOfficer[AbilityID],RawOfficer[Tag_Assaults])</f>
        <v>➖</v>
      </c>
      <c r="O232" s="516" t="str">
        <f t="array" ref="O232">XLOOKUP(LCARS_Off[AbilityID],RawOfficer[AbilityID],RawOfficer[Tag_OutpostArmadas])</f>
        <v>➖</v>
      </c>
      <c r="P232" s="516" t="str">
        <f t="array" ref="P232">XLOOKUP(LCARS_Off[AbilityID],RawOfficer[AbilityID],RawOfficer[Tag_OutpostRetaliators])</f>
        <v>➖</v>
      </c>
      <c r="Q232" s="517" t="str">
        <f t="array" ref="Q232">XLOOKUP(LCARS_Off[AbilityID],RawOfficer[AbilityID],RawOfficer[Conditional_Reason])</f>
        <v>docked on a node, on a Capture Node</v>
      </c>
      <c r="R232" s="518" t="str">
        <f t="array" ref="R232">XLOOKUP(LCARS_Off[AbilityID],RawOfficer[AbilityID],RawOfficer[Tag_Loot])</f>
        <v>➖</v>
      </c>
      <c r="S232" s="516" t="str">
        <f t="array" ref="S232">XLOOKUP(LCARS_Off[AbilityID],RawOfficer[AbilityID],RawOfficer[Tag_Utility])</f>
        <v>➖</v>
      </c>
      <c r="T232" s="429" t="str">
        <f t="array" ref="T232">XLOOKUP(LCARS_Off[AbilityID],RawOfficer[AbilityID],RawOfficer[OfficerSynergy])</f>
        <v>DISCOVERY CREW</v>
      </c>
      <c r="U232" s="519" t="str">
        <f t="array" ref="U232">XLOOKUP(LCARS_Off[AbilityID],RawOfficer[AbilityID],RawOfficer[AbilityModifier])</f>
        <v>ShipArmor</v>
      </c>
      <c r="V232" s="519" t="str">
        <f t="array" ref="V232">XLOOKUP(LCARS_Off[AbilityID],RawOfficer[AbilityID],RawOfficer[AbilityAttributes])</f>
        <v>battle_types=[4], game_context=capture_node, officer_stat=3</v>
      </c>
      <c r="W232" s="520" t="str">
        <f t="array" ref="W232">XLOOKUP(LCARS_Off[AbilityID],RawOfficer[AbilityID],RawOfficer[AbilityConditions])</f>
        <v>CombatBattleType, CombatGameContext, SelfDefending</v>
      </c>
      <c r="X232" s="519" t="str">
        <f t="array" ref="X232">XLOOKUP(LCARS_Off[AbilityID],RawOfficer[AbilityID],RawOfficer[AbilityTrigger])</f>
        <v>CombatStart</v>
      </c>
      <c r="Y232" s="519" t="str">
        <f t="array" ref="Y232">XLOOKUP(LCARS_Off[AbilityID],RawOfficer[AbilityID],RawOfficer[AbilityTarget])</f>
        <v>SelfShip</v>
      </c>
      <c r="Z232" s="519" t="str">
        <f t="array" ref="Z232">XLOOKUP(LCARS_Off[AbilityID],RawOfficer[AbilityID],RawOfficer[AbilityOperation])</f>
        <v>MultiplyBaseAdd</v>
      </c>
      <c r="AA232" s="521" t="str">
        <f t="array" ref="AA232">XLOOKUP(LCARS_Off[AbilityID],RawOfficer[AbilityID],RawOfficer[AbilityDescription])</f>
        <v>When defending on a Capture Node, Hugh Culber increases Armor by X of the total Health of the Officers on the ship.</v>
      </c>
      <c r="AB232" s="429" t="b">
        <v>0</v>
      </c>
      <c r="AC232" s="522" t="str">
        <f t="array" ref="AC232">XLOOKUP(LCARS_Off[AbilityID],RawOfficer[AbilityID],RawOfficer[AbilityDescriptionShort])</f>
        <v>X of Health to Armor when defending on a Capture Node</v>
      </c>
      <c r="AD232" s="523"/>
      <c r="AE232" s="524"/>
      <c r="AF232" s="524"/>
      <c r="AG232" s="525" t="str">
        <f t="array" ref="AG232">XLOOKUP(LCARS_Off[AbilityID],RawOfficer[AbilityID],RawOfficer[AbilityChances])</f>
        <v>1.0, 1.0, 1.0</v>
      </c>
      <c r="AH232" s="525" t="str">
        <f t="array" ref="AH232">XLOOKUP(LCARS_Off[AbilityID],RawOfficer[AbilityID],RawOfficer[AbilityValues])</f>
        <v>0.5, 0.25, 0.5</v>
      </c>
      <c r="AI232" s="428" t="b">
        <f t="array" ref="AI232">XLOOKUP(LCARS_Off[AbilityID],RawOfficer[AbilityID],RawOfficer[AbilityHasChance])</f>
        <v>0</v>
      </c>
      <c r="AJ232" s="428" t="b">
        <f t="array" ref="AJ232">XLOOKUP(LCARS_Off[AbilityID],RawOfficer[AbilityID],RawOfficer[AbilityShowPercentage])</f>
        <v>1</v>
      </c>
      <c r="AK232" s="429">
        <f t="array" ref="AK232">XLOOKUP(LCARS_Off[AbilityID],RawOfficer[AbilityID],RawOfficer[OfficerArt])</f>
        <v>137</v>
      </c>
      <c r="AL232" s="430">
        <v>3.511725168E9</v>
      </c>
      <c r="AM232" s="430">
        <f t="array" ref="AM232">XLOOKUP(LCARS_Off[AbilityID],RawOfficer[AbilityID],RawOfficer[Default Order])</f>
        <v>229</v>
      </c>
    </row>
    <row r="233">
      <c r="A233" s="429" t="str">
        <f t="array" ref="A233">LEFT(XLOOKUP(LCARS_Off[AbilityID],RawOfficer[AbilityID],RawOfficer[OfficerRarity]), 1)</f>
        <v>U</v>
      </c>
      <c r="B233" s="429"/>
      <c r="C233" s="514" t="str">
        <f t="array" ref="C233">HYPERLINK("https://stfc.space/officers/" &amp; XLOOKUP(LCARS_Off[AbilityID],RawOfficer[AbilityID],RawOfficer[OfficerId]), XLOOKUP(LCARS_Off[AbilityID],RawOfficer[AbilityID],RawOfficer[OfficerName]))</f>
        <v>CULBER</v>
      </c>
      <c r="D233" s="515" t="str">
        <f t="array" ref="D233">XLOOKUP(LCARS_Off[AbilityID],RawOfficer[AbilityID],RawOfficer[AbilityType])</f>
        <v>OA</v>
      </c>
      <c r="E233" s="516" t="str">
        <f t="array" ref="E233">XLOOKUP(LCARS_Off[AbilityID],RawOfficer[AbilityID],RawOfficer[Tag_PvPinSpace])</f>
        <v>➖</v>
      </c>
      <c r="F233" s="516" t="str">
        <f t="array" ref="F233">XLOOKUP(LCARS_Off[AbilityID],RawOfficer[AbilityID],RawOfficer[Tag_PvPStation])</f>
        <v>➖</v>
      </c>
      <c r="G233" s="516" t="str">
        <f t="array" ref="G233">XLOOKUP(LCARS_Off[AbilityID],RawOfficer[AbilityID],RawOfficer[Tag_NonArmadaHostiles])</f>
        <v>➖</v>
      </c>
      <c r="H233" s="516" t="str">
        <f t="array" ref="H233">XLOOKUP(LCARS_Off[AbilityID],RawOfficer[AbilityID],RawOfficer[Tag_WaveDefense])</f>
        <v>➖</v>
      </c>
      <c r="I233" s="516" t="str">
        <f t="array" ref="I233">XLOOKUP(LCARS_Off[AbilityID],RawOfficer[AbilityID],RawOfficer[Tag_QTrial])</f>
        <v>➖</v>
      </c>
      <c r="J233" s="516" t="str">
        <f t="array" ref="J233">XLOOKUP(LCARS_Off[AbilityID],RawOfficer[AbilityID],RawOfficer[Tag_MissionBosses])</f>
        <v>➖</v>
      </c>
      <c r="K233" s="516" t="str">
        <f t="array" ref="K233">XLOOKUP(LCARS_Off[AbilityID],RawOfficer[AbilityID],RawOfficer[Tag_GroupArmadas])</f>
        <v>➖</v>
      </c>
      <c r="L233" s="516" t="str">
        <f t="array" ref="L233">XLOOKUP(LCARS_Off[AbilityID],RawOfficer[AbilityID],RawOfficer[Tag_SoloArmadas])</f>
        <v>➖</v>
      </c>
      <c r="M233" s="516" t="str">
        <f t="array" ref="M233">XLOOKUP(LCARS_Off[AbilityID],RawOfficer[AbilityID],RawOfficer[Tag_InvadingEntities])</f>
        <v>➖</v>
      </c>
      <c r="N233" s="516" t="str">
        <f t="array" ref="N233">XLOOKUP(LCARS_Off[AbilityID],RawOfficer[AbilityID],RawOfficer[Tag_Assaults])</f>
        <v>➖</v>
      </c>
      <c r="O233" s="516" t="str">
        <f t="array" ref="O233">XLOOKUP(LCARS_Off[AbilityID],RawOfficer[AbilityID],RawOfficer[Tag_OutpostArmadas])</f>
        <v>➖</v>
      </c>
      <c r="P233" s="516" t="str">
        <f t="array" ref="P233">XLOOKUP(LCARS_Off[AbilityID],RawOfficer[AbilityID],RawOfficer[Tag_OutpostRetaliators])</f>
        <v>➖</v>
      </c>
      <c r="Q233" s="517" t="str">
        <f t="array" ref="Q233">XLOOKUP(LCARS_Off[AbilityID],RawOfficer[AbilityID],RawOfficer[Conditional_Reason])</f>
        <v/>
      </c>
      <c r="R233" s="518" t="str">
        <f t="array" ref="R233">XLOOKUP(LCARS_Off[AbilityID],RawOfficer[AbilityID],RawOfficer[Tag_Loot])</f>
        <v>➖</v>
      </c>
      <c r="S233" s="516" t="str">
        <f t="array" ref="S233">XLOOKUP(LCARS_Off[AbilityID],RawOfficer[AbilityID],RawOfficer[Tag_Utility])</f>
        <v>✅</v>
      </c>
      <c r="T233" s="429" t="str">
        <f t="array" ref="T233">XLOOKUP(LCARS_Off[AbilityID],RawOfficer[AbilityID],RawOfficer[OfficerSynergy])</f>
        <v>DISCOVERY CREW</v>
      </c>
      <c r="U233" s="519" t="str">
        <f t="array" ref="U233">XLOOKUP(LCARS_Off[AbilityID],RawOfficer[AbilityID],RawOfficer[AbilityModifier])</f>
        <v>JumpAndTowCostEff</v>
      </c>
      <c r="V233" s="519" t="str">
        <f t="array" ref="V233">XLOOKUP(LCARS_Off[AbilityID],RawOfficer[AbilityID],RawOfficer[AbilityAttributes])</f>
        <v/>
      </c>
      <c r="W233" s="520" t="str">
        <f t="array" ref="W233">XLOOKUP(LCARS_Off[AbilityID],RawOfficer[AbilityID],RawOfficer[AbilityConditions])</f>
        <v>SelfHullDiscovery</v>
      </c>
      <c r="X233" s="519" t="str">
        <f t="array" ref="X233">XLOOKUP(LCARS_Off[AbilityID],RawOfficer[AbilityID],RawOfficer[AbilityTrigger])</f>
        <v>ShipLaunched</v>
      </c>
      <c r="Y233" s="519" t="str">
        <f t="array" ref="Y233">XLOOKUP(LCARS_Off[AbilityID],RawOfficer[AbilityID],RawOfficer[AbilityTarget])</f>
        <v>SelfShip</v>
      </c>
      <c r="Z233" s="519" t="str">
        <f t="array" ref="Z233">XLOOKUP(LCARS_Off[AbilityID],RawOfficer[AbilityID],RawOfficer[AbilityOperation])</f>
        <v>MultiplyAdd</v>
      </c>
      <c r="AA233" s="521" t="str">
        <f t="array" ref="AA233">XLOOKUP(LCARS_Off[AbilityID],RawOfficer[AbilityID],RawOfficer[AbilityDescription])</f>
        <v>Hugh increases the Cost Efficiency of Jumping and Summoning with the Discovery by X.</v>
      </c>
      <c r="AB233" s="429" t="b">
        <v>0</v>
      </c>
      <c r="AC233" s="522" t="str">
        <f t="array" ref="AC233">XLOOKUP(LCARS_Off[AbilityID],RawOfficer[AbilityID],RawOfficer[AbilityDescriptionShort])</f>
        <v>+X to Jumping and Summoning Cost Efficiency</v>
      </c>
      <c r="AD233" s="523"/>
      <c r="AE233" s="524"/>
      <c r="AF233" s="524"/>
      <c r="AG233" s="525" t="str">
        <f t="array" ref="AG233">XLOOKUP(LCARS_Off[AbilityID],RawOfficer[AbilityID],RawOfficer[AbilityChances])</f>
        <v>1.0, 1.0, 1.0, 1.0, 1.0</v>
      </c>
      <c r="AH233" s="525" t="str">
        <f t="array" ref="AH233">XLOOKUP(LCARS_Off[AbilityID],RawOfficer[AbilityID],RawOfficer[AbilityValues])</f>
        <v>0.05, 0.1, 0.15, 0.2, 0.25</v>
      </c>
      <c r="AI233" s="428" t="b">
        <f t="array" ref="AI233">XLOOKUP(LCARS_Off[AbilityID],RawOfficer[AbilityID],RawOfficer[AbilityHasChance])</f>
        <v>0</v>
      </c>
      <c r="AJ233" s="428" t="b">
        <f t="array" ref="AJ233">XLOOKUP(LCARS_Off[AbilityID],RawOfficer[AbilityID],RawOfficer[AbilityShowPercentage])</f>
        <v>1</v>
      </c>
      <c r="AK233" s="429">
        <f t="array" ref="AK233">XLOOKUP(LCARS_Off[AbilityID],RawOfficer[AbilityID],RawOfficer[OfficerArt])</f>
        <v>137</v>
      </c>
      <c r="AL233" s="430">
        <v>2.499304252E9</v>
      </c>
      <c r="AM233" s="430">
        <f t="array" ref="AM233">XLOOKUP(LCARS_Off[AbilityID],RawOfficer[AbilityID],RawOfficer[Default Order])</f>
        <v>230</v>
      </c>
    </row>
    <row r="234">
      <c r="A234" s="429" t="str">
        <f t="array" ref="A234">LEFT(XLOOKUP(LCARS_Off[AbilityID],RawOfficer[AbilityID],RawOfficer[OfficerRarity]), 1)</f>
        <v>U</v>
      </c>
      <c r="B234" s="429"/>
      <c r="C234" s="514" t="str">
        <f t="array" ref="C234">HYPERLINK("https://stfc.space/officers/" &amp; XLOOKUP(LCARS_Off[AbilityID],RawOfficer[AbilityID],RawOfficer[OfficerId]), XLOOKUP(LCARS_Off[AbilityID],RawOfficer[AbilityID],RawOfficer[OfficerName]))</f>
        <v>AIRIAM</v>
      </c>
      <c r="D234" s="515" t="str">
        <f t="array" ref="D234">XLOOKUP(LCARS_Off[AbilityID],RawOfficer[AbilityID],RawOfficer[AbilityType])</f>
        <v>CM</v>
      </c>
      <c r="E234" s="516" t="str">
        <f t="array" ref="E234">XLOOKUP(LCARS_Off[AbilityID],RawOfficer[AbilityID],RawOfficer[Tag_PvPinSpace])</f>
        <v>➖</v>
      </c>
      <c r="F234" s="516" t="str">
        <f t="array" ref="F234">XLOOKUP(LCARS_Off[AbilityID],RawOfficer[AbilityID],RawOfficer[Tag_PvPStation])</f>
        <v>➖</v>
      </c>
      <c r="G234" s="516" t="str">
        <f t="array" ref="G234">XLOOKUP(LCARS_Off[AbilityID],RawOfficer[AbilityID],RawOfficer[Tag_NonArmadaHostiles])</f>
        <v>➖</v>
      </c>
      <c r="H234" s="516" t="str">
        <f t="array" ref="H234">XLOOKUP(LCARS_Off[AbilityID],RawOfficer[AbilityID],RawOfficer[Tag_WaveDefense])</f>
        <v>➖</v>
      </c>
      <c r="I234" s="516" t="str">
        <f t="array" ref="I234">XLOOKUP(LCARS_Off[AbilityID],RawOfficer[AbilityID],RawOfficer[Tag_QTrial])</f>
        <v>➖</v>
      </c>
      <c r="J234" s="516" t="str">
        <f t="array" ref="J234">XLOOKUP(LCARS_Off[AbilityID],RawOfficer[AbilityID],RawOfficer[Tag_MissionBosses])</f>
        <v>➖</v>
      </c>
      <c r="K234" s="516" t="str">
        <f t="array" ref="K234">XLOOKUP(LCARS_Off[AbilityID],RawOfficer[AbilityID],RawOfficer[Tag_GroupArmadas])</f>
        <v>➖</v>
      </c>
      <c r="L234" s="516" t="str">
        <f t="array" ref="L234">XLOOKUP(LCARS_Off[AbilityID],RawOfficer[AbilityID],RawOfficer[Tag_SoloArmadas])</f>
        <v>➖</v>
      </c>
      <c r="M234" s="516" t="str">
        <f t="array" ref="M234">XLOOKUP(LCARS_Off[AbilityID],RawOfficer[AbilityID],RawOfficer[Tag_InvadingEntities])</f>
        <v>➖</v>
      </c>
      <c r="N234" s="516" t="str">
        <f t="array" ref="N234">XLOOKUP(LCARS_Off[AbilityID],RawOfficer[AbilityID],RawOfficer[Tag_Assaults])</f>
        <v>➖</v>
      </c>
      <c r="O234" s="516" t="str">
        <f t="array" ref="O234">XLOOKUP(LCARS_Off[AbilityID],RawOfficer[AbilityID],RawOfficer[Tag_OutpostArmadas])</f>
        <v>➖</v>
      </c>
      <c r="P234" s="516" t="str">
        <f t="array" ref="P234">XLOOKUP(LCARS_Off[AbilityID],RawOfficer[AbilityID],RawOfficer[Tag_OutpostRetaliators])</f>
        <v>➖</v>
      </c>
      <c r="Q234" s="517" t="str">
        <f t="array" ref="Q234">XLOOKUP(LCARS_Off[AbilityID],RawOfficer[AbilityID],RawOfficer[Conditional_Reason])</f>
        <v/>
      </c>
      <c r="R234" s="518" t="str">
        <f t="array" ref="R234">XLOOKUP(LCARS_Off[AbilityID],RawOfficer[AbilityID],RawOfficer[Tag_Loot])</f>
        <v>➖</v>
      </c>
      <c r="S234" s="516" t="str">
        <f t="array" ref="S234">XLOOKUP(LCARS_Off[AbilityID],RawOfficer[AbilityID],RawOfficer[Tag_Utility])</f>
        <v>✅</v>
      </c>
      <c r="T234" s="429" t="str">
        <f t="array" ref="T234">XLOOKUP(LCARS_Off[AbilityID],RawOfficer[AbilityID],RawOfficer[OfficerSynergy])</f>
        <v>DISCOVERY CREW</v>
      </c>
      <c r="U234" s="519" t="str">
        <f t="array" ref="U234">XLOOKUP(LCARS_Off[AbilityID],RawOfficer[AbilityID],RawOfficer[AbilityModifier])</f>
        <v>MiningRate</v>
      </c>
      <c r="V234" s="519" t="str">
        <f t="array" ref="V234">XLOOKUP(LCARS_Off[AbilityID],RawOfficer[AbilityID],RawOfficer[AbilityAttributes])</f>
        <v>resources=[2991010408, 2705205969, 563579678]</v>
      </c>
      <c r="W234" s="520" t="str">
        <f t="array" ref="W234">XLOOKUP(LCARS_Off[AbilityID],RawOfficer[AbilityID],RawOfficer[AbilityConditions])</f>
        <v/>
      </c>
      <c r="X234" s="519" t="str">
        <f t="array" ref="X234">XLOOKUP(LCARS_Off[AbilityID],RawOfficer[AbilityID],RawOfficer[AbilityTrigger])</f>
        <v>ShipLaunched</v>
      </c>
      <c r="Y234" s="519" t="str">
        <f t="array" ref="Y234">XLOOKUP(LCARS_Off[AbilityID],RawOfficer[AbilityID],RawOfficer[AbilityTarget])</f>
        <v>SelfShip</v>
      </c>
      <c r="Z234" s="519" t="str">
        <f t="array" ref="Z234">XLOOKUP(LCARS_Off[AbilityID],RawOfficer[AbilityID],RawOfficer[AbilityOperation])</f>
        <v>MultiplyAdd</v>
      </c>
      <c r="AA234" s="521" t="str">
        <f t="array" ref="AA234">XLOOKUP(LCARS_Off[AbilityID],RawOfficer[AbilityID],RawOfficer[AbilityDescription])</f>
        <v>Airiam increases the mining speed of Isogen by X.</v>
      </c>
      <c r="AB234" s="429" t="b">
        <v>0</v>
      </c>
      <c r="AC234" s="522" t="str">
        <f t="array" ref="AC234">XLOOKUP(LCARS_Off[AbilityID],RawOfficer[AbilityID],RawOfficer[AbilityDescriptionShort])</f>
        <v>+X to Isogen Mining Speed</v>
      </c>
      <c r="AD234" s="523"/>
      <c r="AE234" s="524"/>
      <c r="AF234" s="524"/>
      <c r="AG234" s="525" t="str">
        <f t="array" ref="AG234">XLOOKUP(LCARS_Off[AbilityID],RawOfficer[AbilityID],RawOfficer[AbilityChances])</f>
        <v>1.0, 1.0, 1.0</v>
      </c>
      <c r="AH234" s="525" t="str">
        <f t="array" ref="AH234">XLOOKUP(LCARS_Off[AbilityID],RawOfficer[AbilityID],RawOfficer[AbilityValues])</f>
        <v>0.4, 0.1, 0.2</v>
      </c>
      <c r="AI234" s="428" t="b">
        <f t="array" ref="AI234">XLOOKUP(LCARS_Off[AbilityID],RawOfficer[AbilityID],RawOfficer[AbilityHasChance])</f>
        <v>0</v>
      </c>
      <c r="AJ234" s="428" t="b">
        <f t="array" ref="AJ234">XLOOKUP(LCARS_Off[AbilityID],RawOfficer[AbilityID],RawOfficer[AbilityShowPercentage])</f>
        <v>1</v>
      </c>
      <c r="AK234" s="429">
        <f t="array" ref="AK234">XLOOKUP(LCARS_Off[AbilityID],RawOfficer[AbilityID],RawOfficer[OfficerArt])</f>
        <v>136</v>
      </c>
      <c r="AL234" s="430">
        <v>3.029331443E9</v>
      </c>
      <c r="AM234" s="430">
        <f t="array" ref="AM234">XLOOKUP(LCARS_Off[AbilityID],RawOfficer[AbilityID],RawOfficer[Default Order])</f>
        <v>231</v>
      </c>
    </row>
    <row r="235">
      <c r="A235" s="429" t="str">
        <f t="array" ref="A235">LEFT(XLOOKUP(LCARS_Off[AbilityID],RawOfficer[AbilityID],RawOfficer[OfficerRarity]), 1)</f>
        <v>U</v>
      </c>
      <c r="B235" s="429"/>
      <c r="C235" s="514" t="str">
        <f t="array" ref="C235">HYPERLINK("https://stfc.space/officers/" &amp; XLOOKUP(LCARS_Off[AbilityID],RawOfficer[AbilityID],RawOfficer[OfficerId]), XLOOKUP(LCARS_Off[AbilityID],RawOfficer[AbilityID],RawOfficer[OfficerName]))</f>
        <v>AIRIAM</v>
      </c>
      <c r="D235" s="515" t="str">
        <f t="array" ref="D235">XLOOKUP(LCARS_Off[AbilityID],RawOfficer[AbilityID],RawOfficer[AbilityType])</f>
        <v>OA</v>
      </c>
      <c r="E235" s="516" t="str">
        <f t="array" ref="E235">XLOOKUP(LCARS_Off[AbilityID],RawOfficer[AbilityID],RawOfficer[Tag_PvPinSpace])</f>
        <v>✴️</v>
      </c>
      <c r="F235" s="516" t="str">
        <f t="array" ref="F235">XLOOKUP(LCARS_Off[AbilityID],RawOfficer[AbilityID],RawOfficer[Tag_PvPStation])</f>
        <v>➖</v>
      </c>
      <c r="G235" s="516" t="str">
        <f t="array" ref="G235">XLOOKUP(LCARS_Off[AbilityID],RawOfficer[AbilityID],RawOfficer[Tag_NonArmadaHostiles])</f>
        <v>➖</v>
      </c>
      <c r="H235" s="516" t="str">
        <f t="array" ref="H235">XLOOKUP(LCARS_Off[AbilityID],RawOfficer[AbilityID],RawOfficer[Tag_WaveDefense])</f>
        <v>➖</v>
      </c>
      <c r="I235" s="516" t="str">
        <f t="array" ref="I235">XLOOKUP(LCARS_Off[AbilityID],RawOfficer[AbilityID],RawOfficer[Tag_QTrial])</f>
        <v>➖</v>
      </c>
      <c r="J235" s="516" t="str">
        <f t="array" ref="J235">XLOOKUP(LCARS_Off[AbilityID],RawOfficer[AbilityID],RawOfficer[Tag_MissionBosses])</f>
        <v>➖</v>
      </c>
      <c r="K235" s="516" t="str">
        <f t="array" ref="K235">XLOOKUP(LCARS_Off[AbilityID],RawOfficer[AbilityID],RawOfficer[Tag_GroupArmadas])</f>
        <v>➖</v>
      </c>
      <c r="L235" s="516" t="str">
        <f t="array" ref="L235">XLOOKUP(LCARS_Off[AbilityID],RawOfficer[AbilityID],RawOfficer[Tag_SoloArmadas])</f>
        <v>➖</v>
      </c>
      <c r="M235" s="516" t="str">
        <f t="array" ref="M235">XLOOKUP(LCARS_Off[AbilityID],RawOfficer[AbilityID],RawOfficer[Tag_InvadingEntities])</f>
        <v>➖</v>
      </c>
      <c r="N235" s="516" t="str">
        <f t="array" ref="N235">XLOOKUP(LCARS_Off[AbilityID],RawOfficer[AbilityID],RawOfficer[Tag_Assaults])</f>
        <v>➖</v>
      </c>
      <c r="O235" s="516" t="str">
        <f t="array" ref="O235">XLOOKUP(LCARS_Off[AbilityID],RawOfficer[AbilityID],RawOfficer[Tag_Assaults])</f>
        <v>➖</v>
      </c>
      <c r="P235" s="516" t="str">
        <f t="array" ref="P235">XLOOKUP(LCARS_Off[AbilityID],RawOfficer[AbilityID],RawOfficer[Tag_OutpostRetaliators])</f>
        <v>➖</v>
      </c>
      <c r="Q235" s="517" t="str">
        <f t="array" ref="Q235">XLOOKUP(LCARS_Off[AbilityID],RawOfficer[AbilityID],RawOfficer[Conditional_Reason])</f>
        <v>docked on a node, on a Capture Node</v>
      </c>
      <c r="R235" s="518" t="str">
        <f t="array" ref="R235">XLOOKUP(LCARS_Off[AbilityID],RawOfficer[AbilityID],RawOfficer[Tag_Loot])</f>
        <v>➖</v>
      </c>
      <c r="S235" s="516" t="str">
        <f t="array" ref="S235">XLOOKUP(LCARS_Off[AbilityID],RawOfficer[AbilityID],RawOfficer[Tag_Utility])</f>
        <v>➖</v>
      </c>
      <c r="T235" s="429" t="str">
        <f t="array" ref="T235">XLOOKUP(LCARS_Off[AbilityID],RawOfficer[AbilityID],RawOfficer[OfficerSynergy])</f>
        <v>DISCOVERY CREW</v>
      </c>
      <c r="U235" s="519" t="str">
        <f t="array" ref="U235">XLOOKUP(LCARS_Off[AbilityID],RawOfficer[AbilityID],RawOfficer[AbilityModifier])</f>
        <v>AddState</v>
      </c>
      <c r="V235" s="519" t="str">
        <f t="array" ref="V235">XLOOKUP(LCARS_Off[AbilityID],RawOfficer[AbilityID],RawOfficer[AbilityAttributes])</f>
        <v>battle_types=[4], game_context=capture_node, num_rounds=1, state=2</v>
      </c>
      <c r="W235" s="520" t="str">
        <f t="array" ref="W235">XLOOKUP(LCARS_Off[AbilityID],RawOfficer[AbilityID],RawOfficer[AbilityConditions])</f>
        <v>CombatBattleType, CombatGameContext, SelfDefending</v>
      </c>
      <c r="X235" s="519" t="str">
        <f t="array" ref="X235">XLOOKUP(LCARS_Off[AbilityID],RawOfficer[AbilityID],RawOfficer[AbilityTrigger])</f>
        <v>RoundStart</v>
      </c>
      <c r="Y235" s="519" t="str">
        <f t="array" ref="Y235">XLOOKUP(LCARS_Off[AbilityID],RawOfficer[AbilityID],RawOfficer[AbilityTarget])</f>
        <v>EnemyShip</v>
      </c>
      <c r="Z235" s="519" t="str">
        <f t="array" ref="Z235">XLOOKUP(LCARS_Off[AbilityID],RawOfficer[AbilityID],RawOfficer[AbilityOperation])</f>
        <v>MultiplyAdd</v>
      </c>
      <c r="AA235" s="521" t="str">
        <f t="array" ref="AA235">XLOOKUP(LCARS_Off[AbilityID],RawOfficer[AbilityID],RawOfficer[AbilityDescription])</f>
        <v>When defending on a Capture Node, at the start of each round, Airiam has a X chance of Burning the opponent for this round.</v>
      </c>
      <c r="AB235" s="429" t="b">
        <v>0</v>
      </c>
      <c r="AC235" s="522" t="str">
        <f t="array" ref="AC235">XLOOKUP(LCARS_Off[AbilityID],RawOfficer[AbilityID],RawOfficer[AbilityDescriptionShort])</f>
        <v>+X chance to inflict Burning when defending on a Node</v>
      </c>
      <c r="AD235" s="523"/>
      <c r="AE235" s="524"/>
      <c r="AF235" s="524"/>
      <c r="AG235" s="525" t="str">
        <f t="array" ref="AG235">XLOOKUP(LCARS_Off[AbilityID],RawOfficer[AbilityID],RawOfficer[AbilityChances])</f>
        <v>0.6, 0.7, 0.8, 0.9, 0.95</v>
      </c>
      <c r="AH235" s="525" t="str">
        <f t="array" ref="AH235">XLOOKUP(LCARS_Off[AbilityID],RawOfficer[AbilityID],RawOfficer[AbilityValues])</f>
        <v>0.6, 0.7, 0.8, 0.9, 0.95</v>
      </c>
      <c r="AI235" s="428" t="b">
        <f t="array" ref="AI235">XLOOKUP(LCARS_Off[AbilityID],RawOfficer[AbilityID],RawOfficer[AbilityHasChance])</f>
        <v>0</v>
      </c>
      <c r="AJ235" s="428" t="b">
        <f t="array" ref="AJ235">XLOOKUP(LCARS_Off[AbilityID],RawOfficer[AbilityID],RawOfficer[AbilityShowPercentage])</f>
        <v>1</v>
      </c>
      <c r="AK235" s="429">
        <f t="array" ref="AK235">XLOOKUP(LCARS_Off[AbilityID],RawOfficer[AbilityID],RawOfficer[OfficerArt])</f>
        <v>136</v>
      </c>
      <c r="AL235" s="430">
        <v>2.35386558E8</v>
      </c>
      <c r="AM235" s="430">
        <f t="array" ref="AM235">XLOOKUP(LCARS_Off[AbilityID],RawOfficer[AbilityID],RawOfficer[Default Order])</f>
        <v>232</v>
      </c>
    </row>
    <row r="236">
      <c r="A236" s="429" t="str">
        <f t="array" ref="A236">LEFT(XLOOKUP(LCARS_Off[AbilityID],RawOfficer[AbilityID],RawOfficer[OfficerRarity]), 1)</f>
        <v>R</v>
      </c>
      <c r="B236" s="429"/>
      <c r="C236" s="514" t="str">
        <f t="array" ref="C236">HYPERLINK("https://stfc.space/officers/" &amp; XLOOKUP(LCARS_Off[AbilityID],RawOfficer[AbilityID],RawOfficer[OfficerId]), XLOOKUP(LCARS_Off[AbilityID],RawOfficer[AbilityID],RawOfficer[OfficerName]))</f>
        <v>EMP. GEORGIOU</v>
      </c>
      <c r="D236" s="515" t="str">
        <f t="array" ref="D236">XLOOKUP(LCARS_Off[AbilityID],RawOfficer[AbilityID],RawOfficer[AbilityType])</f>
        <v>CM</v>
      </c>
      <c r="E236" s="516" t="str">
        <f t="array" ref="E236">XLOOKUP(LCARS_Off[AbilityID],RawOfficer[AbilityID],RawOfficer[Tag_PvPinSpace])</f>
        <v>✴️</v>
      </c>
      <c r="F236" s="516" t="str">
        <f t="array" ref="F236">XLOOKUP(LCARS_Off[AbilityID],RawOfficer[AbilityID],RawOfficer[Tag_PvPStation])</f>
        <v>➖</v>
      </c>
      <c r="G236" s="516" t="str">
        <f t="array" ref="G236">XLOOKUP(LCARS_Off[AbilityID],RawOfficer[AbilityID],RawOfficer[Tag_NonArmadaHostiles])</f>
        <v>➖</v>
      </c>
      <c r="H236" s="516" t="str">
        <f t="array" ref="H236">XLOOKUP(LCARS_Off[AbilityID],RawOfficer[AbilityID],RawOfficer[Tag_WaveDefense])</f>
        <v>➖</v>
      </c>
      <c r="I236" s="516" t="str">
        <f t="array" ref="I236">XLOOKUP(LCARS_Off[AbilityID],RawOfficer[AbilityID],RawOfficer[Tag_QTrial])</f>
        <v>➖</v>
      </c>
      <c r="J236" s="516" t="str">
        <f t="array" ref="J236">XLOOKUP(LCARS_Off[AbilityID],RawOfficer[AbilityID],RawOfficer[Tag_MissionBosses])</f>
        <v>➖</v>
      </c>
      <c r="K236" s="516" t="str">
        <f t="array" ref="K236">XLOOKUP(LCARS_Off[AbilityID],RawOfficer[AbilityID],RawOfficer[Tag_GroupArmadas])</f>
        <v>➖</v>
      </c>
      <c r="L236" s="516" t="str">
        <f t="array" ref="L236">XLOOKUP(LCARS_Off[AbilityID],RawOfficer[AbilityID],RawOfficer[Tag_SoloArmadas])</f>
        <v>➖</v>
      </c>
      <c r="M236" s="516" t="str">
        <f t="array" ref="M236">XLOOKUP(LCARS_Off[AbilityID],RawOfficer[AbilityID],RawOfficer[Tag_InvadingEntities])</f>
        <v>➖</v>
      </c>
      <c r="N236" s="516" t="str">
        <f t="array" ref="N236">XLOOKUP(LCARS_Off[AbilityID],RawOfficer[AbilityID],RawOfficer[Tag_Assaults])</f>
        <v>➖</v>
      </c>
      <c r="O236" s="516" t="str">
        <f t="array" ref="O236">XLOOKUP(LCARS_Off[AbilityID],RawOfficer[AbilityID],RawOfficer[Tag_OutpostArmadas])</f>
        <v>➖</v>
      </c>
      <c r="P236" s="516" t="str">
        <f t="array" ref="P236">XLOOKUP(LCARS_Off[AbilityID],RawOfficer[AbilityID],RawOfficer[Tag_OutpostRetaliators])</f>
        <v>➖</v>
      </c>
      <c r="Q236" s="517" t="str">
        <f t="array" ref="Q236">XLOOKUP(LCARS_Off[AbilityID],RawOfficer[AbilityID],RawOfficer[Conditional_Reason])</f>
        <v>during Takeover</v>
      </c>
      <c r="R236" s="518" t="str">
        <f t="array" ref="R236">XLOOKUP(LCARS_Off[AbilityID],RawOfficer[AbilityID],RawOfficer[Tag_Loot])</f>
        <v>➖</v>
      </c>
      <c r="S236" s="516" t="str">
        <f t="array" ref="S236">XLOOKUP(LCARS_Off[AbilityID],RawOfficer[AbilityID],RawOfficer[Tag_Utility])</f>
        <v>➖</v>
      </c>
      <c r="T236" s="429" t="str">
        <f t="array" ref="T236">XLOOKUP(LCARS_Off[AbilityID],RawOfficer[AbilityID],RawOfficer[OfficerSynergy])</f>
        <v>TERRAN EMPIRE</v>
      </c>
      <c r="U236" s="519" t="str">
        <f t="array" ref="U236">XLOOKUP(LCARS_Off[AbilityID],RawOfficer[AbilityID],RawOfficer[AbilityModifier])</f>
        <v>OfficerStatDefense</v>
      </c>
      <c r="V236" s="519" t="str">
        <f t="array" ref="V236">XLOOKUP(LCARS_Off[AbilityID],RawOfficer[AbilityID],RawOfficer[AbilityAttributes])</f>
        <v>game_context=takeover</v>
      </c>
      <c r="W236" s="520" t="str">
        <f t="array" ref="W236">XLOOKUP(LCARS_Off[AbilityID],RawOfficer[AbilityID],RawOfficer[AbilityConditions])</f>
        <v>CombatGameContext, SelfAttacking</v>
      </c>
      <c r="X236" s="519" t="str">
        <f t="array" ref="X236">XLOOKUP(LCARS_Off[AbilityID],RawOfficer[AbilityID],RawOfficer[AbilityTrigger])</f>
        <v>RoundStart</v>
      </c>
      <c r="Y236" s="519" t="str">
        <f t="array" ref="Y236">XLOOKUP(LCARS_Off[AbilityID],RawOfficer[AbilityID],RawOfficer[AbilityTarget])</f>
        <v>EnemyAll</v>
      </c>
      <c r="Z236" s="519" t="str">
        <f t="array" ref="Z236">XLOOKUP(LCARS_Off[AbilityID],RawOfficer[AbilityID],RawOfficer[AbilityOperation])</f>
        <v>MultiplySub</v>
      </c>
      <c r="AA236" s="521" t="str">
        <f t="array" ref="AA236">XLOOKUP(LCARS_Off[AbilityID],RawOfficer[AbilityID],RawOfficer[AbilityDescription])</f>
        <v>Decreases the opponent crew's Defense by a stacking X of base each round when attacking a player during a Takeover.</v>
      </c>
      <c r="AB236" s="429" t="b">
        <v>0</v>
      </c>
      <c r="AC236" s="522" t="str">
        <f t="array" ref="AC236">XLOOKUP(LCARS_Off[AbilityID],RawOfficer[AbilityID],RawOfficer[AbilityDescriptionShort])</f>
        <v>-X to the opponent crew's Defense each round when attacking a player during a Takeover.</v>
      </c>
      <c r="AD236" s="523"/>
      <c r="AE236" s="524"/>
      <c r="AF236" s="524"/>
      <c r="AG236" s="525" t="str">
        <f t="array" ref="AG236">XLOOKUP(LCARS_Off[AbilityID],RawOfficer[AbilityID],RawOfficer[AbilityChances])</f>
        <v>1.0, 1.0, 1.0</v>
      </c>
      <c r="AH236" s="525" t="str">
        <f t="array" ref="AH236">XLOOKUP(LCARS_Off[AbilityID],RawOfficer[AbilityID],RawOfficer[AbilityValues])</f>
        <v>1.0, 0.15, 0.25</v>
      </c>
      <c r="AI236" s="428" t="b">
        <f t="array" ref="AI236">XLOOKUP(LCARS_Off[AbilityID],RawOfficer[AbilityID],RawOfficer[AbilityHasChance])</f>
        <v>0</v>
      </c>
      <c r="AJ236" s="428" t="b">
        <f t="array" ref="AJ236">XLOOKUP(LCARS_Off[AbilityID],RawOfficer[AbilityID],RawOfficer[AbilityShowPercentage])</f>
        <v>1</v>
      </c>
      <c r="AK236" s="429">
        <f t="array" ref="AK236">XLOOKUP(LCARS_Off[AbilityID],RawOfficer[AbilityID],RawOfficer[OfficerArt])</f>
        <v>140</v>
      </c>
      <c r="AL236" s="430">
        <v>4.172773477E9</v>
      </c>
      <c r="AM236" s="430">
        <f t="array" ref="AM236">XLOOKUP(LCARS_Off[AbilityID],RawOfficer[AbilityID],RawOfficer[Default Order])</f>
        <v>233</v>
      </c>
    </row>
    <row r="237">
      <c r="A237" s="429" t="str">
        <f t="array" ref="A237">LEFT(XLOOKUP(LCARS_Off[AbilityID],RawOfficer[AbilityID],RawOfficer[OfficerRarity]), 1)</f>
        <v>R</v>
      </c>
      <c r="B237" s="429"/>
      <c r="C237" s="514" t="str">
        <f t="array" ref="C237">HYPERLINK("https://stfc.space/officers/" &amp; XLOOKUP(LCARS_Off[AbilityID],RawOfficer[AbilityID],RawOfficer[OfficerId]), XLOOKUP(LCARS_Off[AbilityID],RawOfficer[AbilityID],RawOfficer[OfficerName]))</f>
        <v>EMP. GEORGIOU</v>
      </c>
      <c r="D237" s="515" t="str">
        <f t="array" ref="D237">XLOOKUP(LCARS_Off[AbilityID],RawOfficer[AbilityID],RawOfficer[AbilityType])</f>
        <v>OA</v>
      </c>
      <c r="E237" s="516" t="str">
        <f t="array" ref="E237">XLOOKUP(LCARS_Off[AbilityID],RawOfficer[AbilityID],RawOfficer[Tag_PvPinSpace])</f>
        <v>✴️</v>
      </c>
      <c r="F237" s="516" t="str">
        <f t="array" ref="F237">XLOOKUP(LCARS_Off[AbilityID],RawOfficer[AbilityID],RawOfficer[Tag_PvPStation])</f>
        <v>➖</v>
      </c>
      <c r="G237" s="516" t="str">
        <f t="array" ref="G237">XLOOKUP(LCARS_Off[AbilityID],RawOfficer[AbilityID],RawOfficer[Tag_NonArmadaHostiles])</f>
        <v>➖</v>
      </c>
      <c r="H237" s="516" t="str">
        <f t="array" ref="H237">XLOOKUP(LCARS_Off[AbilityID],RawOfficer[AbilityID],RawOfficer[Tag_WaveDefense])</f>
        <v>➖</v>
      </c>
      <c r="I237" s="516" t="str">
        <f t="array" ref="I237">XLOOKUP(LCARS_Off[AbilityID],RawOfficer[AbilityID],RawOfficer[Tag_QTrial])</f>
        <v>➖</v>
      </c>
      <c r="J237" s="516" t="str">
        <f t="array" ref="J237">XLOOKUP(LCARS_Off[AbilityID],RawOfficer[AbilityID],RawOfficer[Tag_MissionBosses])</f>
        <v>➖</v>
      </c>
      <c r="K237" s="516" t="str">
        <f t="array" ref="K237">XLOOKUP(LCARS_Off[AbilityID],RawOfficer[AbilityID],RawOfficer[Tag_GroupArmadas])</f>
        <v>➖</v>
      </c>
      <c r="L237" s="516" t="str">
        <f t="array" ref="L237">XLOOKUP(LCARS_Off[AbilityID],RawOfficer[AbilityID],RawOfficer[Tag_SoloArmadas])</f>
        <v>➖</v>
      </c>
      <c r="M237" s="516" t="str">
        <f t="array" ref="M237">XLOOKUP(LCARS_Off[AbilityID],RawOfficer[AbilityID],RawOfficer[Tag_InvadingEntities])</f>
        <v>➖</v>
      </c>
      <c r="N237" s="516" t="str">
        <f t="array" ref="N237">XLOOKUP(LCARS_Off[AbilityID],RawOfficer[AbilityID],RawOfficer[Tag_Assaults])</f>
        <v>➖</v>
      </c>
      <c r="O237" s="516" t="str">
        <f t="array" ref="O237">XLOOKUP(LCARS_Off[AbilityID],RawOfficer[AbilityID],RawOfficer[Tag_OutpostArmadas])</f>
        <v>➖</v>
      </c>
      <c r="P237" s="516" t="str">
        <f t="array" ref="P237">XLOOKUP(LCARS_Off[AbilityID],RawOfficer[AbilityID],RawOfficer[Tag_OutpostRetaliators])</f>
        <v>➖</v>
      </c>
      <c r="Q237" s="517" t="str">
        <f t="array" ref="Q237">XLOOKUP(LCARS_Off[AbilityID],RawOfficer[AbilityID],RawOfficer[Conditional_Reason])</f>
        <v>docked on a node, on a Capture Node</v>
      </c>
      <c r="R237" s="518" t="str">
        <f t="array" ref="R237">XLOOKUP(LCARS_Off[AbilityID],RawOfficer[AbilityID],RawOfficer[Tag_Loot])</f>
        <v>➖</v>
      </c>
      <c r="S237" s="516" t="str">
        <f t="array" ref="S237">XLOOKUP(LCARS_Off[AbilityID],RawOfficer[AbilityID],RawOfficer[Tag_Utility])</f>
        <v>➖</v>
      </c>
      <c r="T237" s="429" t="str">
        <f t="array" ref="T237">XLOOKUP(LCARS_Off[AbilityID],RawOfficer[AbilityID],RawOfficer[OfficerSynergy])</f>
        <v>TERRAN EMPIRE</v>
      </c>
      <c r="U237" s="519" t="str">
        <f t="array" ref="U237">XLOOKUP(LCARS_Off[AbilityID],RawOfficer[AbilityID],RawOfficer[AbilityModifier])</f>
        <v>ShotsPerAttack</v>
      </c>
      <c r="V237" s="519" t="str">
        <f t="array" ref="V237">XLOOKUP(LCARS_Off[AbilityID],RawOfficer[AbilityID],RawOfficer[AbilityAttributes])</f>
        <v>battle_types=[4], game_context=capture_node</v>
      </c>
      <c r="W237" s="520" t="str">
        <f t="array" ref="W237">XLOOKUP(LCARS_Off[AbilityID],RawOfficer[AbilityID],RawOfficer[AbilityConditions])</f>
        <v>CombatBattleType, CombatGameContext, SelfAttacking</v>
      </c>
      <c r="X237" s="519" t="str">
        <f t="array" ref="X237">XLOOKUP(LCARS_Off[AbilityID],RawOfficer[AbilityID],RawOfficer[AbilityTrigger])</f>
        <v>RoundStart</v>
      </c>
      <c r="Y237" s="519" t="str">
        <f t="array" ref="Y237">XLOOKUP(LCARS_Off[AbilityID],RawOfficer[AbilityID],RawOfficer[AbilityTarget])</f>
        <v>SelfShip</v>
      </c>
      <c r="Z237" s="519" t="str">
        <f t="array" ref="Z237">XLOOKUP(LCARS_Off[AbilityID],RawOfficer[AbilityID],RawOfficer[AbilityOperation])</f>
        <v>Add</v>
      </c>
      <c r="AA237" s="521" t="str">
        <f t="array" ref="AA237">XLOOKUP(LCARS_Off[AbilityID],RawOfficer[AbilityID],RawOfficer[AbilityDescription])</f>
        <v>When attacking a player on a capture node, at the start of each round, Emperor Georgiou increases the number of shots of each weapon by X. (cumulative) -- Weapon shots are rounded to the nearest whole number</v>
      </c>
      <c r="AB237" s="429" t="b">
        <v>0</v>
      </c>
      <c r="AC237" s="522" t="str">
        <f t="array" ref="AC237">XLOOKUP(LCARS_Off[AbilityID],RawOfficer[AbilityID],RawOfficer[AbilityDescriptionShort])</f>
        <v>+X to shots</v>
      </c>
      <c r="AD237" s="523"/>
      <c r="AE237" s="524"/>
      <c r="AF237" s="524"/>
      <c r="AG237" s="525" t="str">
        <f t="array" ref="AG237">XLOOKUP(LCARS_Off[AbilityID],RawOfficer[AbilityID],RawOfficer[AbilityChances])</f>
        <v>1.0, 1.0, 1.0, 1.0, 1.0</v>
      </c>
      <c r="AH237" s="525" t="str">
        <f t="array" ref="AH237">XLOOKUP(LCARS_Off[AbilityID],RawOfficer[AbilityID],RawOfficer[AbilityValues])</f>
        <v>0.17, 0.25, 0.34, 0.4, 0.5</v>
      </c>
      <c r="AI237" s="428" t="b">
        <f t="array" ref="AI237">XLOOKUP(LCARS_Off[AbilityID],RawOfficer[AbilityID],RawOfficer[AbilityHasChance])</f>
        <v>0</v>
      </c>
      <c r="AJ237" s="428" t="b">
        <f t="array" ref="AJ237">XLOOKUP(LCARS_Off[AbilityID],RawOfficer[AbilityID],RawOfficer[AbilityShowPercentage])</f>
        <v>1</v>
      </c>
      <c r="AK237" s="429">
        <f t="array" ref="AK237">XLOOKUP(LCARS_Off[AbilityID],RawOfficer[AbilityID],RawOfficer[OfficerArt])</f>
        <v>140</v>
      </c>
      <c r="AL237" s="430">
        <v>2.557888665E9</v>
      </c>
      <c r="AM237" s="430">
        <f t="array" ref="AM237">XLOOKUP(LCARS_Off[AbilityID],RawOfficer[AbilityID],RawOfficer[Default Order])</f>
        <v>234</v>
      </c>
    </row>
    <row r="238">
      <c r="A238" s="429" t="str">
        <f t="array" ref="A238">LEFT(XLOOKUP(LCARS_Off[AbilityID],RawOfficer[AbilityID],RawOfficer[OfficerRarity]), 1)</f>
        <v>R</v>
      </c>
      <c r="B238" s="429"/>
      <c r="C238" s="514" t="str">
        <f t="array" ref="C238">HYPERLINK("https://stfc.space/officers/" &amp; XLOOKUP(LCARS_Off[AbilityID],RawOfficer[AbilityID],RawOfficer[OfficerId]), XLOOKUP(LCARS_Off[AbilityID],RawOfficer[AbilityID],RawOfficer[OfficerName]))</f>
        <v>CAP. TILLY</v>
      </c>
      <c r="D238" s="515" t="str">
        <f t="array" ref="D238">XLOOKUP(LCARS_Off[AbilityID],RawOfficer[AbilityID],RawOfficer[AbilityType])</f>
        <v>CM</v>
      </c>
      <c r="E238" s="516" t="str">
        <f t="array" ref="E238">XLOOKUP(LCARS_Off[AbilityID],RawOfficer[AbilityID],RawOfficer[Tag_PvPinSpace])</f>
        <v>✴️</v>
      </c>
      <c r="F238" s="516" t="str">
        <f t="array" ref="F238">XLOOKUP(LCARS_Off[AbilityID],RawOfficer[AbilityID],RawOfficer[Tag_PvPStation])</f>
        <v>➖</v>
      </c>
      <c r="G238" s="516" t="str">
        <f t="array" ref="G238">XLOOKUP(LCARS_Off[AbilityID],RawOfficer[AbilityID],RawOfficer[Tag_NonArmadaHostiles])</f>
        <v>➖</v>
      </c>
      <c r="H238" s="516" t="str">
        <f t="array" ref="H238">XLOOKUP(LCARS_Off[AbilityID],RawOfficer[AbilityID],RawOfficer[Tag_WaveDefense])</f>
        <v>➖</v>
      </c>
      <c r="I238" s="516" t="str">
        <f t="array" ref="I238">XLOOKUP(LCARS_Off[AbilityID],RawOfficer[AbilityID],RawOfficer[Tag_QTrial])</f>
        <v>➖</v>
      </c>
      <c r="J238" s="516" t="str">
        <f t="array" ref="J238">XLOOKUP(LCARS_Off[AbilityID],RawOfficer[AbilityID],RawOfficer[Tag_MissionBosses])</f>
        <v>➖</v>
      </c>
      <c r="K238" s="516" t="str">
        <f t="array" ref="K238">XLOOKUP(LCARS_Off[AbilityID],RawOfficer[AbilityID],RawOfficer[Tag_GroupArmadas])</f>
        <v>➖</v>
      </c>
      <c r="L238" s="516" t="str">
        <f t="array" ref="L238">XLOOKUP(LCARS_Off[AbilityID],RawOfficer[AbilityID],RawOfficer[Tag_SoloArmadas])</f>
        <v>➖</v>
      </c>
      <c r="M238" s="516" t="str">
        <f t="array" ref="M238">XLOOKUP(LCARS_Off[AbilityID],RawOfficer[AbilityID],RawOfficer[Tag_InvadingEntities])</f>
        <v>➖</v>
      </c>
      <c r="N238" s="516" t="str">
        <f t="array" ref="N238">XLOOKUP(LCARS_Off[AbilityID],RawOfficer[AbilityID],RawOfficer[Tag_Assaults])</f>
        <v>➖</v>
      </c>
      <c r="O238" s="516" t="str">
        <f t="array" ref="O238">XLOOKUP(LCARS_Off[AbilityID],RawOfficer[AbilityID],RawOfficer[Tag_OutpostArmadas])</f>
        <v>➖</v>
      </c>
      <c r="P238" s="516" t="str">
        <f t="array" ref="P238">XLOOKUP(LCARS_Off[AbilityID],RawOfficer[AbilityID],RawOfficer[Tag_OutpostRetaliators])</f>
        <v>➖</v>
      </c>
      <c r="Q238" s="517" t="str">
        <f t="array" ref="Q238">XLOOKUP(LCARS_Off[AbilityID],RawOfficer[AbilityID],RawOfficer[Conditional_Reason])</f>
        <v>CombatBattleType, CombatGameContext, TargetHasHullBreach</v>
      </c>
      <c r="R238" s="518" t="str">
        <f t="array" ref="R238">XLOOKUP(LCARS_Off[AbilityID],RawOfficer[AbilityID],RawOfficer[Tag_Loot])</f>
        <v>➖</v>
      </c>
      <c r="S238" s="516" t="str">
        <f t="array" ref="S238">XLOOKUP(LCARS_Off[AbilityID],RawOfficer[AbilityID],RawOfficer[Tag_Utility])</f>
        <v>➖</v>
      </c>
      <c r="T238" s="429" t="str">
        <f t="array" ref="T238">XLOOKUP(LCARS_Off[AbilityID],RawOfficer[AbilityID],RawOfficer[OfficerSynergy])</f>
        <v>TERRAN EMPIRE</v>
      </c>
      <c r="U238" s="519" t="str">
        <f t="array" ref="U238">XLOOKUP(LCARS_Off[AbilityID],RawOfficer[AbilityID],RawOfficer[AbilityModifier])</f>
        <v>AllPiercing</v>
      </c>
      <c r="V238" s="519" t="str">
        <f t="array" ref="V238">XLOOKUP(LCARS_Off[AbilityID],RawOfficer[AbilityID],RawOfficer[AbilityAttributes])</f>
        <v>battle_types=[4], game_context=capture_node, officer_stat=2</v>
      </c>
      <c r="W238" s="520" t="str">
        <f t="array" ref="W238">XLOOKUP(LCARS_Off[AbilityID],RawOfficer[AbilityID],RawOfficer[AbilityConditions])</f>
        <v>CombatBattleType, SelfAttacking, CombatGameContext, TargetHasHullBreach</v>
      </c>
      <c r="X238" s="519" t="str">
        <f t="array" ref="X238">XLOOKUP(LCARS_Off[AbilityID],RawOfficer[AbilityID],RawOfficer[AbilityTrigger])</f>
        <v>RoundStart</v>
      </c>
      <c r="Y238" s="519" t="str">
        <f t="array" ref="Y238">XLOOKUP(LCARS_Off[AbilityID],RawOfficer[AbilityID],RawOfficer[AbilityTarget])</f>
        <v>SelfShip</v>
      </c>
      <c r="Z238" s="519" t="str">
        <f t="array" ref="Z238">XLOOKUP(LCARS_Off[AbilityID],RawOfficer[AbilityID],RawOfficer[AbilityOperation])</f>
        <v>MultiplyBaseAdd</v>
      </c>
      <c r="AA238" s="521" t="str">
        <f t="array" ref="AA238">XLOOKUP(LCARS_Off[AbilityID],RawOfficer[AbilityID],RawOfficer[AbilityDescription])</f>
        <v>When attacking on a capture node, at the start of each turn, as long as the opponent's ship has a Hull Breach, Captain Tilly increases the Armor Piercing, Shield Piercing and Accuracy of the ship by X of the total Defense of all Officers on the ship (cumulative).</v>
      </c>
      <c r="AB238" s="429" t="b">
        <v>0</v>
      </c>
      <c r="AC238" s="522" t="str">
        <f t="array" ref="AC238">XLOOKUP(LCARS_Off[AbilityID],RawOfficer[AbilityID],RawOfficer[AbilityDescriptionShort])</f>
        <v>X of Defense to Piercing values</v>
      </c>
      <c r="AD238" s="523"/>
      <c r="AE238" s="524"/>
      <c r="AF238" s="524"/>
      <c r="AG238" s="525" t="str">
        <f t="array" ref="AG238">XLOOKUP(LCARS_Off[AbilityID],RawOfficer[AbilityID],RawOfficer[AbilityChances])</f>
        <v>1.0, 1.0, 1.0</v>
      </c>
      <c r="AH238" s="525" t="str">
        <f t="array" ref="AH238">XLOOKUP(LCARS_Off[AbilityID],RawOfficer[AbilityID],RawOfficer[AbilityValues])</f>
        <v>0.5, 0.15, 0.25</v>
      </c>
      <c r="AI238" s="428" t="b">
        <f t="array" ref="AI238">XLOOKUP(LCARS_Off[AbilityID],RawOfficer[AbilityID],RawOfficer[AbilityHasChance])</f>
        <v>0</v>
      </c>
      <c r="AJ238" s="428" t="b">
        <f t="array" ref="AJ238">XLOOKUP(LCARS_Off[AbilityID],RawOfficer[AbilityID],RawOfficer[AbilityShowPercentage])</f>
        <v>1</v>
      </c>
      <c r="AK238" s="429">
        <f t="array" ref="AK238">XLOOKUP(LCARS_Off[AbilityID],RawOfficer[AbilityID],RawOfficer[OfficerArt])</f>
        <v>144</v>
      </c>
      <c r="AL238" s="430">
        <v>2.059684707E9</v>
      </c>
      <c r="AM238" s="430">
        <f t="array" ref="AM238">XLOOKUP(LCARS_Off[AbilityID],RawOfficer[AbilityID],RawOfficer[Default Order])</f>
        <v>235</v>
      </c>
    </row>
    <row r="239">
      <c r="A239" s="429" t="str">
        <f t="array" ref="A239">LEFT(XLOOKUP(LCARS_Off[AbilityID],RawOfficer[AbilityID],RawOfficer[OfficerRarity]), 1)</f>
        <v>R</v>
      </c>
      <c r="B239" s="429"/>
      <c r="C239" s="514" t="str">
        <f t="array" ref="C239">HYPERLINK("https://stfc.space/officers/" &amp; XLOOKUP(LCARS_Off[AbilityID],RawOfficer[AbilityID],RawOfficer[OfficerId]), XLOOKUP(LCARS_Off[AbilityID],RawOfficer[AbilityID],RawOfficer[OfficerName]))</f>
        <v>CAP. TILLY</v>
      </c>
      <c r="D239" s="515" t="str">
        <f t="array" ref="D239">XLOOKUP(LCARS_Off[AbilityID],RawOfficer[AbilityID],RawOfficer[AbilityType])</f>
        <v>OA</v>
      </c>
      <c r="E239" s="516" t="str">
        <f t="array" ref="E239">XLOOKUP(LCARS_Off[AbilityID],RawOfficer[AbilityID],RawOfficer[Tag_PvPinSpace])</f>
        <v>✴️</v>
      </c>
      <c r="F239" s="516" t="str">
        <f t="array" ref="F239">XLOOKUP(LCARS_Off[AbilityID],RawOfficer[AbilityID],RawOfficer[Tag_PvPStation])</f>
        <v>✴️</v>
      </c>
      <c r="G239" s="516" t="str">
        <f t="array" ref="G239">XLOOKUP(LCARS_Off[AbilityID],RawOfficer[AbilityID],RawOfficer[Tag_NonArmadaHostiles])</f>
        <v>✴️</v>
      </c>
      <c r="H239" s="516" t="str">
        <f t="array" ref="H239">XLOOKUP(LCARS_Off[AbilityID],RawOfficer[AbilityID],RawOfficer[Tag_WaveDefense])</f>
        <v>✴️</v>
      </c>
      <c r="I239" s="516" t="str">
        <f t="array" ref="I239">XLOOKUP(LCARS_Off[AbilityID],RawOfficer[AbilityID],RawOfficer[Tag_QTrial])</f>
        <v>✴️</v>
      </c>
      <c r="J239" s="516" t="str">
        <f t="array" ref="J239">XLOOKUP(LCARS_Off[AbilityID],RawOfficer[AbilityID],RawOfficer[Tag_MissionBosses])</f>
        <v>✴️</v>
      </c>
      <c r="K239" s="516" t="str">
        <f t="array" ref="K239">XLOOKUP(LCARS_Off[AbilityID],RawOfficer[AbilityID],RawOfficer[Tag_GroupArmadas])</f>
        <v>✴️</v>
      </c>
      <c r="L239" s="516" t="str">
        <f t="array" ref="L239">XLOOKUP(LCARS_Off[AbilityID],RawOfficer[AbilityID],RawOfficer[Tag_SoloArmadas])</f>
        <v>✴️</v>
      </c>
      <c r="M239" s="516" t="str">
        <f t="array" ref="M239">XLOOKUP(LCARS_Off[AbilityID],RawOfficer[AbilityID],RawOfficer[Tag_InvadingEntities])</f>
        <v>✴️</v>
      </c>
      <c r="N239" s="516" t="str">
        <f t="array" ref="N239">XLOOKUP(LCARS_Off[AbilityID],RawOfficer[AbilityID],RawOfficer[Tag_Assaults])</f>
        <v>✴️</v>
      </c>
      <c r="O239" s="516" t="str">
        <f t="array" ref="O239">XLOOKUP(LCARS_Off[AbilityID],RawOfficer[AbilityID],RawOfficer[Tag_OutpostArmadas])</f>
        <v>✴️</v>
      </c>
      <c r="P239" s="516" t="str">
        <f t="array" ref="P239">XLOOKUP(LCARS_Off[AbilityID],RawOfficer[AbilityID],RawOfficer[Tag_OutpostRetaliators])</f>
        <v>✴️</v>
      </c>
      <c r="Q239" s="517" t="str">
        <f t="array" ref="Q239">XLOOKUP(LCARS_Off[AbilityID],RawOfficer[AbilityID],RawOfficer[Conditional_Reason])</f>
        <v>TargetHasHullBreach</v>
      </c>
      <c r="R239" s="518" t="str">
        <f t="array" ref="R239">XLOOKUP(LCARS_Off[AbilityID],RawOfficer[AbilityID],RawOfficer[Tag_Loot])</f>
        <v>➖</v>
      </c>
      <c r="S239" s="516" t="str">
        <f t="array" ref="S239">XLOOKUP(LCARS_Off[AbilityID],RawOfficer[AbilityID],RawOfficer[Tag_Utility])</f>
        <v>➖</v>
      </c>
      <c r="T239" s="429" t="str">
        <f t="array" ref="T239">XLOOKUP(LCARS_Off[AbilityID],RawOfficer[AbilityID],RawOfficer[OfficerSynergy])</f>
        <v>TERRAN EMPIRE</v>
      </c>
      <c r="U239" s="519" t="str">
        <f t="array" ref="U239">XLOOKUP(LCARS_Off[AbilityID],RawOfficer[AbilityID],RawOfficer[AbilityModifier])</f>
        <v>AllDefenses</v>
      </c>
      <c r="V239" s="519" t="str">
        <f t="array" ref="V239">XLOOKUP(LCARS_Off[AbilityID],RawOfficer[AbilityID],RawOfficer[AbilityAttributes])</f>
        <v>officer_stat=3</v>
      </c>
      <c r="W239" s="520" t="str">
        <f t="array" ref="W239">XLOOKUP(LCARS_Off[AbilityID],RawOfficer[AbilityID],RawOfficer[AbilityConditions])</f>
        <v>TargetHasHullBreach</v>
      </c>
      <c r="X239" s="519" t="str">
        <f t="array" ref="X239">XLOOKUP(LCARS_Off[AbilityID],RawOfficer[AbilityID],RawOfficer[AbilityTrigger])</f>
        <v>RoundStart</v>
      </c>
      <c r="Y239" s="519" t="str">
        <f t="array" ref="Y239">XLOOKUP(LCARS_Off[AbilityID],RawOfficer[AbilityID],RawOfficer[AbilityTarget])</f>
        <v>SelfShip</v>
      </c>
      <c r="Z239" s="519" t="str">
        <f t="array" ref="Z239">XLOOKUP(LCARS_Off[AbilityID],RawOfficer[AbilityID],RawOfficer[AbilityOperation])</f>
        <v>MultiplyBaseAdd</v>
      </c>
      <c r="AA239" s="521" t="str">
        <f t="array" ref="AA239">XLOOKUP(LCARS_Off[AbilityID],RawOfficer[AbilityID],RawOfficer[AbilityDescription])</f>
        <v>At the start of each round, if the opponent has a Hull Breach, Captain Tilly increases the Armor, Shield deflection and Dodge by X of the total Health of all Officers on the ship (cumulative).</v>
      </c>
      <c r="AB239" s="429" t="b">
        <v>0</v>
      </c>
      <c r="AC239" s="522" t="str">
        <f t="array" ref="AC239">XLOOKUP(LCARS_Off[AbilityID],RawOfficer[AbilityID],RawOfficer[AbilityDescriptionShort])</f>
        <v>X of Health to Mitigation values</v>
      </c>
      <c r="AD239" s="523"/>
      <c r="AE239" s="524"/>
      <c r="AF239" s="524"/>
      <c r="AG239" s="525" t="str">
        <f t="array" ref="AG239">XLOOKUP(LCARS_Off[AbilityID],RawOfficer[AbilityID],RawOfficer[AbilityChances])</f>
        <v>1.0, 1.0, 1.0, 1.0, 1.0</v>
      </c>
      <c r="AH239" s="525" t="str">
        <f t="array" ref="AH239">XLOOKUP(LCARS_Off[AbilityID],RawOfficer[AbilityID],RawOfficer[AbilityValues])</f>
        <v>0.5, 0.6, 0.7, 0.8, 1.0</v>
      </c>
      <c r="AI239" s="428" t="b">
        <f t="array" ref="AI239">XLOOKUP(LCARS_Off[AbilityID],RawOfficer[AbilityID],RawOfficer[AbilityHasChance])</f>
        <v>0</v>
      </c>
      <c r="AJ239" s="428" t="b">
        <f t="array" ref="AJ239">XLOOKUP(LCARS_Off[AbilityID],RawOfficer[AbilityID],RawOfficer[AbilityShowPercentage])</f>
        <v>1</v>
      </c>
      <c r="AK239" s="429">
        <f t="array" ref="AK239">XLOOKUP(LCARS_Off[AbilityID],RawOfficer[AbilityID],RawOfficer[OfficerArt])</f>
        <v>144</v>
      </c>
      <c r="AL239" s="430">
        <v>1.561819154E9</v>
      </c>
      <c r="AM239" s="430">
        <f t="array" ref="AM239">XLOOKUP(LCARS_Off[AbilityID],RawOfficer[AbilityID],RawOfficer[Default Order])</f>
        <v>236</v>
      </c>
    </row>
    <row r="240">
      <c r="A240" s="429" t="str">
        <f t="array" ref="A240">LEFT(XLOOKUP(LCARS_Off[AbilityID],RawOfficer[AbilityID],RawOfficer[OfficerRarity]), 1)</f>
        <v>E</v>
      </c>
      <c r="B240" s="429"/>
      <c r="C240" s="514" t="str">
        <f t="array" ref="C240">HYPERLINK("https://stfc.space/officers/" &amp; XLOOKUP(LCARS_Off[AbilityID],RawOfficer[AbilityID],RawOfficer[OfficerId]), XLOOKUP(LCARS_Off[AbilityID],RawOfficer[AbilityID],RawOfficer[OfficerName]))</f>
        <v>LORCA</v>
      </c>
      <c r="D240" s="515" t="str">
        <f t="array" ref="D240">XLOOKUP(LCARS_Off[AbilityID],RawOfficer[AbilityID],RawOfficer[AbilityType])</f>
        <v>CM</v>
      </c>
      <c r="E240" s="516" t="str">
        <f t="array" ref="E240">XLOOKUP(LCARS_Off[AbilityID],RawOfficer[AbilityID],RawOfficer[Tag_PvPinSpace])</f>
        <v>✴️</v>
      </c>
      <c r="F240" s="516" t="str">
        <f t="array" ref="F240">XLOOKUP(LCARS_Off[AbilityID],RawOfficer[AbilityID],RawOfficer[Tag_PvPStation])</f>
        <v>✴️</v>
      </c>
      <c r="G240" s="516" t="str">
        <f t="array" ref="G240">XLOOKUP(LCARS_Off[AbilityID],RawOfficer[AbilityID],RawOfficer[Tag_NonArmadaHostiles])</f>
        <v>➖</v>
      </c>
      <c r="H240" s="516" t="str">
        <f t="array" ref="H240">XLOOKUP(LCARS_Off[AbilityID],RawOfficer[AbilityID],RawOfficer[Tag_WaveDefense])</f>
        <v>➖</v>
      </c>
      <c r="I240" s="516" t="str">
        <f t="array" ref="I240">XLOOKUP(LCARS_Off[AbilityID],RawOfficer[AbilityID],RawOfficer[Tag_QTrial])</f>
        <v>➖</v>
      </c>
      <c r="J240" s="516" t="str">
        <f t="array" ref="J240">XLOOKUP(LCARS_Off[AbilityID],RawOfficer[AbilityID],RawOfficer[Tag_MissionBosses])</f>
        <v>➖</v>
      </c>
      <c r="K240" s="516" t="str">
        <f t="array" ref="K240">XLOOKUP(LCARS_Off[AbilityID],RawOfficer[AbilityID],RawOfficer[Tag_GroupArmadas])</f>
        <v>➖</v>
      </c>
      <c r="L240" s="516" t="str">
        <f t="array" ref="L240">XLOOKUP(LCARS_Off[AbilityID],RawOfficer[AbilityID],RawOfficer[Tag_SoloArmadas])</f>
        <v>➖</v>
      </c>
      <c r="M240" s="516" t="str">
        <f t="array" ref="M240">XLOOKUP(LCARS_Off[AbilityID],RawOfficer[AbilityID],RawOfficer[Tag_InvadingEntities])</f>
        <v>➖</v>
      </c>
      <c r="N240" s="516" t="str">
        <f t="array" ref="N240">XLOOKUP(LCARS_Off[AbilityID],RawOfficer[AbilityID],RawOfficer[Tag_Assaults])</f>
        <v>➖</v>
      </c>
      <c r="O240" s="516" t="str">
        <f t="array" ref="O240">XLOOKUP(LCARS_Off[AbilityID],RawOfficer[AbilityID],RawOfficer[Tag_OutpostArmadas])</f>
        <v>➖</v>
      </c>
      <c r="P240" s="516" t="str">
        <f t="array" ref="P240">XLOOKUP(LCARS_Off[AbilityID],RawOfficer[AbilityID],RawOfficer[Tag_OutpostRetaliators])</f>
        <v>➖</v>
      </c>
      <c r="Q240" s="517" t="str">
        <f t="array" ref="Q240">XLOOKUP(LCARS_Off[AbilityID],RawOfficer[AbilityID],RawOfficer[Conditional_Reason])</f>
        <v>TargetHasHullBreach</v>
      </c>
      <c r="R240" s="518" t="str">
        <f t="array" ref="R240">XLOOKUP(LCARS_Off[AbilityID],RawOfficer[AbilityID],RawOfficer[Tag_Loot])</f>
        <v>➖</v>
      </c>
      <c r="S240" s="516" t="str">
        <f t="array" ref="S240">XLOOKUP(LCARS_Off[AbilityID],RawOfficer[AbilityID],RawOfficer[Tag_Utility])</f>
        <v>➖</v>
      </c>
      <c r="T240" s="429" t="str">
        <f t="array" ref="T240">XLOOKUP(LCARS_Off[AbilityID],RawOfficer[AbilityID],RawOfficer[OfficerSynergy])</f>
        <v>TERRAN EMPIRE</v>
      </c>
      <c r="U240" s="519" t="str">
        <f t="array" ref="U240">XLOOKUP(LCARS_Off[AbilityID],RawOfficer[AbilityID],RawOfficer[AbilityModifier])</f>
        <v>AllDamage</v>
      </c>
      <c r="V240" s="519" t="str">
        <f t="array" ref="V240">XLOOKUP(LCARS_Off[AbilityID],RawOfficer[AbilityID],RawOfficer[AbilityAttributes])</f>
        <v>num_rounds=1</v>
      </c>
      <c r="W240" s="520" t="str">
        <f t="array" ref="W240">XLOOKUP(LCARS_Off[AbilityID],RawOfficer[AbilityID],RawOfficer[AbilityConditions])</f>
        <v>EnemyPlayer, TargetHasHullBreach</v>
      </c>
      <c r="X240" s="519" t="str">
        <f t="array" ref="X240">XLOOKUP(LCARS_Off[AbilityID],RawOfficer[AbilityID],RawOfficer[AbilityTrigger])</f>
        <v>RoundStart</v>
      </c>
      <c r="Y240" s="519" t="str">
        <f t="array" ref="Y240">XLOOKUP(LCARS_Off[AbilityID],RawOfficer[AbilityID],RawOfficer[AbilityTarget])</f>
        <v>EnemyShip</v>
      </c>
      <c r="Z240" s="519" t="str">
        <f t="array" ref="Z240">XLOOKUP(LCARS_Off[AbilityID],RawOfficer[AbilityID],RawOfficer[AbilityOperation])</f>
        <v>MultiplySub</v>
      </c>
      <c r="AA240" s="521" t="str">
        <f t="array" ref="AA240">XLOOKUP(LCARS_Off[AbilityID],RawOfficer[AbilityID],RawOfficer[AbilityDescription])</f>
        <v>When fighting players, at the start of each round, if the opponent has Hull Breach, Lorca decreases the opponent's Weapon damage by X for this turn.</v>
      </c>
      <c r="AB240" s="429" t="b">
        <v>0</v>
      </c>
      <c r="AC240" s="522" t="str">
        <f t="array" ref="AC240">XLOOKUP(LCARS_Off[AbilityID],RawOfficer[AbilityID],RawOfficer[AbilityDescriptionShort])</f>
        <v>-X to opponent's Damage</v>
      </c>
      <c r="AD240" s="523"/>
      <c r="AE240" s="524"/>
      <c r="AF240" s="524"/>
      <c r="AG240" s="525" t="str">
        <f t="array" ref="AG240">XLOOKUP(LCARS_Off[AbilityID],RawOfficer[AbilityID],RawOfficer[AbilityChances])</f>
        <v>1.0, 1.0, 1.0</v>
      </c>
      <c r="AH240" s="525" t="str">
        <f t="array" ref="AH240">XLOOKUP(LCARS_Off[AbilityID],RawOfficer[AbilityID],RawOfficer[AbilityValues])</f>
        <v>1.0, 0.25, 0.5</v>
      </c>
      <c r="AI240" s="428" t="b">
        <f t="array" ref="AI240">XLOOKUP(LCARS_Off[AbilityID],RawOfficer[AbilityID],RawOfficer[AbilityHasChance])</f>
        <v>0</v>
      </c>
      <c r="AJ240" s="428" t="b">
        <f t="array" ref="AJ240">XLOOKUP(LCARS_Off[AbilityID],RawOfficer[AbilityID],RawOfficer[AbilityShowPercentage])</f>
        <v>1</v>
      </c>
      <c r="AK240" s="429">
        <f t="array" ref="AK240">XLOOKUP(LCARS_Off[AbilityID],RawOfficer[AbilityID],RawOfficer[OfficerArt])</f>
        <v>139</v>
      </c>
      <c r="AL240" s="430">
        <v>5.98057792E8</v>
      </c>
      <c r="AM240" s="430">
        <f t="array" ref="AM240">XLOOKUP(LCARS_Off[AbilityID],RawOfficer[AbilityID],RawOfficer[Default Order])</f>
        <v>237</v>
      </c>
    </row>
    <row r="241">
      <c r="A241" s="429" t="str">
        <f t="array" ref="A241">LEFT(XLOOKUP(LCARS_Off[AbilityID],RawOfficer[AbilityID],RawOfficer[OfficerRarity]), 1)</f>
        <v>E</v>
      </c>
      <c r="B241" s="429"/>
      <c r="C241" s="514" t="str">
        <f t="array" ref="C241">HYPERLINK("https://stfc.space/officers/" &amp; XLOOKUP(LCARS_Off[AbilityID],RawOfficer[AbilityID],RawOfficer[OfficerId]), XLOOKUP(LCARS_Off[AbilityID],RawOfficer[AbilityID],RawOfficer[OfficerName]))</f>
        <v>LORCA</v>
      </c>
      <c r="D241" s="515" t="str">
        <f t="array" ref="D241">XLOOKUP(LCARS_Off[AbilityID],RawOfficer[AbilityID],RawOfficer[AbilityType])</f>
        <v>OA</v>
      </c>
      <c r="E241" s="516" t="str">
        <f t="array" ref="E241">XLOOKUP(LCARS_Off[AbilityID],RawOfficer[AbilityID],RawOfficer[Tag_PvPinSpace])</f>
        <v>✅</v>
      </c>
      <c r="F241" s="516" t="str">
        <f t="array" ref="F241">XLOOKUP(LCARS_Off[AbilityID],RawOfficer[AbilityID],RawOfficer[Tag_PvPStation])</f>
        <v>✅</v>
      </c>
      <c r="G241" s="516" t="str">
        <f t="array" ref="G241">XLOOKUP(LCARS_Off[AbilityID],RawOfficer[AbilityID],RawOfficer[Tag_NonArmadaHostiles])</f>
        <v>✅</v>
      </c>
      <c r="H241" s="516" t="str">
        <f t="array" ref="H241">XLOOKUP(LCARS_Off[AbilityID],RawOfficer[AbilityID],RawOfficer[Tag_WaveDefense])</f>
        <v>✅</v>
      </c>
      <c r="I241" s="516" t="str">
        <f t="array" ref="I241">XLOOKUP(LCARS_Off[AbilityID],RawOfficer[AbilityID],RawOfficer[Tag_QTrial])</f>
        <v>✅</v>
      </c>
      <c r="J241" s="516" t="str">
        <f t="array" ref="J241">XLOOKUP(LCARS_Off[AbilityID],RawOfficer[AbilityID],RawOfficer[Tag_MissionBosses])</f>
        <v>✅</v>
      </c>
      <c r="K241" s="516" t="str">
        <f t="array" ref="K241">XLOOKUP(LCARS_Off[AbilityID],RawOfficer[AbilityID],RawOfficer[Tag_GroupArmadas])</f>
        <v>✅</v>
      </c>
      <c r="L241" s="516" t="str">
        <f t="array" ref="L241">XLOOKUP(LCARS_Off[AbilityID],RawOfficer[AbilityID],RawOfficer[Tag_SoloArmadas])</f>
        <v>✅</v>
      </c>
      <c r="M241" s="516" t="str">
        <f t="array" ref="M241">XLOOKUP(LCARS_Off[AbilityID],RawOfficer[AbilityID],RawOfficer[Tag_InvadingEntities])</f>
        <v>✅</v>
      </c>
      <c r="N241" s="516" t="str">
        <f t="array" ref="N241">XLOOKUP(LCARS_Off[AbilityID],RawOfficer[AbilityID],RawOfficer[Tag_Assaults])</f>
        <v>✅</v>
      </c>
      <c r="O241" s="516" t="str">
        <f t="array" ref="O241">XLOOKUP(LCARS_Off[AbilityID],RawOfficer[AbilityID],RawOfficer[Tag_OutpostArmadas])</f>
        <v>✅</v>
      </c>
      <c r="P241" s="516" t="str">
        <f t="array" ref="P241">XLOOKUP(LCARS_Off[AbilityID],RawOfficer[AbilityID],RawOfficer[Tag_OutpostRetaliators])</f>
        <v>✅</v>
      </c>
      <c r="Q241" s="517" t="str">
        <f t="array" ref="Q241">XLOOKUP(LCARS_Off[AbilityID],RawOfficer[AbilityID],RawOfficer[Conditional_Reason])</f>
        <v/>
      </c>
      <c r="R241" s="518" t="str">
        <f t="array" ref="R241">XLOOKUP(LCARS_Off[AbilityID],RawOfficer[AbilityID],RawOfficer[Tag_Loot])</f>
        <v>➖</v>
      </c>
      <c r="S241" s="516" t="str">
        <f t="array" ref="S241">XLOOKUP(LCARS_Off[AbilityID],RawOfficer[AbilityID],RawOfficer[Tag_Utility])</f>
        <v>➖</v>
      </c>
      <c r="T241" s="429" t="str">
        <f t="array" ref="T241">XLOOKUP(LCARS_Off[AbilityID],RawOfficer[AbilityID],RawOfficer[OfficerSynergy])</f>
        <v>TERRAN EMPIRE</v>
      </c>
      <c r="U241" s="519" t="str">
        <f t="array" ref="U241">XLOOKUP(LCARS_Off[AbilityID],RawOfficer[AbilityID],RawOfficer[AbilityModifier])</f>
        <v>AddState</v>
      </c>
      <c r="V241" s="519" t="str">
        <f t="array" ref="V241">XLOOKUP(LCARS_Off[AbilityID],RawOfficer[AbilityID],RawOfficer[AbilityAttributes])</f>
        <v>num_rounds=2, state=4</v>
      </c>
      <c r="W241" s="520" t="str">
        <f t="array" ref="W241">XLOOKUP(LCARS_Off[AbilityID],RawOfficer[AbilityID],RawOfficer[AbilityConditions])</f>
        <v/>
      </c>
      <c r="X241" s="519" t="str">
        <f t="array" ref="X241">XLOOKUP(LCARS_Off[AbilityID],RawOfficer[AbilityID],RawOfficer[AbilityTrigger])</f>
        <v>RoundStart</v>
      </c>
      <c r="Y241" s="519" t="str">
        <f t="array" ref="Y241">XLOOKUP(LCARS_Off[AbilityID],RawOfficer[AbilityID],RawOfficer[AbilityTarget])</f>
        <v>EnemyShip</v>
      </c>
      <c r="Z241" s="519" t="str">
        <f t="array" ref="Z241">XLOOKUP(LCARS_Off[AbilityID],RawOfficer[AbilityID],RawOfficer[AbilityOperation])</f>
        <v>Set</v>
      </c>
      <c r="AA241" s="521" t="str">
        <f t="array" ref="AA241">XLOOKUP(LCARS_Off[AbilityID],RawOfficer[AbilityID],RawOfficer[AbilityDescription])</f>
        <v>At the beginning of each round, Lorca has a X chance of dealing Hull Breach to the opponent's ship for 2 rounds.</v>
      </c>
      <c r="AB241" s="429" t="b">
        <v>0</v>
      </c>
      <c r="AC241" s="522" t="str">
        <f t="array" ref="AC241">XLOOKUP(LCARS_Off[AbilityID],RawOfficer[AbilityID],RawOfficer[AbilityDescriptionShort])</f>
        <v>X chance to inflict Hull Breach</v>
      </c>
      <c r="AD241" s="523"/>
      <c r="AE241" s="524"/>
      <c r="AF241" s="524"/>
      <c r="AG241" s="525" t="str">
        <f t="array" ref="AG241">XLOOKUP(LCARS_Off[AbilityID],RawOfficer[AbilityID],RawOfficer[AbilityChances])</f>
        <v>0.5, 0.6, 0.7, 0.75, 0.8</v>
      </c>
      <c r="AH241" s="525" t="str">
        <f t="array" ref="AH241">XLOOKUP(LCARS_Off[AbilityID],RawOfficer[AbilityID],RawOfficer[AbilityValues])</f>
        <v>0.5, 0.6, 0.7, 0.75, 0.8</v>
      </c>
      <c r="AI241" s="428" t="b">
        <f t="array" ref="AI241">XLOOKUP(LCARS_Off[AbilityID],RawOfficer[AbilityID],RawOfficer[AbilityHasChance])</f>
        <v>1</v>
      </c>
      <c r="AJ241" s="428" t="b">
        <f t="array" ref="AJ241">XLOOKUP(LCARS_Off[AbilityID],RawOfficer[AbilityID],RawOfficer[AbilityShowPercentage])</f>
        <v>1</v>
      </c>
      <c r="AK241" s="429">
        <f t="array" ref="AK241">XLOOKUP(LCARS_Off[AbilityID],RawOfficer[AbilityID],RawOfficer[OfficerArt])</f>
        <v>139</v>
      </c>
      <c r="AL241" s="430">
        <v>3.344613248E9</v>
      </c>
      <c r="AM241" s="430">
        <f t="array" ref="AM241">XLOOKUP(LCARS_Off[AbilityID],RawOfficer[AbilityID],RawOfficer[Default Order])</f>
        <v>238</v>
      </c>
    </row>
    <row r="242">
      <c r="A242" s="429" t="str">
        <f t="array" ref="A242">LEFT(XLOOKUP(LCARS_Off[AbilityID],RawOfficer[AbilityID],RawOfficer[OfficerRarity]), 1)</f>
        <v>E</v>
      </c>
      <c r="B242" s="429"/>
      <c r="C242" s="514" t="str">
        <f t="array" ref="C242">HYPERLINK("https://stfc.space/officers/" &amp; XLOOKUP(LCARS_Off[AbilityID],RawOfficer[AbilityID],RawOfficer[OfficerId]), XLOOKUP(LCARS_Off[AbilityID],RawOfficer[AbilityID],RawOfficer[OfficerName]))</f>
        <v>TOS KIRK</v>
      </c>
      <c r="D242" s="515" t="str">
        <f t="array" ref="D242">XLOOKUP(LCARS_Off[AbilityID],RawOfficer[AbilityID],RawOfficer[AbilityType])</f>
        <v>CM</v>
      </c>
      <c r="E242" s="516" t="str">
        <f t="array" ref="E242">XLOOKUP(LCARS_Off[AbilityID],RawOfficer[AbilityID],RawOfficer[Tag_PvPinSpace])</f>
        <v>✴️</v>
      </c>
      <c r="F242" s="516" t="str">
        <f t="array" ref="F242">XLOOKUP(LCARS_Off[AbilityID],RawOfficer[AbilityID],RawOfficer[Tag_PvPStation])</f>
        <v>✴️</v>
      </c>
      <c r="G242" s="516" t="str">
        <f t="array" ref="G242">XLOOKUP(LCARS_Off[AbilityID],RawOfficer[AbilityID],RawOfficer[Tag_NonArmadaHostiles])</f>
        <v>➖</v>
      </c>
      <c r="H242" s="516" t="str">
        <f t="array" ref="H242">XLOOKUP(LCARS_Off[AbilityID],RawOfficer[AbilityID],RawOfficer[Tag_WaveDefense])</f>
        <v>➖</v>
      </c>
      <c r="I242" s="516" t="str">
        <f t="array" ref="I242">XLOOKUP(LCARS_Off[AbilityID],RawOfficer[AbilityID],RawOfficer[Tag_QTrial])</f>
        <v>➖</v>
      </c>
      <c r="J242" s="516" t="str">
        <f t="array" ref="J242">XLOOKUP(LCARS_Off[AbilityID],RawOfficer[AbilityID],RawOfficer[Tag_MissionBosses])</f>
        <v>➖</v>
      </c>
      <c r="K242" s="516" t="str">
        <f t="array" ref="K242">XLOOKUP(LCARS_Off[AbilityID],RawOfficer[AbilityID],RawOfficer[Tag_GroupArmadas])</f>
        <v>➖</v>
      </c>
      <c r="L242" s="516" t="str">
        <f t="array" ref="L242">XLOOKUP(LCARS_Off[AbilityID],RawOfficer[AbilityID],RawOfficer[Tag_SoloArmadas])</f>
        <v>➖</v>
      </c>
      <c r="M242" s="516" t="str">
        <f t="array" ref="M242">XLOOKUP(LCARS_Off[AbilityID],RawOfficer[AbilityID],RawOfficer[Tag_InvadingEntities])</f>
        <v>➖</v>
      </c>
      <c r="N242" s="516" t="str">
        <f t="array" ref="N242">XLOOKUP(LCARS_Off[AbilityID],RawOfficer[AbilityID],RawOfficer[Tag_Assaults])</f>
        <v>➖</v>
      </c>
      <c r="O242" s="516" t="str">
        <f t="array" ref="O242">XLOOKUP(LCARS_Off[AbilityID],RawOfficer[AbilityID],RawOfficer[Tag_OutpostArmadas])</f>
        <v>➖</v>
      </c>
      <c r="P242" s="516" t="str">
        <f t="array" ref="P242">XLOOKUP(LCARS_Off[AbilityID],RawOfficer[AbilityID],RawOfficer[Tag_OutpostRetaliators])</f>
        <v>➖</v>
      </c>
      <c r="Q242" s="517" t="str">
        <f t="array" ref="Q242">XLOOKUP(LCARS_Off[AbilityID],RawOfficer[AbilityID],RawOfficer[Conditional_Reason])</f>
        <v>SelfHasMorale, ModuleEnergy</v>
      </c>
      <c r="R242" s="518" t="str">
        <f t="array" ref="R242">XLOOKUP(LCARS_Off[AbilityID],RawOfficer[AbilityID],RawOfficer[Tag_Loot])</f>
        <v>➖</v>
      </c>
      <c r="S242" s="516" t="str">
        <f t="array" ref="S242">XLOOKUP(LCARS_Off[AbilityID],RawOfficer[AbilityID],RawOfficer[Tag_Utility])</f>
        <v>➖</v>
      </c>
      <c r="T242" s="429" t="str">
        <f t="array" ref="T242">XLOOKUP(LCARS_Off[AbilityID],RawOfficer[AbilityID],RawOfficer[OfficerSynergy])</f>
        <v>TOS ENTERPRISE CREW</v>
      </c>
      <c r="U242" s="519" t="str">
        <f t="array" ref="U242">XLOOKUP(LCARS_Off[AbilityID],RawOfficer[AbilityID],RawOfficer[AbilityModifier])</f>
        <v>AllDamage</v>
      </c>
      <c r="V242" s="519" t="str">
        <f t="array" ref="V242">XLOOKUP(LCARS_Off[AbilityID],RawOfficer[AbilityID],RawOfficer[AbilityAttributes])</f>
        <v>officer_stat=2</v>
      </c>
      <c r="W242" s="520" t="str">
        <f t="array" ref="W242">XLOOKUP(LCARS_Off[AbilityID],RawOfficer[AbilityID],RawOfficer[AbilityConditions])</f>
        <v>SelfHasMorale, EnemyPlayer, ModuleEnergy</v>
      </c>
      <c r="X242" s="519" t="str">
        <f t="array" ref="X242">XLOOKUP(LCARS_Off[AbilityID],RawOfficer[AbilityID],RawOfficer[AbilityTrigger])</f>
        <v>RoundStart</v>
      </c>
      <c r="Y242" s="519" t="str">
        <f t="array" ref="Y242">XLOOKUP(LCARS_Off[AbilityID],RawOfficer[AbilityID],RawOfficer[AbilityTarget])</f>
        <v>SelfShip</v>
      </c>
      <c r="Z242" s="519" t="str">
        <f t="array" ref="Z242">XLOOKUP(LCARS_Off[AbilityID],RawOfficer[AbilityID],RawOfficer[AbilityOperation])</f>
        <v>MultiplyBaseAdd</v>
      </c>
      <c r="AA242" s="521" t="str">
        <f t="array" ref="AA242">XLOOKUP(LCARS_Off[AbilityID],RawOfficer[AbilityID],RawOfficer[AbilityDescription])</f>
        <v>When fighting players, at the start of each turn, as long as the ship has Morale, TOS James T. Kirk increases the damage of energy weapons by X of the total Defense of all Officers on the ship (cumulative).</v>
      </c>
      <c r="AB242" s="429" t="b">
        <v>0</v>
      </c>
      <c r="AC242" s="522" t="str">
        <f t="array" ref="AC242">XLOOKUP(LCARS_Off[AbilityID],RawOfficer[AbilityID],RawOfficer[AbilityDescriptionShort])</f>
        <v>X of Defense to energy damage</v>
      </c>
      <c r="AD242" s="523"/>
      <c r="AE242" s="524"/>
      <c r="AF242" s="524"/>
      <c r="AG242" s="525" t="str">
        <f t="array" ref="AG242">XLOOKUP(LCARS_Off[AbilityID],RawOfficer[AbilityID],RawOfficer[AbilityChances])</f>
        <v>1.0, 1.0, 1.0</v>
      </c>
      <c r="AH242" s="525" t="str">
        <f t="array" ref="AH242">XLOOKUP(LCARS_Off[AbilityID],RawOfficer[AbilityID],RawOfficer[AbilityValues])</f>
        <v>0.5, 0.25, 0.5</v>
      </c>
      <c r="AI242" s="428" t="b">
        <f t="array" ref="AI242">XLOOKUP(LCARS_Off[AbilityID],RawOfficer[AbilityID],RawOfficer[AbilityHasChance])</f>
        <v>0</v>
      </c>
      <c r="AJ242" s="428" t="b">
        <f t="array" ref="AJ242">XLOOKUP(LCARS_Off[AbilityID],RawOfficer[AbilityID],RawOfficer[AbilityShowPercentage])</f>
        <v>1</v>
      </c>
      <c r="AK242" s="429">
        <f t="array" ref="AK242">XLOOKUP(LCARS_Off[AbilityID],RawOfficer[AbilityID],RawOfficer[OfficerArt])</f>
        <v>150</v>
      </c>
      <c r="AL242" s="430">
        <v>3.524108217E9</v>
      </c>
      <c r="AM242" s="430">
        <f t="array" ref="AM242">XLOOKUP(LCARS_Off[AbilityID],RawOfficer[AbilityID],RawOfficer[Default Order])</f>
        <v>239</v>
      </c>
    </row>
    <row r="243">
      <c r="A243" s="429" t="str">
        <f t="array" ref="A243">LEFT(XLOOKUP(LCARS_Off[AbilityID],RawOfficer[AbilityID],RawOfficer[OfficerRarity]), 1)</f>
        <v>E</v>
      </c>
      <c r="B243" s="429"/>
      <c r="C243" s="514" t="str">
        <f t="array" ref="C243">HYPERLINK("https://stfc.space/officers/" &amp; XLOOKUP(LCARS_Off[AbilityID],RawOfficer[AbilityID],RawOfficer[OfficerId]), XLOOKUP(LCARS_Off[AbilityID],RawOfficer[AbilityID],RawOfficer[OfficerName]))</f>
        <v>TOS KIRK</v>
      </c>
      <c r="D243" s="515" t="str">
        <f t="array" ref="D243">XLOOKUP(LCARS_Off[AbilityID],RawOfficer[AbilityID],RawOfficer[AbilityType])</f>
        <v>OA</v>
      </c>
      <c r="E243" s="516" t="str">
        <f t="array" ref="E243">XLOOKUP(LCARS_Off[AbilityID],RawOfficer[AbilityID],RawOfficer[Tag_PvPinSpace])</f>
        <v>✴️</v>
      </c>
      <c r="F243" s="516" t="str">
        <f t="array" ref="F243">XLOOKUP(LCARS_Off[AbilityID],RawOfficer[AbilityID],RawOfficer[Tag_PvPStation])</f>
        <v>✴️</v>
      </c>
      <c r="G243" s="516" t="str">
        <f t="array" ref="G243">XLOOKUP(LCARS_Off[AbilityID],RawOfficer[AbilityID],RawOfficer[Tag_NonArmadaHostiles])</f>
        <v>✴️</v>
      </c>
      <c r="H243" s="516" t="str">
        <f t="array" ref="H243">XLOOKUP(LCARS_Off[AbilityID],RawOfficer[AbilityID],RawOfficer[Tag_WaveDefense])</f>
        <v>✴️</v>
      </c>
      <c r="I243" s="516" t="str">
        <f t="array" ref="I243">XLOOKUP(LCARS_Off[AbilityID],RawOfficer[AbilityID],RawOfficer[Tag_QTrial])</f>
        <v>✴️</v>
      </c>
      <c r="J243" s="516" t="str">
        <f t="array" ref="J243">XLOOKUP(LCARS_Off[AbilityID],RawOfficer[AbilityID],RawOfficer[Tag_MissionBosses])</f>
        <v>✴️</v>
      </c>
      <c r="K243" s="516" t="str">
        <f t="array" ref="K243">XLOOKUP(LCARS_Off[AbilityID],RawOfficer[AbilityID],RawOfficer[Tag_GroupArmadas])</f>
        <v>✴️</v>
      </c>
      <c r="L243" s="516" t="str">
        <f t="array" ref="L243">XLOOKUP(LCARS_Off[AbilityID],RawOfficer[AbilityID],RawOfficer[Tag_SoloArmadas])</f>
        <v>✴️</v>
      </c>
      <c r="M243" s="516" t="str">
        <f t="array" ref="M243">XLOOKUP(LCARS_Off[AbilityID],RawOfficer[AbilityID],RawOfficer[Tag_InvadingEntities])</f>
        <v>✴️</v>
      </c>
      <c r="N243" s="516" t="str">
        <f t="array" ref="N243">XLOOKUP(LCARS_Off[AbilityID],RawOfficer[AbilityID],RawOfficer[Tag_Assaults])</f>
        <v>✴️</v>
      </c>
      <c r="O243" s="516" t="str">
        <f t="array" ref="O243">XLOOKUP(LCARS_Off[AbilityID],RawOfficer[AbilityID],RawOfficer[Tag_OutpostArmadas])</f>
        <v>✴️</v>
      </c>
      <c r="P243" s="516" t="str">
        <f t="array" ref="P243">XLOOKUP(LCARS_Off[AbilityID],RawOfficer[AbilityID],RawOfficer[Tag_OutpostRetaliators])</f>
        <v>✴️</v>
      </c>
      <c r="Q243" s="517" t="str">
        <f t="array" ref="Q243">XLOOKUP(LCARS_Off[AbilityID],RawOfficer[AbilityID],RawOfficer[Conditional_Reason])</f>
        <v>HullHealthAbove</v>
      </c>
      <c r="R243" s="518" t="str">
        <f t="array" ref="R243">XLOOKUP(LCARS_Off[AbilityID],RawOfficer[AbilityID],RawOfficer[Tag_Loot])</f>
        <v>➖</v>
      </c>
      <c r="S243" s="516" t="str">
        <f t="array" ref="S243">XLOOKUP(LCARS_Off[AbilityID],RawOfficer[AbilityID],RawOfficer[Tag_Utility])</f>
        <v>➖</v>
      </c>
      <c r="T243" s="429" t="str">
        <f t="array" ref="T243">XLOOKUP(LCARS_Off[AbilityID],RawOfficer[AbilityID],RawOfficer[OfficerSynergy])</f>
        <v>TOS ENTERPRISE CREW</v>
      </c>
      <c r="U243" s="519" t="str">
        <f t="array" ref="U243">XLOOKUP(LCARS_Off[AbilityID],RawOfficer[AbilityID],RawOfficer[AbilityModifier])</f>
        <v>AddState</v>
      </c>
      <c r="V243" s="519" t="str">
        <f t="array" ref="V243">XLOOKUP(LCARS_Off[AbilityID],RawOfficer[AbilityID],RawOfficer[AbilityAttributes])</f>
        <v>num_rounds=1, percentage=0.3, state=8</v>
      </c>
      <c r="W243" s="520" t="str">
        <f t="array" ref="W243">XLOOKUP(LCARS_Off[AbilityID],RawOfficer[AbilityID],RawOfficer[AbilityConditions])</f>
        <v>HullHealthAbove</v>
      </c>
      <c r="X243" s="519" t="str">
        <f t="array" ref="X243">XLOOKUP(LCARS_Off[AbilityID],RawOfficer[AbilityID],RawOfficer[AbilityTrigger])</f>
        <v>RoundStart</v>
      </c>
      <c r="Y243" s="519" t="str">
        <f t="array" ref="Y243">XLOOKUP(LCARS_Off[AbilityID],RawOfficer[AbilityID],RawOfficer[AbilityTarget])</f>
        <v>SelfShip</v>
      </c>
      <c r="Z243" s="519" t="str">
        <f t="array" ref="Z243">XLOOKUP(LCARS_Off[AbilityID],RawOfficer[AbilityID],RawOfficer[AbilityOperation])</f>
        <v>Set</v>
      </c>
      <c r="AA243" s="521" t="str">
        <f t="array" ref="AA243">XLOOKUP(LCARS_Off[AbilityID],RawOfficer[AbilityID],RawOfficer[AbilityDescription])</f>
        <v>At the start of each round, if the ship's Health is above 30% of its starting value, TOS James T. Kirk has a X chance to inspire Morale to the ship for this round.</v>
      </c>
      <c r="AB243" s="429" t="b">
        <v>0</v>
      </c>
      <c r="AC243" s="522" t="str">
        <f t="array" ref="AC243">XLOOKUP(LCARS_Off[AbilityID],RawOfficer[AbilityID],RawOfficer[AbilityDescriptionShort])</f>
        <v>X chance to give Morale</v>
      </c>
      <c r="AD243" s="523"/>
      <c r="AE243" s="524"/>
      <c r="AF243" s="524"/>
      <c r="AG243" s="525" t="str">
        <f t="array" ref="AG243">XLOOKUP(LCARS_Off[AbilityID],RawOfficer[AbilityID],RawOfficer[AbilityChances])</f>
        <v>0.75, 0.8, 0.85, 0.9, 0.95</v>
      </c>
      <c r="AH243" s="525" t="str">
        <f t="array" ref="AH243">XLOOKUP(LCARS_Off[AbilityID],RawOfficer[AbilityID],RawOfficer[AbilityValues])</f>
        <v>0.75, 0.8, 0.85, 0.9, 0.95</v>
      </c>
      <c r="AI243" s="428" t="b">
        <f t="array" ref="AI243">XLOOKUP(LCARS_Off[AbilityID],RawOfficer[AbilityID],RawOfficer[AbilityHasChance])</f>
        <v>1</v>
      </c>
      <c r="AJ243" s="428" t="b">
        <f t="array" ref="AJ243">XLOOKUP(LCARS_Off[AbilityID],RawOfficer[AbilityID],RawOfficer[AbilityShowPercentage])</f>
        <v>1</v>
      </c>
      <c r="AK243" s="429">
        <f t="array" ref="AK243">XLOOKUP(LCARS_Off[AbilityID],RawOfficer[AbilityID],RawOfficer[OfficerArt])</f>
        <v>150</v>
      </c>
      <c r="AL243" s="430">
        <v>1.602353343E9</v>
      </c>
      <c r="AM243" s="430">
        <f t="array" ref="AM243">XLOOKUP(LCARS_Off[AbilityID],RawOfficer[AbilityID],RawOfficer[Default Order])</f>
        <v>240</v>
      </c>
    </row>
    <row r="244">
      <c r="A244" s="429" t="str">
        <f t="array" ref="A244">LEFT(XLOOKUP(LCARS_Off[AbilityID],RawOfficer[AbilityID],RawOfficer[OfficerRarity]), 1)</f>
        <v>E</v>
      </c>
      <c r="B244" s="429"/>
      <c r="C244" s="514" t="str">
        <f t="array" ref="C244">HYPERLINK("https://stfc.space/officers/" &amp; XLOOKUP(LCARS_Off[AbilityID],RawOfficer[AbilityID],RawOfficer[OfficerId]), XLOOKUP(LCARS_Off[AbilityID],RawOfficer[AbilityID],RawOfficer[OfficerName]))</f>
        <v>TOS SPOCK</v>
      </c>
      <c r="D244" s="515" t="str">
        <f t="array" ref="D244">XLOOKUP(LCARS_Off[AbilityID],RawOfficer[AbilityID],RawOfficer[AbilityType])</f>
        <v>CM</v>
      </c>
      <c r="E244" s="516" t="str">
        <f t="array" ref="E244">XLOOKUP(LCARS_Off[AbilityID],RawOfficer[AbilityID],RawOfficer[Tag_PvPinSpace])</f>
        <v>✅</v>
      </c>
      <c r="F244" s="516" t="str">
        <f t="array" ref="F244">XLOOKUP(LCARS_Off[AbilityID],RawOfficer[AbilityID],RawOfficer[Tag_PvPStation])</f>
        <v>✅</v>
      </c>
      <c r="G244" s="516" t="str">
        <f t="array" ref="G244">XLOOKUP(LCARS_Off[AbilityID],RawOfficer[AbilityID],RawOfficer[Tag_NonArmadaHostiles])</f>
        <v>➖</v>
      </c>
      <c r="H244" s="516" t="str">
        <f t="array" ref="H244">XLOOKUP(LCARS_Off[AbilityID],RawOfficer[AbilityID],RawOfficer[Tag_WaveDefense])</f>
        <v>➖</v>
      </c>
      <c r="I244" s="516" t="str">
        <f t="array" ref="I244">XLOOKUP(LCARS_Off[AbilityID],RawOfficer[AbilityID],RawOfficer[Tag_QTrial])</f>
        <v>➖</v>
      </c>
      <c r="J244" s="516" t="str">
        <f t="array" ref="J244">XLOOKUP(LCARS_Off[AbilityID],RawOfficer[AbilityID],RawOfficer[Tag_MissionBosses])</f>
        <v>➖</v>
      </c>
      <c r="K244" s="516" t="str">
        <f t="array" ref="K244">XLOOKUP(LCARS_Off[AbilityID],RawOfficer[AbilityID],RawOfficer[Tag_GroupArmadas])</f>
        <v>➖</v>
      </c>
      <c r="L244" s="516" t="str">
        <f t="array" ref="L244">XLOOKUP(LCARS_Off[AbilityID],RawOfficer[AbilityID],RawOfficer[Tag_SoloArmadas])</f>
        <v>➖</v>
      </c>
      <c r="M244" s="516" t="str">
        <f t="array" ref="M244">XLOOKUP(LCARS_Off[AbilityID],RawOfficer[AbilityID],RawOfficer[Tag_InvadingEntities])</f>
        <v>➖</v>
      </c>
      <c r="N244" s="516" t="str">
        <f t="array" ref="N244">XLOOKUP(LCARS_Off[AbilityID],RawOfficer[AbilityID],RawOfficer[Tag_Assaults])</f>
        <v>➖</v>
      </c>
      <c r="O244" s="516" t="str">
        <f t="array" ref="O244">XLOOKUP(LCARS_Off[AbilityID],RawOfficer[AbilityID],RawOfficer[Tag_OutpostArmadas])</f>
        <v>➖</v>
      </c>
      <c r="P244" s="516" t="str">
        <f t="array" ref="P244">XLOOKUP(LCARS_Off[AbilityID],RawOfficer[AbilityID],RawOfficer[Tag_OutpostRetaliators])</f>
        <v>➖</v>
      </c>
      <c r="Q244" s="517" t="str">
        <f t="array" ref="Q244">XLOOKUP(LCARS_Off[AbilityID],RawOfficer[AbilityID],RawOfficer[Conditional_Reason])</f>
        <v/>
      </c>
      <c r="R244" s="518" t="str">
        <f t="array" ref="R244">XLOOKUP(LCARS_Off[AbilityID],RawOfficer[AbilityID],RawOfficer[Tag_Loot])</f>
        <v>➖</v>
      </c>
      <c r="S244" s="516" t="str">
        <f t="array" ref="S244">XLOOKUP(LCARS_Off[AbilityID],RawOfficer[AbilityID],RawOfficer[Tag_Utility])</f>
        <v>➖</v>
      </c>
      <c r="T244" s="429" t="str">
        <f t="array" ref="T244">XLOOKUP(LCARS_Off[AbilityID],RawOfficer[AbilityID],RawOfficer[OfficerSynergy])</f>
        <v>TOS ENTERPRISE CREW</v>
      </c>
      <c r="U244" s="519" t="str">
        <f t="array" ref="U244">XLOOKUP(LCARS_Off[AbilityID],RawOfficer[AbilityID],RawOfficer[AbilityModifier])</f>
        <v>ShieldHPRepair</v>
      </c>
      <c r="V244" s="519" t="str">
        <f t="array" ref="V244">XLOOKUP(LCARS_Off[AbilityID],RawOfficer[AbilityID],RawOfficer[AbilityAttributes])</f>
        <v>officer_stat=2</v>
      </c>
      <c r="W244" s="520" t="str">
        <f t="array" ref="W244">XLOOKUP(LCARS_Off[AbilityID],RawOfficer[AbilityID],RawOfficer[AbilityConditions])</f>
        <v>SelfDefending</v>
      </c>
      <c r="X244" s="519" t="str">
        <f t="array" ref="X244">XLOOKUP(LCARS_Off[AbilityID],RawOfficer[AbilityID],RawOfficer[AbilityTrigger])</f>
        <v>RoundStart</v>
      </c>
      <c r="Y244" s="519" t="str">
        <f t="array" ref="Y244">XLOOKUP(LCARS_Off[AbilityID],RawOfficer[AbilityID],RawOfficer[AbilityTarget])</f>
        <v>SelfAllShips</v>
      </c>
      <c r="Z244" s="519" t="str">
        <f t="array" ref="Z244">XLOOKUP(LCARS_Off[AbilityID],RawOfficer[AbilityID],RawOfficer[AbilityOperation])</f>
        <v>MultiplyBaseAdd</v>
      </c>
      <c r="AA244" s="521" t="str">
        <f t="array" ref="AA244">XLOOKUP(LCARS_Off[AbilityID],RawOfficer[AbilityID],RawOfficer[AbilityDescription])</f>
        <v>When defending, at the start of each turn, TOS Spock restores Shield Health to an amount equal to X of the Defense of the Officers on the ship (restores the Shield Health of all your ships if the ship is defending the station).</v>
      </c>
      <c r="AB244" s="429" t="b">
        <v>0</v>
      </c>
      <c r="AC244" s="522" t="str">
        <f t="array" ref="AC244">XLOOKUP(LCARS_Off[AbilityID],RawOfficer[AbilityID],RawOfficer[AbilityDescriptionShort])</f>
        <v>X of Defense to SHP of all ships</v>
      </c>
      <c r="AD244" s="523"/>
      <c r="AE244" s="524"/>
      <c r="AF244" s="524"/>
      <c r="AG244" s="525" t="str">
        <f t="array" ref="AG244">XLOOKUP(LCARS_Off[AbilityID],RawOfficer[AbilityID],RawOfficer[AbilityChances])</f>
        <v>1.0, 1.0, 1.0</v>
      </c>
      <c r="AH244" s="525" t="str">
        <f t="array" ref="AH244">XLOOKUP(LCARS_Off[AbilityID],RawOfficer[AbilityID],RawOfficer[AbilityValues])</f>
        <v>1.0, 0.5, 1.0</v>
      </c>
      <c r="AI244" s="428" t="b">
        <f t="array" ref="AI244">XLOOKUP(LCARS_Off[AbilityID],RawOfficer[AbilityID],RawOfficer[AbilityHasChance])</f>
        <v>0</v>
      </c>
      <c r="AJ244" s="428" t="b">
        <f t="array" ref="AJ244">XLOOKUP(LCARS_Off[AbilityID],RawOfficer[AbilityID],RawOfficer[AbilityShowPercentage])</f>
        <v>1</v>
      </c>
      <c r="AK244" s="429">
        <f t="array" ref="AK244">XLOOKUP(LCARS_Off[AbilityID],RawOfficer[AbilityID],RawOfficer[OfficerArt])</f>
        <v>151</v>
      </c>
      <c r="AL244" s="430">
        <v>2.015269686E9</v>
      </c>
      <c r="AM244" s="430">
        <f t="array" ref="AM244">XLOOKUP(LCARS_Off[AbilityID],RawOfficer[AbilityID],RawOfficer[Default Order])</f>
        <v>241</v>
      </c>
    </row>
    <row r="245">
      <c r="A245" s="429" t="str">
        <f t="array" ref="A245">LEFT(XLOOKUP(LCARS_Off[AbilityID],RawOfficer[AbilityID],RawOfficer[OfficerRarity]), 1)</f>
        <v>E</v>
      </c>
      <c r="B245" s="429"/>
      <c r="C245" s="514" t="str">
        <f t="array" ref="C245">HYPERLINK("https://stfc.space/officers/" &amp; XLOOKUP(LCARS_Off[AbilityID],RawOfficer[AbilityID],RawOfficer[OfficerId]), XLOOKUP(LCARS_Off[AbilityID],RawOfficer[AbilityID],RawOfficer[OfficerName]))</f>
        <v>TOS SPOCK</v>
      </c>
      <c r="D245" s="515" t="str">
        <f t="array" ref="D245">XLOOKUP(LCARS_Off[AbilityID],RawOfficer[AbilityID],RawOfficer[AbilityType])</f>
        <v>OA</v>
      </c>
      <c r="E245" s="516" t="str">
        <f t="array" ref="E245">XLOOKUP(LCARS_Off[AbilityID],RawOfficer[AbilityID],RawOfficer[Tag_PvPinSpace])</f>
        <v>✴️</v>
      </c>
      <c r="F245" s="516" t="str">
        <f t="array" ref="F245">XLOOKUP(LCARS_Off[AbilityID],RawOfficer[AbilityID],RawOfficer[Tag_PvPStation])</f>
        <v>✴️</v>
      </c>
      <c r="G245" s="516" t="str">
        <f t="array" ref="G245">XLOOKUP(LCARS_Off[AbilityID],RawOfficer[AbilityID],RawOfficer[Tag_NonArmadaHostiles])</f>
        <v>➖</v>
      </c>
      <c r="H245" s="516" t="str">
        <f t="array" ref="H245">XLOOKUP(LCARS_Off[AbilityID],RawOfficer[AbilityID],RawOfficer[Tag_WaveDefense])</f>
        <v>➖</v>
      </c>
      <c r="I245" s="516" t="str">
        <f t="array" ref="I245">XLOOKUP(LCARS_Off[AbilityID],RawOfficer[AbilityID],RawOfficer[Tag_QTrial])</f>
        <v>➖</v>
      </c>
      <c r="J245" s="516" t="str">
        <f t="array" ref="J245">XLOOKUP(LCARS_Off[AbilityID],RawOfficer[AbilityID],RawOfficer[Tag_MissionBosses])</f>
        <v>➖</v>
      </c>
      <c r="K245" s="516" t="str">
        <f t="array" ref="K245">XLOOKUP(LCARS_Off[AbilityID],RawOfficer[AbilityID],RawOfficer[Tag_GroupArmadas])</f>
        <v>➖</v>
      </c>
      <c r="L245" s="516" t="str">
        <f t="array" ref="L245">XLOOKUP(LCARS_Off[AbilityID],RawOfficer[AbilityID],RawOfficer[Tag_SoloArmadas])</f>
        <v>➖</v>
      </c>
      <c r="M245" s="516" t="str">
        <f t="array" ref="M245">XLOOKUP(LCARS_Off[AbilityID],RawOfficer[AbilityID],RawOfficer[Tag_InvadingEntities])</f>
        <v>➖</v>
      </c>
      <c r="N245" s="516" t="str">
        <f t="array" ref="N245">XLOOKUP(LCARS_Off[AbilityID],RawOfficer[AbilityID],RawOfficer[Tag_Assaults])</f>
        <v>➖</v>
      </c>
      <c r="O245" s="516" t="str">
        <f t="array" ref="O245">XLOOKUP(LCARS_Off[AbilityID],RawOfficer[AbilityID],RawOfficer[Tag_OutpostArmadas])</f>
        <v>➖</v>
      </c>
      <c r="P245" s="516" t="str">
        <f t="array" ref="P245">XLOOKUP(LCARS_Off[AbilityID],RawOfficer[AbilityID],RawOfficer[Tag_OutpostRetaliators])</f>
        <v>➖</v>
      </c>
      <c r="Q245" s="517" t="str">
        <f t="array" ref="Q245">XLOOKUP(LCARS_Off[AbilityID],RawOfficer[AbilityID],RawOfficer[Conditional_Reason])</f>
        <v>SelfHasMorale</v>
      </c>
      <c r="R245" s="518" t="str">
        <f t="array" ref="R245">XLOOKUP(LCARS_Off[AbilityID],RawOfficer[AbilityID],RawOfficer[Tag_Loot])</f>
        <v>➖</v>
      </c>
      <c r="S245" s="516" t="str">
        <f t="array" ref="S245">XLOOKUP(LCARS_Off[AbilityID],RawOfficer[AbilityID],RawOfficer[Tag_Utility])</f>
        <v>➖</v>
      </c>
      <c r="T245" s="429" t="str">
        <f t="array" ref="T245">XLOOKUP(LCARS_Off[AbilityID],RawOfficer[AbilityID],RawOfficer[OfficerSynergy])</f>
        <v>TOS ENTERPRISE CREW</v>
      </c>
      <c r="U245" s="519" t="str">
        <f t="array" ref="U245">XLOOKUP(LCARS_Off[AbilityID],RawOfficer[AbilityID],RawOfficer[AbilityModifier])</f>
        <v>CritDamage</v>
      </c>
      <c r="V245" s="519" t="str">
        <f t="array" ref="V245">XLOOKUP(LCARS_Off[AbilityID],RawOfficer[AbilityID],RawOfficer[AbilityAttributes])</f>
        <v>num_rounds=1</v>
      </c>
      <c r="W245" s="520" t="str">
        <f t="array" ref="W245">XLOOKUP(LCARS_Off[AbilityID],RawOfficer[AbilityID],RawOfficer[AbilityConditions])</f>
        <v>SelfHasMorale, EnemyPlayer</v>
      </c>
      <c r="X245" s="519" t="str">
        <f t="array" ref="X245">XLOOKUP(LCARS_Off[AbilityID],RawOfficer[AbilityID],RawOfficer[AbilityTrigger])</f>
        <v>RoundStart</v>
      </c>
      <c r="Y245" s="519" t="str">
        <f t="array" ref="Y245">XLOOKUP(LCARS_Off[AbilityID],RawOfficer[AbilityID],RawOfficer[AbilityTarget])</f>
        <v>EnemyShip</v>
      </c>
      <c r="Z245" s="519" t="str">
        <f t="array" ref="Z245">XLOOKUP(LCARS_Off[AbilityID],RawOfficer[AbilityID],RawOfficer[AbilityOperation])</f>
        <v>Sub</v>
      </c>
      <c r="AA245" s="521" t="str">
        <f t="array" ref="AA245">XLOOKUP(LCARS_Off[AbilityID],RawOfficer[AbilityID],RawOfficer[AbilityDescription])</f>
        <v>When fighting players, as long as the ship has Morale, TOS Spock decreases the Critical Hit Damage bonus of the opponent's ship by X.</v>
      </c>
      <c r="AB245" s="429" t="b">
        <v>0</v>
      </c>
      <c r="AC245" s="522" t="str">
        <f t="array" ref="AC245">XLOOKUP(LCARS_Off[AbilityID],RawOfficer[AbilityID],RawOfficer[AbilityDescriptionShort])</f>
        <v>-X to opponent's Critical damage</v>
      </c>
      <c r="AD245" s="523"/>
      <c r="AE245" s="524"/>
      <c r="AF245" s="524"/>
      <c r="AG245" s="525" t="str">
        <f t="array" ref="AG245">XLOOKUP(LCARS_Off[AbilityID],RawOfficer[AbilityID],RawOfficer[AbilityChances])</f>
        <v>1.0, 1.0, 1.0, 1.0, 1.0</v>
      </c>
      <c r="AH245" s="525" t="str">
        <f t="array" ref="AH245">XLOOKUP(LCARS_Off[AbilityID],RawOfficer[AbilityID],RawOfficer[AbilityValues])</f>
        <v>0.5, 0.75, 1.0, 1.25, 1.5</v>
      </c>
      <c r="AI245" s="428" t="b">
        <f t="array" ref="AI245">XLOOKUP(LCARS_Off[AbilityID],RawOfficer[AbilityID],RawOfficer[AbilityHasChance])</f>
        <v>0</v>
      </c>
      <c r="AJ245" s="428" t="b">
        <f t="array" ref="AJ245">XLOOKUP(LCARS_Off[AbilityID],RawOfficer[AbilityID],RawOfficer[AbilityShowPercentage])</f>
        <v>1</v>
      </c>
      <c r="AK245" s="429">
        <f t="array" ref="AK245">XLOOKUP(LCARS_Off[AbilityID],RawOfficer[AbilityID],RawOfficer[OfficerArt])</f>
        <v>151</v>
      </c>
      <c r="AL245" s="430">
        <v>2.57826584E9</v>
      </c>
      <c r="AM245" s="430">
        <f t="array" ref="AM245">XLOOKUP(LCARS_Off[AbilityID],RawOfficer[AbilityID],RawOfficer[Default Order])</f>
        <v>242</v>
      </c>
    </row>
    <row r="246">
      <c r="A246" s="429" t="str">
        <f t="array" ref="A246">LEFT(XLOOKUP(LCARS_Off[AbilityID],RawOfficer[AbilityID],RawOfficer[OfficerRarity]), 1)</f>
        <v>R</v>
      </c>
      <c r="B246" s="429"/>
      <c r="C246" s="514" t="str">
        <f t="array" ref="C246">HYPERLINK("https://stfc.space/officers/" &amp; XLOOKUP(LCARS_Off[AbilityID],RawOfficer[AbilityID],RawOfficer[OfficerId]), XLOOKUP(LCARS_Off[AbilityID],RawOfficer[AbilityID],RawOfficer[OfficerName]))</f>
        <v>TOS UHURA</v>
      </c>
      <c r="D246" s="515" t="str">
        <f t="array" ref="D246">XLOOKUP(LCARS_Off[AbilityID],RawOfficer[AbilityID],RawOfficer[AbilityType])</f>
        <v>CM</v>
      </c>
      <c r="E246" s="516" t="str">
        <f t="array" ref="E246">XLOOKUP(LCARS_Off[AbilityID],RawOfficer[AbilityID],RawOfficer[Tag_PvPinSpace])</f>
        <v>✴️</v>
      </c>
      <c r="F246" s="516" t="str">
        <f t="array" ref="F246">XLOOKUP(LCARS_Off[AbilityID],RawOfficer[AbilityID],RawOfficer[Tag_PvPStation])</f>
        <v>✴️</v>
      </c>
      <c r="G246" s="516" t="str">
        <f t="array" ref="G246">XLOOKUP(LCARS_Off[AbilityID],RawOfficer[AbilityID],RawOfficer[Tag_NonArmadaHostiles])</f>
        <v>➖</v>
      </c>
      <c r="H246" s="516" t="str">
        <f t="array" ref="H246">XLOOKUP(LCARS_Off[AbilityID],RawOfficer[AbilityID],RawOfficer[Tag_WaveDefense])</f>
        <v>➖</v>
      </c>
      <c r="I246" s="516" t="str">
        <f t="array" ref="I246">XLOOKUP(LCARS_Off[AbilityID],RawOfficer[AbilityID],RawOfficer[Tag_QTrial])</f>
        <v>➖</v>
      </c>
      <c r="J246" s="516" t="str">
        <f t="array" ref="J246">XLOOKUP(LCARS_Off[AbilityID],RawOfficer[AbilityID],RawOfficer[Tag_MissionBosses])</f>
        <v>➖</v>
      </c>
      <c r="K246" s="516" t="str">
        <f t="array" ref="K246">XLOOKUP(LCARS_Off[AbilityID],RawOfficer[AbilityID],RawOfficer[Tag_GroupArmadas])</f>
        <v>➖</v>
      </c>
      <c r="L246" s="516" t="str">
        <f t="array" ref="L246">XLOOKUP(LCARS_Off[AbilityID],RawOfficer[AbilityID],RawOfficer[Tag_SoloArmadas])</f>
        <v>➖</v>
      </c>
      <c r="M246" s="516" t="str">
        <f t="array" ref="M246">XLOOKUP(LCARS_Off[AbilityID],RawOfficer[AbilityID],RawOfficer[Tag_InvadingEntities])</f>
        <v>➖</v>
      </c>
      <c r="N246" s="516" t="str">
        <f t="array" ref="N246">XLOOKUP(LCARS_Off[AbilityID],RawOfficer[AbilityID],RawOfficer[Tag_Assaults])</f>
        <v>➖</v>
      </c>
      <c r="O246" s="516" t="str">
        <f t="array" ref="O246">XLOOKUP(LCARS_Off[AbilityID],RawOfficer[AbilityID],RawOfficer[Tag_OutpostArmadas])</f>
        <v>➖</v>
      </c>
      <c r="P246" s="516" t="str">
        <f t="array" ref="P246">XLOOKUP(LCARS_Off[AbilityID],RawOfficer[AbilityID],RawOfficer[Tag_OutpostRetaliators])</f>
        <v>➖</v>
      </c>
      <c r="Q246" s="517" t="str">
        <f t="array" ref="Q246">XLOOKUP(LCARS_Off[AbilityID],RawOfficer[AbilityID],RawOfficer[Conditional_Reason])</f>
        <v>SelfHasMorale</v>
      </c>
      <c r="R246" s="518" t="str">
        <f t="array" ref="R246">XLOOKUP(LCARS_Off[AbilityID],RawOfficer[AbilityID],RawOfficer[Tag_Loot])</f>
        <v>➖</v>
      </c>
      <c r="S246" s="516" t="str">
        <f t="array" ref="S246">XLOOKUP(LCARS_Off[AbilityID],RawOfficer[AbilityID],RawOfficer[Tag_Utility])</f>
        <v>➖</v>
      </c>
      <c r="T246" s="429" t="str">
        <f t="array" ref="T246">XLOOKUP(LCARS_Off[AbilityID],RawOfficer[AbilityID],RawOfficer[OfficerSynergy])</f>
        <v>TOS ENTERPRISE CREW</v>
      </c>
      <c r="U246" s="519" t="str">
        <f t="array" ref="U246">XLOOKUP(LCARS_Off[AbilityID],RawOfficer[AbilityID],RawOfficer[AbilityModifier])</f>
        <v>CritChance</v>
      </c>
      <c r="V246" s="519" t="str">
        <f t="array" ref="V246">XLOOKUP(LCARS_Off[AbilityID],RawOfficer[AbilityID],RawOfficer[AbilityAttributes])</f>
        <v>num_rounds=1</v>
      </c>
      <c r="W246" s="520" t="str">
        <f t="array" ref="W246">XLOOKUP(LCARS_Off[AbilityID],RawOfficer[AbilityID],RawOfficer[AbilityConditions])</f>
        <v>SelfHasMorale, EnemyPlayer</v>
      </c>
      <c r="X246" s="519" t="str">
        <f t="array" ref="X246">XLOOKUP(LCARS_Off[AbilityID],RawOfficer[AbilityID],RawOfficer[AbilityTrigger])</f>
        <v>RoundStart</v>
      </c>
      <c r="Y246" s="519" t="str">
        <f t="array" ref="Y246">XLOOKUP(LCARS_Off[AbilityID],RawOfficer[AbilityID],RawOfficer[AbilityTarget])</f>
        <v>EnemyShip</v>
      </c>
      <c r="Z246" s="519" t="str">
        <f t="array" ref="Z246">XLOOKUP(LCARS_Off[AbilityID],RawOfficer[AbilityID],RawOfficer[AbilityOperation])</f>
        <v>Sub</v>
      </c>
      <c r="AA246" s="521" t="str">
        <f t="array" ref="AA246">XLOOKUP(LCARS_Off[AbilityID],RawOfficer[AbilityID],RawOfficer[AbilityDescription])</f>
        <v>When fighting players, as long as the ship has Morale, TOS Nyota Uhura decreases the opponent's Critical Hit Chance by X.</v>
      </c>
      <c r="AB246" s="429" t="b">
        <v>0</v>
      </c>
      <c r="AC246" s="522" t="str">
        <f t="array" ref="AC246">XLOOKUP(LCARS_Off[AbilityID],RawOfficer[AbilityID],RawOfficer[AbilityDescriptionShort])</f>
        <v>-X to opponent's critical hit chance</v>
      </c>
      <c r="AD246" s="523"/>
      <c r="AE246" s="524"/>
      <c r="AF246" s="524"/>
      <c r="AG246" s="525" t="str">
        <f t="array" ref="AG246">XLOOKUP(LCARS_Off[AbilityID],RawOfficer[AbilityID],RawOfficer[AbilityChances])</f>
        <v>1.0, 1.0, 1.0</v>
      </c>
      <c r="AH246" s="525" t="str">
        <f t="array" ref="AH246">XLOOKUP(LCARS_Off[AbilityID],RawOfficer[AbilityID],RawOfficer[AbilityValues])</f>
        <v>0.1, 0.25, 1.0</v>
      </c>
      <c r="AI246" s="428" t="b">
        <f t="array" ref="AI246">XLOOKUP(LCARS_Off[AbilityID],RawOfficer[AbilityID],RawOfficer[AbilityHasChance])</f>
        <v>0</v>
      </c>
      <c r="AJ246" s="428" t="b">
        <f t="array" ref="AJ246">XLOOKUP(LCARS_Off[AbilityID],RawOfficer[AbilityID],RawOfficer[AbilityShowPercentage])</f>
        <v>1</v>
      </c>
      <c r="AK246" s="429">
        <f t="array" ref="AK246">XLOOKUP(LCARS_Off[AbilityID],RawOfficer[AbilityID],RawOfficer[OfficerArt])</f>
        <v>152</v>
      </c>
      <c r="AL246" s="430">
        <v>1.796469058E9</v>
      </c>
      <c r="AM246" s="430">
        <f t="array" ref="AM246">XLOOKUP(LCARS_Off[AbilityID],RawOfficer[AbilityID],RawOfficer[Default Order])</f>
        <v>243</v>
      </c>
    </row>
    <row r="247">
      <c r="A247" s="429" t="str">
        <f t="array" ref="A247">LEFT(XLOOKUP(LCARS_Off[AbilityID],RawOfficer[AbilityID],RawOfficer[OfficerRarity]), 1)</f>
        <v>R</v>
      </c>
      <c r="B247" s="429"/>
      <c r="C247" s="514" t="str">
        <f t="array" ref="C247">HYPERLINK("https://stfc.space/officers/" &amp; XLOOKUP(LCARS_Off[AbilityID],RawOfficer[AbilityID],RawOfficer[OfficerId]), XLOOKUP(LCARS_Off[AbilityID],RawOfficer[AbilityID],RawOfficer[OfficerName]))</f>
        <v>TOS UHURA</v>
      </c>
      <c r="D247" s="515" t="str">
        <f t="array" ref="D247">XLOOKUP(LCARS_Off[AbilityID],RawOfficer[AbilityID],RawOfficer[AbilityType])</f>
        <v>OA</v>
      </c>
      <c r="E247" s="516" t="str">
        <f t="array" ref="E247">XLOOKUP(LCARS_Off[AbilityID],RawOfficer[AbilityID],RawOfficer[Tag_PvPinSpace])</f>
        <v>✴️</v>
      </c>
      <c r="F247" s="516" t="str">
        <f t="array" ref="F247">XLOOKUP(LCARS_Off[AbilityID],RawOfficer[AbilityID],RawOfficer[Tag_PvPStation])</f>
        <v>✴️</v>
      </c>
      <c r="G247" s="516" t="str">
        <f t="array" ref="G247">XLOOKUP(LCARS_Off[AbilityID],RawOfficer[AbilityID],RawOfficer[Tag_NonArmadaHostiles])</f>
        <v>➖</v>
      </c>
      <c r="H247" s="516" t="str">
        <f t="array" ref="H247">XLOOKUP(LCARS_Off[AbilityID],RawOfficer[AbilityID],RawOfficer[Tag_WaveDefense])</f>
        <v>➖</v>
      </c>
      <c r="I247" s="516" t="str">
        <f t="array" ref="I247">XLOOKUP(LCARS_Off[AbilityID],RawOfficer[AbilityID],RawOfficer[Tag_QTrial])</f>
        <v>➖</v>
      </c>
      <c r="J247" s="516" t="str">
        <f t="array" ref="J247">XLOOKUP(LCARS_Off[AbilityID],RawOfficer[AbilityID],RawOfficer[Tag_MissionBosses])</f>
        <v>➖</v>
      </c>
      <c r="K247" s="516" t="str">
        <f t="array" ref="K247">XLOOKUP(LCARS_Off[AbilityID],RawOfficer[AbilityID],RawOfficer[Tag_GroupArmadas])</f>
        <v>➖</v>
      </c>
      <c r="L247" s="516" t="str">
        <f t="array" ref="L247">XLOOKUP(LCARS_Off[AbilityID],RawOfficer[AbilityID],RawOfficer[Tag_SoloArmadas])</f>
        <v>➖</v>
      </c>
      <c r="M247" s="516" t="str">
        <f t="array" ref="M247">XLOOKUP(LCARS_Off[AbilityID],RawOfficer[AbilityID],RawOfficer[Tag_InvadingEntities])</f>
        <v>➖</v>
      </c>
      <c r="N247" s="516" t="str">
        <f t="array" ref="N247">XLOOKUP(LCARS_Off[AbilityID],RawOfficer[AbilityID],RawOfficer[Tag_Assaults])</f>
        <v>➖</v>
      </c>
      <c r="O247" s="516" t="str">
        <f t="array" ref="O247">XLOOKUP(LCARS_Off[AbilityID],RawOfficer[AbilityID],RawOfficer[Tag_OutpostArmadas])</f>
        <v>➖</v>
      </c>
      <c r="P247" s="516" t="str">
        <f t="array" ref="P247">XLOOKUP(LCARS_Off[AbilityID],RawOfficer[AbilityID],RawOfficer[Tag_OutpostRetaliators])</f>
        <v>➖</v>
      </c>
      <c r="Q247" s="517" t="str">
        <f t="array" ref="Q247">XLOOKUP(LCARS_Off[AbilityID],RawOfficer[AbilityID],RawOfficer[Conditional_Reason])</f>
        <v>SelfHasMorale</v>
      </c>
      <c r="R247" s="518" t="str">
        <f t="array" ref="R247">XLOOKUP(LCARS_Off[AbilityID],RawOfficer[AbilityID],RawOfficer[Tag_Loot])</f>
        <v>➖</v>
      </c>
      <c r="S247" s="516" t="str">
        <f t="array" ref="S247">XLOOKUP(LCARS_Off[AbilityID],RawOfficer[AbilityID],RawOfficer[Tag_Utility])</f>
        <v>➖</v>
      </c>
      <c r="T247" s="429" t="str">
        <f t="array" ref="T247">XLOOKUP(LCARS_Off[AbilityID],RawOfficer[AbilityID],RawOfficer[OfficerSynergy])</f>
        <v>TOS ENTERPRISE CREW</v>
      </c>
      <c r="U247" s="519" t="str">
        <f t="array" ref="U247">XLOOKUP(LCARS_Off[AbilityID],RawOfficer[AbilityID],RawOfficer[AbilityModifier])</f>
        <v>ShieldMitigation</v>
      </c>
      <c r="V247" s="519" t="str">
        <f t="array" ref="V247">XLOOKUP(LCARS_Off[AbilityID],RawOfficer[AbilityID],RawOfficer[AbilityAttributes])</f>
        <v>num_rounds=1</v>
      </c>
      <c r="W247" s="520" t="str">
        <f t="array" ref="W247">XLOOKUP(LCARS_Off[AbilityID],RawOfficer[AbilityID],RawOfficer[AbilityConditions])</f>
        <v>SelfHasMorale, EnemyPlayer</v>
      </c>
      <c r="X247" s="519" t="str">
        <f t="array" ref="X247">XLOOKUP(LCARS_Off[AbilityID],RawOfficer[AbilityID],RawOfficer[AbilityTrigger])</f>
        <v>RoundStart</v>
      </c>
      <c r="Y247" s="519" t="str">
        <f t="array" ref="Y247">XLOOKUP(LCARS_Off[AbilityID],RawOfficer[AbilityID],RawOfficer[AbilityTarget])</f>
        <v>EnemyShip</v>
      </c>
      <c r="Z247" s="519" t="str">
        <f t="array" ref="Z247">XLOOKUP(LCARS_Off[AbilityID],RawOfficer[AbilityID],RawOfficer[AbilityOperation])</f>
        <v>Sub</v>
      </c>
      <c r="AA247" s="521" t="str">
        <f t="array" ref="AA247">XLOOKUP(LCARS_Off[AbilityID],RawOfficer[AbilityID],RawOfficer[AbilityDescription])</f>
        <v>When fighting players, as long as the ship has Morale, TOS Nyota Uhura removes X from the Shield Mitigation of the opponent's ship. -- Shield Mitigation determines the amount of damage dealt to the shield health</v>
      </c>
      <c r="AB247" s="429" t="b">
        <v>0</v>
      </c>
      <c r="AC247" s="522" t="str">
        <f t="array" ref="AC247">XLOOKUP(LCARS_Off[AbilityID],RawOfficer[AbilityID],RawOfficer[AbilityDescriptionShort])</f>
        <v>-X to opponent's Shield Mitigation</v>
      </c>
      <c r="AD247" s="523"/>
      <c r="AE247" s="524"/>
      <c r="AF247" s="524"/>
      <c r="AG247" s="525" t="str">
        <f t="array" ref="AG247">XLOOKUP(LCARS_Off[AbilityID],RawOfficer[AbilityID],RawOfficer[AbilityChances])</f>
        <v>1.0, 1.0, 1.0, 1.0, 1.0</v>
      </c>
      <c r="AH247" s="525" t="str">
        <f t="array" ref="AH247">XLOOKUP(LCARS_Off[AbilityID],RawOfficer[AbilityID],RawOfficer[AbilityValues])</f>
        <v>0.08, 0.1, 0.12, 0.16, 0.2</v>
      </c>
      <c r="AI247" s="428" t="b">
        <f t="array" ref="AI247">XLOOKUP(LCARS_Off[AbilityID],RawOfficer[AbilityID],RawOfficer[AbilityHasChance])</f>
        <v>0</v>
      </c>
      <c r="AJ247" s="428" t="b">
        <f t="array" ref="AJ247">XLOOKUP(LCARS_Off[AbilityID],RawOfficer[AbilityID],RawOfficer[AbilityShowPercentage])</f>
        <v>1</v>
      </c>
      <c r="AK247" s="429">
        <f t="array" ref="AK247">XLOOKUP(LCARS_Off[AbilityID],RawOfficer[AbilityID],RawOfficer[OfficerArt])</f>
        <v>152</v>
      </c>
      <c r="AL247" s="430">
        <v>2.247949691E9</v>
      </c>
      <c r="AM247" s="430">
        <f t="array" ref="AM247">XLOOKUP(LCARS_Off[AbilityID],RawOfficer[AbilityID],RawOfficer[Default Order])</f>
        <v>244</v>
      </c>
    </row>
    <row r="248">
      <c r="A248" s="429" t="str">
        <f t="array" ref="A248">LEFT(XLOOKUP(LCARS_Off[AbilityID],RawOfficer[AbilityID],RawOfficer[OfficerRarity]), 1)</f>
        <v>R</v>
      </c>
      <c r="B248" s="429"/>
      <c r="C248" s="514" t="str">
        <f t="array" ref="C248">HYPERLINK("https://stfc.space/officers/" &amp; XLOOKUP(LCARS_Off[AbilityID],RawOfficer[AbilityID],RawOfficer[OfficerId]), XLOOKUP(LCARS_Off[AbilityID],RawOfficer[AbilityID],RawOfficer[OfficerName]))</f>
        <v>TOS MCCOY</v>
      </c>
      <c r="D248" s="515" t="str">
        <f t="array" ref="D248">XLOOKUP(LCARS_Off[AbilityID],RawOfficer[AbilityID],RawOfficer[AbilityType])</f>
        <v>CM</v>
      </c>
      <c r="E248" s="516" t="str">
        <f t="array" ref="E248">XLOOKUP(LCARS_Off[AbilityID],RawOfficer[AbilityID],RawOfficer[Tag_PvPinSpace])</f>
        <v>✅</v>
      </c>
      <c r="F248" s="516" t="str">
        <f t="array" ref="F248">XLOOKUP(LCARS_Off[AbilityID],RawOfficer[AbilityID],RawOfficer[Tag_PvPStation])</f>
        <v>✅</v>
      </c>
      <c r="G248" s="516" t="str">
        <f t="array" ref="G248">XLOOKUP(LCARS_Off[AbilityID],RawOfficer[AbilityID],RawOfficer[Tag_NonArmadaHostiles])</f>
        <v>➖</v>
      </c>
      <c r="H248" s="516" t="str">
        <f t="array" ref="H248">XLOOKUP(LCARS_Off[AbilityID],RawOfficer[AbilityID],RawOfficer[Tag_WaveDefense])</f>
        <v>➖</v>
      </c>
      <c r="I248" s="516" t="str">
        <f t="array" ref="I248">XLOOKUP(LCARS_Off[AbilityID],RawOfficer[AbilityID],RawOfficer[Tag_QTrial])</f>
        <v>➖</v>
      </c>
      <c r="J248" s="516" t="str">
        <f t="array" ref="J248">XLOOKUP(LCARS_Off[AbilityID],RawOfficer[AbilityID],RawOfficer[Tag_MissionBosses])</f>
        <v>➖</v>
      </c>
      <c r="K248" s="516" t="str">
        <f t="array" ref="K248">XLOOKUP(LCARS_Off[AbilityID],RawOfficer[AbilityID],RawOfficer[Tag_GroupArmadas])</f>
        <v>➖</v>
      </c>
      <c r="L248" s="516" t="str">
        <f t="array" ref="L248">XLOOKUP(LCARS_Off[AbilityID],RawOfficer[AbilityID],RawOfficer[Tag_SoloArmadas])</f>
        <v>➖</v>
      </c>
      <c r="M248" s="516" t="str">
        <f t="array" ref="M248">XLOOKUP(LCARS_Off[AbilityID],RawOfficer[AbilityID],RawOfficer[Tag_InvadingEntities])</f>
        <v>➖</v>
      </c>
      <c r="N248" s="516" t="str">
        <f t="array" ref="N248">XLOOKUP(LCARS_Off[AbilityID],RawOfficer[AbilityID],RawOfficer[Tag_Assaults])</f>
        <v>➖</v>
      </c>
      <c r="O248" s="516" t="str">
        <f t="array" ref="O248">XLOOKUP(LCARS_Off[AbilityID],RawOfficer[AbilityID],RawOfficer[Tag_OutpostArmadas])</f>
        <v>➖</v>
      </c>
      <c r="P248" s="516" t="str">
        <f t="array" ref="P248">XLOOKUP(LCARS_Off[AbilityID],RawOfficer[AbilityID],RawOfficer[Tag_OutpostRetaliators])</f>
        <v>➖</v>
      </c>
      <c r="Q248" s="517" t="str">
        <f t="array" ref="Q248">XLOOKUP(LCARS_Off[AbilityID],RawOfficer[AbilityID],RawOfficer[Conditional_Reason])</f>
        <v/>
      </c>
      <c r="R248" s="518" t="str">
        <f t="array" ref="R248">XLOOKUP(LCARS_Off[AbilityID],RawOfficer[AbilityID],RawOfficer[Tag_Loot])</f>
        <v>➖</v>
      </c>
      <c r="S248" s="516" t="str">
        <f t="array" ref="S248">XLOOKUP(LCARS_Off[AbilityID],RawOfficer[AbilityID],RawOfficer[Tag_Utility])</f>
        <v>➖</v>
      </c>
      <c r="T248" s="429" t="str">
        <f t="array" ref="T248">XLOOKUP(LCARS_Off[AbilityID],RawOfficer[AbilityID],RawOfficer[OfficerSynergy])</f>
        <v>TOS ENTERPRISE CREW</v>
      </c>
      <c r="U248" s="519" t="str">
        <f t="array" ref="U248">XLOOKUP(LCARS_Off[AbilityID],RawOfficer[AbilityID],RawOfficer[AbilityModifier])</f>
        <v>AllDefenses</v>
      </c>
      <c r="V248" s="519" t="str">
        <f t="array" ref="V248">XLOOKUP(LCARS_Off[AbilityID],RawOfficer[AbilityID],RawOfficer[AbilityAttributes])</f>
        <v>officer_stat=3</v>
      </c>
      <c r="W248" s="520" t="str">
        <f t="array" ref="W248">XLOOKUP(LCARS_Off[AbilityID],RawOfficer[AbilityID],RawOfficer[AbilityConditions])</f>
        <v>SelfDefending</v>
      </c>
      <c r="X248" s="519" t="str">
        <f t="array" ref="X248">XLOOKUP(LCARS_Off[AbilityID],RawOfficer[AbilityID],RawOfficer[AbilityTrigger])</f>
        <v>CombatStart</v>
      </c>
      <c r="Y248" s="519" t="str">
        <f t="array" ref="Y248">XLOOKUP(LCARS_Off[AbilityID],RawOfficer[AbilityID],RawOfficer[AbilityTarget])</f>
        <v>SelfShip</v>
      </c>
      <c r="Z248" s="519" t="str">
        <f t="array" ref="Z248">XLOOKUP(LCARS_Off[AbilityID],RawOfficer[AbilityID],RawOfficer[AbilityOperation])</f>
        <v>MultiplyBaseAdd</v>
      </c>
      <c r="AA248" s="521" t="str">
        <f t="array" ref="AA248">XLOOKUP(LCARS_Off[AbilityID],RawOfficer[AbilityID],RawOfficer[AbilityDescription])</f>
        <v>When defending, TOS Leonard McCoy increases the Shield Deflection, Armor, and Dodge of the ship by X of the Health of all Officers on the ship.</v>
      </c>
      <c r="AB248" s="429" t="b">
        <v>0</v>
      </c>
      <c r="AC248" s="522" t="str">
        <f t="array" ref="AC248">XLOOKUP(LCARS_Off[AbilityID],RawOfficer[AbilityID],RawOfficer[AbilityDescriptionShort])</f>
        <v>X to Dodge, Shield Deflection, and Armor when defending</v>
      </c>
      <c r="AD248" s="523"/>
      <c r="AE248" s="524"/>
      <c r="AF248" s="524"/>
      <c r="AG248" s="525" t="str">
        <f t="array" ref="AG248">XLOOKUP(LCARS_Off[AbilityID],RawOfficer[AbilityID],RawOfficer[AbilityChances])</f>
        <v>1.0, 1.0, 1.0</v>
      </c>
      <c r="AH248" s="525" t="str">
        <f t="array" ref="AH248">XLOOKUP(LCARS_Off[AbilityID],RawOfficer[AbilityID],RawOfficer[AbilityValues])</f>
        <v>3.0, 0.5, 1.0</v>
      </c>
      <c r="AI248" s="428" t="b">
        <f t="array" ref="AI248">XLOOKUP(LCARS_Off[AbilityID],RawOfficer[AbilityID],RawOfficer[AbilityHasChance])</f>
        <v>0</v>
      </c>
      <c r="AJ248" s="428" t="b">
        <f t="array" ref="AJ248">XLOOKUP(LCARS_Off[AbilityID],RawOfficer[AbilityID],RawOfficer[AbilityShowPercentage])</f>
        <v>1</v>
      </c>
      <c r="AK248" s="429">
        <f t="array" ref="AK248">XLOOKUP(LCARS_Off[AbilityID],RawOfficer[AbilityID],RawOfficer[OfficerArt])</f>
        <v>153</v>
      </c>
      <c r="AL248" s="430">
        <v>1.411083962E9</v>
      </c>
      <c r="AM248" s="430">
        <f t="array" ref="AM248">XLOOKUP(LCARS_Off[AbilityID],RawOfficer[AbilityID],RawOfficer[Default Order])</f>
        <v>245</v>
      </c>
    </row>
    <row r="249">
      <c r="A249" s="429" t="str">
        <f t="array" ref="A249">LEFT(XLOOKUP(LCARS_Off[AbilityID],RawOfficer[AbilityID],RawOfficer[OfficerRarity]), 1)</f>
        <v>R</v>
      </c>
      <c r="B249" s="429"/>
      <c r="C249" s="514" t="str">
        <f t="array" ref="C249">HYPERLINK("https://stfc.space/officers/" &amp; XLOOKUP(LCARS_Off[AbilityID],RawOfficer[AbilityID],RawOfficer[OfficerId]), XLOOKUP(LCARS_Off[AbilityID],RawOfficer[AbilityID],RawOfficer[OfficerName]))</f>
        <v>TOS MCCOY</v>
      </c>
      <c r="D249" s="515" t="str">
        <f t="array" ref="D249">XLOOKUP(LCARS_Off[AbilityID],RawOfficer[AbilityID],RawOfficer[AbilityType])</f>
        <v>OA</v>
      </c>
      <c r="E249" s="516" t="str">
        <f t="array" ref="E249">XLOOKUP(LCARS_Off[AbilityID],RawOfficer[AbilityID],RawOfficer[Tag_PvPinSpace])</f>
        <v>✴️</v>
      </c>
      <c r="F249" s="516" t="str">
        <f t="array" ref="F249">XLOOKUP(LCARS_Off[AbilityID],RawOfficer[AbilityID],RawOfficer[Tag_PvPStation])</f>
        <v>✴️</v>
      </c>
      <c r="G249" s="516" t="str">
        <f t="array" ref="G249">XLOOKUP(LCARS_Off[AbilityID],RawOfficer[AbilityID],RawOfficer[Tag_NonArmadaHostiles])</f>
        <v>✴️</v>
      </c>
      <c r="H249" s="516" t="str">
        <f t="array" ref="H249">XLOOKUP(LCARS_Off[AbilityID],RawOfficer[AbilityID],RawOfficer[Tag_WaveDefense])</f>
        <v>✴️</v>
      </c>
      <c r="I249" s="516" t="str">
        <f t="array" ref="I249">XLOOKUP(LCARS_Off[AbilityID],RawOfficer[AbilityID],RawOfficer[Tag_QTrial])</f>
        <v>✴️</v>
      </c>
      <c r="J249" s="516" t="str">
        <f t="array" ref="J249">XLOOKUP(LCARS_Off[AbilityID],RawOfficer[AbilityID],RawOfficer[Tag_MissionBosses])</f>
        <v>✴️</v>
      </c>
      <c r="K249" s="516" t="str">
        <f t="array" ref="K249">XLOOKUP(LCARS_Off[AbilityID],RawOfficer[AbilityID],RawOfficer[Tag_GroupArmadas])</f>
        <v>✴️</v>
      </c>
      <c r="L249" s="516" t="str">
        <f t="array" ref="L249">XLOOKUP(LCARS_Off[AbilityID],RawOfficer[AbilityID],RawOfficer[Tag_SoloArmadas])</f>
        <v>✴️</v>
      </c>
      <c r="M249" s="516" t="str">
        <f t="array" ref="M249">XLOOKUP(LCARS_Off[AbilityID],RawOfficer[AbilityID],RawOfficer[Tag_InvadingEntities])</f>
        <v>✴️</v>
      </c>
      <c r="N249" s="516" t="str">
        <f t="array" ref="N249">XLOOKUP(LCARS_Off[AbilityID],RawOfficer[AbilityID],RawOfficer[Tag_Assaults])</f>
        <v>✴️</v>
      </c>
      <c r="O249" s="516" t="str">
        <f t="array" ref="O249">XLOOKUP(LCARS_Off[AbilityID],RawOfficer[AbilityID],RawOfficer[Tag_OutpostArmadas])</f>
        <v>✴️</v>
      </c>
      <c r="P249" s="516" t="str">
        <f t="array" ref="P249">XLOOKUP(LCARS_Off[AbilityID],RawOfficer[AbilityID],RawOfficer[Tag_OutpostRetaliators])</f>
        <v>✴️</v>
      </c>
      <c r="Q249" s="517" t="str">
        <f t="array" ref="Q249">XLOOKUP(LCARS_Off[AbilityID],RawOfficer[AbilityID],RawOfficer[Conditional_Reason])</f>
        <v>SelfExplorer</v>
      </c>
      <c r="R249" s="518" t="str">
        <f t="array" ref="R249">XLOOKUP(LCARS_Off[AbilityID],RawOfficer[AbilityID],RawOfficer[Tag_Loot])</f>
        <v>➖</v>
      </c>
      <c r="S249" s="516" t="str">
        <f t="array" ref="S249">XLOOKUP(LCARS_Off[AbilityID],RawOfficer[AbilityID],RawOfficer[Tag_Utility])</f>
        <v>➖</v>
      </c>
      <c r="T249" s="429" t="str">
        <f t="array" ref="T249">XLOOKUP(LCARS_Off[AbilityID],RawOfficer[AbilityID],RawOfficer[OfficerSynergy])</f>
        <v>TOS ENTERPRISE CREW</v>
      </c>
      <c r="U249" s="519" t="str">
        <f t="array" ref="U249">XLOOKUP(LCARS_Off[AbilityID],RawOfficer[AbilityID],RawOfficer[AbilityModifier])</f>
        <v>OfficerStatAll</v>
      </c>
      <c r="V249" s="519" t="str">
        <f t="array" ref="V249">XLOOKUP(LCARS_Off[AbilityID],RawOfficer[AbilityID],RawOfficer[AbilityAttributes])</f>
        <v/>
      </c>
      <c r="W249" s="520" t="str">
        <f t="array" ref="W249">XLOOKUP(LCARS_Off[AbilityID],RawOfficer[AbilityID],RawOfficer[AbilityConditions])</f>
        <v>SelfExplorer</v>
      </c>
      <c r="X249" s="519" t="str">
        <f t="array" ref="X249">XLOOKUP(LCARS_Off[AbilityID],RawOfficer[AbilityID],RawOfficer[AbilityTrigger])</f>
        <v>ShipLaunched</v>
      </c>
      <c r="Y249" s="519" t="str">
        <f t="array" ref="Y249">XLOOKUP(LCARS_Off[AbilityID],RawOfficer[AbilityID],RawOfficer[AbilityTarget])</f>
        <v>SelfAll</v>
      </c>
      <c r="Z249" s="519" t="str">
        <f t="array" ref="Z249">XLOOKUP(LCARS_Off[AbilityID],RawOfficer[AbilityID],RawOfficer[AbilityOperation])</f>
        <v>MultiplyAdd</v>
      </c>
      <c r="AA249" s="521" t="str">
        <f t="array" ref="AA249">XLOOKUP(LCARS_Off[AbilityID],RawOfficer[AbilityID],RawOfficer[AbilityDescription])</f>
        <v>If the ship is an Explorer, TOS Leonard McCoy increases the Attack, Defense, and Health of all Officers on the ship by X.</v>
      </c>
      <c r="AB249" s="429" t="b">
        <v>0</v>
      </c>
      <c r="AC249" s="522" t="str">
        <f t="array" ref="AC249">XLOOKUP(LCARS_Off[AbilityID],RawOfficer[AbilityID],RawOfficer[AbilityDescriptionShort])</f>
        <v>X to Attack, Defense, and Health of all Officers when aboard an Explorer</v>
      </c>
      <c r="AD249" s="523"/>
      <c r="AE249" s="524"/>
      <c r="AF249" s="524"/>
      <c r="AG249" s="525" t="str">
        <f t="array" ref="AG249">XLOOKUP(LCARS_Off[AbilityID],RawOfficer[AbilityID],RawOfficer[AbilityChances])</f>
        <v>1.0, 1.0, 1.0, 1.0, 1.0</v>
      </c>
      <c r="AH249" s="525" t="str">
        <f t="array" ref="AH249">XLOOKUP(LCARS_Off[AbilityID],RawOfficer[AbilityID],RawOfficer[AbilityValues])</f>
        <v>0.2, 0.4, 0.6, 0.8, 1.0</v>
      </c>
      <c r="AI249" s="428" t="b">
        <f t="array" ref="AI249">XLOOKUP(LCARS_Off[AbilityID],RawOfficer[AbilityID],RawOfficer[AbilityHasChance])</f>
        <v>0</v>
      </c>
      <c r="AJ249" s="428" t="b">
        <f t="array" ref="AJ249">XLOOKUP(LCARS_Off[AbilityID],RawOfficer[AbilityID],RawOfficer[AbilityShowPercentage])</f>
        <v>1</v>
      </c>
      <c r="AK249" s="429">
        <f t="array" ref="AK249">XLOOKUP(LCARS_Off[AbilityID],RawOfficer[AbilityID],RawOfficer[OfficerArt])</f>
        <v>153</v>
      </c>
      <c r="AL249" s="430">
        <v>1.471902954E9</v>
      </c>
      <c r="AM249" s="430">
        <f t="array" ref="AM249">XLOOKUP(LCARS_Off[AbilityID],RawOfficer[AbilityID],RawOfficer[Default Order])</f>
        <v>246</v>
      </c>
    </row>
    <row r="250">
      <c r="A250" s="429" t="str">
        <f t="array" ref="A250">LEFT(XLOOKUP(LCARS_Off[AbilityID],RawOfficer[AbilityID],RawOfficer[OfficerRarity]), 1)</f>
        <v>R</v>
      </c>
      <c r="B250" s="429"/>
      <c r="C250" s="514" t="str">
        <f t="array" ref="C250">HYPERLINK("https://stfc.space/officers/" &amp; XLOOKUP(LCARS_Off[AbilityID],RawOfficer[AbilityID],RawOfficer[OfficerId]), XLOOKUP(LCARS_Off[AbilityID],RawOfficer[AbilityID],RawOfficer[OfficerName]))</f>
        <v>TOS SULU</v>
      </c>
      <c r="D250" s="515" t="str">
        <f t="array" ref="D250">XLOOKUP(LCARS_Off[AbilityID],RawOfficer[AbilityID],RawOfficer[AbilityType])</f>
        <v>CM</v>
      </c>
      <c r="E250" s="516" t="str">
        <f t="array" ref="E250">XLOOKUP(LCARS_Off[AbilityID],RawOfficer[AbilityID],RawOfficer[Tag_PvPinSpace])</f>
        <v>✅</v>
      </c>
      <c r="F250" s="516" t="str">
        <f t="array" ref="F250">XLOOKUP(LCARS_Off[AbilityID],RawOfficer[AbilityID],RawOfficer[Tag_PvPStation])</f>
        <v>✅</v>
      </c>
      <c r="G250" s="516" t="str">
        <f t="array" ref="G250">XLOOKUP(LCARS_Off[AbilityID],RawOfficer[AbilityID],RawOfficer[Tag_NonArmadaHostiles])</f>
        <v>✅</v>
      </c>
      <c r="H250" s="516" t="str">
        <f t="array" ref="H250">XLOOKUP(LCARS_Off[AbilityID],RawOfficer[AbilityID],RawOfficer[Tag_WaveDefense])</f>
        <v>✅</v>
      </c>
      <c r="I250" s="516" t="str">
        <f t="array" ref="I250">XLOOKUP(LCARS_Off[AbilityID],RawOfficer[AbilityID],RawOfficer[Tag_QTrial])</f>
        <v>✅</v>
      </c>
      <c r="J250" s="516" t="str">
        <f t="array" ref="J250">XLOOKUP(LCARS_Off[AbilityID],RawOfficer[AbilityID],RawOfficer[Tag_MissionBosses])</f>
        <v>✅</v>
      </c>
      <c r="K250" s="516" t="str">
        <f t="array" ref="K250">XLOOKUP(LCARS_Off[AbilityID],RawOfficer[AbilityID],RawOfficer[Tag_GroupArmadas])</f>
        <v>✅</v>
      </c>
      <c r="L250" s="516" t="str">
        <f t="array" ref="L250">XLOOKUP(LCARS_Off[AbilityID],RawOfficer[AbilityID],RawOfficer[Tag_SoloArmadas])</f>
        <v>✅</v>
      </c>
      <c r="M250" s="516" t="str">
        <f t="array" ref="M250">XLOOKUP(LCARS_Off[AbilityID],RawOfficer[AbilityID],RawOfficer[Tag_InvadingEntities])</f>
        <v>✅</v>
      </c>
      <c r="N250" s="516" t="str">
        <f t="array" ref="N250">XLOOKUP(LCARS_Off[AbilityID],RawOfficer[AbilityID],RawOfficer[Tag_Assaults])</f>
        <v>✅</v>
      </c>
      <c r="O250" s="516" t="str">
        <f t="array" ref="O250">XLOOKUP(LCARS_Off[AbilityID],RawOfficer[AbilityID],RawOfficer[Tag_OutpostArmadas])</f>
        <v>✅</v>
      </c>
      <c r="P250" s="516" t="str">
        <f t="array" ref="P250">XLOOKUP(LCARS_Off[AbilityID],RawOfficer[AbilityID],RawOfficer[Tag_OutpostRetaliators])</f>
        <v>✅</v>
      </c>
      <c r="Q250" s="517" t="str">
        <f t="array" ref="Q250">XLOOKUP(LCARS_Off[AbilityID],RawOfficer[AbilityID],RawOfficer[Conditional_Reason])</f>
        <v/>
      </c>
      <c r="R250" s="518" t="str">
        <f t="array" ref="R250">XLOOKUP(LCARS_Off[AbilityID],RawOfficer[AbilityID],RawOfficer[Tag_Loot])</f>
        <v>➖</v>
      </c>
      <c r="S250" s="516" t="str">
        <f t="array" ref="S250">XLOOKUP(LCARS_Off[AbilityID],RawOfficer[AbilityID],RawOfficer[Tag_Utility])</f>
        <v>➖</v>
      </c>
      <c r="T250" s="429" t="str">
        <f t="array" ref="T250">XLOOKUP(LCARS_Off[AbilityID],RawOfficer[AbilityID],RawOfficer[OfficerSynergy])</f>
        <v>TOS ENTERPRISE CREW</v>
      </c>
      <c r="U250" s="519" t="str">
        <f t="array" ref="U250">XLOOKUP(LCARS_Off[AbilityID],RawOfficer[AbilityID],RawOfficer[AbilityModifier])</f>
        <v>AddState</v>
      </c>
      <c r="V250" s="519" t="str">
        <f t="array" ref="V250">XLOOKUP(LCARS_Off[AbilityID],RawOfficer[AbilityID],RawOfficer[AbilityAttributes])</f>
        <v>num_rounds=1, state=8</v>
      </c>
      <c r="W250" s="520" t="str">
        <f t="array" ref="W250">XLOOKUP(LCARS_Off[AbilityID],RawOfficer[AbilityID],RawOfficer[AbilityConditions])</f>
        <v/>
      </c>
      <c r="X250" s="519" t="str">
        <f t="array" ref="X250">XLOOKUP(LCARS_Off[AbilityID],RawOfficer[AbilityID],RawOfficer[AbilityTrigger])</f>
        <v>RoundStart</v>
      </c>
      <c r="Y250" s="519" t="str">
        <f t="array" ref="Y250">XLOOKUP(LCARS_Off[AbilityID],RawOfficer[AbilityID],RawOfficer[AbilityTarget])</f>
        <v>SelfShip</v>
      </c>
      <c r="Z250" s="519" t="str">
        <f t="array" ref="Z250">XLOOKUP(LCARS_Off[AbilityID],RawOfficer[AbilityID],RawOfficer[AbilityOperation])</f>
        <v>Set</v>
      </c>
      <c r="AA250" s="521" t="str">
        <f t="array" ref="AA250">XLOOKUP(LCARS_Off[AbilityID],RawOfficer[AbilityID],RawOfficer[AbilityDescription])</f>
        <v>At the start of each round, TOS Hikaru Sulu has a X chance of inspiring Morale for one round.</v>
      </c>
      <c r="AB250" s="429" t="b">
        <v>0</v>
      </c>
      <c r="AC250" s="522" t="str">
        <f t="array" ref="AC250">XLOOKUP(LCARS_Off[AbilityID],RawOfficer[AbilityID],RawOfficer[AbilityDescriptionShort])</f>
        <v>X chance to inspire Morale for 1 round</v>
      </c>
      <c r="AD250" s="523"/>
      <c r="AE250" s="524"/>
      <c r="AF250" s="524"/>
      <c r="AG250" s="525" t="str">
        <f t="array" ref="AG250">XLOOKUP(LCARS_Off[AbilityID],RawOfficer[AbilityID],RawOfficer[AbilityChances])</f>
        <v>0.55, 0.05, 0.1</v>
      </c>
      <c r="AH250" s="525" t="str">
        <f t="array" ref="AH250">XLOOKUP(LCARS_Off[AbilityID],RawOfficer[AbilityID],RawOfficer[AbilityValues])</f>
        <v>0.0, 0.0, 0.0</v>
      </c>
      <c r="AI250" s="428" t="b">
        <f t="array" ref="AI250">XLOOKUP(LCARS_Off[AbilityID],RawOfficer[AbilityID],RawOfficer[AbilityHasChance])</f>
        <v>1</v>
      </c>
      <c r="AJ250" s="428" t="b">
        <f t="array" ref="AJ250">XLOOKUP(LCARS_Off[AbilityID],RawOfficer[AbilityID],RawOfficer[AbilityShowPercentage])</f>
        <v>1</v>
      </c>
      <c r="AK250" s="429">
        <f t="array" ref="AK250">XLOOKUP(LCARS_Off[AbilityID],RawOfficer[AbilityID],RawOfficer[OfficerArt])</f>
        <v>154</v>
      </c>
      <c r="AL250" s="430">
        <v>2.61387865E8</v>
      </c>
      <c r="AM250" s="430">
        <f t="array" ref="AM250">XLOOKUP(LCARS_Off[AbilityID],RawOfficer[AbilityID],RawOfficer[Default Order])</f>
        <v>247</v>
      </c>
    </row>
    <row r="251">
      <c r="A251" s="429" t="str">
        <f t="array" ref="A251">LEFT(XLOOKUP(LCARS_Off[AbilityID],RawOfficer[AbilityID],RawOfficer[OfficerRarity]), 1)</f>
        <v>R</v>
      </c>
      <c r="B251" s="429"/>
      <c r="C251" s="514" t="str">
        <f t="array" ref="C251">HYPERLINK("https://stfc.space/officers/" &amp; XLOOKUP(LCARS_Off[AbilityID],RawOfficer[AbilityID],RawOfficer[OfficerId]), XLOOKUP(LCARS_Off[AbilityID],RawOfficer[AbilityID],RawOfficer[OfficerName]))</f>
        <v>TOS SULU</v>
      </c>
      <c r="D251" s="515" t="str">
        <f t="array" ref="D251">XLOOKUP(LCARS_Off[AbilityID],RawOfficer[AbilityID],RawOfficer[AbilityType])</f>
        <v>OA</v>
      </c>
      <c r="E251" s="516" t="str">
        <f t="array" ref="E251">XLOOKUP(LCARS_Off[AbilityID],RawOfficer[AbilityID],RawOfficer[Tag_PvPinSpace])</f>
        <v>✴️</v>
      </c>
      <c r="F251" s="516" t="str">
        <f t="array" ref="F251">XLOOKUP(LCARS_Off[AbilityID],RawOfficer[AbilityID],RawOfficer[Tag_PvPStation])</f>
        <v>✴️</v>
      </c>
      <c r="G251" s="516" t="str">
        <f t="array" ref="G251">XLOOKUP(LCARS_Off[AbilityID],RawOfficer[AbilityID],RawOfficer[Tag_NonArmadaHostiles])</f>
        <v>✴️</v>
      </c>
      <c r="H251" s="516" t="str">
        <f t="array" ref="H251">XLOOKUP(LCARS_Off[AbilityID],RawOfficer[AbilityID],RawOfficer[Tag_WaveDefense])</f>
        <v>✴️</v>
      </c>
      <c r="I251" s="516" t="str">
        <f t="array" ref="I251">XLOOKUP(LCARS_Off[AbilityID],RawOfficer[AbilityID],RawOfficer[Tag_QTrial])</f>
        <v>✴️</v>
      </c>
      <c r="J251" s="516" t="str">
        <f t="array" ref="J251">XLOOKUP(LCARS_Off[AbilityID],RawOfficer[AbilityID],RawOfficer[Tag_MissionBosses])</f>
        <v>✴️</v>
      </c>
      <c r="K251" s="516" t="str">
        <f t="array" ref="K251">XLOOKUP(LCARS_Off[AbilityID],RawOfficer[AbilityID],RawOfficer[Tag_GroupArmadas])</f>
        <v>✴️</v>
      </c>
      <c r="L251" s="516" t="str">
        <f t="array" ref="L251">XLOOKUP(LCARS_Off[AbilityID],RawOfficer[AbilityID],RawOfficer[Tag_SoloArmadas])</f>
        <v>✴️</v>
      </c>
      <c r="M251" s="516" t="str">
        <f t="array" ref="M251">XLOOKUP(LCARS_Off[AbilityID],RawOfficer[AbilityID],RawOfficer[Tag_InvadingEntities])</f>
        <v>✴️</v>
      </c>
      <c r="N251" s="516" t="str">
        <f t="array" ref="N251">XLOOKUP(LCARS_Off[AbilityID],RawOfficer[AbilityID],RawOfficer[Tag_Assaults])</f>
        <v>✴️</v>
      </c>
      <c r="O251" s="516" t="str">
        <f t="array" ref="O251">XLOOKUP(LCARS_Off[AbilityID],RawOfficer[AbilityID],RawOfficer[Tag_OutpostArmadas])</f>
        <v>✴️</v>
      </c>
      <c r="P251" s="516" t="str">
        <f t="array" ref="P251">XLOOKUP(LCARS_Off[AbilityID],RawOfficer[AbilityID],RawOfficer[Tag_OutpostRetaliators])</f>
        <v>✴️</v>
      </c>
      <c r="Q251" s="517" t="str">
        <f t="array" ref="Q251">XLOOKUP(LCARS_Off[AbilityID],RawOfficer[AbilityID],RawOfficer[Conditional_Reason])</f>
        <v>SelfExplorer, SelfHasMorale</v>
      </c>
      <c r="R251" s="518" t="str">
        <f t="array" ref="R251">XLOOKUP(LCARS_Off[AbilityID],RawOfficer[AbilityID],RawOfficer[Tag_Loot])</f>
        <v>➖</v>
      </c>
      <c r="S251" s="516" t="str">
        <f t="array" ref="S251">XLOOKUP(LCARS_Off[AbilityID],RawOfficer[AbilityID],RawOfficer[Tag_Utility])</f>
        <v>➖</v>
      </c>
      <c r="T251" s="429" t="str">
        <f t="array" ref="T251">XLOOKUP(LCARS_Off[AbilityID],RawOfficer[AbilityID],RawOfficer[OfficerSynergy])</f>
        <v>TOS ENTERPRISE CREW</v>
      </c>
      <c r="U251" s="519" t="str">
        <f t="array" ref="U251">XLOOKUP(LCARS_Off[AbilityID],RawOfficer[AbilityID],RawOfficer[AbilityModifier])</f>
        <v>CritChance</v>
      </c>
      <c r="V251" s="519" t="str">
        <f t="array" ref="V251">XLOOKUP(LCARS_Off[AbilityID],RawOfficer[AbilityID],RawOfficer[AbilityAttributes])</f>
        <v>num_rounds=1</v>
      </c>
      <c r="W251" s="520" t="str">
        <f t="array" ref="W251">XLOOKUP(LCARS_Off[AbilityID],RawOfficer[AbilityID],RawOfficer[AbilityConditions])</f>
        <v>SelfExplorer, SelfHasMorale</v>
      </c>
      <c r="X251" s="519" t="str">
        <f t="array" ref="X251">XLOOKUP(LCARS_Off[AbilityID],RawOfficer[AbilityID],RawOfficer[AbilityTrigger])</f>
        <v>RoundStart</v>
      </c>
      <c r="Y251" s="519" t="str">
        <f t="array" ref="Y251">XLOOKUP(LCARS_Off[AbilityID],RawOfficer[AbilityID],RawOfficer[AbilityTarget])</f>
        <v>SelfShip</v>
      </c>
      <c r="Z251" s="519" t="str">
        <f t="array" ref="Z251">XLOOKUP(LCARS_Off[AbilityID],RawOfficer[AbilityID],RawOfficer[AbilityOperation])</f>
        <v>Add</v>
      </c>
      <c r="AA251" s="521" t="str">
        <f t="array" ref="AA251">XLOOKUP(LCARS_Off[AbilityID],RawOfficer[AbilityID],RawOfficer[AbilityDescription])</f>
        <v>If the ship is an Explorer, at the start of each turn, if the ship has Morale, TOS Hikaru Sulu increases its Critical Hit Chance by X for that round.</v>
      </c>
      <c r="AB251" s="429" t="b">
        <v>0</v>
      </c>
      <c r="AC251" s="522" t="str">
        <f t="array" ref="AC251">XLOOKUP(LCARS_Off[AbilityID],RawOfficer[AbilityID],RawOfficer[AbilityDescriptionShort])</f>
        <v>X increase to Critical Hit Chance when aboard an Explorer that has  Morale</v>
      </c>
      <c r="AD251" s="523"/>
      <c r="AE251" s="524"/>
      <c r="AF251" s="524"/>
      <c r="AG251" s="525" t="str">
        <f t="array" ref="AG251">XLOOKUP(LCARS_Off[AbilityID],RawOfficer[AbilityID],RawOfficer[AbilityChances])</f>
        <v>1.0, 1.0, 1.0, 1.0, 1.0</v>
      </c>
      <c r="AH251" s="525" t="str">
        <f t="array" ref="AH251">XLOOKUP(LCARS_Off[AbilityID],RawOfficer[AbilityID],RawOfficer[AbilityValues])</f>
        <v>0.06, 0.08, 0.1, 0.12, 0.15</v>
      </c>
      <c r="AI251" s="428" t="b">
        <f t="array" ref="AI251">XLOOKUP(LCARS_Off[AbilityID],RawOfficer[AbilityID],RawOfficer[AbilityHasChance])</f>
        <v>0</v>
      </c>
      <c r="AJ251" s="428" t="b">
        <f t="array" ref="AJ251">XLOOKUP(LCARS_Off[AbilityID],RawOfficer[AbilityID],RawOfficer[AbilityShowPercentage])</f>
        <v>1</v>
      </c>
      <c r="AK251" s="429">
        <f t="array" ref="AK251">XLOOKUP(LCARS_Off[AbilityID],RawOfficer[AbilityID],RawOfficer[OfficerArt])</f>
        <v>154</v>
      </c>
      <c r="AL251" s="430">
        <v>3.831328818E9</v>
      </c>
      <c r="AM251" s="430">
        <f t="array" ref="AM251">XLOOKUP(LCARS_Off[AbilityID],RawOfficer[AbilityID],RawOfficer[Default Order])</f>
        <v>248</v>
      </c>
    </row>
    <row r="252">
      <c r="A252" s="429" t="str">
        <f t="array" ref="A252">LEFT(XLOOKUP(LCARS_Off[AbilityID],RawOfficer[AbilityID],RawOfficer[OfficerRarity]), 1)</f>
        <v>R</v>
      </c>
      <c r="B252" s="429"/>
      <c r="C252" s="514" t="str">
        <f t="array" ref="C252">HYPERLINK("https://stfc.space/officers/" &amp; XLOOKUP(LCARS_Off[AbilityID],RawOfficer[AbilityID],RawOfficer[OfficerId]), XLOOKUP(LCARS_Off[AbilityID],RawOfficer[AbilityID],RawOfficer[OfficerName]))</f>
        <v>TOS SCOTTY</v>
      </c>
      <c r="D252" s="515" t="str">
        <f t="array" ref="D252">XLOOKUP(LCARS_Off[AbilityID],RawOfficer[AbilityID],RawOfficer[AbilityType])</f>
        <v>CM</v>
      </c>
      <c r="E252" s="516" t="str">
        <f t="array" ref="E252">XLOOKUP(LCARS_Off[AbilityID],RawOfficer[AbilityID],RawOfficer[Tag_PvPinSpace])</f>
        <v>➖</v>
      </c>
      <c r="F252" s="516" t="str">
        <f t="array" ref="F252">XLOOKUP(LCARS_Off[AbilityID],RawOfficer[AbilityID],RawOfficer[Tag_PvPStation])</f>
        <v>➖</v>
      </c>
      <c r="G252" s="516" t="str">
        <f t="array" ref="G252">XLOOKUP(LCARS_Off[AbilityID],RawOfficer[AbilityID],RawOfficer[Tag_NonArmadaHostiles])</f>
        <v>➖</v>
      </c>
      <c r="H252" s="516" t="str">
        <f t="array" ref="H252">XLOOKUP(LCARS_Off[AbilityID],RawOfficer[AbilityID],RawOfficer[Tag_WaveDefense])</f>
        <v>➖</v>
      </c>
      <c r="I252" s="516" t="str">
        <f t="array" ref="I252">XLOOKUP(LCARS_Off[AbilityID],RawOfficer[AbilityID],RawOfficer[Tag_QTrial])</f>
        <v>➖</v>
      </c>
      <c r="J252" s="516" t="str">
        <f t="array" ref="J252">XLOOKUP(LCARS_Off[AbilityID],RawOfficer[AbilityID],RawOfficer[Tag_MissionBosses])</f>
        <v>➖</v>
      </c>
      <c r="K252" s="516" t="str">
        <f t="array" ref="K252">XLOOKUP(LCARS_Off[AbilityID],RawOfficer[AbilityID],RawOfficer[Tag_GroupArmadas])</f>
        <v>➖</v>
      </c>
      <c r="L252" s="516" t="str">
        <f t="array" ref="L252">XLOOKUP(LCARS_Off[AbilityID],RawOfficer[AbilityID],RawOfficer[Tag_SoloArmadas])</f>
        <v>➖</v>
      </c>
      <c r="M252" s="516" t="str">
        <f t="array" ref="M252">XLOOKUP(LCARS_Off[AbilityID],RawOfficer[AbilityID],RawOfficer[Tag_InvadingEntities])</f>
        <v>➖</v>
      </c>
      <c r="N252" s="516" t="str">
        <f t="array" ref="N252">XLOOKUP(LCARS_Off[AbilityID],RawOfficer[AbilityID],RawOfficer[Tag_Assaults])</f>
        <v>➖</v>
      </c>
      <c r="O252" s="516" t="str">
        <f t="array" ref="O252">XLOOKUP(LCARS_Off[AbilityID],RawOfficer[AbilityID],RawOfficer[Tag_OutpostArmadas])</f>
        <v>➖</v>
      </c>
      <c r="P252" s="516" t="str">
        <f t="array" ref="P252">XLOOKUP(LCARS_Off[AbilityID],RawOfficer[AbilityID],RawOfficer[Tag_OutpostRetaliators])</f>
        <v>➖</v>
      </c>
      <c r="Q252" s="517" t="str">
        <f t="array" ref="Q252">XLOOKUP(LCARS_Off[AbilityID],RawOfficer[AbilityID],RawOfficer[Conditional_Reason])</f>
        <v/>
      </c>
      <c r="R252" s="518" t="str">
        <f t="array" ref="R252">XLOOKUP(LCARS_Off[AbilityID],RawOfficer[AbilityID],RawOfficer[Tag_Loot])</f>
        <v>➖</v>
      </c>
      <c r="S252" s="516" t="str">
        <f t="array" ref="S252">XLOOKUP(LCARS_Off[AbilityID],RawOfficer[AbilityID],RawOfficer[Tag_Utility])</f>
        <v>✅</v>
      </c>
      <c r="T252" s="429" t="str">
        <f t="array" ref="T252">XLOOKUP(LCARS_Off[AbilityID],RawOfficer[AbilityID],RawOfficer[OfficerSynergy])</f>
        <v>TOS ENTERPRISE CREW</v>
      </c>
      <c r="U252" s="519" t="str">
        <f t="array" ref="U252">XLOOKUP(LCARS_Off[AbilityID],RawOfficer[AbilityID],RawOfficer[AbilityModifier])</f>
        <v>WarpDistance</v>
      </c>
      <c r="V252" s="519" t="str">
        <f t="array" ref="V252">XLOOKUP(LCARS_Off[AbilityID],RawOfficer[AbilityID],RawOfficer[AbilityAttributes])</f>
        <v/>
      </c>
      <c r="W252" s="520" t="str">
        <f t="array" ref="W252">XLOOKUP(LCARS_Off[AbilityID],RawOfficer[AbilityID],RawOfficer[AbilityConditions])</f>
        <v>SelfExplorer</v>
      </c>
      <c r="X252" s="519" t="str">
        <f t="array" ref="X252">XLOOKUP(LCARS_Off[AbilityID],RawOfficer[AbilityID],RawOfficer[AbilityTrigger])</f>
        <v>ShipLaunched</v>
      </c>
      <c r="Y252" s="519" t="str">
        <f t="array" ref="Y252">XLOOKUP(LCARS_Off[AbilityID],RawOfficer[AbilityID],RawOfficer[AbilityTarget])</f>
        <v>SelfShip</v>
      </c>
      <c r="Z252" s="519" t="str">
        <f t="array" ref="Z252">XLOOKUP(LCARS_Off[AbilityID],RawOfficer[AbilityID],RawOfficer[AbilityOperation])</f>
        <v>Add</v>
      </c>
      <c r="AA252" s="521" t="str">
        <f t="array" ref="AA252">XLOOKUP(LCARS_Off[AbilityID],RawOfficer[AbilityID],RawOfficer[AbilityDescription])</f>
        <v>TOS Scotty increases the Warp Range of Explorers by X.</v>
      </c>
      <c r="AB252" s="429" t="b">
        <v>0</v>
      </c>
      <c r="AC252" s="522" t="str">
        <f t="array" ref="AC252">XLOOKUP(LCARS_Off[AbilityID],RawOfficer[AbilityID],RawOfficer[AbilityDescriptionShort])</f>
        <v>+X to Warp Range for Explorers</v>
      </c>
      <c r="AD252" s="523"/>
      <c r="AE252" s="524"/>
      <c r="AF252" s="524"/>
      <c r="AG252" s="525" t="str">
        <f t="array" ref="AG252">XLOOKUP(LCARS_Off[AbilityID],RawOfficer[AbilityID],RawOfficer[AbilityChances])</f>
        <v>1.0, 1.0, 1.0</v>
      </c>
      <c r="AH252" s="525" t="str">
        <f t="array" ref="AH252">XLOOKUP(LCARS_Off[AbilityID],RawOfficer[AbilityID],RawOfficer[AbilityValues])</f>
        <v>4.0, 2.0, 3.0</v>
      </c>
      <c r="AI252" s="428" t="b">
        <f t="array" ref="AI252">XLOOKUP(LCARS_Off[AbilityID],RawOfficer[AbilityID],RawOfficer[AbilityHasChance])</f>
        <v>0</v>
      </c>
      <c r="AJ252" s="428" t="b">
        <f t="array" ref="AJ252">XLOOKUP(LCARS_Off[AbilityID],RawOfficer[AbilityID],RawOfficer[AbilityShowPercentage])</f>
        <v>0</v>
      </c>
      <c r="AK252" s="429">
        <f t="array" ref="AK252">XLOOKUP(LCARS_Off[AbilityID],RawOfficer[AbilityID],RawOfficer[OfficerArt])</f>
        <v>155</v>
      </c>
      <c r="AL252" s="430">
        <v>8.95293227E8</v>
      </c>
      <c r="AM252" s="430">
        <f t="array" ref="AM252">XLOOKUP(LCARS_Off[AbilityID],RawOfficer[AbilityID],RawOfficer[Default Order])</f>
        <v>249</v>
      </c>
    </row>
    <row r="253">
      <c r="A253" s="429" t="str">
        <f t="array" ref="A253">LEFT(XLOOKUP(LCARS_Off[AbilityID],RawOfficer[AbilityID],RawOfficer[OfficerRarity]), 1)</f>
        <v>R</v>
      </c>
      <c r="B253" s="429"/>
      <c r="C253" s="514" t="str">
        <f t="array" ref="C253">HYPERLINK("https://stfc.space/officers/" &amp; XLOOKUP(LCARS_Off[AbilityID],RawOfficer[AbilityID],RawOfficer[OfficerId]), XLOOKUP(LCARS_Off[AbilityID],RawOfficer[AbilityID],RawOfficer[OfficerName]))</f>
        <v>TOS SCOTTY</v>
      </c>
      <c r="D253" s="515" t="str">
        <f t="array" ref="D253">XLOOKUP(LCARS_Off[AbilityID],RawOfficer[AbilityID],RawOfficer[AbilityType])</f>
        <v>OA</v>
      </c>
      <c r="E253" s="516" t="str">
        <f t="array" ref="E253">XLOOKUP(LCARS_Off[AbilityID],RawOfficer[AbilityID],RawOfficer[Tag_PvPinSpace])</f>
        <v>➖</v>
      </c>
      <c r="F253" s="516" t="str">
        <f t="array" ref="F253">XLOOKUP(LCARS_Off[AbilityID],RawOfficer[AbilityID],RawOfficer[Tag_PvPStation])</f>
        <v>➖</v>
      </c>
      <c r="G253" s="516" t="str">
        <f t="array" ref="G253">XLOOKUP(LCARS_Off[AbilityID],RawOfficer[AbilityID],RawOfficer[Tag_NonArmadaHostiles])</f>
        <v>➖</v>
      </c>
      <c r="H253" s="516" t="str">
        <f t="array" ref="H253">XLOOKUP(LCARS_Off[AbilityID],RawOfficer[AbilityID],RawOfficer[Tag_WaveDefense])</f>
        <v>➖</v>
      </c>
      <c r="I253" s="516" t="str">
        <f t="array" ref="I253">XLOOKUP(LCARS_Off[AbilityID],RawOfficer[AbilityID],RawOfficer[Tag_QTrial])</f>
        <v>➖</v>
      </c>
      <c r="J253" s="516" t="str">
        <f t="array" ref="J253">XLOOKUP(LCARS_Off[AbilityID],RawOfficer[AbilityID],RawOfficer[Tag_MissionBosses])</f>
        <v>➖</v>
      </c>
      <c r="K253" s="516" t="str">
        <f t="array" ref="K253">XLOOKUP(LCARS_Off[AbilityID],RawOfficer[AbilityID],RawOfficer[Tag_GroupArmadas])</f>
        <v>➖</v>
      </c>
      <c r="L253" s="516" t="str">
        <f t="array" ref="L253">XLOOKUP(LCARS_Off[AbilityID],RawOfficer[AbilityID],RawOfficer[Tag_SoloArmadas])</f>
        <v>➖</v>
      </c>
      <c r="M253" s="516" t="str">
        <f t="array" ref="M253">XLOOKUP(LCARS_Off[AbilityID],RawOfficer[AbilityID],RawOfficer[Tag_InvadingEntities])</f>
        <v>➖</v>
      </c>
      <c r="N253" s="516" t="str">
        <f t="array" ref="N253">XLOOKUP(LCARS_Off[AbilityID],RawOfficer[AbilityID],RawOfficer[Tag_Assaults])</f>
        <v>➖</v>
      </c>
      <c r="O253" s="516" t="str">
        <f t="array" ref="O253">XLOOKUP(LCARS_Off[AbilityID],RawOfficer[AbilityID],RawOfficer[Tag_OutpostArmadas])</f>
        <v>➖</v>
      </c>
      <c r="P253" s="516" t="str">
        <f t="array" ref="P253">XLOOKUP(LCARS_Off[AbilityID],RawOfficer[AbilityID],RawOfficer[Tag_OutpostRetaliators])</f>
        <v>➖</v>
      </c>
      <c r="Q253" s="517" t="str">
        <f t="array" ref="Q253">XLOOKUP(LCARS_Off[AbilityID],RawOfficer[AbilityID],RawOfficer[Conditional_Reason])</f>
        <v/>
      </c>
      <c r="R253" s="518" t="str">
        <f t="array" ref="R253">XLOOKUP(LCARS_Off[AbilityID],RawOfficer[AbilityID],RawOfficer[Tag_Loot])</f>
        <v>➖</v>
      </c>
      <c r="S253" s="516" t="str">
        <f t="array" ref="S253">XLOOKUP(LCARS_Off[AbilityID],RawOfficer[AbilityID],RawOfficer[Tag_Utility])</f>
        <v>✅</v>
      </c>
      <c r="T253" s="429" t="str">
        <f t="array" ref="T253">XLOOKUP(LCARS_Off[AbilityID],RawOfficer[AbilityID],RawOfficer[OfficerSynergy])</f>
        <v>TOS ENTERPRISE CREW</v>
      </c>
      <c r="U253" s="519" t="str">
        <f t="array" ref="U253">XLOOKUP(LCARS_Off[AbilityID],RawOfficer[AbilityID],RawOfficer[AbilityModifier])</f>
        <v>RepairCostsPost</v>
      </c>
      <c r="V253" s="519" t="str">
        <f t="array" ref="V253">XLOOKUP(LCARS_Off[AbilityID],RawOfficer[AbilityID],RawOfficer[AbilityAttributes])</f>
        <v/>
      </c>
      <c r="W253" s="520" t="str">
        <f t="array" ref="W253">XLOOKUP(LCARS_Off[AbilityID],RawOfficer[AbilityID],RawOfficer[AbilityConditions])</f>
        <v/>
      </c>
      <c r="X253" s="519" t="str">
        <f t="array" ref="X253">XLOOKUP(LCARS_Off[AbilityID],RawOfficer[AbilityID],RawOfficer[AbilityTrigger])</f>
        <v>ShipLaunched</v>
      </c>
      <c r="Y253" s="519" t="str">
        <f t="array" ref="Y253">XLOOKUP(LCARS_Off[AbilityID],RawOfficer[AbilityID],RawOfficer[AbilityTarget])</f>
        <v>SelfShip</v>
      </c>
      <c r="Z253" s="519" t="str">
        <f t="array" ref="Z253">XLOOKUP(LCARS_Off[AbilityID],RawOfficer[AbilityID],RawOfficer[AbilityOperation])</f>
        <v>MultiplyAdd</v>
      </c>
      <c r="AA253" s="521" t="str">
        <f t="array" ref="AA253">XLOOKUP(LCARS_Off[AbilityID],RawOfficer[AbilityID],RawOfficer[AbilityDescription])</f>
        <v>TOS Scotty increases the Repair Cost Efficiency of the ship by X. -- This ability is applied after all other bonuses from research and/or your station and stacked on top.</v>
      </c>
      <c r="AB253" s="429" t="b">
        <v>0</v>
      </c>
      <c r="AC253" s="522" t="str">
        <f t="array" ref="AC253">XLOOKUP(LCARS_Off[AbilityID],RawOfficer[AbilityID],RawOfficer[AbilityDescriptionShort])</f>
        <v>+X to Repair Cost Efficiency</v>
      </c>
      <c r="AD253" s="523"/>
      <c r="AE253" s="524"/>
      <c r="AF253" s="524"/>
      <c r="AG253" s="525" t="str">
        <f t="array" ref="AG253">XLOOKUP(LCARS_Off[AbilityID],RawOfficer[AbilityID],RawOfficer[AbilityChances])</f>
        <v>1.0, 1.0, 1.0, 1.0, 1.0</v>
      </c>
      <c r="AH253" s="525" t="str">
        <f t="array" ref="AH253">XLOOKUP(LCARS_Off[AbilityID],RawOfficer[AbilityID],RawOfficer[AbilityValues])</f>
        <v>0.1, 0.2, 0.3, 0.4, 0.5</v>
      </c>
      <c r="AI253" s="428" t="b">
        <f t="array" ref="AI253">XLOOKUP(LCARS_Off[AbilityID],RawOfficer[AbilityID],RawOfficer[AbilityHasChance])</f>
        <v>0</v>
      </c>
      <c r="AJ253" s="428" t="b">
        <f t="array" ref="AJ253">XLOOKUP(LCARS_Off[AbilityID],RawOfficer[AbilityID],RawOfficer[AbilityShowPercentage])</f>
        <v>1</v>
      </c>
      <c r="AK253" s="429">
        <f t="array" ref="AK253">XLOOKUP(LCARS_Off[AbilityID],RawOfficer[AbilityID],RawOfficer[OfficerArt])</f>
        <v>155</v>
      </c>
      <c r="AL253" s="430">
        <v>1.072929447E9</v>
      </c>
      <c r="AM253" s="430">
        <f t="array" ref="AM253">XLOOKUP(LCARS_Off[AbilityID],RawOfficer[AbilityID],RawOfficer[Default Order])</f>
        <v>250</v>
      </c>
    </row>
    <row r="254">
      <c r="A254" s="429" t="str">
        <f t="array" ref="A254">LEFT(XLOOKUP(LCARS_Off[AbilityID],RawOfficer[AbilityID],RawOfficer[OfficerRarity]), 1)</f>
        <v>R</v>
      </c>
      <c r="B254" s="429"/>
      <c r="C254" s="514" t="str">
        <f t="array" ref="C254">HYPERLINK("https://stfc.space/officers/" &amp; XLOOKUP(LCARS_Off[AbilityID],RawOfficer[AbilityID],RawOfficer[OfficerId]), XLOOKUP(LCARS_Off[AbilityID],RawOfficer[AbilityID],RawOfficer[OfficerName]))</f>
        <v>TOS CHEKOV</v>
      </c>
      <c r="D254" s="515" t="str">
        <f t="array" ref="D254">XLOOKUP(LCARS_Off[AbilityID],RawOfficer[AbilityID],RawOfficer[AbilityType])</f>
        <v>CM</v>
      </c>
      <c r="E254" s="516" t="str">
        <f t="array" ref="E254">XLOOKUP(LCARS_Off[AbilityID],RawOfficer[AbilityID],RawOfficer[Tag_PvPinSpace])</f>
        <v>➖</v>
      </c>
      <c r="F254" s="516" t="str">
        <f t="array" ref="F254">XLOOKUP(LCARS_Off[AbilityID],RawOfficer[AbilityID],RawOfficer[Tag_PvPStation])</f>
        <v>➖</v>
      </c>
      <c r="G254" s="516" t="str">
        <f t="array" ref="G254">XLOOKUP(LCARS_Off[AbilityID],RawOfficer[AbilityID],RawOfficer[Tag_NonArmadaHostiles])</f>
        <v>➖</v>
      </c>
      <c r="H254" s="516" t="str">
        <f t="array" ref="H254">XLOOKUP(LCARS_Off[AbilityID],RawOfficer[AbilityID],RawOfficer[Tag_WaveDefense])</f>
        <v>➖</v>
      </c>
      <c r="I254" s="516" t="str">
        <f t="array" ref="I254">XLOOKUP(LCARS_Off[AbilityID],RawOfficer[AbilityID],RawOfficer[Tag_QTrial])</f>
        <v>➖</v>
      </c>
      <c r="J254" s="516" t="str">
        <f t="array" ref="J254">XLOOKUP(LCARS_Off[AbilityID],RawOfficer[AbilityID],RawOfficer[Tag_MissionBosses])</f>
        <v>➖</v>
      </c>
      <c r="K254" s="516" t="str">
        <f t="array" ref="K254">XLOOKUP(LCARS_Off[AbilityID],RawOfficer[AbilityID],RawOfficer[Tag_GroupArmadas])</f>
        <v>➖</v>
      </c>
      <c r="L254" s="516" t="str">
        <f t="array" ref="L254">XLOOKUP(LCARS_Off[AbilityID],RawOfficer[AbilityID],RawOfficer[Tag_SoloArmadas])</f>
        <v>➖</v>
      </c>
      <c r="M254" s="516" t="str">
        <f t="array" ref="M254">XLOOKUP(LCARS_Off[AbilityID],RawOfficer[AbilityID],RawOfficer[Tag_InvadingEntities])</f>
        <v>➖</v>
      </c>
      <c r="N254" s="516" t="str">
        <f t="array" ref="N254">XLOOKUP(LCARS_Off[AbilityID],RawOfficer[AbilityID],RawOfficer[Tag_Assaults])</f>
        <v>➖</v>
      </c>
      <c r="O254" s="516" t="str">
        <f t="array" ref="O254">XLOOKUP(LCARS_Off[AbilityID],RawOfficer[AbilityID],RawOfficer[Tag_OutpostArmadas])</f>
        <v>➖</v>
      </c>
      <c r="P254" s="516" t="str">
        <f t="array" ref="P254">XLOOKUP(LCARS_Off[AbilityID],RawOfficer[AbilityID],RawOfficer[Tag_OutpostRetaliators])</f>
        <v>➖</v>
      </c>
      <c r="Q254" s="517" t="str">
        <f t="array" ref="Q254">XLOOKUP(LCARS_Off[AbilityID],RawOfficer[AbilityID],RawOfficer[Conditional_Reason])</f>
        <v/>
      </c>
      <c r="R254" s="518" t="str">
        <f t="array" ref="R254">XLOOKUP(LCARS_Off[AbilityID],RawOfficer[AbilityID],RawOfficer[Tag_Loot])</f>
        <v>➖</v>
      </c>
      <c r="S254" s="516" t="str">
        <f t="array" ref="S254">XLOOKUP(LCARS_Off[AbilityID],RawOfficer[AbilityID],RawOfficer[Tag_Utility])</f>
        <v>✅</v>
      </c>
      <c r="T254" s="429" t="str">
        <f t="array" ref="T254">XLOOKUP(LCARS_Off[AbilityID],RawOfficer[AbilityID],RawOfficer[OfficerSynergy])</f>
        <v>TOS ENTERPRISE CREW</v>
      </c>
      <c r="U254" s="519" t="str">
        <f t="array" ref="U254">XLOOKUP(LCARS_Off[AbilityID],RawOfficer[AbilityID],RawOfficer[AbilityModifier])</f>
        <v>ImpulseSpeed</v>
      </c>
      <c r="V254" s="519" t="str">
        <f t="array" ref="V254">XLOOKUP(LCARS_Off[AbilityID],RawOfficer[AbilityID],RawOfficer[AbilityAttributes])</f>
        <v/>
      </c>
      <c r="W254" s="520" t="str">
        <f t="array" ref="W254">XLOOKUP(LCARS_Off[AbilityID],RawOfficer[AbilityID],RawOfficer[AbilityConditions])</f>
        <v>SelfExplorer</v>
      </c>
      <c r="X254" s="519" t="str">
        <f t="array" ref="X254">XLOOKUP(LCARS_Off[AbilityID],RawOfficer[AbilityID],RawOfficer[AbilityTrigger])</f>
        <v>ShipLaunched</v>
      </c>
      <c r="Y254" s="519" t="str">
        <f t="array" ref="Y254">XLOOKUP(LCARS_Off[AbilityID],RawOfficer[AbilityID],RawOfficer[AbilityTarget])</f>
        <v>SelfShip</v>
      </c>
      <c r="Z254" s="519" t="str">
        <f t="array" ref="Z254">XLOOKUP(LCARS_Off[AbilityID],RawOfficer[AbilityID],RawOfficer[AbilityOperation])</f>
        <v>Add</v>
      </c>
      <c r="AA254" s="521" t="str">
        <f t="array" ref="AA254">XLOOKUP(LCARS_Off[AbilityID],RawOfficer[AbilityID],RawOfficer[AbilityDescription])</f>
        <v>TOS Chekov increases the Impulse Speed of Explorers by X.</v>
      </c>
      <c r="AB254" s="429" t="b">
        <v>0</v>
      </c>
      <c r="AC254" s="522" t="str">
        <f t="array" ref="AC254">XLOOKUP(LCARS_Off[AbilityID],RawOfficer[AbilityID],RawOfficer[AbilityDescriptionShort])</f>
        <v>+X to Impulse Speed on Explorers</v>
      </c>
      <c r="AD254" s="523"/>
      <c r="AE254" s="524"/>
      <c r="AF254" s="524"/>
      <c r="AG254" s="525" t="str">
        <f t="array" ref="AG254">XLOOKUP(LCARS_Off[AbilityID],RawOfficer[AbilityID],RawOfficer[AbilityChances])</f>
        <v>1.0, 1.0, 1.0</v>
      </c>
      <c r="AH254" s="525" t="str">
        <f t="array" ref="AH254">XLOOKUP(LCARS_Off[AbilityID],RawOfficer[AbilityID],RawOfficer[AbilityValues])</f>
        <v>10.0, 5.0, 10.0</v>
      </c>
      <c r="AI254" s="428" t="b">
        <f t="array" ref="AI254">XLOOKUP(LCARS_Off[AbilityID],RawOfficer[AbilityID],RawOfficer[AbilityHasChance])</f>
        <v>0</v>
      </c>
      <c r="AJ254" s="428" t="b">
        <f t="array" ref="AJ254">XLOOKUP(LCARS_Off[AbilityID],RawOfficer[AbilityID],RawOfficer[AbilityShowPercentage])</f>
        <v>0</v>
      </c>
      <c r="AK254" s="429">
        <f t="array" ref="AK254">XLOOKUP(LCARS_Off[AbilityID],RawOfficer[AbilityID],RawOfficer[OfficerArt])</f>
        <v>156</v>
      </c>
      <c r="AL254" s="430">
        <v>1.058182319E9</v>
      </c>
      <c r="AM254" s="430">
        <f t="array" ref="AM254">XLOOKUP(LCARS_Off[AbilityID],RawOfficer[AbilityID],RawOfficer[Default Order])</f>
        <v>251</v>
      </c>
    </row>
    <row r="255">
      <c r="A255" s="429" t="str">
        <f t="array" ref="A255">LEFT(XLOOKUP(LCARS_Off[AbilityID],RawOfficer[AbilityID],RawOfficer[OfficerRarity]), 1)</f>
        <v>R</v>
      </c>
      <c r="B255" s="429"/>
      <c r="C255" s="514" t="str">
        <f t="array" ref="C255">HYPERLINK("https://stfc.space/officers/" &amp; XLOOKUP(LCARS_Off[AbilityID],RawOfficer[AbilityID],RawOfficer[OfficerId]), XLOOKUP(LCARS_Off[AbilityID],RawOfficer[AbilityID],RawOfficer[OfficerName]))</f>
        <v>TOS CHEKOV</v>
      </c>
      <c r="D255" s="515" t="str">
        <f t="array" ref="D255">XLOOKUP(LCARS_Off[AbilityID],RawOfficer[AbilityID],RawOfficer[AbilityType])</f>
        <v>OA</v>
      </c>
      <c r="E255" s="516" t="str">
        <f t="array" ref="E255">XLOOKUP(LCARS_Off[AbilityID],RawOfficer[AbilityID],RawOfficer[Tag_PvPinSpace])</f>
        <v>✴️</v>
      </c>
      <c r="F255" s="516" t="str">
        <f t="array" ref="F255">XLOOKUP(LCARS_Off[AbilityID],RawOfficer[AbilityID],RawOfficer[Tag_PvPStation])</f>
        <v>➖</v>
      </c>
      <c r="G255" s="516" t="str">
        <f t="array" ref="G255">XLOOKUP(LCARS_Off[AbilityID],RawOfficer[AbilityID],RawOfficer[Tag_NonArmadaHostiles])</f>
        <v>➖</v>
      </c>
      <c r="H255" s="516" t="str">
        <f t="array" ref="H255">XLOOKUP(LCARS_Off[AbilityID],RawOfficer[AbilityID],RawOfficer[Tag_WaveDefense])</f>
        <v>➖</v>
      </c>
      <c r="I255" s="516" t="str">
        <f t="array" ref="I255">XLOOKUP(LCARS_Off[AbilityID],RawOfficer[AbilityID],RawOfficer[Tag_QTrial])</f>
        <v>➖</v>
      </c>
      <c r="J255" s="516" t="str">
        <f t="array" ref="J255">XLOOKUP(LCARS_Off[AbilityID],RawOfficer[AbilityID],RawOfficer[Tag_MissionBosses])</f>
        <v>➖</v>
      </c>
      <c r="K255" s="516" t="str">
        <f t="array" ref="K255">XLOOKUP(LCARS_Off[AbilityID],RawOfficer[AbilityID],RawOfficer[Tag_GroupArmadas])</f>
        <v>➖</v>
      </c>
      <c r="L255" s="516" t="str">
        <f t="array" ref="L255">XLOOKUP(LCARS_Off[AbilityID],RawOfficer[AbilityID],RawOfficer[Tag_SoloArmadas])</f>
        <v>➖</v>
      </c>
      <c r="M255" s="516" t="str">
        <f t="array" ref="M255">XLOOKUP(LCARS_Off[AbilityID],RawOfficer[AbilityID],RawOfficer[Tag_InvadingEntities])</f>
        <v>➖</v>
      </c>
      <c r="N255" s="516" t="str">
        <f t="array" ref="N255">XLOOKUP(LCARS_Off[AbilityID],RawOfficer[AbilityID],RawOfficer[Tag_Assaults])</f>
        <v>➖</v>
      </c>
      <c r="O255" s="516" t="str">
        <f t="array" ref="O255">XLOOKUP(LCARS_Off[AbilityID],RawOfficer[AbilityID],RawOfficer[Tag_OutpostArmadas])</f>
        <v>➖</v>
      </c>
      <c r="P255" s="516" t="str">
        <f t="array" ref="P255">XLOOKUP(LCARS_Off[AbilityID],RawOfficer[AbilityID],RawOfficer[Tag_OutpostRetaliators])</f>
        <v>➖</v>
      </c>
      <c r="Q255" s="517" t="str">
        <f t="array" ref="Q255">XLOOKUP(LCARS_Off[AbilityID],RawOfficer[AbilityID],RawOfficer[Conditional_Reason])</f>
        <v>docked on a node</v>
      </c>
      <c r="R255" s="518" t="str">
        <f t="array" ref="R255">XLOOKUP(LCARS_Off[AbilityID],RawOfficer[AbilityID],RawOfficer[Tag_Loot])</f>
        <v>➖</v>
      </c>
      <c r="S255" s="516" t="str">
        <f t="array" ref="S255">XLOOKUP(LCARS_Off[AbilityID],RawOfficer[AbilityID],RawOfficer[Tag_Utility])</f>
        <v>➖</v>
      </c>
      <c r="T255" s="429" t="str">
        <f t="array" ref="T255">XLOOKUP(LCARS_Off[AbilityID],RawOfficer[AbilityID],RawOfficer[OfficerSynergy])</f>
        <v>TOS ENTERPRISE CREW</v>
      </c>
      <c r="U255" s="519" t="str">
        <f t="array" ref="U255">XLOOKUP(LCARS_Off[AbilityID],RawOfficer[AbilityID],RawOfficer[AbilityModifier])</f>
        <v>AllDamage</v>
      </c>
      <c r="V255" s="519" t="str">
        <f t="array" ref="V255">XLOOKUP(LCARS_Off[AbilityID],RawOfficer[AbilityID],RawOfficer[AbilityAttributes])</f>
        <v>battle_types=[4]</v>
      </c>
      <c r="W255" s="520" t="str">
        <f t="array" ref="W255">XLOOKUP(LCARS_Off[AbilityID],RawOfficer[AbilityID],RawOfficer[AbilityConditions])</f>
        <v>CombatBattleType, EnemyPlayer, SelfDefending</v>
      </c>
      <c r="X255" s="519" t="str">
        <f t="array" ref="X255">XLOOKUP(LCARS_Off[AbilityID],RawOfficer[AbilityID],RawOfficer[AbilityTrigger])</f>
        <v>CombatStart</v>
      </c>
      <c r="Y255" s="519" t="str">
        <f t="array" ref="Y255">XLOOKUP(LCARS_Off[AbilityID],RawOfficer[AbilityID],RawOfficer[AbilityTarget])</f>
        <v>EnemyShip</v>
      </c>
      <c r="Z255" s="519" t="str">
        <f t="array" ref="Z255">XLOOKUP(LCARS_Off[AbilityID],RawOfficer[AbilityID],RawOfficer[AbilityOperation])</f>
        <v>MultiplySub</v>
      </c>
      <c r="AA255" s="521" t="str">
        <f t="array" ref="AA255">XLOOKUP(LCARS_Off[AbilityID],RawOfficer[AbilityID],RawOfficer[AbilityDescription])</f>
        <v>When attacked while on a Capture or Mining Node by a player, TOS Chekov decreases the opponent's damage by X.</v>
      </c>
      <c r="AB255" s="429" t="b">
        <v>0</v>
      </c>
      <c r="AC255" s="522" t="str">
        <f t="array" ref="AC255">XLOOKUP(LCARS_Off[AbilityID],RawOfficer[AbilityID],RawOfficer[AbilityDescriptionShort])</f>
        <v>-X to opponent's damage when attacked on nodes</v>
      </c>
      <c r="AD255" s="523"/>
      <c r="AE255" s="524"/>
      <c r="AF255" s="524"/>
      <c r="AG255" s="525" t="str">
        <f t="array" ref="AG255">XLOOKUP(LCARS_Off[AbilityID],RawOfficer[AbilityID],RawOfficer[AbilityChances])</f>
        <v>1.0, 1.0, 1.0, 1.0, 1.0</v>
      </c>
      <c r="AH255" s="525" t="str">
        <f t="array" ref="AH255">XLOOKUP(LCARS_Off[AbilityID],RawOfficer[AbilityID],RawOfficer[AbilityValues])</f>
        <v>0.3, 0.5, 0.75, 1.0, 1.5</v>
      </c>
      <c r="AI255" s="428" t="b">
        <f t="array" ref="AI255">XLOOKUP(LCARS_Off[AbilityID],RawOfficer[AbilityID],RawOfficer[AbilityHasChance])</f>
        <v>0</v>
      </c>
      <c r="AJ255" s="428" t="b">
        <f t="array" ref="AJ255">XLOOKUP(LCARS_Off[AbilityID],RawOfficer[AbilityID],RawOfficer[AbilityShowPercentage])</f>
        <v>1</v>
      </c>
      <c r="AK255" s="429">
        <f t="array" ref="AK255">XLOOKUP(LCARS_Off[AbilityID],RawOfficer[AbilityID],RawOfficer[OfficerArt])</f>
        <v>156</v>
      </c>
      <c r="AL255" s="430">
        <v>3.1900316E9</v>
      </c>
      <c r="AM255" s="430">
        <f t="array" ref="AM255">XLOOKUP(LCARS_Off[AbilityID],RawOfficer[AbilityID],RawOfficer[Default Order])</f>
        <v>252</v>
      </c>
    </row>
    <row r="256">
      <c r="A256" s="429" t="str">
        <f t="array" ref="A256">LEFT(XLOOKUP(LCARS_Off[AbilityID],RawOfficer[AbilityID],RawOfficer[OfficerRarity]), 1)</f>
        <v>C</v>
      </c>
      <c r="B256" s="429"/>
      <c r="C256" s="514" t="str">
        <f t="array" ref="C256">HYPERLINK("https://stfc.space/officers/" &amp; XLOOKUP(LCARS_Off[AbilityID],RawOfficer[AbilityID],RawOfficer[OfficerId]), XLOOKUP(LCARS_Off[AbilityID],RawOfficer[AbilityID],RawOfficer[OfficerName]))</f>
        <v>NEXT GEN DATA</v>
      </c>
      <c r="D256" s="515" t="str">
        <f t="array" ref="D256">XLOOKUP(LCARS_Off[AbilityID],RawOfficer[AbilityID],RawOfficer[AbilityType])</f>
        <v>CM</v>
      </c>
      <c r="E256" s="516" t="str">
        <f t="array" ref="E256">XLOOKUP(LCARS_Off[AbilityID],RawOfficer[AbilityID],RawOfficer[Tag_PvPinSpace])</f>
        <v>✅</v>
      </c>
      <c r="F256" s="516" t="str">
        <f t="array" ref="F256">XLOOKUP(LCARS_Off[AbilityID],RawOfficer[AbilityID],RawOfficer[Tag_PvPStation])</f>
        <v>✅</v>
      </c>
      <c r="G256" s="516" t="str">
        <f t="array" ref="G256">XLOOKUP(LCARS_Off[AbilityID],RawOfficer[AbilityID],RawOfficer[Tag_NonArmadaHostiles])</f>
        <v>✅</v>
      </c>
      <c r="H256" s="516" t="str">
        <f t="array" ref="H256">XLOOKUP(LCARS_Off[AbilityID],RawOfficer[AbilityID],RawOfficer[Tag_WaveDefense])</f>
        <v>✅</v>
      </c>
      <c r="I256" s="516" t="str">
        <f t="array" ref="I256">XLOOKUP(LCARS_Off[AbilityID],RawOfficer[AbilityID],RawOfficer[Tag_QTrial])</f>
        <v>✅</v>
      </c>
      <c r="J256" s="516" t="str">
        <f t="array" ref="J256">XLOOKUP(LCARS_Off[AbilityID],RawOfficer[AbilityID],RawOfficer[Tag_MissionBosses])</f>
        <v>✅</v>
      </c>
      <c r="K256" s="516" t="str">
        <f t="array" ref="K256">XLOOKUP(LCARS_Off[AbilityID],RawOfficer[AbilityID],RawOfficer[Tag_GroupArmadas])</f>
        <v>✅</v>
      </c>
      <c r="L256" s="516" t="str">
        <f t="array" ref="L256">XLOOKUP(LCARS_Off[AbilityID],RawOfficer[AbilityID],RawOfficer[Tag_SoloArmadas])</f>
        <v>✅</v>
      </c>
      <c r="M256" s="516" t="str">
        <f t="array" ref="M256">XLOOKUP(LCARS_Off[AbilityID],RawOfficer[AbilityID],RawOfficer[Tag_InvadingEntities])</f>
        <v>✅</v>
      </c>
      <c r="N256" s="516" t="str">
        <f t="array" ref="N256">XLOOKUP(LCARS_Off[AbilityID],RawOfficer[AbilityID],RawOfficer[Tag_Assaults])</f>
        <v>✅</v>
      </c>
      <c r="O256" s="516" t="str">
        <f t="array" ref="O256">XLOOKUP(LCARS_Off[AbilityID],RawOfficer[AbilityID],RawOfficer[Tag_OutpostArmadas])</f>
        <v>✅</v>
      </c>
      <c r="P256" s="516" t="str">
        <f t="array" ref="P256">XLOOKUP(LCARS_Off[AbilityID],RawOfficer[AbilityID],RawOfficer[Tag_OutpostRetaliators])</f>
        <v>✅</v>
      </c>
      <c r="Q256" s="517" t="str">
        <f t="array" ref="Q256">XLOOKUP(LCARS_Off[AbilityID],RawOfficer[AbilityID],RawOfficer[Conditional_Reason])</f>
        <v/>
      </c>
      <c r="R256" s="518" t="str">
        <f t="array" ref="R256">XLOOKUP(LCARS_Off[AbilityID],RawOfficer[AbilityID],RawOfficer[Tag_Loot])</f>
        <v>➖</v>
      </c>
      <c r="S256" s="516" t="str">
        <f t="array" ref="S256">XLOOKUP(LCARS_Off[AbilityID],RawOfficer[AbilityID],RawOfficer[Tag_Utility])</f>
        <v>➖</v>
      </c>
      <c r="T256" s="429" t="str">
        <f t="array" ref="T256">XLOOKUP(LCARS_Off[AbilityID],RawOfficer[AbilityID],RawOfficer[OfficerSynergy])</f>
        <v>NEXT GEN</v>
      </c>
      <c r="U256" s="519" t="str">
        <f t="array" ref="U256">XLOOKUP(LCARS_Off[AbilityID],RawOfficer[AbilityID],RawOfficer[AbilityModifier])</f>
        <v>OfficerStatAll</v>
      </c>
      <c r="V256" s="519" t="str">
        <f t="array" ref="V256">XLOOKUP(LCARS_Off[AbilityID],RawOfficer[AbilityID],RawOfficer[AbilityAttributes])</f>
        <v/>
      </c>
      <c r="W256" s="520" t="str">
        <f t="array" ref="W256">XLOOKUP(LCARS_Off[AbilityID],RawOfficer[AbilityID],RawOfficer[AbilityConditions])</f>
        <v/>
      </c>
      <c r="X256" s="519" t="str">
        <f t="array" ref="X256">XLOOKUP(LCARS_Off[AbilityID],RawOfficer[AbilityID],RawOfficer[AbilityTrigger])</f>
        <v>ShipLaunched</v>
      </c>
      <c r="Y256" s="519" t="str">
        <f t="array" ref="Y256">XLOOKUP(LCARS_Off[AbilityID],RawOfficer[AbilityID],RawOfficer[AbilityTarget])</f>
        <v>SelfBridge</v>
      </c>
      <c r="Z256" s="519" t="str">
        <f t="array" ref="Z256">XLOOKUP(LCARS_Off[AbilityID],RawOfficer[AbilityID],RawOfficer[AbilityOperation])</f>
        <v>MultiplyAdd</v>
      </c>
      <c r="AA256" s="521" t="str">
        <f t="array" ref="AA256">XLOOKUP(LCARS_Off[AbilityID],RawOfficer[AbilityID],RawOfficer[AbilityDescription])</f>
        <v>Next Gen Data increases the Attack, Defense and Health of all Officers on the Bridge by X.</v>
      </c>
      <c r="AB256" s="429" t="b">
        <v>0</v>
      </c>
      <c r="AC256" s="522" t="str">
        <f t="array" ref="AC256">XLOOKUP(LCARS_Off[AbilityID],RawOfficer[AbilityID],RawOfficer[AbilityDescriptionShort])</f>
        <v>+X to all Officer stats on the Bridge</v>
      </c>
      <c r="AD256" s="523"/>
      <c r="AE256" s="524"/>
      <c r="AF256" s="524"/>
      <c r="AG256" s="525" t="str">
        <f t="array" ref="AG256">XLOOKUP(LCARS_Off[AbilityID],RawOfficer[AbilityID],RawOfficer[AbilityChances])</f>
        <v>1.0, 1.0, 1.0</v>
      </c>
      <c r="AH256" s="525" t="str">
        <f t="array" ref="AH256">XLOOKUP(LCARS_Off[AbilityID],RawOfficer[AbilityID],RawOfficer[AbilityValues])</f>
        <v>0.08, 0.03, 0.06</v>
      </c>
      <c r="AI256" s="428" t="b">
        <f t="array" ref="AI256">XLOOKUP(LCARS_Off[AbilityID],RawOfficer[AbilityID],RawOfficer[AbilityHasChance])</f>
        <v>0</v>
      </c>
      <c r="AJ256" s="428" t="b">
        <f t="array" ref="AJ256">XLOOKUP(LCARS_Off[AbilityID],RawOfficer[AbilityID],RawOfficer[AbilityShowPercentage])</f>
        <v>1</v>
      </c>
      <c r="AK256" s="429">
        <f t="array" ref="AK256">XLOOKUP(LCARS_Off[AbilityID],RawOfficer[AbilityID],RawOfficer[OfficerArt])</f>
        <v>160</v>
      </c>
      <c r="AL256" s="430">
        <v>8.34551032E8</v>
      </c>
      <c r="AM256" s="430">
        <f t="array" ref="AM256">XLOOKUP(LCARS_Off[AbilityID],RawOfficer[AbilityID],RawOfficer[Default Order])</f>
        <v>253</v>
      </c>
    </row>
    <row r="257">
      <c r="A257" s="429" t="str">
        <f t="array" ref="A257">LEFT(XLOOKUP(LCARS_Off[AbilityID],RawOfficer[AbilityID],RawOfficer[OfficerRarity]), 1)</f>
        <v>C</v>
      </c>
      <c r="B257" s="429"/>
      <c r="C257" s="514" t="str">
        <f t="array" ref="C257">HYPERLINK("https://stfc.space/officers/" &amp; XLOOKUP(LCARS_Off[AbilityID],RawOfficer[AbilityID],RawOfficer[OfficerId]), XLOOKUP(LCARS_Off[AbilityID],RawOfficer[AbilityID],RawOfficer[OfficerName]))</f>
        <v>NEXT GEN DATA</v>
      </c>
      <c r="D257" s="515" t="str">
        <f t="array" ref="D257">XLOOKUP(LCARS_Off[AbilityID],RawOfficer[AbilityID],RawOfficer[AbilityType])</f>
        <v>OA</v>
      </c>
      <c r="E257" s="516" t="str">
        <f t="array" ref="E257">XLOOKUP(LCARS_Off[AbilityID],RawOfficer[AbilityID],RawOfficer[Tag_PvPinSpace])</f>
        <v>✅</v>
      </c>
      <c r="F257" s="516" t="str">
        <f t="array" ref="F257">XLOOKUP(LCARS_Off[AbilityID],RawOfficer[AbilityID],RawOfficer[Tag_PvPStation])</f>
        <v>✅</v>
      </c>
      <c r="G257" s="516" t="str">
        <f t="array" ref="G257">XLOOKUP(LCARS_Off[AbilityID],RawOfficer[AbilityID],RawOfficer[Tag_NonArmadaHostiles])</f>
        <v>✅</v>
      </c>
      <c r="H257" s="516" t="str">
        <f t="array" ref="H257">XLOOKUP(LCARS_Off[AbilityID],RawOfficer[AbilityID],RawOfficer[Tag_WaveDefense])</f>
        <v>✅</v>
      </c>
      <c r="I257" s="516" t="str">
        <f t="array" ref="I257">XLOOKUP(LCARS_Off[AbilityID],RawOfficer[AbilityID],RawOfficer[Tag_QTrial])</f>
        <v>✅</v>
      </c>
      <c r="J257" s="516" t="str">
        <f t="array" ref="J257">XLOOKUP(LCARS_Off[AbilityID],RawOfficer[AbilityID],RawOfficer[Tag_MissionBosses])</f>
        <v>✅</v>
      </c>
      <c r="K257" s="516" t="str">
        <f t="array" ref="K257">XLOOKUP(LCARS_Off[AbilityID],RawOfficer[AbilityID],RawOfficer[Tag_GroupArmadas])</f>
        <v>✅</v>
      </c>
      <c r="L257" s="516" t="str">
        <f t="array" ref="L257">XLOOKUP(LCARS_Off[AbilityID],RawOfficer[AbilityID],RawOfficer[Tag_SoloArmadas])</f>
        <v>✅</v>
      </c>
      <c r="M257" s="516" t="str">
        <f t="array" ref="M257">XLOOKUP(LCARS_Off[AbilityID],RawOfficer[AbilityID],RawOfficer[Tag_InvadingEntities])</f>
        <v>✅</v>
      </c>
      <c r="N257" s="516" t="str">
        <f t="array" ref="N257">XLOOKUP(LCARS_Off[AbilityID],RawOfficer[AbilityID],RawOfficer[Tag_Assaults])</f>
        <v>✅</v>
      </c>
      <c r="O257" s="516" t="str">
        <f t="array" ref="O257">XLOOKUP(LCARS_Off[AbilityID],RawOfficer[AbilityID],RawOfficer[Tag_OutpostArmadas])</f>
        <v>✅</v>
      </c>
      <c r="P257" s="516" t="str">
        <f t="array" ref="P257">XLOOKUP(LCARS_Off[AbilityID],RawOfficer[AbilityID],RawOfficer[Tag_OutpostRetaliators])</f>
        <v>✅</v>
      </c>
      <c r="Q257" s="517" t="str">
        <f t="array" ref="Q257">XLOOKUP(LCARS_Off[AbilityID],RawOfficer[AbilityID],RawOfficer[Conditional_Reason])</f>
        <v/>
      </c>
      <c r="R257" s="518" t="str">
        <f t="array" ref="R257">XLOOKUP(LCARS_Off[AbilityID],RawOfficer[AbilityID],RawOfficer[Tag_Loot])</f>
        <v>➖</v>
      </c>
      <c r="S257" s="516" t="str">
        <f t="array" ref="S257">XLOOKUP(LCARS_Off[AbilityID],RawOfficer[AbilityID],RawOfficer[Tag_Utility])</f>
        <v>➖</v>
      </c>
      <c r="T257" s="429" t="str">
        <f t="array" ref="T257">XLOOKUP(LCARS_Off[AbilityID],RawOfficer[AbilityID],RawOfficer[OfficerSynergy])</f>
        <v>NEXT GEN</v>
      </c>
      <c r="U257" s="519" t="str">
        <f t="array" ref="U257">XLOOKUP(LCARS_Off[AbilityID],RawOfficer[AbilityID],RawOfficer[AbilityModifier])</f>
        <v>AllDamage</v>
      </c>
      <c r="V257" s="519" t="str">
        <f t="array" ref="V257">XLOOKUP(LCARS_Off[AbilityID],RawOfficer[AbilityID],RawOfficer[AbilityAttributes])</f>
        <v/>
      </c>
      <c r="W257" s="520" t="str">
        <f t="array" ref="W257">XLOOKUP(LCARS_Off[AbilityID],RawOfficer[AbilityID],RawOfficer[AbilityConditions])</f>
        <v/>
      </c>
      <c r="X257" s="519" t="str">
        <f t="array" ref="X257">XLOOKUP(LCARS_Off[AbilityID],RawOfficer[AbilityID],RawOfficer[AbilityTrigger])</f>
        <v>ShipLaunched</v>
      </c>
      <c r="Y257" s="519" t="str">
        <f t="array" ref="Y257">XLOOKUP(LCARS_Off[AbilityID],RawOfficer[AbilityID],RawOfficer[AbilityTarget])</f>
        <v>SelfShip</v>
      </c>
      <c r="Z257" s="519" t="str">
        <f t="array" ref="Z257">XLOOKUP(LCARS_Off[AbilityID],RawOfficer[AbilityID],RawOfficer[AbilityOperation])</f>
        <v>MultiplyAdd</v>
      </c>
      <c r="AA257" s="521" t="str">
        <f t="array" ref="AA257">XLOOKUP(LCARS_Off[AbilityID],RawOfficer[AbilityID],RawOfficer[AbilityDescription])</f>
        <v>Next Gen Data increases the Weapon damage of the ship by X.</v>
      </c>
      <c r="AB257" s="429" t="b">
        <v>0</v>
      </c>
      <c r="AC257" s="522" t="str">
        <f t="array" ref="AC257">XLOOKUP(LCARS_Off[AbilityID],RawOfficer[AbilityID],RawOfficer[AbilityDescriptionShort])</f>
        <v>+X to Weapon Damage</v>
      </c>
      <c r="AD257" s="523"/>
      <c r="AE257" s="524"/>
      <c r="AF257" s="524"/>
      <c r="AG257" s="525" t="str">
        <f t="array" ref="AG257">XLOOKUP(LCARS_Off[AbilityID],RawOfficer[AbilityID],RawOfficer[AbilityChances])</f>
        <v>1.0, 1.0, 1.0, 1.0, 1.0</v>
      </c>
      <c r="AH257" s="525" t="str">
        <f t="array" ref="AH257">XLOOKUP(LCARS_Off[AbilityID],RawOfficer[AbilityID],RawOfficer[AbilityValues])</f>
        <v>0.05, 0.08, 0.12, 0.15, 0.2</v>
      </c>
      <c r="AI257" s="428" t="b">
        <f t="array" ref="AI257">XLOOKUP(LCARS_Off[AbilityID],RawOfficer[AbilityID],RawOfficer[AbilityHasChance])</f>
        <v>0</v>
      </c>
      <c r="AJ257" s="428" t="b">
        <f t="array" ref="AJ257">XLOOKUP(LCARS_Off[AbilityID],RawOfficer[AbilityID],RawOfficer[AbilityShowPercentage])</f>
        <v>1</v>
      </c>
      <c r="AK257" s="429">
        <f t="array" ref="AK257">XLOOKUP(LCARS_Off[AbilityID],RawOfficer[AbilityID],RawOfficer[OfficerArt])</f>
        <v>160</v>
      </c>
      <c r="AL257" s="430">
        <v>8.024964E7</v>
      </c>
      <c r="AM257" s="430">
        <f t="array" ref="AM257">XLOOKUP(LCARS_Off[AbilityID],RawOfficer[AbilityID],RawOfficer[Default Order])</f>
        <v>254</v>
      </c>
    </row>
    <row r="258">
      <c r="A258" s="429" t="str">
        <f t="array" ref="A258">LEFT(XLOOKUP(LCARS_Off[AbilityID],RawOfficer[AbilityID],RawOfficer[OfficerRarity]), 1)</f>
        <v>C</v>
      </c>
      <c r="B258" s="429"/>
      <c r="C258" s="514" t="str">
        <f t="array" ref="C258">HYPERLINK("https://stfc.space/officers/" &amp; XLOOKUP(LCARS_Off[AbilityID],RawOfficer[AbilityID],RawOfficer[OfficerId]), XLOOKUP(LCARS_Off[AbilityID],RawOfficer[AbilityID],RawOfficer[OfficerName]))</f>
        <v>NEXT GEN TROI</v>
      </c>
      <c r="D258" s="515" t="str">
        <f t="array" ref="D258">XLOOKUP(LCARS_Off[AbilityID],RawOfficer[AbilityID],RawOfficer[AbilityType])</f>
        <v>CM</v>
      </c>
      <c r="E258" s="516" t="str">
        <f t="array" ref="E258">XLOOKUP(LCARS_Off[AbilityID],RawOfficer[AbilityID],RawOfficer[Tag_PvPinSpace])</f>
        <v>✅</v>
      </c>
      <c r="F258" s="516" t="str">
        <f t="array" ref="F258">XLOOKUP(LCARS_Off[AbilityID],RawOfficer[AbilityID],RawOfficer[Tag_PvPStation])</f>
        <v>✅</v>
      </c>
      <c r="G258" s="516" t="str">
        <f t="array" ref="G258">XLOOKUP(LCARS_Off[AbilityID],RawOfficer[AbilityID],RawOfficer[Tag_NonArmadaHostiles])</f>
        <v>✅</v>
      </c>
      <c r="H258" s="516" t="str">
        <f t="array" ref="H258">XLOOKUP(LCARS_Off[AbilityID],RawOfficer[AbilityID],RawOfficer[Tag_WaveDefense])</f>
        <v>✅</v>
      </c>
      <c r="I258" s="516" t="str">
        <f t="array" ref="I258">XLOOKUP(LCARS_Off[AbilityID],RawOfficer[AbilityID],RawOfficer[Tag_QTrial])</f>
        <v>✅</v>
      </c>
      <c r="J258" s="516" t="str">
        <f t="array" ref="J258">XLOOKUP(LCARS_Off[AbilityID],RawOfficer[AbilityID],RawOfficer[Tag_MissionBosses])</f>
        <v>✅</v>
      </c>
      <c r="K258" s="516" t="str">
        <f t="array" ref="K258">XLOOKUP(LCARS_Off[AbilityID],RawOfficer[AbilityID],RawOfficer[Tag_GroupArmadas])</f>
        <v>✅</v>
      </c>
      <c r="L258" s="516" t="str">
        <f t="array" ref="L258">XLOOKUP(LCARS_Off[AbilityID],RawOfficer[AbilityID],RawOfficer[Tag_SoloArmadas])</f>
        <v>✅</v>
      </c>
      <c r="M258" s="516" t="str">
        <f t="array" ref="M258">XLOOKUP(LCARS_Off[AbilityID],RawOfficer[AbilityID],RawOfficer[Tag_InvadingEntities])</f>
        <v>✅</v>
      </c>
      <c r="N258" s="516" t="str">
        <f t="array" ref="N258">XLOOKUP(LCARS_Off[AbilityID],RawOfficer[AbilityID],RawOfficer[Tag_Assaults])</f>
        <v>✅</v>
      </c>
      <c r="O258" s="516" t="str">
        <f t="array" ref="O258">XLOOKUP(LCARS_Off[AbilityID],RawOfficer[AbilityID],RawOfficer[Tag_OutpostArmadas])</f>
        <v>✅</v>
      </c>
      <c r="P258" s="516" t="str">
        <f t="array" ref="P258">XLOOKUP(LCARS_Off[AbilityID],RawOfficer[AbilityID],RawOfficer[Tag_OutpostRetaliators])</f>
        <v>✅</v>
      </c>
      <c r="Q258" s="517" t="str">
        <f t="array" ref="Q258">XLOOKUP(LCARS_Off[AbilityID],RawOfficer[AbilityID],RawOfficer[Conditional_Reason])</f>
        <v/>
      </c>
      <c r="R258" s="518" t="str">
        <f t="array" ref="R258">XLOOKUP(LCARS_Off[AbilityID],RawOfficer[AbilityID],RawOfficer[Tag_Loot])</f>
        <v>➖</v>
      </c>
      <c r="S258" s="516" t="str">
        <f t="array" ref="S258">XLOOKUP(LCARS_Off[AbilityID],RawOfficer[AbilityID],RawOfficer[Tag_Utility])</f>
        <v>➖</v>
      </c>
      <c r="T258" s="429" t="str">
        <f t="array" ref="T258">XLOOKUP(LCARS_Off[AbilityID],RawOfficer[AbilityID],RawOfficer[OfficerSynergy])</f>
        <v>NEXT GEN</v>
      </c>
      <c r="U258" s="519" t="str">
        <f t="array" ref="U258">XLOOKUP(LCARS_Off[AbilityID],RawOfficer[AbilityID],RawOfficer[AbilityModifier])</f>
        <v>AllDamage</v>
      </c>
      <c r="V258" s="519" t="str">
        <f t="array" ref="V258">XLOOKUP(LCARS_Off[AbilityID],RawOfficer[AbilityID],RawOfficer[AbilityAttributes])</f>
        <v/>
      </c>
      <c r="W258" s="520" t="str">
        <f t="array" ref="W258">XLOOKUP(LCARS_Off[AbilityID],RawOfficer[AbilityID],RawOfficer[AbilityConditions])</f>
        <v/>
      </c>
      <c r="X258" s="519" t="str">
        <f t="array" ref="X258">XLOOKUP(LCARS_Off[AbilityID],RawOfficer[AbilityID],RawOfficer[AbilityTrigger])</f>
        <v>ShipLaunched</v>
      </c>
      <c r="Y258" s="519" t="str">
        <f t="array" ref="Y258">XLOOKUP(LCARS_Off[AbilityID],RawOfficer[AbilityID],RawOfficer[AbilityTarget])</f>
        <v>SelfShip</v>
      </c>
      <c r="Z258" s="519" t="str">
        <f t="array" ref="Z258">XLOOKUP(LCARS_Off[AbilityID],RawOfficer[AbilityID],RawOfficer[AbilityOperation])</f>
        <v>MultiplyAdd</v>
      </c>
      <c r="AA258" s="521" t="str">
        <f t="array" ref="AA258">XLOOKUP(LCARS_Off[AbilityID],RawOfficer[AbilityID],RawOfficer[AbilityDescription])</f>
        <v>Next Gen Troi increases the Weapon Damage of the ship by X.</v>
      </c>
      <c r="AB258" s="429" t="b">
        <v>0</v>
      </c>
      <c r="AC258" s="522" t="str">
        <f t="array" ref="AC258">XLOOKUP(LCARS_Off[AbilityID],RawOfficer[AbilityID],RawOfficer[AbilityDescriptionShort])</f>
        <v>+X to Damage</v>
      </c>
      <c r="AD258" s="523"/>
      <c r="AE258" s="524"/>
      <c r="AF258" s="524"/>
      <c r="AG258" s="525" t="str">
        <f t="array" ref="AG258">XLOOKUP(LCARS_Off[AbilityID],RawOfficer[AbilityID],RawOfficer[AbilityChances])</f>
        <v>1.0, 1.0, 1.0</v>
      </c>
      <c r="AH258" s="525" t="str">
        <f t="array" ref="AH258">XLOOKUP(LCARS_Off[AbilityID],RawOfficer[AbilityID],RawOfficer[AbilityValues])</f>
        <v>0.05, 0.02, 0.05</v>
      </c>
      <c r="AI258" s="428" t="b">
        <f t="array" ref="AI258">XLOOKUP(LCARS_Off[AbilityID],RawOfficer[AbilityID],RawOfficer[AbilityHasChance])</f>
        <v>0</v>
      </c>
      <c r="AJ258" s="428" t="b">
        <f t="array" ref="AJ258">XLOOKUP(LCARS_Off[AbilityID],RawOfficer[AbilityID],RawOfficer[AbilityShowPercentage])</f>
        <v>1</v>
      </c>
      <c r="AK258" s="429">
        <f t="array" ref="AK258">XLOOKUP(LCARS_Off[AbilityID],RawOfficer[AbilityID],RawOfficer[OfficerArt])</f>
        <v>162</v>
      </c>
      <c r="AL258" s="430">
        <v>7.15015459E8</v>
      </c>
      <c r="AM258" s="430">
        <f t="array" ref="AM258">XLOOKUP(LCARS_Off[AbilityID],RawOfficer[AbilityID],RawOfficer[Default Order])</f>
        <v>255</v>
      </c>
    </row>
    <row r="259">
      <c r="A259" s="429" t="str">
        <f t="array" ref="A259">LEFT(XLOOKUP(LCARS_Off[AbilityID],RawOfficer[AbilityID],RawOfficer[OfficerRarity]), 1)</f>
        <v>C</v>
      </c>
      <c r="B259" s="429"/>
      <c r="C259" s="514" t="str">
        <f t="array" ref="C259">HYPERLINK("https://stfc.space/officers/" &amp; XLOOKUP(LCARS_Off[AbilityID],RawOfficer[AbilityID],RawOfficer[OfficerId]), XLOOKUP(LCARS_Off[AbilityID],RawOfficer[AbilityID],RawOfficer[OfficerName]))</f>
        <v>NEXT GEN TROI</v>
      </c>
      <c r="D259" s="515" t="str">
        <f t="array" ref="D259">XLOOKUP(LCARS_Off[AbilityID],RawOfficer[AbilityID],RawOfficer[AbilityType])</f>
        <v>OA</v>
      </c>
      <c r="E259" s="516" t="str">
        <f t="array" ref="E259">XLOOKUP(LCARS_Off[AbilityID],RawOfficer[AbilityID],RawOfficer[Tag_PvPinSpace])</f>
        <v>✅</v>
      </c>
      <c r="F259" s="516" t="str">
        <f t="array" ref="F259">XLOOKUP(LCARS_Off[AbilityID],RawOfficer[AbilityID],RawOfficer[Tag_PvPStation])</f>
        <v>✅</v>
      </c>
      <c r="G259" s="516" t="str">
        <f t="array" ref="G259">XLOOKUP(LCARS_Off[AbilityID],RawOfficer[AbilityID],RawOfficer[Tag_NonArmadaHostiles])</f>
        <v>✅</v>
      </c>
      <c r="H259" s="516" t="str">
        <f t="array" ref="H259">XLOOKUP(LCARS_Off[AbilityID],RawOfficer[AbilityID],RawOfficer[Tag_WaveDefense])</f>
        <v>✅</v>
      </c>
      <c r="I259" s="516" t="str">
        <f t="array" ref="I259">XLOOKUP(LCARS_Off[AbilityID],RawOfficer[AbilityID],RawOfficer[Tag_QTrial])</f>
        <v>✅</v>
      </c>
      <c r="J259" s="516" t="str">
        <f t="array" ref="J259">XLOOKUP(LCARS_Off[AbilityID],RawOfficer[AbilityID],RawOfficer[Tag_MissionBosses])</f>
        <v>✅</v>
      </c>
      <c r="K259" s="516" t="str">
        <f t="array" ref="K259">XLOOKUP(LCARS_Off[AbilityID],RawOfficer[AbilityID],RawOfficer[Tag_GroupArmadas])</f>
        <v>✅</v>
      </c>
      <c r="L259" s="516" t="str">
        <f t="array" ref="L259">XLOOKUP(LCARS_Off[AbilityID],RawOfficer[AbilityID],RawOfficer[Tag_SoloArmadas])</f>
        <v>✅</v>
      </c>
      <c r="M259" s="516" t="str">
        <f t="array" ref="M259">XLOOKUP(LCARS_Off[AbilityID],RawOfficer[AbilityID],RawOfficer[Tag_InvadingEntities])</f>
        <v>✅</v>
      </c>
      <c r="N259" s="516" t="str">
        <f t="array" ref="N259">XLOOKUP(LCARS_Off[AbilityID],RawOfficer[AbilityID],RawOfficer[Tag_Assaults])</f>
        <v>✅</v>
      </c>
      <c r="O259" s="516" t="str">
        <f t="array" ref="O259">XLOOKUP(LCARS_Off[AbilityID],RawOfficer[AbilityID],RawOfficer[Tag_OutpostArmadas])</f>
        <v>✅</v>
      </c>
      <c r="P259" s="516" t="str">
        <f t="array" ref="P259">XLOOKUP(LCARS_Off[AbilityID],RawOfficer[AbilityID],RawOfficer[Tag_OutpostRetaliators])</f>
        <v>✅</v>
      </c>
      <c r="Q259" s="517" t="str">
        <f t="array" ref="Q259">XLOOKUP(LCARS_Off[AbilityID],RawOfficer[AbilityID],RawOfficer[Conditional_Reason])</f>
        <v/>
      </c>
      <c r="R259" s="518" t="str">
        <f t="array" ref="R259">XLOOKUP(LCARS_Off[AbilityID],RawOfficer[AbilityID],RawOfficer[Tag_Loot])</f>
        <v>➖</v>
      </c>
      <c r="S259" s="516" t="str">
        <f t="array" ref="S259">XLOOKUP(LCARS_Off[AbilityID],RawOfficer[AbilityID],RawOfficer[Tag_Utility])</f>
        <v>➖</v>
      </c>
      <c r="T259" s="429" t="str">
        <f t="array" ref="T259">XLOOKUP(LCARS_Off[AbilityID],RawOfficer[AbilityID],RawOfficer[OfficerSynergy])</f>
        <v>NEXT GEN</v>
      </c>
      <c r="U259" s="519" t="str">
        <f t="array" ref="U259">XLOOKUP(LCARS_Off[AbilityID],RawOfficer[AbilityID],RawOfficer[AbilityModifier])</f>
        <v>AllDefenses</v>
      </c>
      <c r="V259" s="519" t="str">
        <f t="array" ref="V259">XLOOKUP(LCARS_Off[AbilityID],RawOfficer[AbilityID],RawOfficer[AbilityAttributes])</f>
        <v/>
      </c>
      <c r="W259" s="520" t="str">
        <f t="array" ref="W259">XLOOKUP(LCARS_Off[AbilityID],RawOfficer[AbilityID],RawOfficer[AbilityConditions])</f>
        <v/>
      </c>
      <c r="X259" s="519" t="str">
        <f t="array" ref="X259">XLOOKUP(LCARS_Off[AbilityID],RawOfficer[AbilityID],RawOfficer[AbilityTrigger])</f>
        <v>ShipLaunched</v>
      </c>
      <c r="Y259" s="519" t="str">
        <f t="array" ref="Y259">XLOOKUP(LCARS_Off[AbilityID],RawOfficer[AbilityID],RawOfficer[AbilityTarget])</f>
        <v>SelfShip</v>
      </c>
      <c r="Z259" s="519" t="str">
        <f t="array" ref="Z259">XLOOKUP(LCARS_Off[AbilityID],RawOfficer[AbilityID],RawOfficer[AbilityOperation])</f>
        <v>MultiplyAdd</v>
      </c>
      <c r="AA259" s="521" t="str">
        <f t="array" ref="AA259">XLOOKUP(LCARS_Off[AbilityID],RawOfficer[AbilityID],RawOfficer[AbilityDescription])</f>
        <v>Next Gen Troi increases the Shield Deflection, Armor and Dodge of the ship by X.</v>
      </c>
      <c r="AB259" s="429" t="b">
        <v>0</v>
      </c>
      <c r="AC259" s="522" t="str">
        <f t="array" ref="AC259">XLOOKUP(LCARS_Off[AbilityID],RawOfficer[AbilityID],RawOfficer[AbilityDescriptionShort])</f>
        <v>+X to Dodge, Shield Deflection and Armor</v>
      </c>
      <c r="AD259" s="523"/>
      <c r="AE259" s="524"/>
      <c r="AF259" s="524"/>
      <c r="AG259" s="525" t="str">
        <f t="array" ref="AG259">XLOOKUP(LCARS_Off[AbilityID],RawOfficer[AbilityID],RawOfficer[AbilityChances])</f>
        <v>1.0, 1.0, 1.0, 1.0, 1.0</v>
      </c>
      <c r="AH259" s="525" t="str">
        <f t="array" ref="AH259">XLOOKUP(LCARS_Off[AbilityID],RawOfficer[AbilityID],RawOfficer[AbilityValues])</f>
        <v>0.05, 0.08, 0.12, 0.15, 0.2</v>
      </c>
      <c r="AI259" s="428" t="b">
        <f t="array" ref="AI259">XLOOKUP(LCARS_Off[AbilityID],RawOfficer[AbilityID],RawOfficer[AbilityHasChance])</f>
        <v>0</v>
      </c>
      <c r="AJ259" s="428" t="b">
        <f t="array" ref="AJ259">XLOOKUP(LCARS_Off[AbilityID],RawOfficer[AbilityID],RawOfficer[AbilityShowPercentage])</f>
        <v>1</v>
      </c>
      <c r="AK259" s="429">
        <f t="array" ref="AK259">XLOOKUP(LCARS_Off[AbilityID],RawOfficer[AbilityID],RawOfficer[OfficerArt])</f>
        <v>162</v>
      </c>
      <c r="AL259" s="430">
        <v>8.70791323E8</v>
      </c>
      <c r="AM259" s="430">
        <f t="array" ref="AM259">XLOOKUP(LCARS_Off[AbilityID],RawOfficer[AbilityID],RawOfficer[Default Order])</f>
        <v>256</v>
      </c>
    </row>
    <row r="260">
      <c r="A260" s="429" t="str">
        <f t="array" ref="A260">LEFT(XLOOKUP(LCARS_Off[AbilityID],RawOfficer[AbilityID],RawOfficer[OfficerRarity]), 1)</f>
        <v>C</v>
      </c>
      <c r="B260" s="429"/>
      <c r="C260" s="514" t="str">
        <f t="array" ref="C260">HYPERLINK("https://stfc.space/officers/" &amp; XLOOKUP(LCARS_Off[AbilityID],RawOfficer[AbilityID],RawOfficer[OfficerId]), XLOOKUP(LCARS_Off[AbilityID],RawOfficer[AbilityID],RawOfficer[OfficerName]))</f>
        <v>NEXT GEN CRUSHER</v>
      </c>
      <c r="D260" s="515" t="str">
        <f t="array" ref="D260">XLOOKUP(LCARS_Off[AbilityID],RawOfficer[AbilityID],RawOfficer[AbilityType])</f>
        <v>CM</v>
      </c>
      <c r="E260" s="516" t="str">
        <f t="array" ref="E260">XLOOKUP(LCARS_Off[AbilityID],RawOfficer[AbilityID],RawOfficer[Tag_PvPinSpace])</f>
        <v>✅</v>
      </c>
      <c r="F260" s="516" t="str">
        <f t="array" ref="F260">XLOOKUP(LCARS_Off[AbilityID],RawOfficer[AbilityID],RawOfficer[Tag_PvPStation])</f>
        <v>✅</v>
      </c>
      <c r="G260" s="516" t="str">
        <f t="array" ref="G260">XLOOKUP(LCARS_Off[AbilityID],RawOfficer[AbilityID],RawOfficer[Tag_NonArmadaHostiles])</f>
        <v>✅</v>
      </c>
      <c r="H260" s="516" t="str">
        <f t="array" ref="H260">XLOOKUP(LCARS_Off[AbilityID],RawOfficer[AbilityID],RawOfficer[Tag_WaveDefense])</f>
        <v>✅</v>
      </c>
      <c r="I260" s="516" t="str">
        <f t="array" ref="I260">XLOOKUP(LCARS_Off[AbilityID],RawOfficer[AbilityID],RawOfficer[Tag_QTrial])</f>
        <v>✅</v>
      </c>
      <c r="J260" s="516" t="str">
        <f t="array" ref="J260">XLOOKUP(LCARS_Off[AbilityID],RawOfficer[AbilityID],RawOfficer[Tag_MissionBosses])</f>
        <v>✅</v>
      </c>
      <c r="K260" s="516" t="str">
        <f t="array" ref="K260">XLOOKUP(LCARS_Off[AbilityID],RawOfficer[AbilityID],RawOfficer[Tag_GroupArmadas])</f>
        <v>✅</v>
      </c>
      <c r="L260" s="516" t="str">
        <f t="array" ref="L260">XLOOKUP(LCARS_Off[AbilityID],RawOfficer[AbilityID],RawOfficer[Tag_SoloArmadas])</f>
        <v>✅</v>
      </c>
      <c r="M260" s="516" t="str">
        <f t="array" ref="M260">XLOOKUP(LCARS_Off[AbilityID],RawOfficer[AbilityID],RawOfficer[Tag_InvadingEntities])</f>
        <v>✅</v>
      </c>
      <c r="N260" s="516" t="str">
        <f t="array" ref="N260">XLOOKUP(LCARS_Off[AbilityID],RawOfficer[AbilityID],RawOfficer[Tag_Assaults])</f>
        <v>✅</v>
      </c>
      <c r="O260" s="516" t="str">
        <f t="array" ref="O260">XLOOKUP(LCARS_Off[AbilityID],RawOfficer[AbilityID],RawOfficer[Tag_OutpostArmadas])</f>
        <v>✅</v>
      </c>
      <c r="P260" s="516" t="str">
        <f t="array" ref="P260">XLOOKUP(LCARS_Off[AbilityID],RawOfficer[AbilityID],RawOfficer[Tag_OutpostRetaliators])</f>
        <v>✅</v>
      </c>
      <c r="Q260" s="517" t="str">
        <f t="array" ref="Q260">XLOOKUP(LCARS_Off[AbilityID],RawOfficer[AbilityID],RawOfficer[Conditional_Reason])</f>
        <v/>
      </c>
      <c r="R260" s="518" t="str">
        <f t="array" ref="R260">XLOOKUP(LCARS_Off[AbilityID],RawOfficer[AbilityID],RawOfficer[Tag_Loot])</f>
        <v>➖</v>
      </c>
      <c r="S260" s="516" t="str">
        <f t="array" ref="S260">XLOOKUP(LCARS_Off[AbilityID],RawOfficer[AbilityID],RawOfficer[Tag_Utility])</f>
        <v>➖</v>
      </c>
      <c r="T260" s="429" t="str">
        <f t="array" ref="T260">XLOOKUP(LCARS_Off[AbilityID],RawOfficer[AbilityID],RawOfficer[OfficerSynergy])</f>
        <v>NEXT GEN</v>
      </c>
      <c r="U260" s="519" t="str">
        <f t="array" ref="U260">XLOOKUP(LCARS_Off[AbilityID],RawOfficer[AbilityID],RawOfficer[AbilityModifier])</f>
        <v>OfficerStatHealth</v>
      </c>
      <c r="V260" s="519" t="str">
        <f t="array" ref="V260">XLOOKUP(LCARS_Off[AbilityID],RawOfficer[AbilityID],RawOfficer[AbilityAttributes])</f>
        <v/>
      </c>
      <c r="W260" s="520" t="str">
        <f t="array" ref="W260">XLOOKUP(LCARS_Off[AbilityID],RawOfficer[AbilityID],RawOfficer[AbilityConditions])</f>
        <v/>
      </c>
      <c r="X260" s="519" t="str">
        <f t="array" ref="X260">XLOOKUP(LCARS_Off[AbilityID],RawOfficer[AbilityID],RawOfficer[AbilityTrigger])</f>
        <v>ShipLaunched</v>
      </c>
      <c r="Y260" s="519" t="str">
        <f t="array" ref="Y260">XLOOKUP(LCARS_Off[AbilityID],RawOfficer[AbilityID],RawOfficer[AbilityTarget])</f>
        <v>SelfBridge</v>
      </c>
      <c r="Z260" s="519" t="str">
        <f t="array" ref="Z260">XLOOKUP(LCARS_Off[AbilityID],RawOfficer[AbilityID],RawOfficer[AbilityOperation])</f>
        <v>MultiplyAdd</v>
      </c>
      <c r="AA260" s="521" t="str">
        <f t="array" ref="AA260">XLOOKUP(LCARS_Off[AbilityID],RawOfficer[AbilityID],RawOfficer[AbilityDescription])</f>
        <v>Next Gen Crusher increases the Health of all Officers on the ship by X.</v>
      </c>
      <c r="AB260" s="429" t="b">
        <v>0</v>
      </c>
      <c r="AC260" s="522" t="str">
        <f t="array" ref="AC260">XLOOKUP(LCARS_Off[AbilityID],RawOfficer[AbilityID],RawOfficer[AbilityDescriptionShort])</f>
        <v>+X to Officers Health on the ship</v>
      </c>
      <c r="AD260" s="523"/>
      <c r="AE260" s="524"/>
      <c r="AF260" s="524"/>
      <c r="AG260" s="525" t="str">
        <f t="array" ref="AG260">XLOOKUP(LCARS_Off[AbilityID],RawOfficer[AbilityID],RawOfficer[AbilityChances])</f>
        <v>1.0, 1.0, 1.0</v>
      </c>
      <c r="AH260" s="525" t="str">
        <f t="array" ref="AH260">XLOOKUP(LCARS_Off[AbilityID],RawOfficer[AbilityID],RawOfficer[AbilityValues])</f>
        <v>0.1, 0.05, 0.1</v>
      </c>
      <c r="AI260" s="428" t="b">
        <f t="array" ref="AI260">XLOOKUP(LCARS_Off[AbilityID],RawOfficer[AbilityID],RawOfficer[AbilityHasChance])</f>
        <v>0</v>
      </c>
      <c r="AJ260" s="428" t="b">
        <f t="array" ref="AJ260">XLOOKUP(LCARS_Off[AbilityID],RawOfficer[AbilityID],RawOfficer[AbilityShowPercentage])</f>
        <v>1</v>
      </c>
      <c r="AK260" s="429">
        <f t="array" ref="AK260">XLOOKUP(LCARS_Off[AbilityID],RawOfficer[AbilityID],RawOfficer[OfficerArt])</f>
        <v>163</v>
      </c>
      <c r="AL260" s="430">
        <v>3.365829083E9</v>
      </c>
      <c r="AM260" s="430">
        <f t="array" ref="AM260">XLOOKUP(LCARS_Off[AbilityID],RawOfficer[AbilityID],RawOfficer[Default Order])</f>
        <v>257</v>
      </c>
    </row>
    <row r="261">
      <c r="A261" s="429" t="str">
        <f t="array" ref="A261">LEFT(XLOOKUP(LCARS_Off[AbilityID],RawOfficer[AbilityID],RawOfficer[OfficerRarity]), 1)</f>
        <v>C</v>
      </c>
      <c r="B261" s="429"/>
      <c r="C261" s="514" t="str">
        <f t="array" ref="C261">HYPERLINK("https://stfc.space/officers/" &amp; XLOOKUP(LCARS_Off[AbilityID],RawOfficer[AbilityID],RawOfficer[OfficerId]), XLOOKUP(LCARS_Off[AbilityID],RawOfficer[AbilityID],RawOfficer[OfficerName]))</f>
        <v>NEXT GEN CRUSHER</v>
      </c>
      <c r="D261" s="515" t="str">
        <f t="array" ref="D261">XLOOKUP(LCARS_Off[AbilityID],RawOfficer[AbilityID],RawOfficer[AbilityType])</f>
        <v>OA</v>
      </c>
      <c r="E261" s="516" t="str">
        <f t="array" ref="E261">XLOOKUP(LCARS_Off[AbilityID],RawOfficer[AbilityID],RawOfficer[Tag_PvPinSpace])</f>
        <v>✅</v>
      </c>
      <c r="F261" s="516" t="str">
        <f t="array" ref="F261">XLOOKUP(LCARS_Off[AbilityID],RawOfficer[AbilityID],RawOfficer[Tag_PvPStation])</f>
        <v>✅</v>
      </c>
      <c r="G261" s="516" t="str">
        <f t="array" ref="G261">XLOOKUP(LCARS_Off[AbilityID],RawOfficer[AbilityID],RawOfficer[Tag_NonArmadaHostiles])</f>
        <v>✅</v>
      </c>
      <c r="H261" s="516" t="str">
        <f t="array" ref="H261">XLOOKUP(LCARS_Off[AbilityID],RawOfficer[AbilityID],RawOfficer[Tag_WaveDefense])</f>
        <v>✅</v>
      </c>
      <c r="I261" s="516" t="str">
        <f t="array" ref="I261">XLOOKUP(LCARS_Off[AbilityID],RawOfficer[AbilityID],RawOfficer[Tag_QTrial])</f>
        <v>✅</v>
      </c>
      <c r="J261" s="516" t="str">
        <f t="array" ref="J261">XLOOKUP(LCARS_Off[AbilityID],RawOfficer[AbilityID],RawOfficer[Tag_MissionBosses])</f>
        <v>✅</v>
      </c>
      <c r="K261" s="516" t="str">
        <f t="array" ref="K261">XLOOKUP(LCARS_Off[AbilityID],RawOfficer[AbilityID],RawOfficer[Tag_GroupArmadas])</f>
        <v>✅</v>
      </c>
      <c r="L261" s="516" t="str">
        <f t="array" ref="L261">XLOOKUP(LCARS_Off[AbilityID],RawOfficer[AbilityID],RawOfficer[Tag_SoloArmadas])</f>
        <v>✅</v>
      </c>
      <c r="M261" s="516" t="str">
        <f t="array" ref="M261">XLOOKUP(LCARS_Off[AbilityID],RawOfficer[AbilityID],RawOfficer[Tag_InvadingEntities])</f>
        <v>✅</v>
      </c>
      <c r="N261" s="516" t="str">
        <f t="array" ref="N261">XLOOKUP(LCARS_Off[AbilityID],RawOfficer[AbilityID],RawOfficer[Tag_Assaults])</f>
        <v>✅</v>
      </c>
      <c r="O261" s="516" t="str">
        <f t="array" ref="O261">XLOOKUP(LCARS_Off[AbilityID],RawOfficer[AbilityID],RawOfficer[Tag_OutpostArmadas])</f>
        <v>✅</v>
      </c>
      <c r="P261" s="516" t="str">
        <f t="array" ref="P261">XLOOKUP(LCARS_Off[AbilityID],RawOfficer[AbilityID],RawOfficer[Tag_OutpostRetaliators])</f>
        <v>✅</v>
      </c>
      <c r="Q261" s="517" t="str">
        <f t="array" ref="Q261">XLOOKUP(LCARS_Off[AbilityID],RawOfficer[AbilityID],RawOfficer[Conditional_Reason])</f>
        <v/>
      </c>
      <c r="R261" s="518" t="str">
        <f t="array" ref="R261">XLOOKUP(LCARS_Off[AbilityID],RawOfficer[AbilityID],RawOfficer[Tag_Loot])</f>
        <v>➖</v>
      </c>
      <c r="S261" s="516" t="str">
        <f t="array" ref="S261">XLOOKUP(LCARS_Off[AbilityID],RawOfficer[AbilityID],RawOfficer[Tag_Utility])</f>
        <v>➖</v>
      </c>
      <c r="T261" s="429" t="str">
        <f t="array" ref="T261">XLOOKUP(LCARS_Off[AbilityID],RawOfficer[AbilityID],RawOfficer[OfficerSynergy])</f>
        <v>NEXT GEN</v>
      </c>
      <c r="U261" s="519" t="str">
        <f t="array" ref="U261">XLOOKUP(LCARS_Off[AbilityID],RawOfficer[AbilityID],RawOfficer[AbilityModifier])</f>
        <v>CptManeuverEffect</v>
      </c>
      <c r="V261" s="519" t="str">
        <f t="array" ref="V261">XLOOKUP(LCARS_Off[AbilityID],RawOfficer[AbilityID],RawOfficer[AbilityAttributes])</f>
        <v/>
      </c>
      <c r="W261" s="520" t="str">
        <f t="array" ref="W261">XLOOKUP(LCARS_Off[AbilityID],RawOfficer[AbilityID],RawOfficer[AbilityConditions])</f>
        <v/>
      </c>
      <c r="X261" s="519" t="str">
        <f t="array" ref="X261">XLOOKUP(LCARS_Off[AbilityID],RawOfficer[AbilityID],RawOfficer[AbilityTrigger])</f>
        <v>CombatStart</v>
      </c>
      <c r="Y261" s="519" t="str">
        <f t="array" ref="Y261">XLOOKUP(LCARS_Off[AbilityID],RawOfficer[AbilityID],RawOfficer[AbilityTarget])</f>
        <v>SelfCaptain</v>
      </c>
      <c r="Z261" s="519" t="str">
        <f t="array" ref="Z261">XLOOKUP(LCARS_Off[AbilityID],RawOfficer[AbilityID],RawOfficer[AbilityOperation])</f>
        <v>MultiplyAdd</v>
      </c>
      <c r="AA261" s="521" t="str">
        <f t="array" ref="AA261">XLOOKUP(LCARS_Off[AbilityID],RawOfficer[AbilityID],RawOfficer[AbilityDescription])</f>
        <v>During combat, Next Gen Crusher increases the effectiveness of the Captain Maneuver by X.</v>
      </c>
      <c r="AB261" s="429" t="b">
        <v>0</v>
      </c>
      <c r="AC261" s="522" t="str">
        <f t="array" ref="AC261">XLOOKUP(LCARS_Off[AbilityID],RawOfficer[AbilityID],RawOfficer[AbilityDescriptionShort])</f>
        <v>+X to the effectiveness of the Captain Maneuver</v>
      </c>
      <c r="AD261" s="523"/>
      <c r="AE261" s="524"/>
      <c r="AF261" s="524"/>
      <c r="AG261" s="525" t="str">
        <f t="array" ref="AG261">XLOOKUP(LCARS_Off[AbilityID],RawOfficer[AbilityID],RawOfficer[AbilityChances])</f>
        <v>1.0, 1.0, 1.0, 1.0, 1.0</v>
      </c>
      <c r="AH261" s="525" t="str">
        <f t="array" ref="AH261">XLOOKUP(LCARS_Off[AbilityID],RawOfficer[AbilityID],RawOfficer[AbilityValues])</f>
        <v>0.04, 0.06, 0.08, 0.1, 0.12</v>
      </c>
      <c r="AI261" s="428" t="b">
        <f t="array" ref="AI261">XLOOKUP(LCARS_Off[AbilityID],RawOfficer[AbilityID],RawOfficer[AbilityHasChance])</f>
        <v>0</v>
      </c>
      <c r="AJ261" s="428" t="b">
        <f t="array" ref="AJ261">XLOOKUP(LCARS_Off[AbilityID],RawOfficer[AbilityID],RawOfficer[AbilityShowPercentage])</f>
        <v>1</v>
      </c>
      <c r="AK261" s="429">
        <f t="array" ref="AK261">XLOOKUP(LCARS_Off[AbilityID],RawOfficer[AbilityID],RawOfficer[OfficerArt])</f>
        <v>163</v>
      </c>
      <c r="AL261" s="430">
        <v>9.72047904E8</v>
      </c>
      <c r="AM261" s="430">
        <f t="array" ref="AM261">XLOOKUP(LCARS_Off[AbilityID],RawOfficer[AbilityID],RawOfficer[Default Order])</f>
        <v>258</v>
      </c>
    </row>
    <row r="262">
      <c r="A262" s="429" t="str">
        <f t="array" ref="A262">LEFT(XLOOKUP(LCARS_Off[AbilityID],RawOfficer[AbilityID],RawOfficer[OfficerRarity]), 1)</f>
        <v>C</v>
      </c>
      <c r="B262" s="429"/>
      <c r="C262" s="514" t="str">
        <f t="array" ref="C262">HYPERLINK("https://stfc.space/officers/" &amp; XLOOKUP(LCARS_Off[AbilityID],RawOfficer[AbilityID],RawOfficer[OfficerId]), XLOOKUP(LCARS_Off[AbilityID],RawOfficer[AbilityID],RawOfficer[OfficerName]))</f>
        <v>NEXT GEN LA FORGE</v>
      </c>
      <c r="D262" s="515" t="str">
        <f t="array" ref="D262">XLOOKUP(LCARS_Off[AbilityID],RawOfficer[AbilityID],RawOfficer[AbilityType])</f>
        <v>CM</v>
      </c>
      <c r="E262" s="516" t="str">
        <f t="array" ref="E262">XLOOKUP(LCARS_Off[AbilityID],RawOfficer[AbilityID],RawOfficer[Tag_PvPinSpace])</f>
        <v>✅</v>
      </c>
      <c r="F262" s="516" t="str">
        <f t="array" ref="F262">XLOOKUP(LCARS_Off[AbilityID],RawOfficer[AbilityID],RawOfficer[Tag_PvPStation])</f>
        <v>✅</v>
      </c>
      <c r="G262" s="516" t="str">
        <f t="array" ref="G262">XLOOKUP(LCARS_Off[AbilityID],RawOfficer[AbilityID],RawOfficer[Tag_NonArmadaHostiles])</f>
        <v>✅</v>
      </c>
      <c r="H262" s="516" t="str">
        <f t="array" ref="H262">XLOOKUP(LCARS_Off[AbilityID],RawOfficer[AbilityID],RawOfficer[Tag_WaveDefense])</f>
        <v>✅</v>
      </c>
      <c r="I262" s="516" t="str">
        <f t="array" ref="I262">XLOOKUP(LCARS_Off[AbilityID],RawOfficer[AbilityID],RawOfficer[Tag_QTrial])</f>
        <v>✅</v>
      </c>
      <c r="J262" s="516" t="str">
        <f t="array" ref="J262">XLOOKUP(LCARS_Off[AbilityID],RawOfficer[AbilityID],RawOfficer[Tag_MissionBosses])</f>
        <v>✅</v>
      </c>
      <c r="K262" s="516" t="str">
        <f t="array" ref="K262">XLOOKUP(LCARS_Off[AbilityID],RawOfficer[AbilityID],RawOfficer[Tag_GroupArmadas])</f>
        <v>➖</v>
      </c>
      <c r="L262" s="516" t="str">
        <f t="array" ref="L262">XLOOKUP(LCARS_Off[AbilityID],RawOfficer[AbilityID],RawOfficer[Tag_SoloArmadas])</f>
        <v>➖</v>
      </c>
      <c r="M262" s="516" t="str">
        <f t="array" ref="M262">XLOOKUP(LCARS_Off[AbilityID],RawOfficer[AbilityID],RawOfficer[Tag_InvadingEntities])</f>
        <v>➖</v>
      </c>
      <c r="N262" s="516" t="str">
        <f t="array" ref="N262">XLOOKUP(LCARS_Off[AbilityID],RawOfficer[AbilityID],RawOfficer[Tag_Assaults])</f>
        <v>➖</v>
      </c>
      <c r="O262" s="516" t="str">
        <f t="array" ref="O262">XLOOKUP(LCARS_Off[AbilityID],RawOfficer[AbilityID],RawOfficer[Tag_OutpostArmadas])</f>
        <v>✅</v>
      </c>
      <c r="P262" s="516" t="str">
        <f t="array" ref="P262">XLOOKUP(LCARS_Off[AbilityID],RawOfficer[AbilityID],RawOfficer[Tag_OutpostRetaliators])</f>
        <v>✅</v>
      </c>
      <c r="Q262" s="517" t="str">
        <f t="array" ref="Q262">XLOOKUP(LCARS_Off[AbilityID],RawOfficer[AbilityID],RawOfficer[Conditional_Reason])</f>
        <v/>
      </c>
      <c r="R262" s="518" t="str">
        <f t="array" ref="R262">XLOOKUP(LCARS_Off[AbilityID],RawOfficer[AbilityID],RawOfficer[Tag_Loot])</f>
        <v>➖</v>
      </c>
      <c r="S262" s="516" t="str">
        <f t="array" ref="S262">XLOOKUP(LCARS_Off[AbilityID],RawOfficer[AbilityID],RawOfficer[Tag_Utility])</f>
        <v>➖</v>
      </c>
      <c r="T262" s="429" t="str">
        <f t="array" ref="T262">XLOOKUP(LCARS_Off[AbilityID],RawOfficer[AbilityID],RawOfficer[OfficerSynergy])</f>
        <v>NEXT GEN</v>
      </c>
      <c r="U262" s="519" t="str">
        <f t="array" ref="U262">XLOOKUP(LCARS_Off[AbilityID],RawOfficer[AbilityID],RawOfficer[AbilityModifier])</f>
        <v>AllDamage</v>
      </c>
      <c r="V262" s="519" t="str">
        <f t="array" ref="V262">XLOOKUP(LCARS_Off[AbilityID],RawOfficer[AbilityID],RawOfficer[AbilityAttributes])</f>
        <v/>
      </c>
      <c r="W262" s="520" t="str">
        <f t="array" ref="W262">XLOOKUP(LCARS_Off[AbilityID],RawOfficer[AbilityID],RawOfficer[AbilityConditions])</f>
        <v>TargetNotArmada, TargetNotASB</v>
      </c>
      <c r="X262" s="519" t="str">
        <f t="array" ref="X262">XLOOKUP(LCARS_Off[AbilityID],RawOfficer[AbilityID],RawOfficer[AbilityTrigger])</f>
        <v>CombatStart</v>
      </c>
      <c r="Y262" s="519" t="str">
        <f t="array" ref="Y262">XLOOKUP(LCARS_Off[AbilityID],RawOfficer[AbilityID],RawOfficer[AbilityTarget])</f>
        <v>EnemyShip</v>
      </c>
      <c r="Z262" s="519" t="str">
        <f t="array" ref="Z262">XLOOKUP(LCARS_Off[AbilityID],RawOfficer[AbilityID],RawOfficer[AbilityOperation])</f>
        <v>MultiplySub</v>
      </c>
      <c r="AA262" s="521" t="str">
        <f t="array" ref="AA262">XLOOKUP(LCARS_Off[AbilityID],RawOfficer[AbilityID],RawOfficer[AbilityDescription])</f>
        <v>Next Gen La Forge decreases the Weapon Damage of the opponent's ship by X.</v>
      </c>
      <c r="AB262" s="429" t="b">
        <v>0</v>
      </c>
      <c r="AC262" s="522" t="str">
        <f t="array" ref="AC262">XLOOKUP(LCARS_Off[AbilityID],RawOfficer[AbilityID],RawOfficer[AbilityDescriptionShort])</f>
        <v>-X to the opponent's ship Weapon Damage</v>
      </c>
      <c r="AD262" s="523"/>
      <c r="AE262" s="524"/>
      <c r="AF262" s="524"/>
      <c r="AG262" s="525" t="str">
        <f t="array" ref="AG262">XLOOKUP(LCARS_Off[AbilityID],RawOfficer[AbilityID],RawOfficer[AbilityChances])</f>
        <v>1.0, 1.0, 1.0</v>
      </c>
      <c r="AH262" s="525" t="str">
        <f t="array" ref="AH262">XLOOKUP(LCARS_Off[AbilityID],RawOfficer[AbilityID],RawOfficer[AbilityValues])</f>
        <v>0.1, 0.02, 0.05</v>
      </c>
      <c r="AI262" s="428" t="b">
        <f t="array" ref="AI262">XLOOKUP(LCARS_Off[AbilityID],RawOfficer[AbilityID],RawOfficer[AbilityHasChance])</f>
        <v>0</v>
      </c>
      <c r="AJ262" s="428" t="b">
        <f t="array" ref="AJ262">XLOOKUP(LCARS_Off[AbilityID],RawOfficer[AbilityID],RawOfficer[AbilityShowPercentage])</f>
        <v>1</v>
      </c>
      <c r="AK262" s="429">
        <f t="array" ref="AK262">XLOOKUP(LCARS_Off[AbilityID],RawOfficer[AbilityID],RawOfficer[OfficerArt])</f>
        <v>164</v>
      </c>
      <c r="AL262" s="430">
        <v>1.462377933E9</v>
      </c>
      <c r="AM262" s="430">
        <f t="array" ref="AM262">XLOOKUP(LCARS_Off[AbilityID],RawOfficer[AbilityID],RawOfficer[Default Order])</f>
        <v>259</v>
      </c>
    </row>
    <row r="263">
      <c r="A263" s="429" t="str">
        <f t="array" ref="A263">LEFT(XLOOKUP(LCARS_Off[AbilityID],RawOfficer[AbilityID],RawOfficer[OfficerRarity]), 1)</f>
        <v>C</v>
      </c>
      <c r="B263" s="429"/>
      <c r="C263" s="514" t="str">
        <f t="array" ref="C263">HYPERLINK("https://stfc.space/officers/" &amp; XLOOKUP(LCARS_Off[AbilityID],RawOfficer[AbilityID],RawOfficer[OfficerId]), XLOOKUP(LCARS_Off[AbilityID],RawOfficer[AbilityID],RawOfficer[OfficerName]))</f>
        <v>NEXT GEN LA FORGE</v>
      </c>
      <c r="D263" s="515" t="str">
        <f t="array" ref="D263">XLOOKUP(LCARS_Off[AbilityID],RawOfficer[AbilityID],RawOfficer[AbilityType])</f>
        <v>OA</v>
      </c>
      <c r="E263" s="516" t="str">
        <f t="array" ref="E263">XLOOKUP(LCARS_Off[AbilityID],RawOfficer[AbilityID],RawOfficer[Tag_PvPinSpace])</f>
        <v>✅</v>
      </c>
      <c r="F263" s="516" t="str">
        <f t="array" ref="F263">XLOOKUP(LCARS_Off[AbilityID],RawOfficer[AbilityID],RawOfficer[Tag_PvPStation])</f>
        <v>✅</v>
      </c>
      <c r="G263" s="516" t="str">
        <f t="array" ref="G263">XLOOKUP(LCARS_Off[AbilityID],RawOfficer[AbilityID],RawOfficer[Tag_NonArmadaHostiles])</f>
        <v>✅</v>
      </c>
      <c r="H263" s="516" t="str">
        <f t="array" ref="H263">XLOOKUP(LCARS_Off[AbilityID],RawOfficer[AbilityID],RawOfficer[Tag_WaveDefense])</f>
        <v>✅</v>
      </c>
      <c r="I263" s="516" t="str">
        <f t="array" ref="I263">XLOOKUP(LCARS_Off[AbilityID],RawOfficer[AbilityID],RawOfficer[Tag_QTrial])</f>
        <v>✅</v>
      </c>
      <c r="J263" s="516" t="str">
        <f t="array" ref="J263">XLOOKUP(LCARS_Off[AbilityID],RawOfficer[AbilityID],RawOfficer[Tag_MissionBosses])</f>
        <v>✅</v>
      </c>
      <c r="K263" s="516" t="str">
        <f t="array" ref="K263">XLOOKUP(LCARS_Off[AbilityID],RawOfficer[AbilityID],RawOfficer[Tag_GroupArmadas])</f>
        <v>✅</v>
      </c>
      <c r="L263" s="516" t="str">
        <f t="array" ref="L263">XLOOKUP(LCARS_Off[AbilityID],RawOfficer[AbilityID],RawOfficer[Tag_SoloArmadas])</f>
        <v>✅</v>
      </c>
      <c r="M263" s="516" t="str">
        <f t="array" ref="M263">XLOOKUP(LCARS_Off[AbilityID],RawOfficer[AbilityID],RawOfficer[Tag_InvadingEntities])</f>
        <v>✅</v>
      </c>
      <c r="N263" s="516" t="str">
        <f t="array" ref="N263">XLOOKUP(LCARS_Off[AbilityID],RawOfficer[AbilityID],RawOfficer[Tag_Assaults])</f>
        <v>✅</v>
      </c>
      <c r="O263" s="516" t="str">
        <f t="array" ref="O263">XLOOKUP(LCARS_Off[AbilityID],RawOfficer[AbilityID],RawOfficer[Tag_OutpostArmadas])</f>
        <v>✅</v>
      </c>
      <c r="P263" s="516" t="str">
        <f t="array" ref="P263">XLOOKUP(LCARS_Off[AbilityID],RawOfficer[AbilityID],RawOfficer[Tag_OutpostRetaliators])</f>
        <v>✅</v>
      </c>
      <c r="Q263" s="517" t="str">
        <f t="array" ref="Q263">XLOOKUP(LCARS_Off[AbilityID],RawOfficer[AbilityID],RawOfficer[Conditional_Reason])</f>
        <v/>
      </c>
      <c r="R263" s="518" t="str">
        <f t="array" ref="R263">XLOOKUP(LCARS_Off[AbilityID],RawOfficer[AbilityID],RawOfficer[Tag_Loot])</f>
        <v>➖</v>
      </c>
      <c r="S263" s="516" t="str">
        <f t="array" ref="S263">XLOOKUP(LCARS_Off[AbilityID],RawOfficer[AbilityID],RawOfficer[Tag_Utility])</f>
        <v>➖</v>
      </c>
      <c r="T263" s="429" t="str">
        <f t="array" ref="T263">XLOOKUP(LCARS_Off[AbilityID],RawOfficer[AbilityID],RawOfficer[OfficerSynergy])</f>
        <v>NEXT GEN</v>
      </c>
      <c r="U263" s="519" t="str">
        <f t="array" ref="U263">XLOOKUP(LCARS_Off[AbilityID],RawOfficer[AbilityID],RawOfficer[AbilityModifier])</f>
        <v>ShieldHPMax</v>
      </c>
      <c r="V263" s="519" t="str">
        <f t="array" ref="V263">XLOOKUP(LCARS_Off[AbilityID],RawOfficer[AbilityID],RawOfficer[AbilityAttributes])</f>
        <v/>
      </c>
      <c r="W263" s="520" t="str">
        <f t="array" ref="W263">XLOOKUP(LCARS_Off[AbilityID],RawOfficer[AbilityID],RawOfficer[AbilityConditions])</f>
        <v/>
      </c>
      <c r="X263" s="519" t="str">
        <f t="array" ref="X263">XLOOKUP(LCARS_Off[AbilityID],RawOfficer[AbilityID],RawOfficer[AbilityTrigger])</f>
        <v>ShipLaunched</v>
      </c>
      <c r="Y263" s="519" t="str">
        <f t="array" ref="Y263">XLOOKUP(LCARS_Off[AbilityID],RawOfficer[AbilityID],RawOfficer[AbilityTarget])</f>
        <v>SelfShip</v>
      </c>
      <c r="Z263" s="519" t="str">
        <f t="array" ref="Z263">XLOOKUP(LCARS_Off[AbilityID],RawOfficer[AbilityID],RawOfficer[AbilityOperation])</f>
        <v>MultiplyAdd</v>
      </c>
      <c r="AA263" s="521" t="str">
        <f t="array" ref="AA263">XLOOKUP(LCARS_Off[AbilityID],RawOfficer[AbilityID],RawOfficer[AbilityDescription])</f>
        <v>Next Gen La Forge increases the Shield Health of the ship by X.</v>
      </c>
      <c r="AB263" s="429" t="b">
        <v>0</v>
      </c>
      <c r="AC263" s="522" t="str">
        <f t="array" ref="AC263">XLOOKUP(LCARS_Off[AbilityID],RawOfficer[AbilityID],RawOfficer[AbilityDescriptionShort])</f>
        <v>+X to Shield Health</v>
      </c>
      <c r="AD263" s="523"/>
      <c r="AE263" s="524"/>
      <c r="AF263" s="524"/>
      <c r="AG263" s="525" t="str">
        <f t="array" ref="AG263">XLOOKUP(LCARS_Off[AbilityID],RawOfficer[AbilityID],RawOfficer[AbilityChances])</f>
        <v>1.0, 1.0, 1.0, 1.0, 1.0</v>
      </c>
      <c r="AH263" s="525" t="str">
        <f t="array" ref="AH263">XLOOKUP(LCARS_Off[AbilityID],RawOfficer[AbilityID],RawOfficer[AbilityValues])</f>
        <v>0.05, 0.07, 0.09, 0.11, 0.14</v>
      </c>
      <c r="AI263" s="428" t="b">
        <f t="array" ref="AI263">XLOOKUP(LCARS_Off[AbilityID],RawOfficer[AbilityID],RawOfficer[AbilityHasChance])</f>
        <v>0</v>
      </c>
      <c r="AJ263" s="428" t="b">
        <f t="array" ref="AJ263">XLOOKUP(LCARS_Off[AbilityID],RawOfficer[AbilityID],RawOfficer[AbilityShowPercentage])</f>
        <v>1</v>
      </c>
      <c r="AK263" s="429">
        <f t="array" ref="AK263">XLOOKUP(LCARS_Off[AbilityID],RawOfficer[AbilityID],RawOfficer[OfficerArt])</f>
        <v>164</v>
      </c>
      <c r="AL263" s="430">
        <v>1.499701415E9</v>
      </c>
      <c r="AM263" s="430">
        <f t="array" ref="AM263">XLOOKUP(LCARS_Off[AbilityID],RawOfficer[AbilityID],RawOfficer[Default Order])</f>
        <v>260</v>
      </c>
    </row>
    <row r="264">
      <c r="A264" s="429" t="str">
        <f t="array" ref="A264">LEFT(XLOOKUP(LCARS_Off[AbilityID],RawOfficer[AbilityID],RawOfficer[OfficerRarity]), 1)</f>
        <v>C</v>
      </c>
      <c r="B264" s="429"/>
      <c r="C264" s="514" t="str">
        <f t="array" ref="C264">HYPERLINK("https://stfc.space/officers/" &amp; XLOOKUP(LCARS_Off[AbilityID],RawOfficer[AbilityID],RawOfficer[OfficerId]), XLOOKUP(LCARS_Off[AbilityID],RawOfficer[AbilityID],RawOfficer[OfficerName]))</f>
        <v>NEXT GEN RIKER</v>
      </c>
      <c r="D264" s="515" t="str">
        <f t="array" ref="D264">XLOOKUP(LCARS_Off[AbilityID],RawOfficer[AbilityID],RawOfficer[AbilityType])</f>
        <v>CM</v>
      </c>
      <c r="E264" s="516" t="str">
        <f t="array" ref="E264">XLOOKUP(LCARS_Off[AbilityID],RawOfficer[AbilityID],RawOfficer[Tag_PvPinSpace])</f>
        <v>✅</v>
      </c>
      <c r="F264" s="516" t="str">
        <f t="array" ref="F264">XLOOKUP(LCARS_Off[AbilityID],RawOfficer[AbilityID],RawOfficer[Tag_PvPStation])</f>
        <v>✅</v>
      </c>
      <c r="G264" s="516" t="str">
        <f t="array" ref="G264">XLOOKUP(LCARS_Off[AbilityID],RawOfficer[AbilityID],RawOfficer[Tag_NonArmadaHostiles])</f>
        <v>✅</v>
      </c>
      <c r="H264" s="516" t="str">
        <f t="array" ref="H264">XLOOKUP(LCARS_Off[AbilityID],RawOfficer[AbilityID],RawOfficer[Tag_WaveDefense])</f>
        <v>✅</v>
      </c>
      <c r="I264" s="516" t="str">
        <f t="array" ref="I264">XLOOKUP(LCARS_Off[AbilityID],RawOfficer[AbilityID],RawOfficer[Tag_QTrial])</f>
        <v>✅</v>
      </c>
      <c r="J264" s="516" t="str">
        <f t="array" ref="J264">XLOOKUP(LCARS_Off[AbilityID],RawOfficer[AbilityID],RawOfficer[Tag_MissionBosses])</f>
        <v>✅</v>
      </c>
      <c r="K264" s="516" t="str">
        <f t="array" ref="K264">XLOOKUP(LCARS_Off[AbilityID],RawOfficer[AbilityID],RawOfficer[Tag_GroupArmadas])</f>
        <v>✅</v>
      </c>
      <c r="L264" s="516" t="str">
        <f t="array" ref="L264">XLOOKUP(LCARS_Off[AbilityID],RawOfficer[AbilityID],RawOfficer[Tag_SoloArmadas])</f>
        <v>✅</v>
      </c>
      <c r="M264" s="516" t="str">
        <f t="array" ref="M264">XLOOKUP(LCARS_Off[AbilityID],RawOfficer[AbilityID],RawOfficer[Tag_InvadingEntities])</f>
        <v>✅</v>
      </c>
      <c r="N264" s="516" t="str">
        <f t="array" ref="N264">XLOOKUP(LCARS_Off[AbilityID],RawOfficer[AbilityID],RawOfficer[Tag_Assaults])</f>
        <v>✅</v>
      </c>
      <c r="O264" s="516" t="str">
        <f t="array" ref="O264">XLOOKUP(LCARS_Off[AbilityID],RawOfficer[AbilityID],RawOfficer[Tag_OutpostArmadas])</f>
        <v>✅</v>
      </c>
      <c r="P264" s="516" t="str">
        <f t="array" ref="P264">XLOOKUP(LCARS_Off[AbilityID],RawOfficer[AbilityID],RawOfficer[Tag_OutpostRetaliators])</f>
        <v>✅</v>
      </c>
      <c r="Q264" s="517" t="str">
        <f t="array" ref="Q264">XLOOKUP(LCARS_Off[AbilityID],RawOfficer[AbilityID],RawOfficer[Conditional_Reason])</f>
        <v/>
      </c>
      <c r="R264" s="518" t="str">
        <f t="array" ref="R264">XLOOKUP(LCARS_Off[AbilityID],RawOfficer[AbilityID],RawOfficer[Tag_Loot])</f>
        <v>➖</v>
      </c>
      <c r="S264" s="516" t="str">
        <f t="array" ref="S264">XLOOKUP(LCARS_Off[AbilityID],RawOfficer[AbilityID],RawOfficer[Tag_Utility])</f>
        <v>➖</v>
      </c>
      <c r="T264" s="429" t="str">
        <f t="array" ref="T264">XLOOKUP(LCARS_Off[AbilityID],RawOfficer[AbilityID],RawOfficer[OfficerSynergy])</f>
        <v>NEXT GEN</v>
      </c>
      <c r="U264" s="519" t="str">
        <f t="array" ref="U264">XLOOKUP(LCARS_Off[AbilityID],RawOfficer[AbilityID],RawOfficer[AbilityModifier])</f>
        <v>AllDamage</v>
      </c>
      <c r="V264" s="519" t="str">
        <f t="array" ref="V264">XLOOKUP(LCARS_Off[AbilityID],RawOfficer[AbilityID],RawOfficer[AbilityAttributes])</f>
        <v>num_rounds=1</v>
      </c>
      <c r="W264" s="520" t="str">
        <f t="array" ref="W264">XLOOKUP(LCARS_Off[AbilityID],RawOfficer[AbilityID],RawOfficer[AbilityConditions])</f>
        <v/>
      </c>
      <c r="X264" s="519" t="str">
        <f t="array" ref="X264">XLOOKUP(LCARS_Off[AbilityID],RawOfficer[AbilityID],RawOfficer[AbilityTrigger])</f>
        <v>CombatStart</v>
      </c>
      <c r="Y264" s="519" t="str">
        <f t="array" ref="Y264">XLOOKUP(LCARS_Off[AbilityID],RawOfficer[AbilityID],RawOfficer[AbilityTarget])</f>
        <v>SelfShip</v>
      </c>
      <c r="Z264" s="519" t="str">
        <f t="array" ref="Z264">XLOOKUP(LCARS_Off[AbilityID],RawOfficer[AbilityID],RawOfficer[AbilityOperation])</f>
        <v>MultiplyAdd</v>
      </c>
      <c r="AA264" s="521" t="str">
        <f t="array" ref="AA264">XLOOKUP(LCARS_Off[AbilityID],RawOfficer[AbilityID],RawOfficer[AbilityDescription])</f>
        <v>Next Gen Riker increases the damage of the first shots of the ship by X for the first round.</v>
      </c>
      <c r="AB264" s="429" t="b">
        <v>0</v>
      </c>
      <c r="AC264" s="522" t="str">
        <f t="array" ref="AC264">XLOOKUP(LCARS_Off[AbilityID],RawOfficer[AbilityID],RawOfficer[AbilityDescriptionShort])</f>
        <v>+X to Damage for the first round</v>
      </c>
      <c r="AD264" s="523"/>
      <c r="AE264" s="524"/>
      <c r="AF264" s="524"/>
      <c r="AG264" s="525" t="str">
        <f t="array" ref="AG264">XLOOKUP(LCARS_Off[AbilityID],RawOfficer[AbilityID],RawOfficer[AbilityChances])</f>
        <v>1.0, 1.0, 1.0</v>
      </c>
      <c r="AH264" s="525" t="str">
        <f t="array" ref="AH264">XLOOKUP(LCARS_Off[AbilityID],RawOfficer[AbilityID],RawOfficer[AbilityValues])</f>
        <v>0.05, 0.05, 0.1</v>
      </c>
      <c r="AI264" s="428" t="b">
        <f t="array" ref="AI264">XLOOKUP(LCARS_Off[AbilityID],RawOfficer[AbilityID],RawOfficer[AbilityHasChance])</f>
        <v>0</v>
      </c>
      <c r="AJ264" s="428" t="b">
        <f t="array" ref="AJ264">XLOOKUP(LCARS_Off[AbilityID],RawOfficer[AbilityID],RawOfficer[AbilityShowPercentage])</f>
        <v>1</v>
      </c>
      <c r="AK264" s="429">
        <f t="array" ref="AK264">XLOOKUP(LCARS_Off[AbilityID],RawOfficer[AbilityID],RawOfficer[OfficerArt])</f>
        <v>161</v>
      </c>
      <c r="AL264" s="430">
        <v>7.35446036E8</v>
      </c>
      <c r="AM264" s="430">
        <f t="array" ref="AM264">XLOOKUP(LCARS_Off[AbilityID],RawOfficer[AbilityID],RawOfficer[Default Order])</f>
        <v>261</v>
      </c>
    </row>
    <row r="265">
      <c r="A265" s="429" t="str">
        <f t="array" ref="A265">LEFT(XLOOKUP(LCARS_Off[AbilityID],RawOfficer[AbilityID],RawOfficer[OfficerRarity]), 1)</f>
        <v>C</v>
      </c>
      <c r="B265" s="429"/>
      <c r="C265" s="514" t="str">
        <f t="array" ref="C265">HYPERLINK("https://stfc.space/officers/" &amp; XLOOKUP(LCARS_Off[AbilityID],RawOfficer[AbilityID],RawOfficer[OfficerId]), XLOOKUP(LCARS_Off[AbilityID],RawOfficer[AbilityID],RawOfficer[OfficerName]))</f>
        <v>NEXT GEN RIKER</v>
      </c>
      <c r="D265" s="515" t="str">
        <f t="array" ref="D265">XLOOKUP(LCARS_Off[AbilityID],RawOfficer[AbilityID],RawOfficer[AbilityType])</f>
        <v>OA</v>
      </c>
      <c r="E265" s="516" t="str">
        <f t="array" ref="E265">XLOOKUP(LCARS_Off[AbilityID],RawOfficer[AbilityID],RawOfficer[Tag_PvPinSpace])</f>
        <v>✅</v>
      </c>
      <c r="F265" s="516" t="str">
        <f t="array" ref="F265">XLOOKUP(LCARS_Off[AbilityID],RawOfficer[AbilityID],RawOfficer[Tag_PvPStation])</f>
        <v>✅</v>
      </c>
      <c r="G265" s="516" t="str">
        <f t="array" ref="G265">XLOOKUP(LCARS_Off[AbilityID],RawOfficer[AbilityID],RawOfficer[Tag_NonArmadaHostiles])</f>
        <v>✅</v>
      </c>
      <c r="H265" s="516" t="str">
        <f t="array" ref="H265">XLOOKUP(LCARS_Off[AbilityID],RawOfficer[AbilityID],RawOfficer[Tag_WaveDefense])</f>
        <v>✅</v>
      </c>
      <c r="I265" s="516" t="str">
        <f t="array" ref="I265">XLOOKUP(LCARS_Off[AbilityID],RawOfficer[AbilityID],RawOfficer[Tag_QTrial])</f>
        <v>✅</v>
      </c>
      <c r="J265" s="516" t="str">
        <f t="array" ref="J265">XLOOKUP(LCARS_Off[AbilityID],RawOfficer[AbilityID],RawOfficer[Tag_MissionBosses])</f>
        <v>✅</v>
      </c>
      <c r="K265" s="516" t="str">
        <f t="array" ref="K265">XLOOKUP(LCARS_Off[AbilityID],RawOfficer[AbilityID],RawOfficer[Tag_GroupArmadas])</f>
        <v>✅</v>
      </c>
      <c r="L265" s="516" t="str">
        <f t="array" ref="L265">XLOOKUP(LCARS_Off[AbilityID],RawOfficer[AbilityID],RawOfficer[Tag_SoloArmadas])</f>
        <v>✅</v>
      </c>
      <c r="M265" s="516" t="str">
        <f t="array" ref="M265">XLOOKUP(LCARS_Off[AbilityID],RawOfficer[AbilityID],RawOfficer[Tag_InvadingEntities])</f>
        <v>✅</v>
      </c>
      <c r="N265" s="516" t="str">
        <f t="array" ref="N265">XLOOKUP(LCARS_Off[AbilityID],RawOfficer[AbilityID],RawOfficer[Tag_Assaults])</f>
        <v>✅</v>
      </c>
      <c r="O265" s="516" t="str">
        <f t="array" ref="O265">XLOOKUP(LCARS_Off[AbilityID],RawOfficer[AbilityID],RawOfficer[Tag_OutpostArmadas])</f>
        <v>✅</v>
      </c>
      <c r="P265" s="516" t="str">
        <f t="array" ref="P265">XLOOKUP(LCARS_Off[AbilityID],RawOfficer[AbilityID],RawOfficer[Tag_OutpostRetaliators])</f>
        <v>✅</v>
      </c>
      <c r="Q265" s="517" t="str">
        <f t="array" ref="Q265">XLOOKUP(LCARS_Off[AbilityID],RawOfficer[AbilityID],RawOfficer[Conditional_Reason])</f>
        <v/>
      </c>
      <c r="R265" s="518" t="str">
        <f t="array" ref="R265">XLOOKUP(LCARS_Off[AbilityID],RawOfficer[AbilityID],RawOfficer[Tag_Loot])</f>
        <v>➖</v>
      </c>
      <c r="S265" s="516" t="str">
        <f t="array" ref="S265">XLOOKUP(LCARS_Off[AbilityID],RawOfficer[AbilityID],RawOfficer[Tag_Utility])</f>
        <v>➖</v>
      </c>
      <c r="T265" s="429" t="str">
        <f t="array" ref="T265">XLOOKUP(LCARS_Off[AbilityID],RawOfficer[AbilityID],RawOfficer[OfficerSynergy])</f>
        <v>NEXT GEN</v>
      </c>
      <c r="U265" s="519" t="str">
        <f t="array" ref="U265">XLOOKUP(LCARS_Off[AbilityID],RawOfficer[AbilityID],RawOfficer[AbilityModifier])</f>
        <v>OfficerStatAttack</v>
      </c>
      <c r="V265" s="519" t="str">
        <f t="array" ref="V265">XLOOKUP(LCARS_Off[AbilityID],RawOfficer[AbilityID],RawOfficer[AbilityAttributes])</f>
        <v/>
      </c>
      <c r="W265" s="520" t="str">
        <f t="array" ref="W265">XLOOKUP(LCARS_Off[AbilityID],RawOfficer[AbilityID],RawOfficer[AbilityConditions])</f>
        <v/>
      </c>
      <c r="X265" s="519" t="str">
        <f t="array" ref="X265">XLOOKUP(LCARS_Off[AbilityID],RawOfficer[AbilityID],RawOfficer[AbilityTrigger])</f>
        <v>ShipLaunched</v>
      </c>
      <c r="Y265" s="519" t="str">
        <f t="array" ref="Y265">XLOOKUP(LCARS_Off[AbilityID],RawOfficer[AbilityID],RawOfficer[AbilityTarget])</f>
        <v>SelfBridge</v>
      </c>
      <c r="Z265" s="519" t="str">
        <f t="array" ref="Z265">XLOOKUP(LCARS_Off[AbilityID],RawOfficer[AbilityID],RawOfficer[AbilityOperation])</f>
        <v>MultiplyAdd</v>
      </c>
      <c r="AA265" s="521" t="str">
        <f t="array" ref="AA265">XLOOKUP(LCARS_Off[AbilityID],RawOfficer[AbilityID],RawOfficer[AbilityDescription])</f>
        <v>Next Gen Riker increases the Attack of all the Officers on the ship by X.</v>
      </c>
      <c r="AB265" s="429" t="b">
        <v>0</v>
      </c>
      <c r="AC265" s="522" t="str">
        <f t="array" ref="AC265">XLOOKUP(LCARS_Off[AbilityID],RawOfficer[AbilityID],RawOfficer[AbilityDescriptionShort])</f>
        <v>+X to the Attack of all the officers in the ship</v>
      </c>
      <c r="AD265" s="523"/>
      <c r="AE265" s="524"/>
      <c r="AF265" s="524"/>
      <c r="AG265" s="525" t="str">
        <f t="array" ref="AG265">XLOOKUP(LCARS_Off[AbilityID],RawOfficer[AbilityID],RawOfficer[AbilityChances])</f>
        <v>1.0, 1.0, 1.0, 1.0, 1.0</v>
      </c>
      <c r="AH265" s="525" t="str">
        <f t="array" ref="AH265">XLOOKUP(LCARS_Off[AbilityID],RawOfficer[AbilityID],RawOfficer[AbilityValues])</f>
        <v>0.05, 0.08, 0.1, 0.12, 0.15</v>
      </c>
      <c r="AI265" s="428" t="b">
        <f t="array" ref="AI265">XLOOKUP(LCARS_Off[AbilityID],RawOfficer[AbilityID],RawOfficer[AbilityHasChance])</f>
        <v>0</v>
      </c>
      <c r="AJ265" s="428" t="b">
        <f t="array" ref="AJ265">XLOOKUP(LCARS_Off[AbilityID],RawOfficer[AbilityID],RawOfficer[AbilityShowPercentage])</f>
        <v>1</v>
      </c>
      <c r="AK265" s="429">
        <f t="array" ref="AK265">XLOOKUP(LCARS_Off[AbilityID],RawOfficer[AbilityID],RawOfficer[OfficerArt])</f>
        <v>161</v>
      </c>
      <c r="AL265" s="430">
        <v>1.603399419E9</v>
      </c>
      <c r="AM265" s="430">
        <f t="array" ref="AM265">XLOOKUP(LCARS_Off[AbilityID],RawOfficer[AbilityID],RawOfficer[Default Order])</f>
        <v>262</v>
      </c>
    </row>
    <row r="266">
      <c r="A266" s="429" t="str">
        <f t="array" ref="A266">LEFT(XLOOKUP(LCARS_Off[AbilityID],RawOfficer[AbilityID],RawOfficer[OfficerRarity]), 1)</f>
        <v>E</v>
      </c>
      <c r="B266" s="429"/>
      <c r="C266" s="514" t="str">
        <f t="array" ref="C266">HYPERLINK("https://stfc.space/officers/" &amp; XLOOKUP(LCARS_Off[AbilityID],RawOfficer[AbilityID],RawOfficer[OfficerId]), XLOOKUP(LCARS_Off[AbilityID],RawOfficer[AbilityID],RawOfficer[OfficerName]))</f>
        <v>DATA</v>
      </c>
      <c r="D266" s="515" t="str">
        <f t="array" ref="D266">XLOOKUP(LCARS_Off[AbilityID],RawOfficer[AbilityID],RawOfficer[AbilityType])</f>
        <v>CM</v>
      </c>
      <c r="E266" s="516" t="str">
        <f t="array" ref="E266">XLOOKUP(LCARS_Off[AbilityID],RawOfficer[AbilityID],RawOfficer[Tag_PvPinSpace])</f>
        <v>➖</v>
      </c>
      <c r="F266" s="516" t="str">
        <f t="array" ref="F266">XLOOKUP(LCARS_Off[AbilityID],RawOfficer[AbilityID],RawOfficer[Tag_PvPStation])</f>
        <v>➖</v>
      </c>
      <c r="G266" s="516" t="str">
        <f t="array" ref="G266">XLOOKUP(LCARS_Off[AbilityID],RawOfficer[AbilityID],RawOfficer[Tag_NonArmadaHostiles])</f>
        <v>✅</v>
      </c>
      <c r="H266" s="516" t="str">
        <f t="array" ref="H266">XLOOKUP(LCARS_Off[AbilityID],RawOfficer[AbilityID],RawOfficer[Tag_WaveDefense])</f>
        <v>✅</v>
      </c>
      <c r="I266" s="516" t="str">
        <f t="array" ref="I266">XLOOKUP(LCARS_Off[AbilityID],RawOfficer[AbilityID],RawOfficer[Tag_QTrial])</f>
        <v>✅</v>
      </c>
      <c r="J266" s="516" t="str">
        <f t="array" ref="J266">XLOOKUP(LCARS_Off[AbilityID],RawOfficer[AbilityID],RawOfficer[Tag_MissionBosses])</f>
        <v>➖</v>
      </c>
      <c r="K266" s="516" t="str">
        <f t="array" ref="K266">XLOOKUP(LCARS_Off[AbilityID],RawOfficer[AbilityID],RawOfficer[Tag_GroupArmadas])</f>
        <v>✅</v>
      </c>
      <c r="L266" s="516" t="str">
        <f t="array" ref="L266">XLOOKUP(LCARS_Off[AbilityID],RawOfficer[AbilityID],RawOfficer[Tag_SoloArmadas])</f>
        <v>✅</v>
      </c>
      <c r="M266" s="516" t="str">
        <f t="array" ref="M266">XLOOKUP(LCARS_Off[AbilityID],RawOfficer[AbilityID],RawOfficer[Tag_InvadingEntities])</f>
        <v>✅</v>
      </c>
      <c r="N266" s="516" t="str">
        <f t="array" ref="N266">XLOOKUP(LCARS_Off[AbilityID],RawOfficer[AbilityID],RawOfficer[Tag_Assaults])</f>
        <v>➖</v>
      </c>
      <c r="O266" s="516" t="str">
        <f t="array" ref="O266">XLOOKUP(LCARS_Off[AbilityID],RawOfficer[AbilityID],RawOfficer[Tag_OutpostArmadas])</f>
        <v>➖</v>
      </c>
      <c r="P266" s="516" t="str">
        <f t="array" ref="P266">XLOOKUP(LCARS_Off[AbilityID],RawOfficer[AbilityID],RawOfficer[Tag_OutpostRetaliators])</f>
        <v>➖</v>
      </c>
      <c r="Q266" s="517" t="str">
        <f t="array" ref="Q266">XLOOKUP(LCARS_Off[AbilityID],RawOfficer[AbilityID],RawOfficer[Conditional_Reason])</f>
        <v/>
      </c>
      <c r="R266" s="518" t="str">
        <f t="array" ref="R266">XLOOKUP(LCARS_Off[AbilityID],RawOfficer[AbilityID],RawOfficer[Tag_Loot])</f>
        <v>➖</v>
      </c>
      <c r="S266" s="516" t="str">
        <f t="array" ref="S266">XLOOKUP(LCARS_Off[AbilityID],RawOfficer[AbilityID],RawOfficer[Tag_Utility])</f>
        <v>➖</v>
      </c>
      <c r="T266" s="429" t="str">
        <f t="array" ref="T266">XLOOKUP(LCARS_Off[AbilityID],RawOfficer[AbilityID],RawOfficer[OfficerSynergy])</f>
        <v>TNG CREW</v>
      </c>
      <c r="U266" s="519" t="str">
        <f t="array" ref="U266">XLOOKUP(LCARS_Off[AbilityID],RawOfficer[AbilityID],RawOfficer[AbilityModifier])</f>
        <v>CritChance</v>
      </c>
      <c r="V266" s="519" t="str">
        <f t="array" ref="V266">XLOOKUP(LCARS_Off[AbilityID],RawOfficer[AbilityID],RawOfficer[AbilityAttributes])</f>
        <v/>
      </c>
      <c r="W266" s="520" t="str">
        <f t="array" ref="W266">XLOOKUP(LCARS_Off[AbilityID],RawOfficer[AbilityID],RawOfficer[AbilityConditions])</f>
        <v>EnemyHostile</v>
      </c>
      <c r="X266" s="519" t="str">
        <f t="array" ref="X266">XLOOKUP(LCARS_Off[AbilityID],RawOfficer[AbilityID],RawOfficer[AbilityTrigger])</f>
        <v>CombatStart</v>
      </c>
      <c r="Y266" s="519" t="str">
        <f t="array" ref="Y266">XLOOKUP(LCARS_Off[AbilityID],RawOfficer[AbilityID],RawOfficer[AbilityTarget])</f>
        <v>SelfShip</v>
      </c>
      <c r="Z266" s="519" t="str">
        <f t="array" ref="Z266">XLOOKUP(LCARS_Off[AbilityID],RawOfficer[AbilityID],RawOfficer[AbilityOperation])</f>
        <v>Add</v>
      </c>
      <c r="AA266" s="521" t="str">
        <f t="array" ref="AA266">XLOOKUP(LCARS_Off[AbilityID],RawOfficer[AbilityID],RawOfficer[AbilityDescription])</f>
        <v>When fighting Hostiles and Armadas, Data increases the Critical Hit Chance by X.</v>
      </c>
      <c r="AB266" s="429" t="b">
        <v>0</v>
      </c>
      <c r="AC266" s="522" t="str">
        <f t="array" ref="AC266">XLOOKUP(LCARS_Off[AbilityID],RawOfficer[AbilityID],RawOfficer[AbilityDescriptionShort])</f>
        <v>+X to Critical Hit Chance against Hostiles/Armadas</v>
      </c>
      <c r="AD266" s="523"/>
      <c r="AE266" s="524"/>
      <c r="AF266" s="524"/>
      <c r="AG266" s="525" t="str">
        <f t="array" ref="AG266">XLOOKUP(LCARS_Off[AbilityID],RawOfficer[AbilityID],RawOfficer[AbilityChances])</f>
        <v>1.0, 1.0, 1.0</v>
      </c>
      <c r="AH266" s="525" t="str">
        <f t="array" ref="AH266">XLOOKUP(LCARS_Off[AbilityID],RawOfficer[AbilityID],RawOfficer[AbilityValues])</f>
        <v>0.17, 0.03, 0.04</v>
      </c>
      <c r="AI266" s="428" t="b">
        <f t="array" ref="AI266">XLOOKUP(LCARS_Off[AbilityID],RawOfficer[AbilityID],RawOfficer[AbilityHasChance])</f>
        <v>0</v>
      </c>
      <c r="AJ266" s="428" t="b">
        <f t="array" ref="AJ266">XLOOKUP(LCARS_Off[AbilityID],RawOfficer[AbilityID],RawOfficer[AbilityShowPercentage])</f>
        <v>1</v>
      </c>
      <c r="AK266" s="429">
        <f t="array" ref="AK266">XLOOKUP(LCARS_Off[AbilityID],RawOfficer[AbilityID],RawOfficer[OfficerArt])</f>
        <v>171</v>
      </c>
      <c r="AL266" s="430">
        <v>3.99317258E8</v>
      </c>
      <c r="AM266" s="430">
        <f t="array" ref="AM266">XLOOKUP(LCARS_Off[AbilityID],RawOfficer[AbilityID],RawOfficer[Default Order])</f>
        <v>263</v>
      </c>
    </row>
    <row r="267">
      <c r="A267" s="429" t="str">
        <f t="array" ref="A267">LEFT(XLOOKUP(LCARS_Off[AbilityID],RawOfficer[AbilityID],RawOfficer[OfficerRarity]), 1)</f>
        <v>E</v>
      </c>
      <c r="B267" s="429"/>
      <c r="C267" s="514" t="str">
        <f t="array" ref="C267">HYPERLINK("https://stfc.space/officers/" &amp; XLOOKUP(LCARS_Off[AbilityID],RawOfficer[AbilityID],RawOfficer[OfficerId]), XLOOKUP(LCARS_Off[AbilityID],RawOfficer[AbilityID],RawOfficer[OfficerName]))</f>
        <v>DATA</v>
      </c>
      <c r="D267" s="515" t="str">
        <f t="array" ref="D267">XLOOKUP(LCARS_Off[AbilityID],RawOfficer[AbilityID],RawOfficer[AbilityType])</f>
        <v>OA</v>
      </c>
      <c r="E267" s="516" t="str">
        <f t="array" ref="E267">XLOOKUP(LCARS_Off[AbilityID],RawOfficer[AbilityID],RawOfficer[Tag_PvPinSpace])</f>
        <v>➖</v>
      </c>
      <c r="F267" s="516" t="str">
        <f t="array" ref="F267">XLOOKUP(LCARS_Off[AbilityID],RawOfficer[AbilityID],RawOfficer[Tag_PvPStation])</f>
        <v>➖</v>
      </c>
      <c r="G267" s="516" t="str">
        <f t="array" ref="G267">XLOOKUP(LCARS_Off[AbilityID],RawOfficer[AbilityID],RawOfficer[Tag_NonArmadaHostiles])</f>
        <v>✅</v>
      </c>
      <c r="H267" s="516" t="str">
        <f t="array" ref="H267">XLOOKUP(LCARS_Off[AbilityID],RawOfficer[AbilityID],RawOfficer[Tag_WaveDefense])</f>
        <v>✅</v>
      </c>
      <c r="I267" s="516" t="str">
        <f t="array" ref="I267">XLOOKUP(LCARS_Off[AbilityID],RawOfficer[AbilityID],RawOfficer[Tag_QTrial])</f>
        <v>✅</v>
      </c>
      <c r="J267" s="516" t="str">
        <f t="array" ref="J267">XLOOKUP(LCARS_Off[AbilityID],RawOfficer[AbilityID],RawOfficer[Tag_MissionBosses])</f>
        <v>✅</v>
      </c>
      <c r="K267" s="516" t="str">
        <f t="array" ref="K267">XLOOKUP(LCARS_Off[AbilityID],RawOfficer[AbilityID],RawOfficer[Tag_GroupArmadas])</f>
        <v>✅</v>
      </c>
      <c r="L267" s="516" t="str">
        <f t="array" ref="L267">XLOOKUP(LCARS_Off[AbilityID],RawOfficer[AbilityID],RawOfficer[Tag_SoloArmadas])</f>
        <v>✅</v>
      </c>
      <c r="M267" s="516" t="str">
        <f t="array" ref="M267">XLOOKUP(LCARS_Off[AbilityID],RawOfficer[AbilityID],RawOfficer[Tag_InvadingEntities])</f>
        <v>✅</v>
      </c>
      <c r="N267" s="516" t="str">
        <f t="array" ref="N267">XLOOKUP(LCARS_Off[AbilityID],RawOfficer[AbilityID],RawOfficer[Tag_Assaults])</f>
        <v>➖</v>
      </c>
      <c r="O267" s="516" t="str">
        <f t="array" ref="O267">XLOOKUP(LCARS_Off[AbilityID],RawOfficer[AbilityID],RawOfficer[Tag_OutpostArmadas])</f>
        <v>➖</v>
      </c>
      <c r="P267" s="516" t="str">
        <f t="array" ref="P267">XLOOKUP(LCARS_Off[AbilityID],RawOfficer[AbilityID],RawOfficer[Tag_OutpostRetaliators])</f>
        <v>➖</v>
      </c>
      <c r="Q267" s="517" t="str">
        <f t="array" ref="Q267">XLOOKUP(LCARS_Off[AbilityID],RawOfficer[AbilityID],RawOfficer[Conditional_Reason])</f>
        <v/>
      </c>
      <c r="R267" s="518" t="str">
        <f t="array" ref="R267">XLOOKUP(LCARS_Off[AbilityID],RawOfficer[AbilityID],RawOfficer[Tag_Loot])</f>
        <v>➖</v>
      </c>
      <c r="S267" s="516" t="str">
        <f t="array" ref="S267">XLOOKUP(LCARS_Off[AbilityID],RawOfficer[AbilityID],RawOfficer[Tag_Utility])</f>
        <v>➖</v>
      </c>
      <c r="T267" s="429" t="str">
        <f t="array" ref="T267">XLOOKUP(LCARS_Off[AbilityID],RawOfficer[AbilityID],RawOfficer[OfficerSynergy])</f>
        <v>TNG CREW</v>
      </c>
      <c r="U267" s="519" t="str">
        <f t="array" ref="U267">XLOOKUP(LCARS_Off[AbilityID],RawOfficer[AbilityID],RawOfficer[AbilityModifier])</f>
        <v>AllPiercing</v>
      </c>
      <c r="V267" s="519" t="str">
        <f t="array" ref="V267">XLOOKUP(LCARS_Off[AbilityID],RawOfficer[AbilityID],RawOfficer[AbilityAttributes])</f>
        <v>battle_types=[2, 3, 5, 6, 7, 8, 9]</v>
      </c>
      <c r="W267" s="520" t="str">
        <f t="array" ref="W267">XLOOKUP(LCARS_Off[AbilityID],RawOfficer[AbilityID],RawOfficer[AbilityConditions])</f>
        <v>CombatBattleType</v>
      </c>
      <c r="X267" s="519" t="str">
        <f t="array" ref="X267">XLOOKUP(LCARS_Off[AbilityID],RawOfficer[AbilityID],RawOfficer[AbilityTrigger])</f>
        <v>CombatStart</v>
      </c>
      <c r="Y267" s="519" t="str">
        <f t="array" ref="Y267">XLOOKUP(LCARS_Off[AbilityID],RawOfficer[AbilityID],RawOfficer[AbilityTarget])</f>
        <v>SelfShip</v>
      </c>
      <c r="Z267" s="519" t="str">
        <f t="array" ref="Z267">XLOOKUP(LCARS_Off[AbilityID],RawOfficer[AbilityID],RawOfficer[AbilityOperation])</f>
        <v>MultiplyAdd</v>
      </c>
      <c r="AA267" s="521" t="str">
        <f t="array" ref="AA267">XLOOKUP(LCARS_Off[AbilityID],RawOfficer[AbilityID],RawOfficer[AbilityDescription])</f>
        <v>When fighting non-player targets (including Mission Hostiles), Data increases Armor Piercing, Shield Piercing, and Accuracy by X.</v>
      </c>
      <c r="AB267" s="429" t="b">
        <v>0</v>
      </c>
      <c r="AC267" s="522" t="str">
        <f t="array" ref="AC267">XLOOKUP(LCARS_Off[AbilityID],RawOfficer[AbilityID],RawOfficer[AbilityDescriptionShort])</f>
        <v>+X to all Penetration stats against non-player targets</v>
      </c>
      <c r="AD267" s="523"/>
      <c r="AE267" s="524"/>
      <c r="AF267" s="524"/>
      <c r="AG267" s="525" t="str">
        <f t="array" ref="AG267">XLOOKUP(LCARS_Off[AbilityID],RawOfficer[AbilityID],RawOfficer[AbilityChances])</f>
        <v>1.0, 1.0, 1.0, 1.0, 1.0</v>
      </c>
      <c r="AH267" s="525" t="str">
        <f t="array" ref="AH267">XLOOKUP(LCARS_Off[AbilityID],RawOfficer[AbilityID],RawOfficer[AbilityValues])</f>
        <v>0.6, 1.2, 1.8, 2.4, 3.0</v>
      </c>
      <c r="AI267" s="428" t="b">
        <f t="array" ref="AI267">XLOOKUP(LCARS_Off[AbilityID],RawOfficer[AbilityID],RawOfficer[AbilityHasChance])</f>
        <v>0</v>
      </c>
      <c r="AJ267" s="428" t="b">
        <f t="array" ref="AJ267">XLOOKUP(LCARS_Off[AbilityID],RawOfficer[AbilityID],RawOfficer[AbilityShowPercentage])</f>
        <v>1</v>
      </c>
      <c r="AK267" s="429">
        <f t="array" ref="AK267">XLOOKUP(LCARS_Off[AbilityID],RawOfficer[AbilityID],RawOfficer[OfficerArt])</f>
        <v>171</v>
      </c>
      <c r="AL267" s="430">
        <v>2.6428617E8</v>
      </c>
      <c r="AM267" s="430">
        <f t="array" ref="AM267">XLOOKUP(LCARS_Off[AbilityID],RawOfficer[AbilityID],RawOfficer[Default Order])</f>
        <v>264</v>
      </c>
    </row>
    <row r="268">
      <c r="A268" s="429" t="str">
        <f t="array" ref="A268">LEFT(XLOOKUP(LCARS_Off[AbilityID],RawOfficer[AbilityID],RawOfficer[OfficerRarity]), 1)</f>
        <v>R</v>
      </c>
      <c r="B268" s="429"/>
      <c r="C268" s="514" t="str">
        <f t="array" ref="C268">HYPERLINK("https://stfc.space/officers/" &amp; XLOOKUP(LCARS_Off[AbilityID],RawOfficer[AbilityID],RawOfficer[OfficerId]), XLOOKUP(LCARS_Off[AbilityID],RawOfficer[AbilityID],RawOfficer[OfficerName]))</f>
        <v>BEVERLY CRUSHER</v>
      </c>
      <c r="D268" s="515" t="str">
        <f t="array" ref="D268">XLOOKUP(LCARS_Off[AbilityID],RawOfficer[AbilityID],RawOfficer[AbilityType])</f>
        <v>CM</v>
      </c>
      <c r="E268" s="516" t="str">
        <f t="array" ref="E268">XLOOKUP(LCARS_Off[AbilityID],RawOfficer[AbilityID],RawOfficer[Tag_PvPinSpace])</f>
        <v>➖</v>
      </c>
      <c r="F268" s="516" t="str">
        <f t="array" ref="F268">XLOOKUP(LCARS_Off[AbilityID],RawOfficer[AbilityID],RawOfficer[Tag_PvPStation])</f>
        <v>➖</v>
      </c>
      <c r="G268" s="516" t="str">
        <f t="array" ref="G268">XLOOKUP(LCARS_Off[AbilityID],RawOfficer[AbilityID],RawOfficer[Tag_NonArmadaHostiles])</f>
        <v>✅</v>
      </c>
      <c r="H268" s="516" t="str">
        <f t="array" ref="H268">XLOOKUP(LCARS_Off[AbilityID],RawOfficer[AbilityID],RawOfficer[Tag_WaveDefense])</f>
        <v>✅</v>
      </c>
      <c r="I268" s="516" t="str">
        <f t="array" ref="I268">XLOOKUP(LCARS_Off[AbilityID],RawOfficer[AbilityID],RawOfficer[Tag_QTrial])</f>
        <v>✅</v>
      </c>
      <c r="J268" s="516" t="str">
        <f t="array" ref="J268">XLOOKUP(LCARS_Off[AbilityID],RawOfficer[AbilityID],RawOfficer[Tag_MissionBosses])</f>
        <v>➖</v>
      </c>
      <c r="K268" s="516" t="str">
        <f t="array" ref="K268">XLOOKUP(LCARS_Off[AbilityID],RawOfficer[AbilityID],RawOfficer[Tag_GroupArmadas])</f>
        <v>✅</v>
      </c>
      <c r="L268" s="516" t="str">
        <f t="array" ref="L268">XLOOKUP(LCARS_Off[AbilityID],RawOfficer[AbilityID],RawOfficer[Tag_SoloArmadas])</f>
        <v>✅</v>
      </c>
      <c r="M268" s="516" t="str">
        <f t="array" ref="M268">XLOOKUP(LCARS_Off[AbilityID],RawOfficer[AbilityID],RawOfficer[Tag_InvadingEntities])</f>
        <v>✅</v>
      </c>
      <c r="N268" s="516" t="str">
        <f t="array" ref="N268">XLOOKUP(LCARS_Off[AbilityID],RawOfficer[AbilityID],RawOfficer[Tag_Assaults])</f>
        <v>➖</v>
      </c>
      <c r="O268" s="516" t="str">
        <f t="array" ref="O268">XLOOKUP(LCARS_Off[AbilityID],RawOfficer[AbilityID],RawOfficer[Tag_OutpostArmadas])</f>
        <v>➖</v>
      </c>
      <c r="P268" s="516" t="str">
        <f t="array" ref="P268">XLOOKUP(LCARS_Off[AbilityID],RawOfficer[AbilityID],RawOfficer[Tag_OutpostRetaliators])</f>
        <v>➖</v>
      </c>
      <c r="Q268" s="517" t="str">
        <f t="array" ref="Q268">XLOOKUP(LCARS_Off[AbilityID],RawOfficer[AbilityID],RawOfficer[Conditional_Reason])</f>
        <v/>
      </c>
      <c r="R268" s="518" t="str">
        <f t="array" ref="R268">XLOOKUP(LCARS_Off[AbilityID],RawOfficer[AbilityID],RawOfficer[Tag_Loot])</f>
        <v>➖</v>
      </c>
      <c r="S268" s="516" t="str">
        <f t="array" ref="S268">XLOOKUP(LCARS_Off[AbilityID],RawOfficer[AbilityID],RawOfficer[Tag_Utility])</f>
        <v>➖</v>
      </c>
      <c r="T268" s="429" t="str">
        <f t="array" ref="T268">XLOOKUP(LCARS_Off[AbilityID],RawOfficer[AbilityID],RawOfficer[OfficerSynergy])</f>
        <v>TNG CREW</v>
      </c>
      <c r="U268" s="519" t="str">
        <f t="array" ref="U268">XLOOKUP(LCARS_Off[AbilityID],RawOfficer[AbilityID],RawOfficer[AbilityModifier])</f>
        <v>ShieldHPRepair</v>
      </c>
      <c r="V268" s="519" t="str">
        <f t="array" ref="V268">XLOOKUP(LCARS_Off[AbilityID],RawOfficer[AbilityID],RawOfficer[AbilityAttributes])</f>
        <v>officer_stat=3</v>
      </c>
      <c r="W268" s="520" t="str">
        <f t="array" ref="W268">XLOOKUP(LCARS_Off[AbilityID],RawOfficer[AbilityID],RawOfficer[AbilityConditions])</f>
        <v>EnemyHostile</v>
      </c>
      <c r="X268" s="519" t="str">
        <f t="array" ref="X268">XLOOKUP(LCARS_Off[AbilityID],RawOfficer[AbilityID],RawOfficer[AbilityTrigger])</f>
        <v>RoundStart</v>
      </c>
      <c r="Y268" s="519" t="str">
        <f t="array" ref="Y268">XLOOKUP(LCARS_Off[AbilityID],RawOfficer[AbilityID],RawOfficer[AbilityTarget])</f>
        <v>SelfShip</v>
      </c>
      <c r="Z268" s="519" t="str">
        <f t="array" ref="Z268">XLOOKUP(LCARS_Off[AbilityID],RawOfficer[AbilityID],RawOfficer[AbilityOperation])</f>
        <v>MultiplyBaseAdd</v>
      </c>
      <c r="AA268" s="521" t="str">
        <f t="array" ref="AA268">XLOOKUP(LCARS_Off[AbilityID],RawOfficer[AbilityID],RawOfficer[AbilityDescription])</f>
        <v>When fighting Hostiles and Armadas, Beverly Crusher restores Shield Health each round equal to X of the Health of all Officers on the ship.</v>
      </c>
      <c r="AB268" s="429" t="b">
        <v>0</v>
      </c>
      <c r="AC268" s="522" t="str">
        <f t="array" ref="AC268">XLOOKUP(LCARS_Off[AbilityID],RawOfficer[AbilityID],RawOfficer[AbilityDescriptionShort])</f>
        <v>+X of total crew Health restored to SHP each round when fighting Hostiles/Armadas</v>
      </c>
      <c r="AD268" s="523"/>
      <c r="AE268" s="524"/>
      <c r="AF268" s="524"/>
      <c r="AG268" s="525" t="str">
        <f t="array" ref="AG268">XLOOKUP(LCARS_Off[AbilityID],RawOfficer[AbilityID],RawOfficer[AbilityChances])</f>
        <v>1.0, 1.0, 1.0</v>
      </c>
      <c r="AH268" s="525" t="str">
        <f t="array" ref="AH268">XLOOKUP(LCARS_Off[AbilityID],RawOfficer[AbilityID],RawOfficer[AbilityValues])</f>
        <v>2.0, 0.5, 1.0</v>
      </c>
      <c r="AI268" s="428" t="b">
        <f t="array" ref="AI268">XLOOKUP(LCARS_Off[AbilityID],RawOfficer[AbilityID],RawOfficer[AbilityHasChance])</f>
        <v>0</v>
      </c>
      <c r="AJ268" s="428" t="b">
        <f t="array" ref="AJ268">XLOOKUP(LCARS_Off[AbilityID],RawOfficer[AbilityID],RawOfficer[AbilityShowPercentage])</f>
        <v>1</v>
      </c>
      <c r="AK268" s="429">
        <f t="array" ref="AK268">XLOOKUP(LCARS_Off[AbilityID],RawOfficer[AbilityID],RawOfficer[OfficerArt])</f>
        <v>174</v>
      </c>
      <c r="AL268" s="430">
        <v>4.222722823E9</v>
      </c>
      <c r="AM268" s="430">
        <f t="array" ref="AM268">XLOOKUP(LCARS_Off[AbilityID],RawOfficer[AbilityID],RawOfficer[Default Order])</f>
        <v>265</v>
      </c>
    </row>
    <row r="269">
      <c r="A269" s="429" t="str">
        <f t="array" ref="A269">LEFT(XLOOKUP(LCARS_Off[AbilityID],RawOfficer[AbilityID],RawOfficer[OfficerRarity]), 1)</f>
        <v>R</v>
      </c>
      <c r="B269" s="429"/>
      <c r="C269" s="514" t="str">
        <f t="array" ref="C269">HYPERLINK("https://stfc.space/officers/" &amp; XLOOKUP(LCARS_Off[AbilityID],RawOfficer[AbilityID],RawOfficer[OfficerId]), XLOOKUP(LCARS_Off[AbilityID],RawOfficer[AbilityID],RawOfficer[OfficerName]))</f>
        <v>BEVERLY CRUSHER</v>
      </c>
      <c r="D269" s="515" t="str">
        <f t="array" ref="D269">XLOOKUP(LCARS_Off[AbilityID],RawOfficer[AbilityID],RawOfficer[AbilityType])</f>
        <v>OA</v>
      </c>
      <c r="E269" s="516" t="str">
        <f t="array" ref="E269">XLOOKUP(LCARS_Off[AbilityID],RawOfficer[AbilityID],RawOfficer[Tag_PvPinSpace])</f>
        <v>➖</v>
      </c>
      <c r="F269" s="516" t="str">
        <f t="array" ref="F269">XLOOKUP(LCARS_Off[AbilityID],RawOfficer[AbilityID],RawOfficer[Tag_PvPStation])</f>
        <v>➖</v>
      </c>
      <c r="G269" s="516" t="str">
        <f t="array" ref="G269">XLOOKUP(LCARS_Off[AbilityID],RawOfficer[AbilityID],RawOfficer[Tag_NonArmadaHostiles])</f>
        <v>✅</v>
      </c>
      <c r="H269" s="516" t="str">
        <f t="array" ref="H269">XLOOKUP(LCARS_Off[AbilityID],RawOfficer[AbilityID],RawOfficer[Tag_WaveDefense])</f>
        <v>✅</v>
      </c>
      <c r="I269" s="516" t="str">
        <f t="array" ref="I269">XLOOKUP(LCARS_Off[AbilityID],RawOfficer[AbilityID],RawOfficer[Tag_QTrial])</f>
        <v>✅</v>
      </c>
      <c r="J269" s="516" t="str">
        <f t="array" ref="J269">XLOOKUP(LCARS_Off[AbilityID],RawOfficer[AbilityID],RawOfficer[Tag_MissionBosses])</f>
        <v>➖</v>
      </c>
      <c r="K269" s="516" t="str">
        <f t="array" ref="K269">XLOOKUP(LCARS_Off[AbilityID],RawOfficer[AbilityID],RawOfficer[Tag_GroupArmadas])</f>
        <v>✅</v>
      </c>
      <c r="L269" s="516" t="str">
        <f t="array" ref="L269">XLOOKUP(LCARS_Off[AbilityID],RawOfficer[AbilityID],RawOfficer[Tag_SoloArmadas])</f>
        <v>✅</v>
      </c>
      <c r="M269" s="516" t="str">
        <f t="array" ref="M269">XLOOKUP(LCARS_Off[AbilityID],RawOfficer[AbilityID],RawOfficer[Tag_InvadingEntities])</f>
        <v>✅</v>
      </c>
      <c r="N269" s="516" t="str">
        <f t="array" ref="N269">XLOOKUP(LCARS_Off[AbilityID],RawOfficer[AbilityID],RawOfficer[Tag_Assaults])</f>
        <v>➖</v>
      </c>
      <c r="O269" s="516" t="str">
        <f t="array" ref="O269">XLOOKUP(LCARS_Off[AbilityID],RawOfficer[AbilityID],RawOfficer[Tag_OutpostArmadas])</f>
        <v>➖</v>
      </c>
      <c r="P269" s="516" t="str">
        <f t="array" ref="P269">XLOOKUP(LCARS_Off[AbilityID],RawOfficer[AbilityID],RawOfficer[Tag_OutpostRetaliators])</f>
        <v>➖</v>
      </c>
      <c r="Q269" s="517" t="str">
        <f t="array" ref="Q269">XLOOKUP(LCARS_Off[AbilityID],RawOfficer[AbilityID],RawOfficer[Conditional_Reason])</f>
        <v/>
      </c>
      <c r="R269" s="518" t="str">
        <f t="array" ref="R269">XLOOKUP(LCARS_Off[AbilityID],RawOfficer[AbilityID],RawOfficer[Tag_Loot])</f>
        <v>➖</v>
      </c>
      <c r="S269" s="516" t="str">
        <f t="array" ref="S269">XLOOKUP(LCARS_Off[AbilityID],RawOfficer[AbilityID],RawOfficer[Tag_Utility])</f>
        <v>➖</v>
      </c>
      <c r="T269" s="429" t="str">
        <f t="array" ref="T269">XLOOKUP(LCARS_Off[AbilityID],RawOfficer[AbilityID],RawOfficer[OfficerSynergy])</f>
        <v>TNG CREW</v>
      </c>
      <c r="U269" s="519" t="str">
        <f t="array" ref="U269">XLOOKUP(LCARS_Off[AbilityID],RawOfficer[AbilityID],RawOfficer[AbilityModifier])</f>
        <v>AllDefenses</v>
      </c>
      <c r="V269" s="519" t="str">
        <f t="array" ref="V269">XLOOKUP(LCARS_Off[AbilityID],RawOfficer[AbilityID],RawOfficer[AbilityAttributes])</f>
        <v>officer_stat=2</v>
      </c>
      <c r="W269" s="520" t="str">
        <f t="array" ref="W269">XLOOKUP(LCARS_Off[AbilityID],RawOfficer[AbilityID],RawOfficer[AbilityConditions])</f>
        <v>EnemyHostile</v>
      </c>
      <c r="X269" s="519" t="str">
        <f t="array" ref="X269">XLOOKUP(LCARS_Off[AbilityID],RawOfficer[AbilityID],RawOfficer[AbilityTrigger])</f>
        <v>CombatStart</v>
      </c>
      <c r="Y269" s="519" t="str">
        <f t="array" ref="Y269">XLOOKUP(LCARS_Off[AbilityID],RawOfficer[AbilityID],RawOfficer[AbilityTarget])</f>
        <v>SelfShip</v>
      </c>
      <c r="Z269" s="519" t="str">
        <f t="array" ref="Z269">XLOOKUP(LCARS_Off[AbilityID],RawOfficer[AbilityID],RawOfficer[AbilityOperation])</f>
        <v>MultiplyBaseAdd</v>
      </c>
      <c r="AA269" s="521" t="str">
        <f t="array" ref="AA269">XLOOKUP(LCARS_Off[AbilityID],RawOfficer[AbilityID],RawOfficer[AbilityDescription])</f>
        <v>When fighting Hostiles and Armadas, Beverly Crusher increases Armor, Shield Deflection, and Dodge by X of the Defense of all Officers on the ship.</v>
      </c>
      <c r="AB269" s="429" t="b">
        <v>0</v>
      </c>
      <c r="AC269" s="522" t="str">
        <f t="array" ref="AC269">XLOOKUP(LCARS_Off[AbilityID],RawOfficer[AbilityID],RawOfficer[AbilityDescriptionShort])</f>
        <v>+X to all Mitigation stats when fighting Hostiles/Armadas</v>
      </c>
      <c r="AD269" s="523"/>
      <c r="AE269" s="524"/>
      <c r="AF269" s="524"/>
      <c r="AG269" s="525" t="str">
        <f t="array" ref="AG269">XLOOKUP(LCARS_Off[AbilityID],RawOfficer[AbilityID],RawOfficer[AbilityChances])</f>
        <v>1.0, 1.0, 1.0, 1.0, 1.0</v>
      </c>
      <c r="AH269" s="525" t="str">
        <f t="array" ref="AH269">XLOOKUP(LCARS_Off[AbilityID],RawOfficer[AbilityID],RawOfficer[AbilityValues])</f>
        <v>1.5, 2.0, 2.5, 3.0, 3.5</v>
      </c>
      <c r="AI269" s="428" t="b">
        <f t="array" ref="AI269">XLOOKUP(LCARS_Off[AbilityID],RawOfficer[AbilityID],RawOfficer[AbilityHasChance])</f>
        <v>0</v>
      </c>
      <c r="AJ269" s="428" t="b">
        <f t="array" ref="AJ269">XLOOKUP(LCARS_Off[AbilityID],RawOfficer[AbilityID],RawOfficer[AbilityShowPercentage])</f>
        <v>1</v>
      </c>
      <c r="AK269" s="429">
        <f t="array" ref="AK269">XLOOKUP(LCARS_Off[AbilityID],RawOfficer[AbilityID],RawOfficer[OfficerArt])</f>
        <v>174</v>
      </c>
      <c r="AL269" s="430">
        <v>6.97043235E8</v>
      </c>
      <c r="AM269" s="430">
        <f t="array" ref="AM269">XLOOKUP(LCARS_Off[AbilityID],RawOfficer[AbilityID],RawOfficer[Default Order])</f>
        <v>266</v>
      </c>
    </row>
    <row r="270">
      <c r="A270" s="429" t="str">
        <f t="array" ref="A270">LEFT(XLOOKUP(LCARS_Off[AbilityID],RawOfficer[AbilityID],RawOfficer[OfficerRarity]), 1)</f>
        <v>E</v>
      </c>
      <c r="B270" s="429"/>
      <c r="C270" s="514" t="str">
        <f t="array" ref="C270">HYPERLINK("https://stfc.space/officers/" &amp; XLOOKUP(LCARS_Off[AbilityID],RawOfficer[AbilityID],RawOfficer[OfficerId]), XLOOKUP(LCARS_Off[AbilityID],RawOfficer[AbilityID],RawOfficer[OfficerName]))</f>
        <v>GEORDI LA FORGE</v>
      </c>
      <c r="D270" s="515" t="str">
        <f t="array" ref="D270">XLOOKUP(LCARS_Off[AbilityID],RawOfficer[AbilityID],RawOfficer[AbilityType])</f>
        <v>CM</v>
      </c>
      <c r="E270" s="516" t="str">
        <f t="array" ref="E270">XLOOKUP(LCARS_Off[AbilityID],RawOfficer[AbilityID],RawOfficer[Tag_PvPinSpace])</f>
        <v>➖</v>
      </c>
      <c r="F270" s="516" t="str">
        <f t="array" ref="F270">XLOOKUP(LCARS_Off[AbilityID],RawOfficer[AbilityID],RawOfficer[Tag_PvPStation])</f>
        <v>➖</v>
      </c>
      <c r="G270" s="516" t="str">
        <f t="array" ref="G270">XLOOKUP(LCARS_Off[AbilityID],RawOfficer[AbilityID],RawOfficer[Tag_NonArmadaHostiles])</f>
        <v>➖</v>
      </c>
      <c r="H270" s="516" t="str">
        <f t="array" ref="H270">XLOOKUP(LCARS_Off[AbilityID],RawOfficer[AbilityID],RawOfficer[Tag_WaveDefense])</f>
        <v>➖</v>
      </c>
      <c r="I270" s="516" t="str">
        <f t="array" ref="I270">XLOOKUP(LCARS_Off[AbilityID],RawOfficer[AbilityID],RawOfficer[Tag_QTrial])</f>
        <v>➖</v>
      </c>
      <c r="J270" s="516" t="str">
        <f t="array" ref="J270">XLOOKUP(LCARS_Off[AbilityID],RawOfficer[AbilityID],RawOfficer[Tag_MissionBosses])</f>
        <v>➖</v>
      </c>
      <c r="K270" s="516" t="str">
        <f t="array" ref="K270">XLOOKUP(LCARS_Off[AbilityID],RawOfficer[AbilityID],RawOfficer[Tag_GroupArmadas])</f>
        <v>✅</v>
      </c>
      <c r="L270" s="516" t="str">
        <f t="array" ref="L270">XLOOKUP(LCARS_Off[AbilityID],RawOfficer[AbilityID],RawOfficer[Tag_SoloArmadas])</f>
        <v>✅</v>
      </c>
      <c r="M270" s="516" t="str">
        <f t="array" ref="M270">XLOOKUP(LCARS_Off[AbilityID],RawOfficer[AbilityID],RawOfficer[Tag_InvadingEntities])</f>
        <v>✅</v>
      </c>
      <c r="N270" s="516" t="str">
        <f t="array" ref="N270">XLOOKUP(LCARS_Off[AbilityID],RawOfficer[AbilityID],RawOfficer[Tag_Assaults])</f>
        <v>➖</v>
      </c>
      <c r="O270" s="516" t="str">
        <f t="array" ref="O270">XLOOKUP(LCARS_Off[AbilityID],RawOfficer[AbilityID],RawOfficer[Tag_OutpostArmadas])</f>
        <v>✅</v>
      </c>
      <c r="P270" s="516" t="str">
        <f t="array" ref="P270">XLOOKUP(LCARS_Off[AbilityID],RawOfficer[AbilityID],RawOfficer[Tag_OutpostRetaliators])</f>
        <v>➖</v>
      </c>
      <c r="Q270" s="517" t="str">
        <f t="array" ref="Q270">XLOOKUP(LCARS_Off[AbilityID],RawOfficer[AbilityID],RawOfficer[Conditional_Reason])</f>
        <v/>
      </c>
      <c r="R270" s="518" t="str">
        <f t="array" ref="R270">XLOOKUP(LCARS_Off[AbilityID],RawOfficer[AbilityID],RawOfficer[Tag_Loot])</f>
        <v>✅</v>
      </c>
      <c r="S270" s="516" t="str">
        <f t="array" ref="S270">XLOOKUP(LCARS_Off[AbilityID],RawOfficer[AbilityID],RawOfficer[Tag_Utility])</f>
        <v>➖</v>
      </c>
      <c r="T270" s="429" t="str">
        <f t="array" ref="T270">XLOOKUP(LCARS_Off[AbilityID],RawOfficer[AbilityID],RawOfficer[OfficerSynergy])</f>
        <v>TNG CREW</v>
      </c>
      <c r="U270" s="519" t="str">
        <f t="array" ref="U270">XLOOKUP(LCARS_Off[AbilityID],RawOfficer[AbilityID],RawOfficer[AbilityModifier])</f>
        <v>ArmadaLoot</v>
      </c>
      <c r="V270" s="519" t="str">
        <f t="array" ref="V270">XLOOKUP(LCARS_Off[AbilityID],RawOfficer[AbilityID],RawOfficer[AbilityAttributes])</f>
        <v/>
      </c>
      <c r="W270" s="520" t="str">
        <f t="array" ref="W270">XLOOKUP(LCARS_Off[AbilityID],RawOfficer[AbilityID],RawOfficer[AbilityConditions])</f>
        <v/>
      </c>
      <c r="X270" s="519" t="str">
        <f t="array" ref="X270">XLOOKUP(LCARS_Off[AbilityID],RawOfficer[AbilityID],RawOfficer[AbilityTrigger])</f>
        <v>ShipLaunched</v>
      </c>
      <c r="Y270" s="519" t="str">
        <f t="array" ref="Y270">XLOOKUP(LCARS_Off[AbilityID],RawOfficer[AbilityID],RawOfficer[AbilityTarget])</f>
        <v>SelfShip</v>
      </c>
      <c r="Z270" s="519" t="str">
        <f t="array" ref="Z270">XLOOKUP(LCARS_Off[AbilityID],RawOfficer[AbilityID],RawOfficer[AbilityOperation])</f>
        <v>MultiplyAdd</v>
      </c>
      <c r="AA270" s="521" t="str">
        <f t="array" ref="AA270">XLOOKUP(LCARS_Off[AbilityID],RawOfficer[AbilityID],RawOfficer[AbilityDescription])</f>
        <v>Geordi La Forge increases the rewards your ship receives from defeated Armada Targets by X.</v>
      </c>
      <c r="AB270" s="429" t="b">
        <v>1</v>
      </c>
      <c r="AC270" s="522" t="str">
        <f t="array" ref="AC270">XLOOKUP(LCARS_Off[AbilityID],RawOfficer[AbilityID],RawOfficer[AbilityDescriptionShort])</f>
        <v>+X increased rewards that your ship receives from defeated Armadas</v>
      </c>
      <c r="AD270" s="523"/>
      <c r="AE270" s="521" t="s">
        <v>571</v>
      </c>
      <c r="AF270" s="524"/>
      <c r="AG270" s="525" t="str">
        <f t="array" ref="AG270">XLOOKUP(LCARS_Off[AbilityID],RawOfficer[AbilityID],RawOfficer[AbilityChances])</f>
        <v>1.0, 1.0, 1.0</v>
      </c>
      <c r="AH270" s="525" t="str">
        <f t="array" ref="AH270">XLOOKUP(LCARS_Off[AbilityID],RawOfficer[AbilityID],RawOfficer[AbilityValues])</f>
        <v>0.5, 0.1, 0.15</v>
      </c>
      <c r="AI270" s="428" t="b">
        <f t="array" ref="AI270">XLOOKUP(LCARS_Off[AbilityID],RawOfficer[AbilityID],RawOfficer[AbilityHasChance])</f>
        <v>0</v>
      </c>
      <c r="AJ270" s="428" t="b">
        <f t="array" ref="AJ270">XLOOKUP(LCARS_Off[AbilityID],RawOfficer[AbilityID],RawOfficer[AbilityShowPercentage])</f>
        <v>1</v>
      </c>
      <c r="AK270" s="429">
        <f t="array" ref="AK270">XLOOKUP(LCARS_Off[AbilityID],RawOfficer[AbilityID],RawOfficer[OfficerArt])</f>
        <v>175</v>
      </c>
      <c r="AL270" s="430">
        <v>3.45049752E8</v>
      </c>
      <c r="AM270" s="430">
        <f t="array" ref="AM270">XLOOKUP(LCARS_Off[AbilityID],RawOfficer[AbilityID],RawOfficer[Default Order])</f>
        <v>267</v>
      </c>
    </row>
    <row r="271">
      <c r="A271" s="429" t="str">
        <f t="array" ref="A271">LEFT(XLOOKUP(LCARS_Off[AbilityID],RawOfficer[AbilityID],RawOfficer[OfficerRarity]), 1)</f>
        <v>E</v>
      </c>
      <c r="B271" s="429"/>
      <c r="C271" s="514" t="str">
        <f t="array" ref="C271">HYPERLINK("https://stfc.space/officers/" &amp; XLOOKUP(LCARS_Off[AbilityID],RawOfficer[AbilityID],RawOfficer[OfficerId]), XLOOKUP(LCARS_Off[AbilityID],RawOfficer[AbilityID],RawOfficer[OfficerName]))</f>
        <v>GEORDI LA FORGE</v>
      </c>
      <c r="D271" s="515" t="str">
        <f t="array" ref="D271">XLOOKUP(LCARS_Off[AbilityID],RawOfficer[AbilityID],RawOfficer[AbilityType])</f>
        <v>OA</v>
      </c>
      <c r="E271" s="516" t="str">
        <f t="array" ref="E271">XLOOKUP(LCARS_Off[AbilityID],RawOfficer[AbilityID],RawOfficer[Tag_PvPinSpace])</f>
        <v>➖</v>
      </c>
      <c r="F271" s="516" t="str">
        <f t="array" ref="F271">XLOOKUP(LCARS_Off[AbilityID],RawOfficer[AbilityID],RawOfficer[Tag_PvPStation])</f>
        <v>➖</v>
      </c>
      <c r="G271" s="516" t="str">
        <f t="array" ref="G271">XLOOKUP(LCARS_Off[AbilityID],RawOfficer[AbilityID],RawOfficer[Tag_NonArmadaHostiles])</f>
        <v>✴️</v>
      </c>
      <c r="H271" s="516" t="str">
        <f t="array" ref="H271">XLOOKUP(LCARS_Off[AbilityID],RawOfficer[AbilityID],RawOfficer[Tag_WaveDefense])</f>
        <v>✴️</v>
      </c>
      <c r="I271" s="516" t="str">
        <f t="array" ref="I271">XLOOKUP(LCARS_Off[AbilityID],RawOfficer[AbilityID],RawOfficer[Tag_QTrial])</f>
        <v>✴️</v>
      </c>
      <c r="J271" s="516" t="str">
        <f t="array" ref="J271">XLOOKUP(LCARS_Off[AbilityID],RawOfficer[AbilityID],RawOfficer[Tag_MissionBosses])</f>
        <v>➖</v>
      </c>
      <c r="K271" s="516" t="str">
        <f t="array" ref="K271">XLOOKUP(LCARS_Off[AbilityID],RawOfficer[AbilityID],RawOfficer[Tag_GroupArmadas])</f>
        <v>✴️</v>
      </c>
      <c r="L271" s="516" t="str">
        <f t="array" ref="L271">XLOOKUP(LCARS_Off[AbilityID],RawOfficer[AbilityID],RawOfficer[Tag_SoloArmadas])</f>
        <v>✴️</v>
      </c>
      <c r="M271" s="516" t="str">
        <f t="array" ref="M271">XLOOKUP(LCARS_Off[AbilityID],RawOfficer[AbilityID],RawOfficer[Tag_InvadingEntities])</f>
        <v>➖</v>
      </c>
      <c r="N271" s="516" t="str">
        <f t="array" ref="N271">XLOOKUP(LCARS_Off[AbilityID],RawOfficer[AbilityID],RawOfficer[Tag_Assaults])</f>
        <v>➖</v>
      </c>
      <c r="O271" s="516" t="str">
        <f t="array" ref="O271">XLOOKUP(LCARS_Off[AbilityID],RawOfficer[AbilityID],RawOfficer[Tag_OutpostArmadas])</f>
        <v>➖</v>
      </c>
      <c r="P271" s="516" t="str">
        <f t="array" ref="P271">XLOOKUP(LCARS_Off[AbilityID],RawOfficer[AbilityID],RawOfficer[Tag_OutpostRetaliators])</f>
        <v>➖</v>
      </c>
      <c r="Q271" s="517" t="str">
        <f t="array" ref="Q271">XLOOKUP(LCARS_Off[AbilityID],RawOfficer[AbilityID],RawOfficer[Conditional_Reason])</f>
        <v>Klingon</v>
      </c>
      <c r="R271" s="518" t="str">
        <f t="array" ref="R271">XLOOKUP(LCARS_Off[AbilityID],RawOfficer[AbilityID],RawOfficer[Tag_Loot])</f>
        <v>➖</v>
      </c>
      <c r="S271" s="516" t="str">
        <f t="array" ref="S271">XLOOKUP(LCARS_Off[AbilityID],RawOfficer[AbilityID],RawOfficer[Tag_Utility])</f>
        <v>➖</v>
      </c>
      <c r="T271" s="429" t="str">
        <f t="array" ref="T271">XLOOKUP(LCARS_Off[AbilityID],RawOfficer[AbilityID],RawOfficer[OfficerSynergy])</f>
        <v>TNG CREW</v>
      </c>
      <c r="U271" s="519" t="str">
        <f t="array" ref="U271">XLOOKUP(LCARS_Off[AbilityID],RawOfficer[AbilityID],RawOfficer[AbilityModifier])</f>
        <v>AllDamage</v>
      </c>
      <c r="V271" s="519" t="str">
        <f t="array" ref="V271">XLOOKUP(LCARS_Off[AbilityID],RawOfficer[AbilityID],RawOfficer[AbilityAttributes])</f>
        <v>faction_id=4153667145</v>
      </c>
      <c r="W271" s="520" t="str">
        <f t="array" ref="W271">XLOOKUP(LCARS_Off[AbilityID],RawOfficer[AbilityID],RawOfficer[AbilityConditions])</f>
        <v>EnemyHullFaction, EnemyHostile</v>
      </c>
      <c r="X271" s="519" t="str">
        <f t="array" ref="X271">XLOOKUP(LCARS_Off[AbilityID],RawOfficer[AbilityID],RawOfficer[AbilityTrigger])</f>
        <v>CombatStart</v>
      </c>
      <c r="Y271" s="519" t="str">
        <f t="array" ref="Y271">XLOOKUP(LCARS_Off[AbilityID],RawOfficer[AbilityID],RawOfficer[AbilityTarget])</f>
        <v>SelfShip</v>
      </c>
      <c r="Z271" s="519" t="str">
        <f t="array" ref="Z271">XLOOKUP(LCARS_Off[AbilityID],RawOfficer[AbilityID],RawOfficer[AbilityOperation])</f>
        <v>MultiplyAdd</v>
      </c>
      <c r="AA271" s="521" t="str">
        <f t="array" ref="AA271">XLOOKUP(LCARS_Off[AbilityID],RawOfficer[AbilityID],RawOfficer[AbilityDescription])</f>
        <v>Geordi La Forge increases Weapon Damage against Klingon Hostiles and Klingon Armadas by X.</v>
      </c>
      <c r="AB271" s="429" t="b">
        <v>0</v>
      </c>
      <c r="AC271" s="522" t="str">
        <f t="array" ref="AC271">XLOOKUP(LCARS_Off[AbilityID],RawOfficer[AbilityID],RawOfficer[AbilityDescriptionShort])</f>
        <v>+X to Weapon Damage against Klingon Hostiles/Armadas</v>
      </c>
      <c r="AD271" s="523"/>
      <c r="AE271" s="524"/>
      <c r="AF271" s="524"/>
      <c r="AG271" s="525" t="str">
        <f t="array" ref="AG271">XLOOKUP(LCARS_Off[AbilityID],RawOfficer[AbilityID],RawOfficer[AbilityChances])</f>
        <v>1.0, 1.0, 1.0, 1.0, 1.0</v>
      </c>
      <c r="AH271" s="525" t="str">
        <f t="array" ref="AH271">XLOOKUP(LCARS_Off[AbilityID],RawOfficer[AbilityID],RawOfficer[AbilityValues])</f>
        <v>1.0, 1.5, 2.0, 2.5, 3.0</v>
      </c>
      <c r="AI271" s="428" t="b">
        <f t="array" ref="AI271">XLOOKUP(LCARS_Off[AbilityID],RawOfficer[AbilityID],RawOfficer[AbilityHasChance])</f>
        <v>0</v>
      </c>
      <c r="AJ271" s="428" t="b">
        <f t="array" ref="AJ271">XLOOKUP(LCARS_Off[AbilityID],RawOfficer[AbilityID],RawOfficer[AbilityShowPercentage])</f>
        <v>1</v>
      </c>
      <c r="AK271" s="429">
        <f t="array" ref="AK271">XLOOKUP(LCARS_Off[AbilityID],RawOfficer[AbilityID],RawOfficer[OfficerArt])</f>
        <v>175</v>
      </c>
      <c r="AL271" s="430">
        <v>3.30406172E8</v>
      </c>
      <c r="AM271" s="430">
        <f t="array" ref="AM271">XLOOKUP(LCARS_Off[AbilityID],RawOfficer[AbilityID],RawOfficer[Default Order])</f>
        <v>268</v>
      </c>
    </row>
    <row r="272">
      <c r="A272" s="429" t="str">
        <f t="array" ref="A272">LEFT(XLOOKUP(LCARS_Off[AbilityID],RawOfficer[AbilityID],RawOfficer[OfficerRarity]), 1)</f>
        <v>E</v>
      </c>
      <c r="B272" s="429"/>
      <c r="C272" s="514" t="str">
        <f t="array" ref="C272">HYPERLINK("https://stfc.space/officers/" &amp; XLOOKUP(LCARS_Off[AbilityID],RawOfficer[AbilityID],RawOfficer[OfficerId]), XLOOKUP(LCARS_Off[AbilityID],RawOfficer[AbilityID],RawOfficer[OfficerName]))</f>
        <v>JEAN-LUC PICARD</v>
      </c>
      <c r="D272" s="515" t="str">
        <f t="array" ref="D272">XLOOKUP(LCARS_Off[AbilityID],RawOfficer[AbilityID],RawOfficer[AbilityType])</f>
        <v>CM</v>
      </c>
      <c r="E272" s="516" t="str">
        <f t="array" ref="E272">XLOOKUP(LCARS_Off[AbilityID],RawOfficer[AbilityID],RawOfficer[Tag_PvPinSpace])</f>
        <v>✴️</v>
      </c>
      <c r="F272" s="516" t="str">
        <f t="array" ref="F272">XLOOKUP(LCARS_Off[AbilityID],RawOfficer[AbilityID],RawOfficer[Tag_PvPStation])</f>
        <v>✴️</v>
      </c>
      <c r="G272" s="516" t="str">
        <f t="array" ref="G272">XLOOKUP(LCARS_Off[AbilityID],RawOfficer[AbilityID],RawOfficer[Tag_NonArmadaHostiles])</f>
        <v>✴️</v>
      </c>
      <c r="H272" s="516" t="str">
        <f t="array" ref="H272">XLOOKUP(LCARS_Off[AbilityID],RawOfficer[AbilityID],RawOfficer[Tag_WaveDefense])</f>
        <v>✴️</v>
      </c>
      <c r="I272" s="516" t="str">
        <f t="array" ref="I272">XLOOKUP(LCARS_Off[AbilityID],RawOfficer[AbilityID],RawOfficer[Tag_QTrial])</f>
        <v>✴️</v>
      </c>
      <c r="J272" s="516" t="str">
        <f t="array" ref="J272">XLOOKUP(LCARS_Off[AbilityID],RawOfficer[AbilityID],RawOfficer[Tag_MissionBosses])</f>
        <v>✴️</v>
      </c>
      <c r="K272" s="516" t="str">
        <f t="array" ref="K272">XLOOKUP(LCARS_Off[AbilityID],RawOfficer[AbilityID],RawOfficer[Tag_GroupArmadas])</f>
        <v>✴️</v>
      </c>
      <c r="L272" s="516" t="str">
        <f t="array" ref="L272">XLOOKUP(LCARS_Off[AbilityID],RawOfficer[AbilityID],RawOfficer[Tag_SoloArmadas])</f>
        <v>✴️</v>
      </c>
      <c r="M272" s="516" t="str">
        <f t="array" ref="M272">XLOOKUP(LCARS_Off[AbilityID],RawOfficer[AbilityID],RawOfficer[Tag_InvadingEntities])</f>
        <v>✴️</v>
      </c>
      <c r="N272" s="516" t="str">
        <f t="array" ref="N272">XLOOKUP(LCARS_Off[AbilityID],RawOfficer[AbilityID],RawOfficer[Tag_Assaults])</f>
        <v>✴️</v>
      </c>
      <c r="O272" s="516" t="str">
        <f t="array" ref="O272">XLOOKUP(LCARS_Off[AbilityID],RawOfficer[AbilityID],RawOfficer[Tag_OutpostArmadas])</f>
        <v>✴️</v>
      </c>
      <c r="P272" s="516" t="str">
        <f t="array" ref="P272">XLOOKUP(LCARS_Off[AbilityID],RawOfficer[AbilityID],RawOfficer[Tag_OutpostRetaliators])</f>
        <v>✴️</v>
      </c>
      <c r="Q272" s="517" t="str">
        <f t="array" ref="Q272">XLOOKUP(LCARS_Off[AbilityID],RawOfficer[AbilityID],RawOfficer[Conditional_Reason])</f>
        <v>target level 70 or under</v>
      </c>
      <c r="R272" s="518" t="str">
        <f t="array" ref="R272">XLOOKUP(LCARS_Off[AbilityID],RawOfficer[AbilityID],RawOfficer[Tag_Loot])</f>
        <v>➖</v>
      </c>
      <c r="S272" s="516" t="str">
        <f t="array" ref="S272">XLOOKUP(LCARS_Off[AbilityID],RawOfficer[AbilityID],RawOfficer[Tag_Utility])</f>
        <v>➖</v>
      </c>
      <c r="T272" s="429" t="str">
        <f t="array" ref="T272">XLOOKUP(LCARS_Off[AbilityID],RawOfficer[AbilityID],RawOfficer[OfficerSynergy])</f>
        <v>TNG CREW</v>
      </c>
      <c r="U272" s="519" t="str">
        <f t="array" ref="U272">XLOOKUP(LCARS_Off[AbilityID],RawOfficer[AbilityID],RawOfficer[AbilityModifier])</f>
        <v>OffAbilityEffect</v>
      </c>
      <c r="V272" s="519" t="str">
        <f t="array" ref="V272">XLOOKUP(LCARS_Off[AbilityID],RawOfficer[AbilityID],RawOfficer[AbilityAttributes])</f>
        <v>max_level=70</v>
      </c>
      <c r="W272" s="520" t="str">
        <f t="array" ref="W272">XLOOKUP(LCARS_Off[AbilityID],RawOfficer[AbilityID],RawOfficer[AbilityConditions])</f>
        <v>TargetMaxLevel</v>
      </c>
      <c r="X272" s="519" t="str">
        <f t="array" ref="X272">XLOOKUP(LCARS_Off[AbilityID],RawOfficer[AbilityID],RawOfficer[AbilityTrigger])</f>
        <v>CombatStart</v>
      </c>
      <c r="Y272" s="519" t="str">
        <f t="array" ref="Y272">XLOOKUP(LCARS_Off[AbilityID],RawOfficer[AbilityID],RawOfficer[AbilityTarget])</f>
        <v>SelfBridge</v>
      </c>
      <c r="Z272" s="519" t="str">
        <f t="array" ref="Z272">XLOOKUP(LCARS_Off[AbilityID],RawOfficer[AbilityID],RawOfficer[AbilityOperation])</f>
        <v>MultiplyAdd</v>
      </c>
      <c r="AA272" s="521" t="str">
        <f t="array" ref="AA272">XLOOKUP(LCARS_Off[AbilityID],RawOfficer[AbilityID],RawOfficer[AbilityDescription])</f>
        <v>Jean-Luc Picard increases the effectiveness of all Officer Abilities that trigger in combat by X. Works against Hostiles of level 70 and under. -- This ability receives the same synergy bonus from all TNG Officers, regardless of class.</v>
      </c>
      <c r="AB272" s="429" t="b">
        <v>0</v>
      </c>
      <c r="AC272" s="522" t="str">
        <f t="array" ref="AC272">XLOOKUP(LCARS_Off[AbilityID],RawOfficer[AbilityID],RawOfficer[AbilityDescriptionShort])</f>
        <v>X increased effectiveness to Officer Abilities that activate in combat</v>
      </c>
      <c r="AD272" s="523"/>
      <c r="AE272" s="524"/>
      <c r="AF272" s="524"/>
      <c r="AG272" s="525" t="str">
        <f t="array" ref="AG272">XLOOKUP(LCARS_Off[AbilityID],RawOfficer[AbilityID],RawOfficer[AbilityChances])</f>
        <v>1.0, 1.0, 1.0</v>
      </c>
      <c r="AH272" s="525" t="str">
        <f t="array" ref="AH272">XLOOKUP(LCARS_Off[AbilityID],RawOfficer[AbilityID],RawOfficer[AbilityValues])</f>
        <v>0.2, 1.0, 1.0</v>
      </c>
      <c r="AI272" s="428" t="b">
        <f t="array" ref="AI272">XLOOKUP(LCARS_Off[AbilityID],RawOfficer[AbilityID],RawOfficer[AbilityHasChance])</f>
        <v>0</v>
      </c>
      <c r="AJ272" s="428" t="b">
        <f t="array" ref="AJ272">XLOOKUP(LCARS_Off[AbilityID],RawOfficer[AbilityID],RawOfficer[AbilityShowPercentage])</f>
        <v>1</v>
      </c>
      <c r="AK272" s="429">
        <f t="array" ref="AK272">XLOOKUP(LCARS_Off[AbilityID],RawOfficer[AbilityID],RawOfficer[OfficerArt])</f>
        <v>170</v>
      </c>
      <c r="AL272" s="430">
        <v>1.022859147E9</v>
      </c>
      <c r="AM272" s="430">
        <f t="array" ref="AM272">XLOOKUP(LCARS_Off[AbilityID],RawOfficer[AbilityID],RawOfficer[Default Order])</f>
        <v>269</v>
      </c>
    </row>
    <row r="273">
      <c r="A273" s="429" t="str">
        <f t="array" ref="A273">LEFT(XLOOKUP(LCARS_Off[AbilityID],RawOfficer[AbilityID],RawOfficer[OfficerRarity]), 1)</f>
        <v>E</v>
      </c>
      <c r="B273" s="429"/>
      <c r="C273" s="514" t="str">
        <f t="array" ref="C273">HYPERLINK("https://stfc.space/officers/" &amp; XLOOKUP(LCARS_Off[AbilityID],RawOfficer[AbilityID],RawOfficer[OfficerId]), XLOOKUP(LCARS_Off[AbilityID],RawOfficer[AbilityID],RawOfficer[OfficerName]))</f>
        <v>JEAN-LUC PICARD</v>
      </c>
      <c r="D273" s="515" t="str">
        <f t="array" ref="D273">XLOOKUP(LCARS_Off[AbilityID],RawOfficer[AbilityID],RawOfficer[AbilityType])</f>
        <v>OA</v>
      </c>
      <c r="E273" s="516" t="str">
        <f t="array" ref="E273">XLOOKUP(LCARS_Off[AbilityID],RawOfficer[AbilityID],RawOfficer[Tag_PvPinSpace])</f>
        <v>✅</v>
      </c>
      <c r="F273" s="516" t="str">
        <f t="array" ref="F273">XLOOKUP(LCARS_Off[AbilityID],RawOfficer[AbilityID],RawOfficer[Tag_PvPStation])</f>
        <v>✅</v>
      </c>
      <c r="G273" s="516" t="str">
        <f t="array" ref="G273">XLOOKUP(LCARS_Off[AbilityID],RawOfficer[AbilityID],RawOfficer[Tag_NonArmadaHostiles])</f>
        <v>✅</v>
      </c>
      <c r="H273" s="516" t="str">
        <f t="array" ref="H273">XLOOKUP(LCARS_Off[AbilityID],RawOfficer[AbilityID],RawOfficer[Tag_WaveDefense])</f>
        <v>✅</v>
      </c>
      <c r="I273" s="516" t="str">
        <f t="array" ref="I273">XLOOKUP(LCARS_Off[AbilityID],RawOfficer[AbilityID],RawOfficer[Tag_QTrial])</f>
        <v>✅</v>
      </c>
      <c r="J273" s="516" t="str">
        <f t="array" ref="J273">XLOOKUP(LCARS_Off[AbilityID],RawOfficer[AbilityID],RawOfficer[Tag_MissionBosses])</f>
        <v>✅</v>
      </c>
      <c r="K273" s="516" t="str">
        <f t="array" ref="K273">XLOOKUP(LCARS_Off[AbilityID],RawOfficer[AbilityID],RawOfficer[Tag_GroupArmadas])</f>
        <v>✅</v>
      </c>
      <c r="L273" s="516" t="str">
        <f t="array" ref="L273">XLOOKUP(LCARS_Off[AbilityID],RawOfficer[AbilityID],RawOfficer[Tag_SoloArmadas])</f>
        <v>✅</v>
      </c>
      <c r="M273" s="516" t="str">
        <f t="array" ref="M273">XLOOKUP(LCARS_Off[AbilityID],RawOfficer[AbilityID],RawOfficer[Tag_InvadingEntities])</f>
        <v>✅</v>
      </c>
      <c r="N273" s="516" t="str">
        <f t="array" ref="N273">XLOOKUP(LCARS_Off[AbilityID],RawOfficer[AbilityID],RawOfficer[Tag_Assaults])</f>
        <v>✅</v>
      </c>
      <c r="O273" s="516" t="str">
        <f t="array" ref="O273">XLOOKUP(LCARS_Off[AbilityID],RawOfficer[AbilityID],RawOfficer[Tag_OutpostArmadas])</f>
        <v>✅</v>
      </c>
      <c r="P273" s="516" t="str">
        <f t="array" ref="P273">XLOOKUP(LCARS_Off[AbilityID],RawOfficer[AbilityID],RawOfficer[Tag_OutpostRetaliators])</f>
        <v>✅</v>
      </c>
      <c r="Q273" s="517" t="str">
        <f t="array" ref="Q273">XLOOKUP(LCARS_Off[AbilityID],RawOfficer[AbilityID],RawOfficer[Conditional_Reason])</f>
        <v/>
      </c>
      <c r="R273" s="518" t="str">
        <f t="array" ref="R273">XLOOKUP(LCARS_Off[AbilityID],RawOfficer[AbilityID],RawOfficer[Tag_Loot])</f>
        <v>➖</v>
      </c>
      <c r="S273" s="516" t="str">
        <f t="array" ref="S273">XLOOKUP(LCARS_Off[AbilityID],RawOfficer[AbilityID],RawOfficer[Tag_Utility])</f>
        <v>➖</v>
      </c>
      <c r="T273" s="429" t="str">
        <f t="array" ref="T273">XLOOKUP(LCARS_Off[AbilityID],RawOfficer[AbilityID],RawOfficer[OfficerSynergy])</f>
        <v>TNG CREW</v>
      </c>
      <c r="U273" s="519" t="str">
        <f t="array" ref="U273">XLOOKUP(LCARS_Off[AbilityID],RawOfficer[AbilityID],RawOfficer[AbilityModifier])</f>
        <v>CritDamage</v>
      </c>
      <c r="V273" s="519" t="str">
        <f t="array" ref="V273">XLOOKUP(LCARS_Off[AbilityID],RawOfficer[AbilityID],RawOfficer[AbilityAttributes])</f>
        <v/>
      </c>
      <c r="W273" s="520" t="str">
        <f t="array" ref="W273">XLOOKUP(LCARS_Off[AbilityID],RawOfficer[AbilityID],RawOfficer[AbilityConditions])</f>
        <v/>
      </c>
      <c r="X273" s="519" t="str">
        <f t="array" ref="X273">XLOOKUP(LCARS_Off[AbilityID],RawOfficer[AbilityID],RawOfficer[AbilityTrigger])</f>
        <v>CombatStart</v>
      </c>
      <c r="Y273" s="519" t="str">
        <f t="array" ref="Y273">XLOOKUP(LCARS_Off[AbilityID],RawOfficer[AbilityID],RawOfficer[AbilityTarget])</f>
        <v>SelfShip</v>
      </c>
      <c r="Z273" s="519" t="str">
        <f t="array" ref="Z273">XLOOKUP(LCARS_Off[AbilityID],RawOfficer[AbilityID],RawOfficer[AbilityOperation])</f>
        <v>MultiplyAdd</v>
      </c>
      <c r="AA273" s="521" t="str">
        <f t="array" ref="AA273">XLOOKUP(LCARS_Off[AbilityID],RawOfficer[AbilityID],RawOfficer[AbilityDescription])</f>
        <v>Jean-Luc Picard increases your Critical Hit Damage by X.</v>
      </c>
      <c r="AB273" s="429" t="b">
        <v>0</v>
      </c>
      <c r="AC273" s="522" t="str">
        <f t="array" ref="AC273">XLOOKUP(LCARS_Off[AbilityID],RawOfficer[AbilityID],RawOfficer[AbilityDescriptionShort])</f>
        <v>+X to your Critical Hit Damage</v>
      </c>
      <c r="AD273" s="523"/>
      <c r="AE273" s="524"/>
      <c r="AF273" s="524"/>
      <c r="AG273" s="525" t="str">
        <f t="array" ref="AG273">XLOOKUP(LCARS_Off[AbilityID],RawOfficer[AbilityID],RawOfficer[AbilityChances])</f>
        <v>1.0, 1.0, 1.0, 1.0, 1.0</v>
      </c>
      <c r="AH273" s="525" t="str">
        <f t="array" ref="AH273">XLOOKUP(LCARS_Off[AbilityID],RawOfficer[AbilityID],RawOfficer[AbilityValues])</f>
        <v>0.05, 0.1, 0.15, 0.2, 0.25</v>
      </c>
      <c r="AI273" s="428" t="b">
        <f t="array" ref="AI273">XLOOKUP(LCARS_Off[AbilityID],RawOfficer[AbilityID],RawOfficer[AbilityHasChance])</f>
        <v>0</v>
      </c>
      <c r="AJ273" s="428" t="b">
        <f t="array" ref="AJ273">XLOOKUP(LCARS_Off[AbilityID],RawOfficer[AbilityID],RawOfficer[AbilityShowPercentage])</f>
        <v>1</v>
      </c>
      <c r="AK273" s="429">
        <f t="array" ref="AK273">XLOOKUP(LCARS_Off[AbilityID],RawOfficer[AbilityID],RawOfficer[OfficerArt])</f>
        <v>170</v>
      </c>
      <c r="AL273" s="430">
        <v>3.573803212E9</v>
      </c>
      <c r="AM273" s="430">
        <f t="array" ref="AM273">XLOOKUP(LCARS_Off[AbilityID],RawOfficer[AbilityID],RawOfficer[Default Order])</f>
        <v>270</v>
      </c>
    </row>
    <row r="274">
      <c r="A274" s="429" t="str">
        <f t="array" ref="A274">LEFT(XLOOKUP(LCARS_Off[AbilityID],RawOfficer[AbilityID],RawOfficer[OfficerRarity]), 1)</f>
        <v>R</v>
      </c>
      <c r="B274" s="429"/>
      <c r="C274" s="514" t="str">
        <f t="array" ref="C274">HYPERLINK("https://stfc.space/officers/" &amp; XLOOKUP(LCARS_Off[AbilityID],RawOfficer[AbilityID],RawOfficer[OfficerId]), XLOOKUP(LCARS_Off[AbilityID],RawOfficer[AbilityID],RawOfficer[OfficerName]))</f>
        <v>WESLEY CRUSHER</v>
      </c>
      <c r="D274" s="515" t="str">
        <f t="array" ref="D274">XLOOKUP(LCARS_Off[AbilityID],RawOfficer[AbilityID],RawOfficer[AbilityType])</f>
        <v>CM</v>
      </c>
      <c r="E274" s="516" t="str">
        <f t="array" ref="E274">XLOOKUP(LCARS_Off[AbilityID],RawOfficer[AbilityID],RawOfficer[Tag_PvPinSpace])</f>
        <v>➖</v>
      </c>
      <c r="F274" s="516" t="str">
        <f t="array" ref="F274">XLOOKUP(LCARS_Off[AbilityID],RawOfficer[AbilityID],RawOfficer[Tag_PvPStation])</f>
        <v>➖</v>
      </c>
      <c r="G274" s="516" t="str">
        <f t="array" ref="G274">XLOOKUP(LCARS_Off[AbilityID],RawOfficer[AbilityID],RawOfficer[Tag_NonArmadaHostiles])</f>
        <v>✅</v>
      </c>
      <c r="H274" s="516" t="str">
        <f t="array" ref="H274">XLOOKUP(LCARS_Off[AbilityID],RawOfficer[AbilityID],RawOfficer[Tag_WaveDefense])</f>
        <v>✅</v>
      </c>
      <c r="I274" s="516" t="str">
        <f t="array" ref="I274">XLOOKUP(LCARS_Off[AbilityID],RawOfficer[AbilityID],RawOfficer[Tag_QTrial])</f>
        <v>✅</v>
      </c>
      <c r="J274" s="516" t="str">
        <f t="array" ref="J274">XLOOKUP(LCARS_Off[AbilityID],RawOfficer[AbilityID],RawOfficer[Tag_MissionBosses])</f>
        <v>➖</v>
      </c>
      <c r="K274" s="516" t="str">
        <f t="array" ref="K274">XLOOKUP(LCARS_Off[AbilityID],RawOfficer[AbilityID],RawOfficer[Tag_GroupArmadas])</f>
        <v>✅</v>
      </c>
      <c r="L274" s="516" t="str">
        <f t="array" ref="L274">XLOOKUP(LCARS_Off[AbilityID],RawOfficer[AbilityID],RawOfficer[Tag_SoloArmadas])</f>
        <v>✅</v>
      </c>
      <c r="M274" s="516" t="str">
        <f t="array" ref="M274">XLOOKUP(LCARS_Off[AbilityID],RawOfficer[AbilityID],RawOfficer[Tag_InvadingEntities])</f>
        <v>✅</v>
      </c>
      <c r="N274" s="516" t="str">
        <f t="array" ref="N274">XLOOKUP(LCARS_Off[AbilityID],RawOfficer[AbilityID],RawOfficer[Tag_Assaults])</f>
        <v>➖</v>
      </c>
      <c r="O274" s="516" t="str">
        <f t="array" ref="O274">XLOOKUP(LCARS_Off[AbilityID],RawOfficer[AbilityID],RawOfficer[Tag_OutpostArmadas])</f>
        <v>➖</v>
      </c>
      <c r="P274" s="516" t="str">
        <f t="array" ref="P274">XLOOKUP(LCARS_Off[AbilityID],RawOfficer[AbilityID],RawOfficer[Tag_OutpostRetaliators])</f>
        <v>➖</v>
      </c>
      <c r="Q274" s="517" t="str">
        <f t="array" ref="Q274">XLOOKUP(LCARS_Off[AbilityID],RawOfficer[AbilityID],RawOfficer[Conditional_Reason])</f>
        <v/>
      </c>
      <c r="R274" s="518" t="str">
        <f t="array" ref="R274">XLOOKUP(LCARS_Off[AbilityID],RawOfficer[AbilityID],RawOfficer[Tag_Loot])</f>
        <v>➖</v>
      </c>
      <c r="S274" s="516" t="str">
        <f t="array" ref="S274">XLOOKUP(LCARS_Off[AbilityID],RawOfficer[AbilityID],RawOfficer[Tag_Utility])</f>
        <v>➖</v>
      </c>
      <c r="T274" s="429" t="str">
        <f t="array" ref="T274">XLOOKUP(LCARS_Off[AbilityID],RawOfficer[AbilityID],RawOfficer[OfficerSynergy])</f>
        <v>TNG CREW</v>
      </c>
      <c r="U274" s="519" t="str">
        <f t="array" ref="U274">XLOOKUP(LCARS_Off[AbilityID],RawOfficer[AbilityID],RawOfficer[AbilityModifier])</f>
        <v>AllDamage</v>
      </c>
      <c r="V274" s="519" t="str">
        <f t="array" ref="V274">XLOOKUP(LCARS_Off[AbilityID],RawOfficer[AbilityID],RawOfficer[AbilityAttributes])</f>
        <v>officer_stat=1</v>
      </c>
      <c r="W274" s="520" t="str">
        <f t="array" ref="W274">XLOOKUP(LCARS_Off[AbilityID],RawOfficer[AbilityID],RawOfficer[AbilityConditions])</f>
        <v>EnemyHostile</v>
      </c>
      <c r="X274" s="519" t="str">
        <f t="array" ref="X274">XLOOKUP(LCARS_Off[AbilityID],RawOfficer[AbilityID],RawOfficer[AbilityTrigger])</f>
        <v>CombatStart</v>
      </c>
      <c r="Y274" s="519" t="str">
        <f t="array" ref="Y274">XLOOKUP(LCARS_Off[AbilityID],RawOfficer[AbilityID],RawOfficer[AbilityTarget])</f>
        <v>SelfShip</v>
      </c>
      <c r="Z274" s="519" t="str">
        <f t="array" ref="Z274">XLOOKUP(LCARS_Off[AbilityID],RawOfficer[AbilityID],RawOfficer[AbilityOperation])</f>
        <v>MultiplyBaseAdd</v>
      </c>
      <c r="AA274" s="521" t="str">
        <f t="array" ref="AA274">XLOOKUP(LCARS_Off[AbilityID],RawOfficer[AbilityID],RawOfficer[AbilityDescription])</f>
        <v>Wesley Crusher increases Weapon Damage against Hostiles and Armadas by X of Crew Attack.</v>
      </c>
      <c r="AB274" s="429" t="b">
        <v>0</v>
      </c>
      <c r="AC274" s="522" t="str">
        <f t="array" ref="AC274">XLOOKUP(LCARS_Off[AbilityID],RawOfficer[AbilityID],RawOfficer[AbilityDescriptionShort])</f>
        <v>+X of Attack to Damage vs. Hostiles/Armadas</v>
      </c>
      <c r="AD274" s="523"/>
      <c r="AE274" s="524"/>
      <c r="AF274" s="524"/>
      <c r="AG274" s="525" t="str">
        <f t="array" ref="AG274">XLOOKUP(LCARS_Off[AbilityID],RawOfficer[AbilityID],RawOfficer[AbilityChances])</f>
        <v>1.0, 1.0, 1.0</v>
      </c>
      <c r="AH274" s="525" t="str">
        <f t="array" ref="AH274">XLOOKUP(LCARS_Off[AbilityID],RawOfficer[AbilityID],RawOfficer[AbilityValues])</f>
        <v>1.0, 0.25, 0.5</v>
      </c>
      <c r="AI274" s="428" t="b">
        <f t="array" ref="AI274">XLOOKUP(LCARS_Off[AbilityID],RawOfficer[AbilityID],RawOfficer[AbilityHasChance])</f>
        <v>0</v>
      </c>
      <c r="AJ274" s="428" t="b">
        <f t="array" ref="AJ274">XLOOKUP(LCARS_Off[AbilityID],RawOfficer[AbilityID],RawOfficer[AbilityShowPercentage])</f>
        <v>1</v>
      </c>
      <c r="AK274" s="429">
        <f t="array" ref="AK274">XLOOKUP(LCARS_Off[AbilityID],RawOfficer[AbilityID],RawOfficer[OfficerArt])</f>
        <v>176</v>
      </c>
      <c r="AL274" s="430">
        <v>2.111864873E9</v>
      </c>
      <c r="AM274" s="430">
        <f t="array" ref="AM274">XLOOKUP(LCARS_Off[AbilityID],RawOfficer[AbilityID],RawOfficer[Default Order])</f>
        <v>271</v>
      </c>
    </row>
    <row r="275">
      <c r="A275" s="429" t="str">
        <f t="array" ref="A275">LEFT(XLOOKUP(LCARS_Off[AbilityID],RawOfficer[AbilityID],RawOfficer[OfficerRarity]), 1)</f>
        <v>R</v>
      </c>
      <c r="B275" s="429"/>
      <c r="C275" s="514" t="str">
        <f t="array" ref="C275">HYPERLINK("https://stfc.space/officers/" &amp; XLOOKUP(LCARS_Off[AbilityID],RawOfficer[AbilityID],RawOfficer[OfficerId]), XLOOKUP(LCARS_Off[AbilityID],RawOfficer[AbilityID],RawOfficer[OfficerName]))</f>
        <v>WESLEY CRUSHER</v>
      </c>
      <c r="D275" s="515" t="str">
        <f t="array" ref="D275">XLOOKUP(LCARS_Off[AbilityID],RawOfficer[AbilityID],RawOfficer[AbilityType])</f>
        <v>OA</v>
      </c>
      <c r="E275" s="516" t="str">
        <f t="array" ref="E275">XLOOKUP(LCARS_Off[AbilityID],RawOfficer[AbilityID],RawOfficer[Tag_PvPinSpace])</f>
        <v>✅</v>
      </c>
      <c r="F275" s="516" t="str">
        <f t="array" ref="F275">XLOOKUP(LCARS_Off[AbilityID],RawOfficer[AbilityID],RawOfficer[Tag_PvPStation])</f>
        <v>✅</v>
      </c>
      <c r="G275" s="516" t="str">
        <f t="array" ref="G275">XLOOKUP(LCARS_Off[AbilityID],RawOfficer[AbilityID],RawOfficer[Tag_NonArmadaHostiles])</f>
        <v>✅</v>
      </c>
      <c r="H275" s="516" t="str">
        <f t="array" ref="H275">XLOOKUP(LCARS_Off[AbilityID],RawOfficer[AbilityID],RawOfficer[Tag_WaveDefense])</f>
        <v>✅</v>
      </c>
      <c r="I275" s="516" t="str">
        <f t="array" ref="I275">XLOOKUP(LCARS_Off[AbilityID],RawOfficer[AbilityID],RawOfficer[Tag_QTrial])</f>
        <v>✅</v>
      </c>
      <c r="J275" s="516" t="str">
        <f t="array" ref="J275">XLOOKUP(LCARS_Off[AbilityID],RawOfficer[AbilityID],RawOfficer[Tag_MissionBosses])</f>
        <v>✅</v>
      </c>
      <c r="K275" s="516" t="str">
        <f t="array" ref="K275">XLOOKUP(LCARS_Off[AbilityID],RawOfficer[AbilityID],RawOfficer[Tag_GroupArmadas])</f>
        <v>✅</v>
      </c>
      <c r="L275" s="516" t="str">
        <f t="array" ref="L275">XLOOKUP(LCARS_Off[AbilityID],RawOfficer[AbilityID],RawOfficer[Tag_SoloArmadas])</f>
        <v>✅</v>
      </c>
      <c r="M275" s="516" t="str">
        <f t="array" ref="M275">XLOOKUP(LCARS_Off[AbilityID],RawOfficer[AbilityID],RawOfficer[Tag_InvadingEntities])</f>
        <v>✅</v>
      </c>
      <c r="N275" s="516" t="str">
        <f t="array" ref="N275">XLOOKUP(LCARS_Off[AbilityID],RawOfficer[AbilityID],RawOfficer[Tag_Assaults])</f>
        <v>✅</v>
      </c>
      <c r="O275" s="516" t="str">
        <f t="array" ref="O275">XLOOKUP(LCARS_Off[AbilityID],RawOfficer[AbilityID],RawOfficer[Tag_OutpostArmadas])</f>
        <v>✅</v>
      </c>
      <c r="P275" s="516" t="str">
        <f t="array" ref="P275">XLOOKUP(LCARS_Off[AbilityID],RawOfficer[AbilityID],RawOfficer[Tag_OutpostRetaliators])</f>
        <v>✅</v>
      </c>
      <c r="Q275" s="517" t="str">
        <f t="array" ref="Q275">XLOOKUP(LCARS_Off[AbilityID],RawOfficer[AbilityID],RawOfficer[Conditional_Reason])</f>
        <v/>
      </c>
      <c r="R275" s="518" t="str">
        <f t="array" ref="R275">XLOOKUP(LCARS_Off[AbilityID],RawOfficer[AbilityID],RawOfficer[Tag_Loot])</f>
        <v>➖</v>
      </c>
      <c r="S275" s="516" t="str">
        <f t="array" ref="S275">XLOOKUP(LCARS_Off[AbilityID],RawOfficer[AbilityID],RawOfficer[Tag_Utility])</f>
        <v>➖</v>
      </c>
      <c r="T275" s="429" t="str">
        <f t="array" ref="T275">XLOOKUP(LCARS_Off[AbilityID],RawOfficer[AbilityID],RawOfficer[OfficerSynergy])</f>
        <v>TNG CREW</v>
      </c>
      <c r="U275" s="519" t="str">
        <f t="array" ref="U275">XLOOKUP(LCARS_Off[AbilityID],RawOfficer[AbilityID],RawOfficer[AbilityModifier])</f>
        <v>OfficerStatAll</v>
      </c>
      <c r="V275" s="519" t="str">
        <f t="array" ref="V275">XLOOKUP(LCARS_Off[AbilityID],RawOfficer[AbilityID],RawOfficer[AbilityAttributes])</f>
        <v/>
      </c>
      <c r="W275" s="520" t="str">
        <f t="array" ref="W275">XLOOKUP(LCARS_Off[AbilityID],RawOfficer[AbilityID],RawOfficer[AbilityConditions])</f>
        <v/>
      </c>
      <c r="X275" s="519" t="str">
        <f t="array" ref="X275">XLOOKUP(LCARS_Off[AbilityID],RawOfficer[AbilityID],RawOfficer[AbilityTrigger])</f>
        <v>ShipLaunched</v>
      </c>
      <c r="Y275" s="519" t="str">
        <f t="array" ref="Y275">XLOOKUP(LCARS_Off[AbilityID],RawOfficer[AbilityID],RawOfficer[AbilityTarget])</f>
        <v>SelfOfficer</v>
      </c>
      <c r="Z275" s="519" t="str">
        <f t="array" ref="Z275">XLOOKUP(LCARS_Off[AbilityID],RawOfficer[AbilityID],RawOfficer[AbilityOperation])</f>
        <v>MultiplyAdd</v>
      </c>
      <c r="AA275" s="521" t="str">
        <f t="array" ref="AA275">XLOOKUP(LCARS_Off[AbilityID],RawOfficer[AbilityID],RawOfficer[AbilityDescription])</f>
        <v>Wesley Crusher increases his own stats by X.</v>
      </c>
      <c r="AB275" s="429" t="b">
        <v>0</v>
      </c>
      <c r="AC275" s="522" t="str">
        <f t="array" ref="AC275">XLOOKUP(LCARS_Off[AbilityID],RawOfficer[AbilityID],RawOfficer[AbilityDescriptionShort])</f>
        <v>+X to own stats</v>
      </c>
      <c r="AD275" s="523"/>
      <c r="AE275" s="524"/>
      <c r="AF275" s="524"/>
      <c r="AG275" s="525" t="str">
        <f t="array" ref="AG275">XLOOKUP(LCARS_Off[AbilityID],RawOfficer[AbilityID],RawOfficer[AbilityChances])</f>
        <v>1.0, 1.0, 1.0, 1.0, 1.0</v>
      </c>
      <c r="AH275" s="525" t="str">
        <f t="array" ref="AH275">XLOOKUP(LCARS_Off[AbilityID],RawOfficer[AbilityID],RawOfficer[AbilityValues])</f>
        <v>0.2, 0.4, 0.7, 1.0, 2.0</v>
      </c>
      <c r="AI275" s="428" t="b">
        <f t="array" ref="AI275">XLOOKUP(LCARS_Off[AbilityID],RawOfficer[AbilityID],RawOfficer[AbilityHasChance])</f>
        <v>0</v>
      </c>
      <c r="AJ275" s="428" t="b">
        <f t="array" ref="AJ275">XLOOKUP(LCARS_Off[AbilityID],RawOfficer[AbilityID],RawOfficer[AbilityShowPercentage])</f>
        <v>1</v>
      </c>
      <c r="AK275" s="429">
        <f t="array" ref="AK275">XLOOKUP(LCARS_Off[AbilityID],RawOfficer[AbilityID],RawOfficer[OfficerArt])</f>
        <v>176</v>
      </c>
      <c r="AL275" s="430">
        <v>4.24820476E8</v>
      </c>
      <c r="AM275" s="430">
        <f t="array" ref="AM275">XLOOKUP(LCARS_Off[AbilityID],RawOfficer[AbilityID],RawOfficer[Default Order])</f>
        <v>272</v>
      </c>
    </row>
    <row r="276">
      <c r="A276" s="429" t="str">
        <f t="array" ref="A276">LEFT(XLOOKUP(LCARS_Off[AbilityID],RawOfficer[AbilityID],RawOfficer[OfficerRarity]), 1)</f>
        <v>E</v>
      </c>
      <c r="B276" s="429"/>
      <c r="C276" s="514" t="str">
        <f t="array" ref="C276">HYPERLINK("https://stfc.space/officers/" &amp; XLOOKUP(LCARS_Off[AbilityID],RawOfficer[AbilityID],RawOfficer[OfficerId]), XLOOKUP(LCARS_Off[AbilityID],RawOfficer[AbilityID],RawOfficer[OfficerName]))</f>
        <v>WILLIAM T. RIKER</v>
      </c>
      <c r="D276" s="515" t="str">
        <f t="array" ref="D276">XLOOKUP(LCARS_Off[AbilityID],RawOfficer[AbilityID],RawOfficer[AbilityType])</f>
        <v>CM</v>
      </c>
      <c r="E276" s="516" t="str">
        <f t="array" ref="E276">XLOOKUP(LCARS_Off[AbilityID],RawOfficer[AbilityID],RawOfficer[Tag_PvPinSpace])</f>
        <v>➖</v>
      </c>
      <c r="F276" s="516" t="str">
        <f t="array" ref="F276">XLOOKUP(LCARS_Off[AbilityID],RawOfficer[AbilityID],RawOfficer[Tag_PvPStation])</f>
        <v>➖</v>
      </c>
      <c r="G276" s="516" t="str">
        <f t="array" ref="G276">XLOOKUP(LCARS_Off[AbilityID],RawOfficer[AbilityID],RawOfficer[Tag_NonArmadaHostiles])</f>
        <v>➖</v>
      </c>
      <c r="H276" s="516" t="str">
        <f t="array" ref="H276">XLOOKUP(LCARS_Off[AbilityID],RawOfficer[AbilityID],RawOfficer[Tag_WaveDefense])</f>
        <v>➖</v>
      </c>
      <c r="I276" s="516" t="str">
        <f t="array" ref="I276">XLOOKUP(LCARS_Off[AbilityID],RawOfficer[AbilityID],RawOfficer[Tag_QTrial])</f>
        <v>➖</v>
      </c>
      <c r="J276" s="516" t="str">
        <f t="array" ref="J276">XLOOKUP(LCARS_Off[AbilityID],RawOfficer[AbilityID],RawOfficer[Tag_MissionBosses])</f>
        <v>➖</v>
      </c>
      <c r="K276" s="516" t="str">
        <f t="array" ref="K276">XLOOKUP(LCARS_Off[AbilityID],RawOfficer[AbilityID],RawOfficer[Tag_GroupArmadas])</f>
        <v>✅</v>
      </c>
      <c r="L276" s="516" t="str">
        <f t="array" ref="L276">XLOOKUP(LCARS_Off[AbilityID],RawOfficer[AbilityID],RawOfficer[Tag_SoloArmadas])</f>
        <v>✅</v>
      </c>
      <c r="M276" s="516" t="str">
        <f t="array" ref="M276">XLOOKUP(LCARS_Off[AbilityID],RawOfficer[AbilityID],RawOfficer[Tag_InvadingEntities])</f>
        <v>➖</v>
      </c>
      <c r="N276" s="516" t="str">
        <f t="array" ref="N276">XLOOKUP(LCARS_Off[AbilityID],RawOfficer[AbilityID],RawOfficer[Tag_Assaults])</f>
        <v>➖</v>
      </c>
      <c r="O276" s="516" t="str">
        <f t="array" ref="O276">XLOOKUP(LCARS_Off[AbilityID],RawOfficer[AbilityID],RawOfficer[Tag_OutpostArmadas])</f>
        <v>➖</v>
      </c>
      <c r="P276" s="516" t="str">
        <f t="array" ref="P276">XLOOKUP(LCARS_Off[AbilityID],RawOfficer[AbilityID],RawOfficer[Tag_OutpostRetaliators])</f>
        <v>➖</v>
      </c>
      <c r="Q276" s="517" t="str">
        <f t="array" ref="Q276">XLOOKUP(LCARS_Off[AbilityID],RawOfficer[AbilityID],RawOfficer[Conditional_Reason])</f>
        <v/>
      </c>
      <c r="R276" s="518" t="str">
        <f t="array" ref="R276">XLOOKUP(LCARS_Off[AbilityID],RawOfficer[AbilityID],RawOfficer[Tag_Loot])</f>
        <v>➖</v>
      </c>
      <c r="S276" s="516" t="str">
        <f t="array" ref="S276">XLOOKUP(LCARS_Off[AbilityID],RawOfficer[AbilityID],RawOfficer[Tag_Utility])</f>
        <v>➖</v>
      </c>
      <c r="T276" s="429" t="str">
        <f t="array" ref="T276">XLOOKUP(LCARS_Off[AbilityID],RawOfficer[AbilityID],RawOfficer[OfficerSynergy])</f>
        <v>TNG CREW</v>
      </c>
      <c r="U276" s="519" t="str">
        <f t="array" ref="U276">XLOOKUP(LCARS_Off[AbilityID],RawOfficer[AbilityID],RawOfficer[AbilityModifier])</f>
        <v>AllDamage</v>
      </c>
      <c r="V276" s="519" t="str">
        <f t="array" ref="V276">XLOOKUP(LCARS_Off[AbilityID],RawOfficer[AbilityID],RawOfficer[AbilityAttributes])</f>
        <v/>
      </c>
      <c r="W276" s="520" t="str">
        <f t="array" ref="W276">XLOOKUP(LCARS_Off[AbilityID],RawOfficer[AbilityID],RawOfficer[AbilityConditions])</f>
        <v>TargetIsArmada</v>
      </c>
      <c r="X276" s="519" t="str">
        <f t="array" ref="X276">XLOOKUP(LCARS_Off[AbilityID],RawOfficer[AbilityID],RawOfficer[AbilityTrigger])</f>
        <v>RoundStart</v>
      </c>
      <c r="Y276" s="519" t="str">
        <f t="array" ref="Y276">XLOOKUP(LCARS_Off[AbilityID],RawOfficer[AbilityID],RawOfficer[AbilityTarget])</f>
        <v>SelfShip</v>
      </c>
      <c r="Z276" s="519" t="str">
        <f t="array" ref="Z276">XLOOKUP(LCARS_Off[AbilityID],RawOfficer[AbilityID],RawOfficer[AbilityOperation])</f>
        <v>MultiplyAdd</v>
      </c>
      <c r="AA276" s="521" t="str">
        <f t="array" ref="AA276">XLOOKUP(LCARS_Off[AbilityID],RawOfficer[AbilityID],RawOfficer[AbilityDescription])</f>
        <v>William T. Riker increases Weapon Damage against Armada Targets by X every round (cumulative).</v>
      </c>
      <c r="AB276" s="429" t="b">
        <v>0</v>
      </c>
      <c r="AC276" s="522" t="str">
        <f t="array" ref="AC276">XLOOKUP(LCARS_Off[AbilityID],RawOfficer[AbilityID],RawOfficer[AbilityDescriptionShort])</f>
        <v>+X to Damage against Armadas each round (cumulative)</v>
      </c>
      <c r="AD276" s="523"/>
      <c r="AE276" s="524"/>
      <c r="AF276" s="524"/>
      <c r="AG276" s="525" t="str">
        <f t="array" ref="AG276">XLOOKUP(LCARS_Off[AbilityID],RawOfficer[AbilityID],RawOfficer[AbilityChances])</f>
        <v>1.0, 1.0, 1.0</v>
      </c>
      <c r="AH276" s="525" t="str">
        <f t="array" ref="AH276">XLOOKUP(LCARS_Off[AbilityID],RawOfficer[AbilityID],RawOfficer[AbilityValues])</f>
        <v>1.0, 0.1, 0.2</v>
      </c>
      <c r="AI276" s="428" t="b">
        <f t="array" ref="AI276">XLOOKUP(LCARS_Off[AbilityID],RawOfficer[AbilityID],RawOfficer[AbilityHasChance])</f>
        <v>0</v>
      </c>
      <c r="AJ276" s="428" t="b">
        <f t="array" ref="AJ276">XLOOKUP(LCARS_Off[AbilityID],RawOfficer[AbilityID],RawOfficer[AbilityShowPercentage])</f>
        <v>1</v>
      </c>
      <c r="AK276" s="429">
        <f t="array" ref="AK276">XLOOKUP(LCARS_Off[AbilityID],RawOfficer[AbilityID],RawOfficer[OfficerArt])</f>
        <v>172</v>
      </c>
      <c r="AL276" s="430">
        <v>8.55610396E8</v>
      </c>
      <c r="AM276" s="430">
        <f t="array" ref="AM276">XLOOKUP(LCARS_Off[AbilityID],RawOfficer[AbilityID],RawOfficer[Default Order])</f>
        <v>273</v>
      </c>
    </row>
    <row r="277">
      <c r="A277" s="429" t="str">
        <f t="array" ref="A277">LEFT(XLOOKUP(LCARS_Off[AbilityID],RawOfficer[AbilityID],RawOfficer[OfficerRarity]), 1)</f>
        <v>E</v>
      </c>
      <c r="B277" s="429"/>
      <c r="C277" s="514" t="str">
        <f t="array" ref="C277">HYPERLINK("https://stfc.space/officers/" &amp; XLOOKUP(LCARS_Off[AbilityID],RawOfficer[AbilityID],RawOfficer[OfficerId]), XLOOKUP(LCARS_Off[AbilityID],RawOfficer[AbilityID],RawOfficer[OfficerName]))</f>
        <v>WILLIAM T. RIKER</v>
      </c>
      <c r="D277" s="515" t="str">
        <f t="array" ref="D277">XLOOKUP(LCARS_Off[AbilityID],RawOfficer[AbilityID],RawOfficer[AbilityType])</f>
        <v>OA</v>
      </c>
      <c r="E277" s="516" t="str">
        <f t="array" ref="E277">XLOOKUP(LCARS_Off[AbilityID],RawOfficer[AbilityID],RawOfficer[Tag_PvPinSpace])</f>
        <v>➖</v>
      </c>
      <c r="F277" s="516" t="str">
        <f t="array" ref="F277">XLOOKUP(LCARS_Off[AbilityID],RawOfficer[AbilityID],RawOfficer[Tag_PvPStation])</f>
        <v>➖</v>
      </c>
      <c r="G277" s="516" t="str">
        <f t="array" ref="G277">XLOOKUP(LCARS_Off[AbilityID],RawOfficer[AbilityID],RawOfficer[Tag_NonArmadaHostiles])</f>
        <v>✴️</v>
      </c>
      <c r="H277" s="516" t="str">
        <f t="array" ref="H277">XLOOKUP(LCARS_Off[AbilityID],RawOfficer[AbilityID],RawOfficer[Tag_WaveDefense])</f>
        <v>✴️</v>
      </c>
      <c r="I277" s="516" t="str">
        <f t="array" ref="I277">XLOOKUP(LCARS_Off[AbilityID],RawOfficer[AbilityID],RawOfficer[Tag_QTrial])</f>
        <v>✴️</v>
      </c>
      <c r="J277" s="516" t="str">
        <f t="array" ref="J277">XLOOKUP(LCARS_Off[AbilityID],RawOfficer[AbilityID],RawOfficer[Tag_MissionBosses])</f>
        <v>➖</v>
      </c>
      <c r="K277" s="516" t="str">
        <f t="array" ref="K277">XLOOKUP(LCARS_Off[AbilityID],RawOfficer[AbilityID],RawOfficer[Tag_GroupArmadas])</f>
        <v>✴️</v>
      </c>
      <c r="L277" s="516" t="str">
        <f t="array" ref="L277">XLOOKUP(LCARS_Off[AbilityID],RawOfficer[AbilityID],RawOfficer[Tag_SoloArmadas])</f>
        <v>✴️</v>
      </c>
      <c r="M277" s="516" t="str">
        <f t="array" ref="M277">XLOOKUP(LCARS_Off[AbilityID],RawOfficer[AbilityID],RawOfficer[Tag_InvadingEntities])</f>
        <v>➖</v>
      </c>
      <c r="N277" s="516" t="str">
        <f t="array" ref="N277">XLOOKUP(LCARS_Off[AbilityID],RawOfficer[AbilityID],RawOfficer[Tag_Assaults])</f>
        <v>➖</v>
      </c>
      <c r="O277" s="516" t="str">
        <f t="array" ref="O277">XLOOKUP(LCARS_Off[AbilityID],RawOfficer[AbilityID],RawOfficer[Tag_OutpostArmadas])</f>
        <v>➖</v>
      </c>
      <c r="P277" s="516" t="str">
        <f t="array" ref="P277">XLOOKUP(LCARS_Off[AbilityID],RawOfficer[AbilityID],RawOfficer[Tag_OutpostRetaliators])</f>
        <v>➖</v>
      </c>
      <c r="Q277" s="517" t="str">
        <f t="array" ref="Q277">XLOOKUP(LCARS_Off[AbilityID],RawOfficer[AbilityID],RawOfficer[Conditional_Reason])</f>
        <v>Federation</v>
      </c>
      <c r="R277" s="518" t="str">
        <f t="array" ref="R277">XLOOKUP(LCARS_Off[AbilityID],RawOfficer[AbilityID],RawOfficer[Tag_Loot])</f>
        <v>➖</v>
      </c>
      <c r="S277" s="516" t="str">
        <f t="array" ref="S277">XLOOKUP(LCARS_Off[AbilityID],RawOfficer[AbilityID],RawOfficer[Tag_Utility])</f>
        <v>➖</v>
      </c>
      <c r="T277" s="429" t="str">
        <f t="array" ref="T277">XLOOKUP(LCARS_Off[AbilityID],RawOfficer[AbilityID],RawOfficer[OfficerSynergy])</f>
        <v>TNG CREW</v>
      </c>
      <c r="U277" s="519" t="str">
        <f t="array" ref="U277">XLOOKUP(LCARS_Off[AbilityID],RawOfficer[AbilityID],RawOfficer[AbilityModifier])</f>
        <v>AllDamage</v>
      </c>
      <c r="V277" s="519" t="str">
        <f t="array" ref="V277">XLOOKUP(LCARS_Off[AbilityID],RawOfficer[AbilityID],RawOfficer[AbilityAttributes])</f>
        <v>faction_id=2064723306</v>
      </c>
      <c r="W277" s="520" t="str">
        <f t="array" ref="W277">XLOOKUP(LCARS_Off[AbilityID],RawOfficer[AbilityID],RawOfficer[AbilityConditions])</f>
        <v>EnemyHullFaction, EnemyHostile</v>
      </c>
      <c r="X277" s="519" t="str">
        <f t="array" ref="X277">XLOOKUP(LCARS_Off[AbilityID],RawOfficer[AbilityID],RawOfficer[AbilityTrigger])</f>
        <v>CombatStart</v>
      </c>
      <c r="Y277" s="519" t="str">
        <f t="array" ref="Y277">XLOOKUP(LCARS_Off[AbilityID],RawOfficer[AbilityID],RawOfficer[AbilityTarget])</f>
        <v>SelfShip</v>
      </c>
      <c r="Z277" s="519" t="str">
        <f t="array" ref="Z277">XLOOKUP(LCARS_Off[AbilityID],RawOfficer[AbilityID],RawOfficer[AbilityOperation])</f>
        <v>MultiplyAdd</v>
      </c>
      <c r="AA277" s="521" t="str">
        <f t="array" ref="AA277">XLOOKUP(LCARS_Off[AbilityID],RawOfficer[AbilityID],RawOfficer[AbilityDescription])</f>
        <v>William T. Riker increases Weapon Damage against Federation Hostiles and Federation Armadas by X.</v>
      </c>
      <c r="AB277" s="429" t="b">
        <v>0</v>
      </c>
      <c r="AC277" s="522" t="str">
        <f t="array" ref="AC277">XLOOKUP(LCARS_Off[AbilityID],RawOfficer[AbilityID],RawOfficer[AbilityDescriptionShort])</f>
        <v>+X to Weapon Damage against Federation Hostiles/Armadas</v>
      </c>
      <c r="AD277" s="523"/>
      <c r="AE277" s="524"/>
      <c r="AF277" s="524"/>
      <c r="AG277" s="525" t="str">
        <f t="array" ref="AG277">XLOOKUP(LCARS_Off[AbilityID],RawOfficer[AbilityID],RawOfficer[AbilityChances])</f>
        <v>1.0, 1.0, 1.0, 1.0, 1.0</v>
      </c>
      <c r="AH277" s="525" t="str">
        <f t="array" ref="AH277">XLOOKUP(LCARS_Off[AbilityID],RawOfficer[AbilityID],RawOfficer[AbilityValues])</f>
        <v>1.0, 1.5, 2.0, 2.5, 3.0</v>
      </c>
      <c r="AI277" s="428" t="b">
        <f t="array" ref="AI277">XLOOKUP(LCARS_Off[AbilityID],RawOfficer[AbilityID],RawOfficer[AbilityHasChance])</f>
        <v>0</v>
      </c>
      <c r="AJ277" s="428" t="b">
        <f t="array" ref="AJ277">XLOOKUP(LCARS_Off[AbilityID],RawOfficer[AbilityID],RawOfficer[AbilityShowPercentage])</f>
        <v>1</v>
      </c>
      <c r="AK277" s="429">
        <f t="array" ref="AK277">XLOOKUP(LCARS_Off[AbilityID],RawOfficer[AbilityID],RawOfficer[OfficerArt])</f>
        <v>172</v>
      </c>
      <c r="AL277" s="430">
        <v>1.577212247E9</v>
      </c>
      <c r="AM277" s="430">
        <f t="array" ref="AM277">XLOOKUP(LCARS_Off[AbilityID],RawOfficer[AbilityID],RawOfficer[Default Order])</f>
        <v>274</v>
      </c>
    </row>
    <row r="278">
      <c r="A278" s="429" t="str">
        <f t="array" ref="A278">LEFT(XLOOKUP(LCARS_Off[AbilityID],RawOfficer[AbilityID],RawOfficer[OfficerRarity]), 1)</f>
        <v>E</v>
      </c>
      <c r="B278" s="429"/>
      <c r="C278" s="514" t="str">
        <f t="array" ref="C278">HYPERLINK("https://stfc.space/officers/" &amp; XLOOKUP(LCARS_Off[AbilityID],RawOfficer[AbilityID],RawOfficer[OfficerId]), XLOOKUP(LCARS_Off[AbilityID],RawOfficer[AbilityID],RawOfficer[OfficerName]))</f>
        <v>DEANNA TROI</v>
      </c>
      <c r="D278" s="515" t="str">
        <f t="array" ref="D278">XLOOKUP(LCARS_Off[AbilityID],RawOfficer[AbilityID],RawOfficer[AbilityType])</f>
        <v>CM</v>
      </c>
      <c r="E278" s="516" t="str">
        <f t="array" ref="E278">XLOOKUP(LCARS_Off[AbilityID],RawOfficer[AbilityID],RawOfficer[Tag_PvPinSpace])</f>
        <v>➖</v>
      </c>
      <c r="F278" s="516" t="str">
        <f t="array" ref="F278">XLOOKUP(LCARS_Off[AbilityID],RawOfficer[AbilityID],RawOfficer[Tag_PvPStation])</f>
        <v>➖</v>
      </c>
      <c r="G278" s="516" t="str">
        <f t="array" ref="G278">XLOOKUP(LCARS_Off[AbilityID],RawOfficer[AbilityID],RawOfficer[Tag_NonArmadaHostiles])</f>
        <v>➖</v>
      </c>
      <c r="H278" s="516" t="str">
        <f t="array" ref="H278">XLOOKUP(LCARS_Off[AbilityID],RawOfficer[AbilityID],RawOfficer[Tag_WaveDefense])</f>
        <v>➖</v>
      </c>
      <c r="I278" s="516" t="str">
        <f t="array" ref="I278">XLOOKUP(LCARS_Off[AbilityID],RawOfficer[AbilityID],RawOfficer[Tag_QTrial])</f>
        <v>➖</v>
      </c>
      <c r="J278" s="516" t="str">
        <f t="array" ref="J278">XLOOKUP(LCARS_Off[AbilityID],RawOfficer[AbilityID],RawOfficer[Tag_MissionBosses])</f>
        <v>➖</v>
      </c>
      <c r="K278" s="516" t="str">
        <f t="array" ref="K278">XLOOKUP(LCARS_Off[AbilityID],RawOfficer[AbilityID],RawOfficer[Tag_GroupArmadas])</f>
        <v>✅</v>
      </c>
      <c r="L278" s="516" t="str">
        <f t="array" ref="L278">XLOOKUP(LCARS_Off[AbilityID],RawOfficer[AbilityID],RawOfficer[Tag_SoloArmadas])</f>
        <v>✅</v>
      </c>
      <c r="M278" s="516" t="str">
        <f t="array" ref="M278">XLOOKUP(LCARS_Off[AbilityID],RawOfficer[AbilityID],RawOfficer[Tag_InvadingEntities])</f>
        <v>➖</v>
      </c>
      <c r="N278" s="516" t="str">
        <f t="array" ref="N278">XLOOKUP(LCARS_Off[AbilityID],RawOfficer[AbilityID],RawOfficer[Tag_Assaults])</f>
        <v>➖</v>
      </c>
      <c r="O278" s="516" t="str">
        <f t="array" ref="O278">XLOOKUP(LCARS_Off[AbilityID],RawOfficer[AbilityID],RawOfficer[Tag_OutpostArmadas])</f>
        <v>➖</v>
      </c>
      <c r="P278" s="516" t="str">
        <f t="array" ref="P278">XLOOKUP(LCARS_Off[AbilityID],RawOfficer[AbilityID],RawOfficer[Tag_OutpostRetaliators])</f>
        <v>➖</v>
      </c>
      <c r="Q278" s="517" t="str">
        <f t="array" ref="Q278">XLOOKUP(LCARS_Off[AbilityID],RawOfficer[AbilityID],RawOfficer[Conditional_Reason])</f>
        <v/>
      </c>
      <c r="R278" s="518" t="str">
        <f t="array" ref="R278">XLOOKUP(LCARS_Off[AbilityID],RawOfficer[AbilityID],RawOfficer[Tag_Loot])</f>
        <v>➖</v>
      </c>
      <c r="S278" s="516" t="str">
        <f t="array" ref="S278">XLOOKUP(LCARS_Off[AbilityID],RawOfficer[AbilityID],RawOfficer[Tag_Utility])</f>
        <v>➖</v>
      </c>
      <c r="T278" s="429" t="str">
        <f t="array" ref="T278">XLOOKUP(LCARS_Off[AbilityID],RawOfficer[AbilityID],RawOfficer[OfficerSynergy])</f>
        <v>TNG CREW</v>
      </c>
      <c r="U278" s="519" t="str">
        <f t="array" ref="U278">XLOOKUP(LCARS_Off[AbilityID],RawOfficer[AbilityID],RawOfficer[AbilityModifier])</f>
        <v>CritChance</v>
      </c>
      <c r="V278" s="519" t="str">
        <f t="array" ref="V278">XLOOKUP(LCARS_Off[AbilityID],RawOfficer[AbilityID],RawOfficer[AbilityAttributes])</f>
        <v/>
      </c>
      <c r="W278" s="520" t="str">
        <f t="array" ref="W278">XLOOKUP(LCARS_Off[AbilityID],RawOfficer[AbilityID],RawOfficer[AbilityConditions])</f>
        <v>TargetIsArmada</v>
      </c>
      <c r="X278" s="519" t="str">
        <f t="array" ref="X278">XLOOKUP(LCARS_Off[AbilityID],RawOfficer[AbilityID],RawOfficer[AbilityTrigger])</f>
        <v>CombatStart</v>
      </c>
      <c r="Y278" s="519" t="str">
        <f t="array" ref="Y278">XLOOKUP(LCARS_Off[AbilityID],RawOfficer[AbilityID],RawOfficer[AbilityTarget])</f>
        <v>EnemyShip</v>
      </c>
      <c r="Z278" s="519" t="str">
        <f t="array" ref="Z278">XLOOKUP(LCARS_Off[AbilityID],RawOfficer[AbilityID],RawOfficer[AbilityOperation])</f>
        <v>Sub</v>
      </c>
      <c r="AA278" s="521" t="str">
        <f t="array" ref="AA278">XLOOKUP(LCARS_Off[AbilityID],RawOfficer[AbilityID],RawOfficer[AbilityDescription])</f>
        <v>Deanna Troi reduces the Crit Chance of Armada Targets by X.</v>
      </c>
      <c r="AB278" s="429" t="b">
        <v>0</v>
      </c>
      <c r="AC278" s="522" t="str">
        <f t="array" ref="AC278">XLOOKUP(LCARS_Off[AbilityID],RawOfficer[AbilityID],RawOfficer[AbilityDescriptionShort])</f>
        <v>-X to Crit Chance for Armadas</v>
      </c>
      <c r="AD278" s="523"/>
      <c r="AE278" s="524"/>
      <c r="AF278" s="524"/>
      <c r="AG278" s="525" t="str">
        <f t="array" ref="AG278">XLOOKUP(LCARS_Off[AbilityID],RawOfficer[AbilityID],RawOfficer[AbilityChances])</f>
        <v>1.0, 1.0, 1.0</v>
      </c>
      <c r="AH278" s="525" t="str">
        <f t="array" ref="AH278">XLOOKUP(LCARS_Off[AbilityID],RawOfficer[AbilityID],RawOfficer[AbilityValues])</f>
        <v>0.15, 0.02, 0.05</v>
      </c>
      <c r="AI278" s="428" t="b">
        <f t="array" ref="AI278">XLOOKUP(LCARS_Off[AbilityID],RawOfficer[AbilityID],RawOfficer[AbilityHasChance])</f>
        <v>0</v>
      </c>
      <c r="AJ278" s="428" t="b">
        <f t="array" ref="AJ278">XLOOKUP(LCARS_Off[AbilityID],RawOfficer[AbilityID],RawOfficer[AbilityShowPercentage])</f>
        <v>1</v>
      </c>
      <c r="AK278" s="429">
        <f t="array" ref="AK278">XLOOKUP(LCARS_Off[AbilityID],RawOfficer[AbilityID],RawOfficer[OfficerArt])</f>
        <v>173</v>
      </c>
      <c r="AL278" s="430">
        <v>1.458678084E9</v>
      </c>
      <c r="AM278" s="430">
        <f t="array" ref="AM278">XLOOKUP(LCARS_Off[AbilityID],RawOfficer[AbilityID],RawOfficer[Default Order])</f>
        <v>275</v>
      </c>
    </row>
    <row r="279">
      <c r="A279" s="429" t="str">
        <f t="array" ref="A279">LEFT(XLOOKUP(LCARS_Off[AbilityID],RawOfficer[AbilityID],RawOfficer[OfficerRarity]), 1)</f>
        <v>E</v>
      </c>
      <c r="B279" s="429"/>
      <c r="C279" s="514" t="str">
        <f t="array" ref="C279">HYPERLINK("https://stfc.space/officers/" &amp; XLOOKUP(LCARS_Off[AbilityID],RawOfficer[AbilityID],RawOfficer[OfficerId]), XLOOKUP(LCARS_Off[AbilityID],RawOfficer[AbilityID],RawOfficer[OfficerName]))</f>
        <v>DEANNA TROI</v>
      </c>
      <c r="D279" s="515" t="str">
        <f t="array" ref="D279">XLOOKUP(LCARS_Off[AbilityID],RawOfficer[AbilityID],RawOfficer[AbilityType])</f>
        <v>OA</v>
      </c>
      <c r="E279" s="516" t="str">
        <f t="array" ref="E279">XLOOKUP(LCARS_Off[AbilityID],RawOfficer[AbilityID],RawOfficer[Tag_PvPinSpace])</f>
        <v>➖</v>
      </c>
      <c r="F279" s="516" t="str">
        <f t="array" ref="F279">XLOOKUP(LCARS_Off[AbilityID],RawOfficer[AbilityID],RawOfficer[Tag_PvPStation])</f>
        <v>➖</v>
      </c>
      <c r="G279" s="516" t="str">
        <f t="array" ref="G279">XLOOKUP(LCARS_Off[AbilityID],RawOfficer[AbilityID],RawOfficer[Tag_NonArmadaHostiles])</f>
        <v>✴️</v>
      </c>
      <c r="H279" s="516" t="str">
        <f t="array" ref="H279">XLOOKUP(LCARS_Off[AbilityID],RawOfficer[AbilityID],RawOfficer[Tag_WaveDefense])</f>
        <v>✴️</v>
      </c>
      <c r="I279" s="516" t="str">
        <f t="array" ref="I279">XLOOKUP(LCARS_Off[AbilityID],RawOfficer[AbilityID],RawOfficer[Tag_QTrial])</f>
        <v>✴️</v>
      </c>
      <c r="J279" s="516" t="str">
        <f t="array" ref="J279">XLOOKUP(LCARS_Off[AbilityID],RawOfficer[AbilityID],RawOfficer[Tag_MissionBosses])</f>
        <v>➖</v>
      </c>
      <c r="K279" s="516" t="str">
        <f t="array" ref="K279">XLOOKUP(LCARS_Off[AbilityID],RawOfficer[AbilityID],RawOfficer[Tag_GroupArmadas])</f>
        <v>✴️</v>
      </c>
      <c r="L279" s="516" t="str">
        <f t="array" ref="L279">XLOOKUP(LCARS_Off[AbilityID],RawOfficer[AbilityID],RawOfficer[Tag_SoloArmadas])</f>
        <v>✴️</v>
      </c>
      <c r="M279" s="516" t="str">
        <f t="array" ref="M279">XLOOKUP(LCARS_Off[AbilityID],RawOfficer[AbilityID],RawOfficer[Tag_InvadingEntities])</f>
        <v>➖</v>
      </c>
      <c r="N279" s="516" t="str">
        <f t="array" ref="N279">XLOOKUP(LCARS_Off[AbilityID],RawOfficer[AbilityID],RawOfficer[Tag_Assaults])</f>
        <v>➖</v>
      </c>
      <c r="O279" s="516" t="str">
        <f t="array" ref="O279">XLOOKUP(LCARS_Off[AbilityID],RawOfficer[AbilityID],RawOfficer[Tag_OutpostArmadas])</f>
        <v>➖</v>
      </c>
      <c r="P279" s="516" t="str">
        <f t="array" ref="P279">XLOOKUP(LCARS_Off[AbilityID],RawOfficer[AbilityID],RawOfficer[Tag_OutpostRetaliators])</f>
        <v>➖</v>
      </c>
      <c r="Q279" s="517" t="str">
        <f t="array" ref="Q279">XLOOKUP(LCARS_Off[AbilityID],RawOfficer[AbilityID],RawOfficer[Conditional_Reason])</f>
        <v>Romulan</v>
      </c>
      <c r="R279" s="518" t="str">
        <f t="array" ref="R279">XLOOKUP(LCARS_Off[AbilityID],RawOfficer[AbilityID],RawOfficer[Tag_Loot])</f>
        <v>➖</v>
      </c>
      <c r="S279" s="516" t="str">
        <f t="array" ref="S279">XLOOKUP(LCARS_Off[AbilityID],RawOfficer[AbilityID],RawOfficer[Tag_Utility])</f>
        <v>➖</v>
      </c>
      <c r="T279" s="429" t="str">
        <f t="array" ref="T279">XLOOKUP(LCARS_Off[AbilityID],RawOfficer[AbilityID],RawOfficer[OfficerSynergy])</f>
        <v>TNG CREW</v>
      </c>
      <c r="U279" s="519" t="str">
        <f t="array" ref="U279">XLOOKUP(LCARS_Off[AbilityID],RawOfficer[AbilityID],RawOfficer[AbilityModifier])</f>
        <v>AllDamage</v>
      </c>
      <c r="V279" s="519" t="str">
        <f t="array" ref="V279">XLOOKUP(LCARS_Off[AbilityID],RawOfficer[AbilityID],RawOfficer[AbilityAttributes])</f>
        <v>faction_id=669838839</v>
      </c>
      <c r="W279" s="520" t="str">
        <f t="array" ref="W279">XLOOKUP(LCARS_Off[AbilityID],RawOfficer[AbilityID],RawOfficer[AbilityConditions])</f>
        <v>EnemyHullFaction, EnemyHostile</v>
      </c>
      <c r="X279" s="519" t="str">
        <f t="array" ref="X279">XLOOKUP(LCARS_Off[AbilityID],RawOfficer[AbilityID],RawOfficer[AbilityTrigger])</f>
        <v>CombatStart</v>
      </c>
      <c r="Y279" s="519" t="str">
        <f t="array" ref="Y279">XLOOKUP(LCARS_Off[AbilityID],RawOfficer[AbilityID],RawOfficer[AbilityTarget])</f>
        <v>SelfShip</v>
      </c>
      <c r="Z279" s="519" t="str">
        <f t="array" ref="Z279">XLOOKUP(LCARS_Off[AbilityID],RawOfficer[AbilityID],RawOfficer[AbilityOperation])</f>
        <v>MultiplyAdd</v>
      </c>
      <c r="AA279" s="521" t="str">
        <f t="array" ref="AA279">XLOOKUP(LCARS_Off[AbilityID],RawOfficer[AbilityID],RawOfficer[AbilityDescription])</f>
        <v>Deanna Troi increases Weapon Damage against Romulan Hostiles and Romulan Armadas by X.</v>
      </c>
      <c r="AB279" s="429" t="b">
        <v>0</v>
      </c>
      <c r="AC279" s="522" t="str">
        <f t="array" ref="AC279">XLOOKUP(LCARS_Off[AbilityID],RawOfficer[AbilityID],RawOfficer[AbilityDescriptionShort])</f>
        <v>+X to Weapon Damage against Romulan Hostiles/Armadas</v>
      </c>
      <c r="AD279" s="523"/>
      <c r="AE279" s="524"/>
      <c r="AF279" s="524"/>
      <c r="AG279" s="525" t="str">
        <f t="array" ref="AG279">XLOOKUP(LCARS_Off[AbilityID],RawOfficer[AbilityID],RawOfficer[AbilityChances])</f>
        <v>1.0, 1.0, 1.0, 1.0, 1.0</v>
      </c>
      <c r="AH279" s="525" t="str">
        <f t="array" ref="AH279">XLOOKUP(LCARS_Off[AbilityID],RawOfficer[AbilityID],RawOfficer[AbilityValues])</f>
        <v>1.0, 1.5, 2.0, 2.5, 3.0</v>
      </c>
      <c r="AI279" s="428" t="b">
        <f t="array" ref="AI279">XLOOKUP(LCARS_Off[AbilityID],RawOfficer[AbilityID],RawOfficer[AbilityHasChance])</f>
        <v>0</v>
      </c>
      <c r="AJ279" s="428" t="b">
        <f t="array" ref="AJ279">XLOOKUP(LCARS_Off[AbilityID],RawOfficer[AbilityID],RawOfficer[AbilityShowPercentage])</f>
        <v>1</v>
      </c>
      <c r="AK279" s="429">
        <f t="array" ref="AK279">XLOOKUP(LCARS_Off[AbilityID],RawOfficer[AbilityID],RawOfficer[OfficerArt])</f>
        <v>173</v>
      </c>
      <c r="AL279" s="430">
        <v>1.57839587E9</v>
      </c>
      <c r="AM279" s="430">
        <f t="array" ref="AM279">XLOOKUP(LCARS_Off[AbilityID],RawOfficer[AbilityID],RawOfficer[Default Order])</f>
        <v>276</v>
      </c>
    </row>
    <row r="280">
      <c r="A280" s="429" t="str">
        <f t="array" ref="A280">LEFT(XLOOKUP(LCARS_Off[AbilityID],RawOfficer[AbilityID],RawOfficer[OfficerRarity]), 1)</f>
        <v>R</v>
      </c>
      <c r="B280" s="429"/>
      <c r="C280" s="514" t="str">
        <f t="array" ref="C280">HYPERLINK("https://stfc.space/officers/" &amp; XLOOKUP(LCARS_Off[AbilityID],RawOfficer[AbilityID],RawOfficer[OfficerId]), XLOOKUP(LCARS_Off[AbilityID],RawOfficer[AbilityID],RawOfficer[OfficerName]))</f>
        <v>WORF</v>
      </c>
      <c r="D280" s="515" t="str">
        <f t="array" ref="D280">XLOOKUP(LCARS_Off[AbilityID],RawOfficer[AbilityID],RawOfficer[AbilityType])</f>
        <v>CM</v>
      </c>
      <c r="E280" s="516" t="str">
        <f t="array" ref="E280">XLOOKUP(LCARS_Off[AbilityID],RawOfficer[AbilityID],RawOfficer[Tag_PvPinSpace])</f>
        <v>➖</v>
      </c>
      <c r="F280" s="516" t="str">
        <f t="array" ref="F280">XLOOKUP(LCARS_Off[AbilityID],RawOfficer[AbilityID],RawOfficer[Tag_PvPStation])</f>
        <v>➖</v>
      </c>
      <c r="G280" s="516" t="str">
        <f t="array" ref="G280">XLOOKUP(LCARS_Off[AbilityID],RawOfficer[AbilityID],RawOfficer[Tag_NonArmadaHostiles])</f>
        <v>➖</v>
      </c>
      <c r="H280" s="516" t="str">
        <f t="array" ref="H280">XLOOKUP(LCARS_Off[AbilityID],RawOfficer[AbilityID],RawOfficer[Tag_WaveDefense])</f>
        <v>➖</v>
      </c>
      <c r="I280" s="516" t="str">
        <f t="array" ref="I280">XLOOKUP(LCARS_Off[AbilityID],RawOfficer[AbilityID],RawOfficer[Tag_QTrial])</f>
        <v>➖</v>
      </c>
      <c r="J280" s="516" t="str">
        <f t="array" ref="J280">XLOOKUP(LCARS_Off[AbilityID],RawOfficer[AbilityID],RawOfficer[Tag_MissionBosses])</f>
        <v>➖</v>
      </c>
      <c r="K280" s="516" t="str">
        <f t="array" ref="K280">XLOOKUP(LCARS_Off[AbilityID],RawOfficer[AbilityID],RawOfficer[Tag_GroupArmadas])</f>
        <v>➖</v>
      </c>
      <c r="L280" s="516" t="str">
        <f t="array" ref="L280">XLOOKUP(LCARS_Off[AbilityID],RawOfficer[AbilityID],RawOfficer[Tag_SoloArmadas])</f>
        <v>➖</v>
      </c>
      <c r="M280" s="516" t="str">
        <f t="array" ref="M280">XLOOKUP(LCARS_Off[AbilityID],RawOfficer[AbilityID],RawOfficer[Tag_InvadingEntities])</f>
        <v>➖</v>
      </c>
      <c r="N280" s="516" t="str">
        <f t="array" ref="N280">XLOOKUP(LCARS_Off[AbilityID],RawOfficer[AbilityID],RawOfficer[Tag_Assaults])</f>
        <v>➖</v>
      </c>
      <c r="O280" s="516" t="str">
        <f t="array" ref="O280">XLOOKUP(LCARS_Off[AbilityID],RawOfficer[AbilityID],RawOfficer[Tag_OutpostArmadas])</f>
        <v>➖</v>
      </c>
      <c r="P280" s="516" t="str">
        <f t="array" ref="P280">XLOOKUP(LCARS_Off[AbilityID],RawOfficer[AbilityID],RawOfficer[Tag_OutpostRetaliators])</f>
        <v>➖</v>
      </c>
      <c r="Q280" s="517" t="str">
        <f t="array" ref="Q280">XLOOKUP(LCARS_Off[AbilityID],RawOfficer[AbilityID],RawOfficer[Conditional_Reason])</f>
        <v/>
      </c>
      <c r="R280" s="518" t="str">
        <f t="array" ref="R280">XLOOKUP(LCARS_Off[AbilityID],RawOfficer[AbilityID],RawOfficer[Tag_Loot])</f>
        <v>➖</v>
      </c>
      <c r="S280" s="516" t="str">
        <f t="array" ref="S280">XLOOKUP(LCARS_Off[AbilityID],RawOfficer[AbilityID],RawOfficer[Tag_Utility])</f>
        <v>✅</v>
      </c>
      <c r="T280" s="429" t="str">
        <f t="array" ref="T280">XLOOKUP(LCARS_Off[AbilityID],RawOfficer[AbilityID],RawOfficer[OfficerSynergy])</f>
        <v>TNG CREW</v>
      </c>
      <c r="U280" s="519" t="str">
        <f t="array" ref="U280">XLOOKUP(LCARS_Off[AbilityID],RawOfficer[AbilityID],RawOfficer[AbilityModifier])</f>
        <v>WarpSpeed</v>
      </c>
      <c r="V280" s="519" t="str">
        <f t="array" ref="V280">XLOOKUP(LCARS_Off[AbilityID],RawOfficer[AbilityID],RawOfficer[AbilityAttributes])</f>
        <v/>
      </c>
      <c r="W280" s="520" t="str">
        <f t="array" ref="W280">XLOOKUP(LCARS_Off[AbilityID],RawOfficer[AbilityID],RawOfficer[AbilityConditions])</f>
        <v/>
      </c>
      <c r="X280" s="519" t="str">
        <f t="array" ref="X280">XLOOKUP(LCARS_Off[AbilityID],RawOfficer[AbilityID],RawOfficer[AbilityTrigger])</f>
        <v>BattleWon</v>
      </c>
      <c r="Y280" s="519" t="str">
        <f t="array" ref="Y280">XLOOKUP(LCARS_Off[AbilityID],RawOfficer[AbilityID],RawOfficer[AbilityTarget])</f>
        <v>SelfShip</v>
      </c>
      <c r="Z280" s="519" t="str">
        <f t="array" ref="Z280">XLOOKUP(LCARS_Off[AbilityID],RawOfficer[AbilityID],RawOfficer[AbilityOperation])</f>
        <v>MultiplyAdd</v>
      </c>
      <c r="AA280" s="521" t="str">
        <f t="array" ref="AA280">XLOOKUP(LCARS_Off[AbilityID],RawOfficer[AbilityID],RawOfficer[AbilityDescription])</f>
        <v>After winning a battle, Worf increases the Warp Speed of the ship by X. This bonus does not stack, and is removed when returning to your station.</v>
      </c>
      <c r="AB280" s="429" t="b">
        <v>0</v>
      </c>
      <c r="AC280" s="522" t="str">
        <f t="array" ref="AC280">XLOOKUP(LCARS_Off[AbilityID],RawOfficer[AbilityID],RawOfficer[AbilityDescriptionShort])</f>
        <v>+X to Warp Speed after winning a battle</v>
      </c>
      <c r="AD280" s="523"/>
      <c r="AE280" s="524"/>
      <c r="AF280" s="524"/>
      <c r="AG280" s="525" t="str">
        <f t="array" ref="AG280">XLOOKUP(LCARS_Off[AbilityID],RawOfficer[AbilityID],RawOfficer[AbilityChances])</f>
        <v>1.0, 1.0, 1.0</v>
      </c>
      <c r="AH280" s="525" t="str">
        <f t="array" ref="AH280">XLOOKUP(LCARS_Off[AbilityID],RawOfficer[AbilityID],RawOfficer[AbilityValues])</f>
        <v>0.7, 0.1, 0.15</v>
      </c>
      <c r="AI280" s="428" t="b">
        <f t="array" ref="AI280">XLOOKUP(LCARS_Off[AbilityID],RawOfficer[AbilityID],RawOfficer[AbilityHasChance])</f>
        <v>0</v>
      </c>
      <c r="AJ280" s="428" t="b">
        <f t="array" ref="AJ280">XLOOKUP(LCARS_Off[AbilityID],RawOfficer[AbilityID],RawOfficer[AbilityShowPercentage])</f>
        <v>1</v>
      </c>
      <c r="AK280" s="429">
        <f t="array" ref="AK280">XLOOKUP(LCARS_Off[AbilityID],RawOfficer[AbilityID],RawOfficer[OfficerArt])</f>
        <v>177</v>
      </c>
      <c r="AL280" s="430">
        <v>2.418798268E9</v>
      </c>
      <c r="AM280" s="430">
        <f t="array" ref="AM280">XLOOKUP(LCARS_Off[AbilityID],RawOfficer[AbilityID],RawOfficer[Default Order])</f>
        <v>277</v>
      </c>
    </row>
    <row r="281">
      <c r="A281" s="429" t="str">
        <f t="array" ref="A281">LEFT(XLOOKUP(LCARS_Off[AbilityID],RawOfficer[AbilityID],RawOfficer[OfficerRarity]), 1)</f>
        <v>R</v>
      </c>
      <c r="B281" s="429"/>
      <c r="C281" s="514" t="str">
        <f t="array" ref="C281">HYPERLINK("https://stfc.space/officers/" &amp; XLOOKUP(LCARS_Off[AbilityID],RawOfficer[AbilityID],RawOfficer[OfficerId]), XLOOKUP(LCARS_Off[AbilityID],RawOfficer[AbilityID],RawOfficer[OfficerName]))</f>
        <v>WORF</v>
      </c>
      <c r="D281" s="515" t="str">
        <f t="array" ref="D281">XLOOKUP(LCARS_Off[AbilityID],RawOfficer[AbilityID],RawOfficer[AbilityType])</f>
        <v>OA</v>
      </c>
      <c r="E281" s="516" t="str">
        <f t="array" ref="E281">XLOOKUP(LCARS_Off[AbilityID],RawOfficer[AbilityID],RawOfficer[Tag_PvPinSpace])</f>
        <v>➖</v>
      </c>
      <c r="F281" s="516" t="str">
        <f t="array" ref="F281">XLOOKUP(LCARS_Off[AbilityID],RawOfficer[AbilityID],RawOfficer[Tag_PvPStation])</f>
        <v>➖</v>
      </c>
      <c r="G281" s="516" t="str">
        <f t="array" ref="G281">XLOOKUP(LCARS_Off[AbilityID],RawOfficer[AbilityID],RawOfficer[Tag_NonArmadaHostiles])</f>
        <v>✅</v>
      </c>
      <c r="H281" s="516" t="str">
        <f t="array" ref="H281">XLOOKUP(LCARS_Off[AbilityID],RawOfficer[AbilityID],RawOfficer[Tag_WaveDefense])</f>
        <v>✅</v>
      </c>
      <c r="I281" s="516" t="str">
        <f t="array" ref="I281">XLOOKUP(LCARS_Off[AbilityID],RawOfficer[AbilityID],RawOfficer[Tag_QTrial])</f>
        <v>✅</v>
      </c>
      <c r="J281" s="516" t="str">
        <f t="array" ref="J281">XLOOKUP(LCARS_Off[AbilityID],RawOfficer[AbilityID],RawOfficer[Tag_MissionBosses])</f>
        <v>✅</v>
      </c>
      <c r="K281" s="516" t="str">
        <f t="array" ref="K281">XLOOKUP(LCARS_Off[AbilityID],RawOfficer[AbilityID],RawOfficer[Tag_GroupArmadas])</f>
        <v>✅</v>
      </c>
      <c r="L281" s="516" t="str">
        <f t="array" ref="L281">XLOOKUP(LCARS_Off[AbilityID],RawOfficer[AbilityID],RawOfficer[Tag_SoloArmadas])</f>
        <v>✅</v>
      </c>
      <c r="M281" s="516" t="str">
        <f t="array" ref="M281">XLOOKUP(LCARS_Off[AbilityID],RawOfficer[AbilityID],RawOfficer[Tag_InvadingEntities])</f>
        <v>✅</v>
      </c>
      <c r="N281" s="516" t="str">
        <f t="array" ref="N281">XLOOKUP(LCARS_Off[AbilityID],RawOfficer[AbilityID],RawOfficer[Tag_Assaults])</f>
        <v>➖</v>
      </c>
      <c r="O281" s="516" t="str">
        <f t="array" ref="O281">XLOOKUP(LCARS_Off[AbilityID],RawOfficer[AbilityID],RawOfficer[Tag_OutpostArmadas])</f>
        <v>➖</v>
      </c>
      <c r="P281" s="516" t="str">
        <f t="array" ref="P281">XLOOKUP(LCARS_Off[AbilityID],RawOfficer[AbilityID],RawOfficer[Tag_OutpostRetaliators])</f>
        <v>➖</v>
      </c>
      <c r="Q281" s="517" t="str">
        <f t="array" ref="Q281">XLOOKUP(LCARS_Off[AbilityID],RawOfficer[AbilityID],RawOfficer[Conditional_Reason])</f>
        <v/>
      </c>
      <c r="R281" s="518" t="str">
        <f t="array" ref="R281">XLOOKUP(LCARS_Off[AbilityID],RawOfficer[AbilityID],RawOfficer[Tag_Loot])</f>
        <v>➖</v>
      </c>
      <c r="S281" s="516" t="str">
        <f t="array" ref="S281">XLOOKUP(LCARS_Off[AbilityID],RawOfficer[AbilityID],RawOfficer[Tag_Utility])</f>
        <v>➖</v>
      </c>
      <c r="T281" s="429" t="str">
        <f t="array" ref="T281">XLOOKUP(LCARS_Off[AbilityID],RawOfficer[AbilityID],RawOfficer[OfficerSynergy])</f>
        <v>TNG CREW</v>
      </c>
      <c r="U281" s="519" t="str">
        <f t="array" ref="U281">XLOOKUP(LCARS_Off[AbilityID],RawOfficer[AbilityID],RawOfficer[AbilityModifier])</f>
        <v>AllDefenses</v>
      </c>
      <c r="V281" s="519" t="str">
        <f t="array" ref="V281">XLOOKUP(LCARS_Off[AbilityID],RawOfficer[AbilityID],RawOfficer[AbilityAttributes])</f>
        <v>battle_types=[2, 3, 5, 6, 7, 8, 9]</v>
      </c>
      <c r="W281" s="520" t="str">
        <f t="array" ref="W281">XLOOKUP(LCARS_Off[AbilityID],RawOfficer[AbilityID],RawOfficer[AbilityConditions])</f>
        <v>CombatBattleType</v>
      </c>
      <c r="X281" s="519" t="str">
        <f t="array" ref="X281">XLOOKUP(LCARS_Off[AbilityID],RawOfficer[AbilityID],RawOfficer[AbilityTrigger])</f>
        <v>CombatStart</v>
      </c>
      <c r="Y281" s="519" t="str">
        <f t="array" ref="Y281">XLOOKUP(LCARS_Off[AbilityID],RawOfficer[AbilityID],RawOfficer[AbilityTarget])</f>
        <v>SelfShip</v>
      </c>
      <c r="Z281" s="519" t="str">
        <f t="array" ref="Z281">XLOOKUP(LCARS_Off[AbilityID],RawOfficer[AbilityID],RawOfficer[AbilityOperation])</f>
        <v>MultiplyAdd</v>
      </c>
      <c r="AA281" s="521" t="str">
        <f t="array" ref="AA281">XLOOKUP(LCARS_Off[AbilityID],RawOfficer[AbilityID],RawOfficer[AbilityDescription])</f>
        <v>Worf increases all Mitigation stats against non-player targets by X.</v>
      </c>
      <c r="AB281" s="429" t="b">
        <v>0</v>
      </c>
      <c r="AC281" s="522" t="str">
        <f t="array" ref="AC281">XLOOKUP(LCARS_Off[AbilityID],RawOfficer[AbilityID],RawOfficer[AbilityDescriptionShort])</f>
        <v>+X to all Mitigation against non-player targets</v>
      </c>
      <c r="AD281" s="523"/>
      <c r="AE281" s="524"/>
      <c r="AF281" s="524"/>
      <c r="AG281" s="525" t="str">
        <f t="array" ref="AG281">XLOOKUP(LCARS_Off[AbilityID],RawOfficer[AbilityID],RawOfficer[AbilityChances])</f>
        <v>1.0, 1.0, 1.0, 1.0, 1.0</v>
      </c>
      <c r="AH281" s="525" t="str">
        <f t="array" ref="AH281">XLOOKUP(LCARS_Off[AbilityID],RawOfficer[AbilityID],RawOfficer[AbilityValues])</f>
        <v>0.2, 0.4, 0.6, 0.8, 1.0</v>
      </c>
      <c r="AI281" s="428" t="b">
        <f t="array" ref="AI281">XLOOKUP(LCARS_Off[AbilityID],RawOfficer[AbilityID],RawOfficer[AbilityHasChance])</f>
        <v>0</v>
      </c>
      <c r="AJ281" s="428" t="b">
        <f t="array" ref="AJ281">XLOOKUP(LCARS_Off[AbilityID],RawOfficer[AbilityID],RawOfficer[AbilityShowPercentage])</f>
        <v>1</v>
      </c>
      <c r="AK281" s="429">
        <f t="array" ref="AK281">XLOOKUP(LCARS_Off[AbilityID],RawOfficer[AbilityID],RawOfficer[OfficerArt])</f>
        <v>177</v>
      </c>
      <c r="AL281" s="430">
        <v>3.612793883E9</v>
      </c>
      <c r="AM281" s="430">
        <f t="array" ref="AM281">XLOOKUP(LCARS_Off[AbilityID],RawOfficer[AbilityID],RawOfficer[Default Order])</f>
        <v>278</v>
      </c>
    </row>
    <row r="282">
      <c r="A282" s="429" t="str">
        <f t="array" ref="A282">LEFT(XLOOKUP(LCARS_Off[AbilityID],RawOfficer[AbilityID],RawOfficer[OfficerRarity]), 1)</f>
        <v>R</v>
      </c>
      <c r="B282" s="429"/>
      <c r="C282" s="514" t="str">
        <f t="array" ref="C282">HYPERLINK("https://stfc.space/officers/" &amp; XLOOKUP(LCARS_Off[AbilityID],RawOfficer[AbilityID],RawOfficer[OfficerId]), XLOOKUP(LCARS_Off[AbilityID],RawOfficer[AbilityID],RawOfficer[OfficerName]))</f>
        <v>TASHA YAR</v>
      </c>
      <c r="D282" s="515" t="str">
        <f t="array" ref="D282">XLOOKUP(LCARS_Off[AbilityID],RawOfficer[AbilityID],RawOfficer[AbilityType])</f>
        <v>CM</v>
      </c>
      <c r="E282" s="516" t="str">
        <f t="array" ref="E282">XLOOKUP(LCARS_Off[AbilityID],RawOfficer[AbilityID],RawOfficer[Tag_PvPinSpace])</f>
        <v>➖</v>
      </c>
      <c r="F282" s="516" t="str">
        <f t="array" ref="F282">XLOOKUP(LCARS_Off[AbilityID],RawOfficer[AbilityID],RawOfficer[Tag_PvPStation])</f>
        <v>➖</v>
      </c>
      <c r="G282" s="516" t="str">
        <f t="array" ref="G282">XLOOKUP(LCARS_Off[AbilityID],RawOfficer[AbilityID],RawOfficer[Tag_NonArmadaHostiles])</f>
        <v>➖</v>
      </c>
      <c r="H282" s="516" t="str">
        <f t="array" ref="H282">XLOOKUP(LCARS_Off[AbilityID],RawOfficer[AbilityID],RawOfficer[Tag_WaveDefense])</f>
        <v>➖</v>
      </c>
      <c r="I282" s="516" t="str">
        <f t="array" ref="I282">XLOOKUP(LCARS_Off[AbilityID],RawOfficer[AbilityID],RawOfficer[Tag_QTrial])</f>
        <v>✅</v>
      </c>
      <c r="J282" s="516" t="str">
        <f t="array" ref="J282">XLOOKUP(LCARS_Off[AbilityID],RawOfficer[AbilityID],RawOfficer[Tag_MissionBosses])</f>
        <v>✅</v>
      </c>
      <c r="K282" s="516" t="str">
        <f t="array" ref="K282">XLOOKUP(LCARS_Off[AbilityID],RawOfficer[AbilityID],RawOfficer[Tag_GroupArmadas])</f>
        <v>➖</v>
      </c>
      <c r="L282" s="516" t="str">
        <f t="array" ref="L282">XLOOKUP(LCARS_Off[AbilityID],RawOfficer[AbilityID],RawOfficer[Tag_SoloArmadas])</f>
        <v>➖</v>
      </c>
      <c r="M282" s="516" t="str">
        <f t="array" ref="M282">XLOOKUP(LCARS_Off[AbilityID],RawOfficer[AbilityID],RawOfficer[Tag_InvadingEntities])</f>
        <v>➖</v>
      </c>
      <c r="N282" s="516" t="str">
        <f t="array" ref="N282">XLOOKUP(LCARS_Off[AbilityID],RawOfficer[AbilityID],RawOfficer[Tag_Assaults])</f>
        <v>➖</v>
      </c>
      <c r="O282" s="516" t="str">
        <f t="array" ref="O282">XLOOKUP(LCARS_Off[AbilityID],RawOfficer[AbilityID],RawOfficer[Tag_OutpostArmadas])</f>
        <v>➖</v>
      </c>
      <c r="P282" s="516" t="str">
        <f t="array" ref="P282">XLOOKUP(LCARS_Off[AbilityID],RawOfficer[AbilityID],RawOfficer[Tag_OutpostRetaliators])</f>
        <v>➖</v>
      </c>
      <c r="Q282" s="517" t="str">
        <f t="array" ref="Q282">XLOOKUP(LCARS_Off[AbilityID],RawOfficer[AbilityID],RawOfficer[Conditional_Reason])</f>
        <v/>
      </c>
      <c r="R282" s="518" t="str">
        <f t="array" ref="R282">XLOOKUP(LCARS_Off[AbilityID],RawOfficer[AbilityID],RawOfficer[Tag_Loot])</f>
        <v>➖</v>
      </c>
      <c r="S282" s="516" t="str">
        <f t="array" ref="S282">XLOOKUP(LCARS_Off[AbilityID],RawOfficer[AbilityID],RawOfficer[Tag_Utility])</f>
        <v>➖</v>
      </c>
      <c r="T282" s="429" t="str">
        <f t="array" ref="T282">XLOOKUP(LCARS_Off[AbilityID],RawOfficer[AbilityID],RawOfficer[OfficerSynergy])</f>
        <v>TNG CREW</v>
      </c>
      <c r="U282" s="519" t="str">
        <f t="array" ref="U282">XLOOKUP(LCARS_Off[AbilityID],RawOfficer[AbilityID],RawOfficer[AbilityModifier])</f>
        <v>CritChance</v>
      </c>
      <c r="V282" s="519" t="str">
        <f t="array" ref="V282">XLOOKUP(LCARS_Off[AbilityID],RawOfficer[AbilityID],RawOfficer[AbilityAttributes])</f>
        <v>battle_types=[3]</v>
      </c>
      <c r="W282" s="520" t="str">
        <f t="array" ref="W282">XLOOKUP(LCARS_Off[AbilityID],RawOfficer[AbilityID],RawOfficer[AbilityConditions])</f>
        <v>CombatBattleType</v>
      </c>
      <c r="X282" s="519" t="str">
        <f t="array" ref="X282">XLOOKUP(LCARS_Off[AbilityID],RawOfficer[AbilityID],RawOfficer[AbilityTrigger])</f>
        <v>CombatStart</v>
      </c>
      <c r="Y282" s="519" t="str">
        <f t="array" ref="Y282">XLOOKUP(LCARS_Off[AbilityID],RawOfficer[AbilityID],RawOfficer[AbilityTarget])</f>
        <v>EnemyShip</v>
      </c>
      <c r="Z282" s="519" t="str">
        <f t="array" ref="Z282">XLOOKUP(LCARS_Off[AbilityID],RawOfficer[AbilityID],RawOfficer[AbilityOperation])</f>
        <v>Sub</v>
      </c>
      <c r="AA282" s="521" t="str">
        <f t="array" ref="AA282">XLOOKUP(LCARS_Off[AbilityID],RawOfficer[AbilityID],RawOfficer[AbilityDescription])</f>
        <v>Tasha Yar reduces the Crit Chance of Mission Hostiles (yellow hostiles) by X.</v>
      </c>
      <c r="AB282" s="429" t="b">
        <v>0</v>
      </c>
      <c r="AC282" s="522" t="str">
        <f t="array" ref="AC282">XLOOKUP(LCARS_Off[AbilityID],RawOfficer[AbilityID],RawOfficer[AbilityDescriptionShort])</f>
        <v>-X to Crit Chance for Mission Hostiles</v>
      </c>
      <c r="AD282" s="523"/>
      <c r="AE282" s="524"/>
      <c r="AF282" s="524"/>
      <c r="AG282" s="525" t="str">
        <f t="array" ref="AG282">XLOOKUP(LCARS_Off[AbilityID],RawOfficer[AbilityID],RawOfficer[AbilityChances])</f>
        <v>1.0, 1.0, 1.0</v>
      </c>
      <c r="AH282" s="525" t="str">
        <f t="array" ref="AH282">XLOOKUP(LCARS_Off[AbilityID],RawOfficer[AbilityID],RawOfficer[AbilityValues])</f>
        <v>0.1, 0.02, 0.05</v>
      </c>
      <c r="AI282" s="428" t="b">
        <f t="array" ref="AI282">XLOOKUP(LCARS_Off[AbilityID],RawOfficer[AbilityID],RawOfficer[AbilityHasChance])</f>
        <v>0</v>
      </c>
      <c r="AJ282" s="428" t="b">
        <f t="array" ref="AJ282">XLOOKUP(LCARS_Off[AbilityID],RawOfficer[AbilityID],RawOfficer[AbilityShowPercentage])</f>
        <v>1</v>
      </c>
      <c r="AK282" s="429">
        <f t="array" ref="AK282">XLOOKUP(LCARS_Off[AbilityID],RawOfficer[AbilityID],RawOfficer[OfficerArt])</f>
        <v>178</v>
      </c>
      <c r="AL282" s="430">
        <v>3.342912908E9</v>
      </c>
      <c r="AM282" s="430">
        <f t="array" ref="AM282">XLOOKUP(LCARS_Off[AbilityID],RawOfficer[AbilityID],RawOfficer[Default Order])</f>
        <v>279</v>
      </c>
    </row>
    <row r="283">
      <c r="A283" s="429" t="str">
        <f t="array" ref="A283">LEFT(XLOOKUP(LCARS_Off[AbilityID],RawOfficer[AbilityID],RawOfficer[OfficerRarity]), 1)</f>
        <v>R</v>
      </c>
      <c r="B283" s="429"/>
      <c r="C283" s="514" t="str">
        <f t="array" ref="C283">HYPERLINK("https://stfc.space/officers/" &amp; XLOOKUP(LCARS_Off[AbilityID],RawOfficer[AbilityID],RawOfficer[OfficerId]), XLOOKUP(LCARS_Off[AbilityID],RawOfficer[AbilityID],RawOfficer[OfficerName]))</f>
        <v>TASHA YAR</v>
      </c>
      <c r="D283" s="515" t="str">
        <f t="array" ref="D283">XLOOKUP(LCARS_Off[AbilityID],RawOfficer[AbilityID],RawOfficer[AbilityType])</f>
        <v>OA</v>
      </c>
      <c r="E283" s="516" t="str">
        <f t="array" ref="E283">XLOOKUP(LCARS_Off[AbilityID],RawOfficer[AbilityID],RawOfficer[Tag_PvPinSpace])</f>
        <v>➖</v>
      </c>
      <c r="F283" s="516" t="str">
        <f t="array" ref="F283">XLOOKUP(LCARS_Off[AbilityID],RawOfficer[AbilityID],RawOfficer[Tag_PvPStation])</f>
        <v>➖</v>
      </c>
      <c r="G283" s="516" t="str">
        <f t="array" ref="G283">XLOOKUP(LCARS_Off[AbilityID],RawOfficer[AbilityID],RawOfficer[Tag_NonArmadaHostiles])</f>
        <v>✅</v>
      </c>
      <c r="H283" s="516" t="str">
        <f t="array" ref="H283">XLOOKUP(LCARS_Off[AbilityID],RawOfficer[AbilityID],RawOfficer[Tag_WaveDefense])</f>
        <v>✅</v>
      </c>
      <c r="I283" s="516" t="str">
        <f t="array" ref="I283">XLOOKUP(LCARS_Off[AbilityID],RawOfficer[AbilityID],RawOfficer[Tag_QTrial])</f>
        <v>✅</v>
      </c>
      <c r="J283" s="516" t="str">
        <f t="array" ref="J283">XLOOKUP(LCARS_Off[AbilityID],RawOfficer[AbilityID],RawOfficer[Tag_MissionBosses])</f>
        <v>✅</v>
      </c>
      <c r="K283" s="516" t="str">
        <f t="array" ref="K283">XLOOKUP(LCARS_Off[AbilityID],RawOfficer[AbilityID],RawOfficer[Tag_GroupArmadas])</f>
        <v>✅</v>
      </c>
      <c r="L283" s="516" t="str">
        <f t="array" ref="L283">XLOOKUP(LCARS_Off[AbilityID],RawOfficer[AbilityID],RawOfficer[Tag_SoloArmadas])</f>
        <v>✅</v>
      </c>
      <c r="M283" s="516" t="str">
        <f t="array" ref="M283">XLOOKUP(LCARS_Off[AbilityID],RawOfficer[AbilityID],RawOfficer[Tag_InvadingEntities])</f>
        <v>✅</v>
      </c>
      <c r="N283" s="516" t="str">
        <f t="array" ref="N283">XLOOKUP(LCARS_Off[AbilityID],RawOfficer[AbilityID],RawOfficer[Tag_Assaults])</f>
        <v>➖</v>
      </c>
      <c r="O283" s="516" t="str">
        <f t="array" ref="O283">XLOOKUP(LCARS_Off[AbilityID],RawOfficer[AbilityID],RawOfficer[Tag_OutpostArmadas])</f>
        <v>➖</v>
      </c>
      <c r="P283" s="516" t="str">
        <f t="array" ref="P283">XLOOKUP(LCARS_Off[AbilityID],RawOfficer[AbilityID],RawOfficer[Tag_OutpostRetaliators])</f>
        <v>➖</v>
      </c>
      <c r="Q283" s="517" t="str">
        <f t="array" ref="Q283">XLOOKUP(LCARS_Off[AbilityID],RawOfficer[AbilityID],RawOfficer[Conditional_Reason])</f>
        <v/>
      </c>
      <c r="R283" s="518" t="str">
        <f t="array" ref="R283">XLOOKUP(LCARS_Off[AbilityID],RawOfficer[AbilityID],RawOfficer[Tag_Loot])</f>
        <v>➖</v>
      </c>
      <c r="S283" s="516" t="str">
        <f t="array" ref="S283">XLOOKUP(LCARS_Off[AbilityID],RawOfficer[AbilityID],RawOfficer[Tag_Utility])</f>
        <v>➖</v>
      </c>
      <c r="T283" s="429" t="str">
        <f t="array" ref="T283">XLOOKUP(LCARS_Off[AbilityID],RawOfficer[AbilityID],RawOfficer[OfficerSynergy])</f>
        <v>TNG CREW</v>
      </c>
      <c r="U283" s="519" t="str">
        <f t="array" ref="U283">XLOOKUP(LCARS_Off[AbilityID],RawOfficer[AbilityID],RawOfficer[AbilityModifier])</f>
        <v>AllDamage</v>
      </c>
      <c r="V283" s="519" t="str">
        <f t="array" ref="V283">XLOOKUP(LCARS_Off[AbilityID],RawOfficer[AbilityID],RawOfficer[AbilityAttributes])</f>
        <v>battle_types=[2, 3, 5, 6, 7, 8, 9]</v>
      </c>
      <c r="W283" s="520" t="str">
        <f t="array" ref="W283">XLOOKUP(LCARS_Off[AbilityID],RawOfficer[AbilityID],RawOfficer[AbilityConditions])</f>
        <v>CombatBattleType</v>
      </c>
      <c r="X283" s="519" t="str">
        <f t="array" ref="X283">XLOOKUP(LCARS_Off[AbilityID],RawOfficer[AbilityID],RawOfficer[AbilityTrigger])</f>
        <v>CombatStart</v>
      </c>
      <c r="Y283" s="519" t="str">
        <f t="array" ref="Y283">XLOOKUP(LCARS_Off[AbilityID],RawOfficer[AbilityID],RawOfficer[AbilityTarget])</f>
        <v>SelfShip</v>
      </c>
      <c r="Z283" s="519" t="str">
        <f t="array" ref="Z283">XLOOKUP(LCARS_Off[AbilityID],RawOfficer[AbilityID],RawOfficer[AbilityOperation])</f>
        <v>MultiplyAdd</v>
      </c>
      <c r="AA283" s="521" t="str">
        <f t="array" ref="AA283">XLOOKUP(LCARS_Off[AbilityID],RawOfficer[AbilityID],RawOfficer[AbilityDescription])</f>
        <v>Tasha Yar increases all Weapon Damage against non-player targets by X.</v>
      </c>
      <c r="AB283" s="429" t="b">
        <v>0</v>
      </c>
      <c r="AC283" s="522" t="str">
        <f t="array" ref="AC283">XLOOKUP(LCARS_Off[AbilityID],RawOfficer[AbilityID],RawOfficer[AbilityDescriptionShort])</f>
        <v>+X to Weapon Damage against non-player targets</v>
      </c>
      <c r="AD283" s="523"/>
      <c r="AE283" s="524"/>
      <c r="AF283" s="524"/>
      <c r="AG283" s="525" t="str">
        <f t="array" ref="AG283">XLOOKUP(LCARS_Off[AbilityID],RawOfficer[AbilityID],RawOfficer[AbilityChances])</f>
        <v>1.0, 1.0, 1.0, 1.0, 1.0</v>
      </c>
      <c r="AH283" s="525" t="str">
        <f t="array" ref="AH283">XLOOKUP(LCARS_Off[AbilityID],RawOfficer[AbilityID],RawOfficer[AbilityValues])</f>
        <v>0.1, 0.2, 0.3, 0.4, 0.5</v>
      </c>
      <c r="AI283" s="428" t="b">
        <f t="array" ref="AI283">XLOOKUP(LCARS_Off[AbilityID],RawOfficer[AbilityID],RawOfficer[AbilityHasChance])</f>
        <v>0</v>
      </c>
      <c r="AJ283" s="428" t="b">
        <f t="array" ref="AJ283">XLOOKUP(LCARS_Off[AbilityID],RawOfficer[AbilityID],RawOfficer[AbilityShowPercentage])</f>
        <v>1</v>
      </c>
      <c r="AK283" s="429">
        <f t="array" ref="AK283">XLOOKUP(LCARS_Off[AbilityID],RawOfficer[AbilityID],RawOfficer[OfficerArt])</f>
        <v>178</v>
      </c>
      <c r="AL283" s="430">
        <v>1.382019546E9</v>
      </c>
      <c r="AM283" s="430">
        <f t="array" ref="AM283">XLOOKUP(LCARS_Off[AbilityID],RawOfficer[AbilityID],RawOfficer[Default Order])</f>
        <v>280</v>
      </c>
    </row>
    <row r="284">
      <c r="A284" s="429" t="str">
        <f t="array" ref="A284">LEFT(XLOOKUP(LCARS_Off[AbilityID],RawOfficer[AbilityID],RawOfficer[OfficerRarity]), 1)</f>
        <v>E</v>
      </c>
      <c r="B284" s="429"/>
      <c r="C284" s="514" t="str">
        <f t="array" ref="C284">HYPERLINK("https://stfc.space/officers/" &amp; XLOOKUP(LCARS_Off[AbilityID],RawOfficer[AbilityID],RawOfficer[OfficerId]), XLOOKUP(LCARS_Off[AbilityID],RawOfficer[AbilityID],RawOfficer[OfficerName]))</f>
        <v>ELEVEN OF ELEVEN</v>
      </c>
      <c r="D284" s="515" t="str">
        <f t="array" ref="D284">XLOOKUP(LCARS_Off[AbilityID],RawOfficer[AbilityID],RawOfficer[AbilityType])</f>
        <v>CM</v>
      </c>
      <c r="E284" s="516" t="str">
        <f t="array" ref="E284">XLOOKUP(LCARS_Off[AbilityID],RawOfficer[AbilityID],RawOfficer[Tag_PvPinSpace])</f>
        <v>➖</v>
      </c>
      <c r="F284" s="516" t="str">
        <f t="array" ref="F284">XLOOKUP(LCARS_Off[AbilityID],RawOfficer[AbilityID],RawOfficer[Tag_PvPStation])</f>
        <v>➖</v>
      </c>
      <c r="G284" s="516" t="str">
        <f t="array" ref="G284">XLOOKUP(LCARS_Off[AbilityID],RawOfficer[AbilityID],RawOfficer[Tag_NonArmadaHostiles])</f>
        <v>➖</v>
      </c>
      <c r="H284" s="516" t="str">
        <f t="array" ref="H284">XLOOKUP(LCARS_Off[AbilityID],RawOfficer[AbilityID],RawOfficer[Tag_WaveDefense])</f>
        <v>➖</v>
      </c>
      <c r="I284" s="516" t="str">
        <f t="array" ref="I284">XLOOKUP(LCARS_Off[AbilityID],RawOfficer[AbilityID],RawOfficer[Tag_QTrial])</f>
        <v>➖</v>
      </c>
      <c r="J284" s="516" t="str">
        <f t="array" ref="J284">XLOOKUP(LCARS_Off[AbilityID],RawOfficer[AbilityID],RawOfficer[Tag_MissionBosses])</f>
        <v>➖</v>
      </c>
      <c r="K284" s="516" t="str">
        <f t="array" ref="K284">XLOOKUP(LCARS_Off[AbilityID],RawOfficer[AbilityID],RawOfficer[Tag_GroupArmadas])</f>
        <v>➖</v>
      </c>
      <c r="L284" s="516" t="str">
        <f t="array" ref="L284">XLOOKUP(LCARS_Off[AbilityID],RawOfficer[AbilityID],RawOfficer[Tag_SoloArmadas])</f>
        <v>➖</v>
      </c>
      <c r="M284" s="516" t="str">
        <f t="array" ref="M284">XLOOKUP(LCARS_Off[AbilityID],RawOfficer[AbilityID],RawOfficer[Tag_InvadingEntities])</f>
        <v>➖</v>
      </c>
      <c r="N284" s="516" t="str">
        <f t="array" ref="N284">XLOOKUP(LCARS_Off[AbilityID],RawOfficer[AbilityID],RawOfficer[Tag_Assaults])</f>
        <v>➖</v>
      </c>
      <c r="O284" s="516" t="str">
        <f t="array" ref="O284">XLOOKUP(LCARS_Off[AbilityID],RawOfficer[AbilityID],RawOfficer[Tag_OutpostArmadas])</f>
        <v>➖</v>
      </c>
      <c r="P284" s="516" t="str">
        <f t="array" ref="P284">XLOOKUP(LCARS_Off[AbilityID],RawOfficer[AbilityID],RawOfficer[Tag_OutpostRetaliators])</f>
        <v>➖</v>
      </c>
      <c r="Q284" s="517" t="str">
        <f t="array" ref="Q284">XLOOKUP(LCARS_Off[AbilityID],RawOfficer[AbilityID],RawOfficer[Conditional_Reason])</f>
        <v/>
      </c>
      <c r="R284" s="518" t="str">
        <f t="array" ref="R284">XLOOKUP(LCARS_Off[AbilityID],RawOfficer[AbilityID],RawOfficer[Tag_Loot])</f>
        <v>➖</v>
      </c>
      <c r="S284" s="516" t="str">
        <f t="array" ref="S284">XLOOKUP(LCARS_Off[AbilityID],RawOfficer[AbilityID],RawOfficer[Tag_Utility])</f>
        <v>✅</v>
      </c>
      <c r="T284" s="429" t="str">
        <f t="array" ref="T284">XLOOKUP(LCARS_Off[AbilityID],RawOfficer[AbilityID],RawOfficer[OfficerSynergy])</f>
        <v>UNIMATRIX TWELVE</v>
      </c>
      <c r="U284" s="519" t="str">
        <f t="array" ref="U284">XLOOKUP(LCARS_Off[AbilityID],RawOfficer[AbilityID],RawOfficer[AbilityModifier])</f>
        <v>MiningRate</v>
      </c>
      <c r="V284" s="519" t="str">
        <f t="array" ref="V284">XLOOKUP(LCARS_Off[AbilityID],RawOfficer[AbilityID],RawOfficer[AbilityAttributes])</f>
        <v>resources=[1371898528, 680796905, 3735331456, 3598797204, 3739531165, 2285412015]</v>
      </c>
      <c r="W284" s="520" t="str">
        <f t="array" ref="W284">XLOOKUP(LCARS_Off[AbilityID],RawOfficer[AbilityID],RawOfficer[AbilityConditions])</f>
        <v/>
      </c>
      <c r="X284" s="519" t="str">
        <f t="array" ref="X284">XLOOKUP(LCARS_Off[AbilityID],RawOfficer[AbilityID],RawOfficer[AbilityTrigger])</f>
        <v>ShipLaunched</v>
      </c>
      <c r="Y284" s="519" t="str">
        <f t="array" ref="Y284">XLOOKUP(LCARS_Off[AbilityID],RawOfficer[AbilityID],RawOfficer[AbilityTarget])</f>
        <v>SelfShip</v>
      </c>
      <c r="Z284" s="519" t="str">
        <f t="array" ref="Z284">XLOOKUP(LCARS_Off[AbilityID],RawOfficer[AbilityID],RawOfficer[AbilityOperation])</f>
        <v>MultiplyAdd</v>
      </c>
      <c r="AA284" s="521" t="str">
        <f t="array" ref="AA284">XLOOKUP(LCARS_Off[AbilityID],RawOfficer[AbilityID],RawOfficer[AbilityDescription])</f>
        <v>Eleven of Eleven increases Crystal mining speed by X.</v>
      </c>
      <c r="AB284" s="429" t="b">
        <v>0</v>
      </c>
      <c r="AC284" s="522" t="str">
        <f t="array" ref="AC284">XLOOKUP(LCARS_Off[AbilityID],RawOfficer[AbilityID],RawOfficer[AbilityDescriptionShort])</f>
        <v>+X to Crystal mining speed.</v>
      </c>
      <c r="AD284" s="523"/>
      <c r="AE284" s="524"/>
      <c r="AF284" s="524"/>
      <c r="AG284" s="525" t="str">
        <f t="array" ref="AG284">XLOOKUP(LCARS_Off[AbilityID],RawOfficer[AbilityID],RawOfficer[AbilityChances])</f>
        <v>1.0, 1.0, 1.0</v>
      </c>
      <c r="AH284" s="525" t="str">
        <f t="array" ref="AH284">XLOOKUP(LCARS_Off[AbilityID],RawOfficer[AbilityID],RawOfficer[AbilityValues])</f>
        <v>0.6, 0.3, 0.45</v>
      </c>
      <c r="AI284" s="428" t="b">
        <f t="array" ref="AI284">XLOOKUP(LCARS_Off[AbilityID],RawOfficer[AbilityID],RawOfficer[AbilityHasChance])</f>
        <v>0</v>
      </c>
      <c r="AJ284" s="428" t="b">
        <f t="array" ref="AJ284">XLOOKUP(LCARS_Off[AbilityID],RawOfficer[AbilityID],RawOfficer[AbilityShowPercentage])</f>
        <v>1</v>
      </c>
      <c r="AK284" s="429">
        <f t="array" ref="AK284">XLOOKUP(LCARS_Off[AbilityID],RawOfficer[AbilityID],RawOfficer[OfficerArt])</f>
        <v>181</v>
      </c>
      <c r="AL284" s="430">
        <v>3.830386207E9</v>
      </c>
      <c r="AM284" s="430">
        <f t="array" ref="AM284">XLOOKUP(LCARS_Off[AbilityID],RawOfficer[AbilityID],RawOfficer[Default Order])</f>
        <v>281</v>
      </c>
    </row>
    <row r="285">
      <c r="A285" s="429" t="str">
        <f t="array" ref="A285">LEFT(XLOOKUP(LCARS_Off[AbilityID],RawOfficer[AbilityID],RawOfficer[OfficerRarity]), 1)</f>
        <v>E</v>
      </c>
      <c r="B285" s="429"/>
      <c r="C285" s="514" t="str">
        <f t="array" ref="C285">HYPERLINK("https://stfc.space/officers/" &amp; XLOOKUP(LCARS_Off[AbilityID],RawOfficer[AbilityID],RawOfficer[OfficerId]), XLOOKUP(LCARS_Off[AbilityID],RawOfficer[AbilityID],RawOfficer[OfficerName]))</f>
        <v>ELEVEN OF ELEVEN</v>
      </c>
      <c r="D285" s="515" t="str">
        <f t="array" ref="D285">XLOOKUP(LCARS_Off[AbilityID],RawOfficer[AbilityID],RawOfficer[AbilityType])</f>
        <v>OA</v>
      </c>
      <c r="E285" s="516" t="str">
        <f t="array" ref="E285">XLOOKUP(LCARS_Off[AbilityID],RawOfficer[AbilityID],RawOfficer[Tag_PvPinSpace])</f>
        <v>➖</v>
      </c>
      <c r="F285" s="516" t="str">
        <f t="array" ref="F285">XLOOKUP(LCARS_Off[AbilityID],RawOfficer[AbilityID],RawOfficer[Tag_PvPStation])</f>
        <v>➖</v>
      </c>
      <c r="G285" s="516" t="str">
        <f t="array" ref="G285">XLOOKUP(LCARS_Off[AbilityID],RawOfficer[AbilityID],RawOfficer[Tag_NonArmadaHostiles])</f>
        <v>➖</v>
      </c>
      <c r="H285" s="516" t="str">
        <f t="array" ref="H285">XLOOKUP(LCARS_Off[AbilityID],RawOfficer[AbilityID],RawOfficer[Tag_WaveDefense])</f>
        <v>➖</v>
      </c>
      <c r="I285" s="516" t="str">
        <f t="array" ref="I285">XLOOKUP(LCARS_Off[AbilityID],RawOfficer[AbilityID],RawOfficer[Tag_QTrial])</f>
        <v>➖</v>
      </c>
      <c r="J285" s="516" t="str">
        <f t="array" ref="J285">XLOOKUP(LCARS_Off[AbilityID],RawOfficer[AbilityID],RawOfficer[Tag_MissionBosses])</f>
        <v>➖</v>
      </c>
      <c r="K285" s="516" t="str">
        <f t="array" ref="K285">XLOOKUP(LCARS_Off[AbilityID],RawOfficer[AbilityID],RawOfficer[Tag_GroupArmadas])</f>
        <v>➖</v>
      </c>
      <c r="L285" s="516" t="str">
        <f t="array" ref="L285">XLOOKUP(LCARS_Off[AbilityID],RawOfficer[AbilityID],RawOfficer[Tag_SoloArmadas])</f>
        <v>➖</v>
      </c>
      <c r="M285" s="516" t="str">
        <f t="array" ref="M285">XLOOKUP(LCARS_Off[AbilityID],RawOfficer[AbilityID],RawOfficer[Tag_InvadingEntities])</f>
        <v>➖</v>
      </c>
      <c r="N285" s="516" t="str">
        <f t="array" ref="N285">XLOOKUP(LCARS_Off[AbilityID],RawOfficer[AbilityID],RawOfficer[Tag_Assaults])</f>
        <v>➖</v>
      </c>
      <c r="O285" s="516" t="str">
        <f t="array" ref="O285">XLOOKUP(LCARS_Off[AbilityID],RawOfficer[AbilityID],RawOfficer[Tag_OutpostArmadas])</f>
        <v>➖</v>
      </c>
      <c r="P285" s="516" t="str">
        <f t="array" ref="P285">XLOOKUP(LCARS_Off[AbilityID],RawOfficer[AbilityID],RawOfficer[Tag_OutpostRetaliators])</f>
        <v>➖</v>
      </c>
      <c r="Q285" s="517" t="str">
        <f t="array" ref="Q285">XLOOKUP(LCARS_Off[AbilityID],RawOfficer[AbilityID],RawOfficer[Conditional_Reason])</f>
        <v/>
      </c>
      <c r="R285" s="518" t="str">
        <f t="array" ref="R285">XLOOKUP(LCARS_Off[AbilityID],RawOfficer[AbilityID],RawOfficer[Tag_Loot])</f>
        <v>➖</v>
      </c>
      <c r="S285" s="516" t="str">
        <f t="array" ref="S285">XLOOKUP(LCARS_Off[AbilityID],RawOfficer[AbilityID],RawOfficer[Tag_Utility])</f>
        <v>✅</v>
      </c>
      <c r="T285" s="429" t="str">
        <f t="array" ref="T285">XLOOKUP(LCARS_Off[AbilityID],RawOfficer[AbilityID],RawOfficer[OfficerSynergy])</f>
        <v>UNIMATRIX TWELVE</v>
      </c>
      <c r="U285" s="519" t="str">
        <f t="array" ref="U285">XLOOKUP(LCARS_Off[AbilityID],RawOfficer[AbilityID],RawOfficer[AbilityModifier])</f>
        <v>WarpSpeed</v>
      </c>
      <c r="V285" s="519" t="str">
        <f t="array" ref="V285">XLOOKUP(LCARS_Off[AbilityID],RawOfficer[AbilityID],RawOfficer[AbilityAttributes])</f>
        <v/>
      </c>
      <c r="W285" s="520" t="str">
        <f t="array" ref="W285">XLOOKUP(LCARS_Off[AbilityID],RawOfficer[AbilityID],RawOfficer[AbilityConditions])</f>
        <v/>
      </c>
      <c r="X285" s="519" t="str">
        <f t="array" ref="X285">XLOOKUP(LCARS_Off[AbilityID],RawOfficer[AbilityID],RawOfficer[AbilityTrigger])</f>
        <v>ShipLaunched</v>
      </c>
      <c r="Y285" s="519" t="str">
        <f t="array" ref="Y285">XLOOKUP(LCARS_Off[AbilityID],RawOfficer[AbilityID],RawOfficer[AbilityTarget])</f>
        <v>SelfShip</v>
      </c>
      <c r="Z285" s="519" t="str">
        <f t="array" ref="Z285">XLOOKUP(LCARS_Off[AbilityID],RawOfficer[AbilityID],RawOfficer[AbilityOperation])</f>
        <v>MultiplyAdd</v>
      </c>
      <c r="AA285" s="521" t="str">
        <f t="array" ref="AA285">XLOOKUP(LCARS_Off[AbilityID],RawOfficer[AbilityID],RawOfficer[AbilityDescription])</f>
        <v>Eleven of Eleven increases Warp Speed by X.</v>
      </c>
      <c r="AB285" s="429" t="b">
        <v>0</v>
      </c>
      <c r="AC285" s="522" t="str">
        <f t="array" ref="AC285">XLOOKUP(LCARS_Off[AbilityID],RawOfficer[AbilityID],RawOfficer[AbilityDescriptionShort])</f>
        <v>+X to Warp Speed.</v>
      </c>
      <c r="AD285" s="523"/>
      <c r="AE285" s="524"/>
      <c r="AF285" s="524"/>
      <c r="AG285" s="525" t="str">
        <f t="array" ref="AG285">XLOOKUP(LCARS_Off[AbilityID],RawOfficer[AbilityID],RawOfficer[AbilityChances])</f>
        <v>1.0, 1.0, 1.0, 1.0, 1.0</v>
      </c>
      <c r="AH285" s="525" t="str">
        <f t="array" ref="AH285">XLOOKUP(LCARS_Off[AbilityID],RawOfficer[AbilityID],RawOfficer[AbilityValues])</f>
        <v>0.3, 0.35, 0.4, 0.45, 0.5</v>
      </c>
      <c r="AI285" s="428" t="b">
        <f t="array" ref="AI285">XLOOKUP(LCARS_Off[AbilityID],RawOfficer[AbilityID],RawOfficer[AbilityHasChance])</f>
        <v>0</v>
      </c>
      <c r="AJ285" s="428" t="b">
        <f t="array" ref="AJ285">XLOOKUP(LCARS_Off[AbilityID],RawOfficer[AbilityID],RawOfficer[AbilityShowPercentage])</f>
        <v>1</v>
      </c>
      <c r="AK285" s="429">
        <f t="array" ref="AK285">XLOOKUP(LCARS_Off[AbilityID],RawOfficer[AbilityID],RawOfficer[OfficerArt])</f>
        <v>181</v>
      </c>
      <c r="AL285" s="430">
        <v>3.620433776E9</v>
      </c>
      <c r="AM285" s="430">
        <f t="array" ref="AM285">XLOOKUP(LCARS_Off[AbilityID],RawOfficer[AbilityID],RawOfficer[Default Order])</f>
        <v>282</v>
      </c>
    </row>
    <row r="286">
      <c r="A286" s="429" t="str">
        <f t="array" ref="A286">LEFT(XLOOKUP(LCARS_Off[AbilityID],RawOfficer[AbilityID],RawOfficer[OfficerRarity]), 1)</f>
        <v>E</v>
      </c>
      <c r="B286" s="429"/>
      <c r="C286" s="514" t="str">
        <f t="array" ref="C286">HYPERLINK("https://stfc.space/officers/" &amp; XLOOKUP(LCARS_Off[AbilityID],RawOfficer[AbilityID],RawOfficer[OfficerId]), XLOOKUP(LCARS_Off[AbilityID],RawOfficer[AbilityID],RawOfficer[OfficerName]))</f>
        <v>HONORGUARD WORF</v>
      </c>
      <c r="D286" s="515" t="str">
        <f t="array" ref="D286">XLOOKUP(LCARS_Off[AbilityID],RawOfficer[AbilityID],RawOfficer[AbilityType])</f>
        <v>CM</v>
      </c>
      <c r="E286" s="516" t="str">
        <f t="array" ref="E286">XLOOKUP(LCARS_Off[AbilityID],RawOfficer[AbilityID],RawOfficer[Tag_PvPinSpace])</f>
        <v>✅</v>
      </c>
      <c r="F286" s="516" t="str">
        <f t="array" ref="F286">XLOOKUP(LCARS_Off[AbilityID],RawOfficer[AbilityID],RawOfficer[Tag_PvPStation])</f>
        <v>✅</v>
      </c>
      <c r="G286" s="516" t="str">
        <f t="array" ref="G286">XLOOKUP(LCARS_Off[AbilityID],RawOfficer[AbilityID],RawOfficer[Tag_NonArmadaHostiles])</f>
        <v>➖</v>
      </c>
      <c r="H286" s="516" t="str">
        <f t="array" ref="H286">XLOOKUP(LCARS_Off[AbilityID],RawOfficer[AbilityID],RawOfficer[Tag_WaveDefense])</f>
        <v>➖</v>
      </c>
      <c r="I286" s="516" t="str">
        <f t="array" ref="I286">XLOOKUP(LCARS_Off[AbilityID],RawOfficer[AbilityID],RawOfficer[Tag_QTrial])</f>
        <v>➖</v>
      </c>
      <c r="J286" s="516" t="str">
        <f t="array" ref="J286">XLOOKUP(LCARS_Off[AbilityID],RawOfficer[AbilityID],RawOfficer[Tag_MissionBosses])</f>
        <v>➖</v>
      </c>
      <c r="K286" s="516" t="str">
        <f t="array" ref="K286">XLOOKUP(LCARS_Off[AbilityID],RawOfficer[AbilityID],RawOfficer[Tag_GroupArmadas])</f>
        <v>➖</v>
      </c>
      <c r="L286" s="516" t="str">
        <f t="array" ref="L286">XLOOKUP(LCARS_Off[AbilityID],RawOfficer[AbilityID],RawOfficer[Tag_SoloArmadas])</f>
        <v>➖</v>
      </c>
      <c r="M286" s="516" t="str">
        <f t="array" ref="M286">XLOOKUP(LCARS_Off[AbilityID],RawOfficer[AbilityID],RawOfficer[Tag_InvadingEntities])</f>
        <v>➖</v>
      </c>
      <c r="N286" s="516" t="str">
        <f t="array" ref="N286">XLOOKUP(LCARS_Off[AbilityID],RawOfficer[AbilityID],RawOfficer[Tag_Assaults])</f>
        <v>➖</v>
      </c>
      <c r="O286" s="516" t="str">
        <f t="array" ref="O286">XLOOKUP(LCARS_Off[AbilityID],RawOfficer[AbilityID],RawOfficer[Tag_OutpostArmadas])</f>
        <v>➖</v>
      </c>
      <c r="P286" s="516" t="str">
        <f t="array" ref="P286">XLOOKUP(LCARS_Off[AbilityID],RawOfficer[AbilityID],RawOfficer[Tag_OutpostRetaliators])</f>
        <v>➖</v>
      </c>
      <c r="Q286" s="517" t="str">
        <f t="array" ref="Q286">XLOOKUP(LCARS_Off[AbilityID],RawOfficer[AbilityID],RawOfficer[Conditional_Reason])</f>
        <v/>
      </c>
      <c r="R286" s="518" t="str">
        <f t="array" ref="R286">XLOOKUP(LCARS_Off[AbilityID],RawOfficer[AbilityID],RawOfficer[Tag_Loot])</f>
        <v>➖</v>
      </c>
      <c r="S286" s="516" t="str">
        <f t="array" ref="S286">XLOOKUP(LCARS_Off[AbilityID],RawOfficer[AbilityID],RawOfficer[Tag_Utility])</f>
        <v>➖</v>
      </c>
      <c r="T286" s="429" t="str">
        <f t="array" ref="T286">XLOOKUP(LCARS_Off[AbilityID],RawOfficer[AbilityID],RawOfficer[OfficerSynergy])</f>
        <v>KHITOMER'S REVENGE</v>
      </c>
      <c r="U286" s="519" t="str">
        <f t="array" ref="U286">XLOOKUP(LCARS_Off[AbilityID],RawOfficer[AbilityID],RawOfficer[AbilityModifier])</f>
        <v>ArmorPiercing</v>
      </c>
      <c r="V286" s="519" t="str">
        <f t="array" ref="V286">XLOOKUP(LCARS_Off[AbilityID],RawOfficer[AbilityID],RawOfficer[AbilityAttributes])</f>
        <v>officer_stat=1</v>
      </c>
      <c r="W286" s="520" t="str">
        <f t="array" ref="W286">XLOOKUP(LCARS_Off[AbilityID],RawOfficer[AbilityID],RawOfficer[AbilityConditions])</f>
        <v>EnemyPlayer</v>
      </c>
      <c r="X286" s="519" t="str">
        <f t="array" ref="X286">XLOOKUP(LCARS_Off[AbilityID],RawOfficer[AbilityID],RawOfficer[AbilityTrigger])</f>
        <v>CriticalShotFired</v>
      </c>
      <c r="Y286" s="519" t="str">
        <f t="array" ref="Y286">XLOOKUP(LCARS_Off[AbilityID],RawOfficer[AbilityID],RawOfficer[AbilityTarget])</f>
        <v>SelfShip</v>
      </c>
      <c r="Z286" s="519" t="str">
        <f t="array" ref="Z286">XLOOKUP(LCARS_Off[AbilityID],RawOfficer[AbilityID],RawOfficer[AbilityOperation])</f>
        <v>MultiplyBaseAdd</v>
      </c>
      <c r="AA286" s="521" t="str">
        <f t="array" ref="AA286">XLOOKUP(LCARS_Off[AbilityID],RawOfficer[AbilityID],RawOfficer[AbilityDescription])</f>
        <v>When fighting other players, Honorguard Worf increases the ship's Armor Piercing by X of Crew Attack whenever the ship scores a critical hit.</v>
      </c>
      <c r="AB286" s="429" t="b">
        <v>0</v>
      </c>
      <c r="AC286" s="522" t="str">
        <f t="array" ref="AC286">XLOOKUP(LCARS_Off[AbilityID],RawOfficer[AbilityID],RawOfficer[AbilityDescriptionShort])</f>
        <v>Increase Armor Piercing by X of Crew Attack when critically hitting player targets</v>
      </c>
      <c r="AD286" s="523"/>
      <c r="AE286" s="524"/>
      <c r="AF286" s="524"/>
      <c r="AG286" s="525" t="str">
        <f t="array" ref="AG286">XLOOKUP(LCARS_Off[AbilityID],RawOfficer[AbilityID],RawOfficer[AbilityChances])</f>
        <v>1.0, 1.0, 1.0</v>
      </c>
      <c r="AH286" s="525" t="str">
        <f t="array" ref="AH286">XLOOKUP(LCARS_Off[AbilityID],RawOfficer[AbilityID],RawOfficer[AbilityValues])</f>
        <v>0.3, 0.05, 0.1</v>
      </c>
      <c r="AI286" s="428" t="b">
        <f t="array" ref="AI286">XLOOKUP(LCARS_Off[AbilityID],RawOfficer[AbilityID],RawOfficer[AbilityHasChance])</f>
        <v>0</v>
      </c>
      <c r="AJ286" s="428" t="b">
        <f t="array" ref="AJ286">XLOOKUP(LCARS_Off[AbilityID],RawOfficer[AbilityID],RawOfficer[AbilityShowPercentage])</f>
        <v>1</v>
      </c>
      <c r="AK286" s="429">
        <f t="array" ref="AK286">XLOOKUP(LCARS_Off[AbilityID],RawOfficer[AbilityID],RawOfficer[OfficerArt])</f>
        <v>182</v>
      </c>
      <c r="AL286" s="430">
        <v>2.884241557E9</v>
      </c>
      <c r="AM286" s="430">
        <f t="array" ref="AM286">XLOOKUP(LCARS_Off[AbilityID],RawOfficer[AbilityID],RawOfficer[Default Order])</f>
        <v>283</v>
      </c>
    </row>
    <row r="287">
      <c r="A287" s="429" t="str">
        <f t="array" ref="A287">LEFT(XLOOKUP(LCARS_Off[AbilityID],RawOfficer[AbilityID],RawOfficer[OfficerRarity]), 1)</f>
        <v>E</v>
      </c>
      <c r="B287" s="429"/>
      <c r="C287" s="514" t="str">
        <f t="array" ref="C287">HYPERLINK("https://stfc.space/officers/" &amp; XLOOKUP(LCARS_Off[AbilityID],RawOfficer[AbilityID],RawOfficer[OfficerId]), XLOOKUP(LCARS_Off[AbilityID],RawOfficer[AbilityID],RawOfficer[OfficerName]))</f>
        <v>HONORGUARD WORF</v>
      </c>
      <c r="D287" s="515" t="str">
        <f t="array" ref="D287">XLOOKUP(LCARS_Off[AbilityID],RawOfficer[AbilityID],RawOfficer[AbilityType])</f>
        <v>OA</v>
      </c>
      <c r="E287" s="516" t="str">
        <f t="array" ref="E287">XLOOKUP(LCARS_Off[AbilityID],RawOfficer[AbilityID],RawOfficer[Tag_PvPinSpace])</f>
        <v>✅</v>
      </c>
      <c r="F287" s="516" t="str">
        <f t="array" ref="F287">XLOOKUP(LCARS_Off[AbilityID],RawOfficer[AbilityID],RawOfficer[Tag_PvPStation])</f>
        <v>✅</v>
      </c>
      <c r="G287" s="516" t="str">
        <f t="array" ref="G287">XLOOKUP(LCARS_Off[AbilityID],RawOfficer[AbilityID],RawOfficer[Tag_NonArmadaHostiles])</f>
        <v>➖</v>
      </c>
      <c r="H287" s="516" t="str">
        <f t="array" ref="H287">XLOOKUP(LCARS_Off[AbilityID],RawOfficer[AbilityID],RawOfficer[Tag_WaveDefense])</f>
        <v>➖</v>
      </c>
      <c r="I287" s="516" t="str">
        <f t="array" ref="I287">XLOOKUP(LCARS_Off[AbilityID],RawOfficer[AbilityID],RawOfficer[Tag_QTrial])</f>
        <v>➖</v>
      </c>
      <c r="J287" s="516" t="str">
        <f t="array" ref="J287">XLOOKUP(LCARS_Off[AbilityID],RawOfficer[AbilityID],RawOfficer[Tag_MissionBosses])</f>
        <v>➖</v>
      </c>
      <c r="K287" s="516" t="str">
        <f t="array" ref="K287">XLOOKUP(LCARS_Off[AbilityID],RawOfficer[AbilityID],RawOfficer[Tag_GroupArmadas])</f>
        <v>➖</v>
      </c>
      <c r="L287" s="516" t="str">
        <f t="array" ref="L287">XLOOKUP(LCARS_Off[AbilityID],RawOfficer[AbilityID],RawOfficer[Tag_SoloArmadas])</f>
        <v>➖</v>
      </c>
      <c r="M287" s="516" t="str">
        <f t="array" ref="M287">XLOOKUP(LCARS_Off[AbilityID],RawOfficer[AbilityID],RawOfficer[Tag_InvadingEntities])</f>
        <v>➖</v>
      </c>
      <c r="N287" s="516" t="str">
        <f t="array" ref="N287">XLOOKUP(LCARS_Off[AbilityID],RawOfficer[AbilityID],RawOfficer[Tag_Assaults])</f>
        <v>➖</v>
      </c>
      <c r="O287" s="516" t="str">
        <f t="array" ref="O287">XLOOKUP(LCARS_Off[AbilityID],RawOfficer[AbilityID],RawOfficer[Tag_OutpostArmadas])</f>
        <v>➖</v>
      </c>
      <c r="P287" s="516" t="str">
        <f t="array" ref="P287">XLOOKUP(LCARS_Off[AbilityID],RawOfficer[AbilityID],RawOfficer[Tag_OutpostRetaliators])</f>
        <v>➖</v>
      </c>
      <c r="Q287" s="517" t="str">
        <f t="array" ref="Q287">XLOOKUP(LCARS_Off[AbilityID],RawOfficer[AbilityID],RawOfficer[Conditional_Reason])</f>
        <v/>
      </c>
      <c r="R287" s="518" t="str">
        <f t="array" ref="R287">XLOOKUP(LCARS_Off[AbilityID],RawOfficer[AbilityID],RawOfficer[Tag_Loot])</f>
        <v>➖</v>
      </c>
      <c r="S287" s="516" t="str">
        <f t="array" ref="S287">XLOOKUP(LCARS_Off[AbilityID],RawOfficer[AbilityID],RawOfficer[Tag_Utility])</f>
        <v>➖</v>
      </c>
      <c r="T287" s="429" t="str">
        <f t="array" ref="T287">XLOOKUP(LCARS_Off[AbilityID],RawOfficer[AbilityID],RawOfficer[OfficerSynergy])</f>
        <v>KHITOMER'S REVENGE</v>
      </c>
      <c r="U287" s="519" t="str">
        <f t="array" ref="U287">XLOOKUP(LCARS_Off[AbilityID],RawOfficer[AbilityID],RawOfficer[AbilityModifier])</f>
        <v>CritChance</v>
      </c>
      <c r="V287" s="519" t="str">
        <f t="array" ref="V287">XLOOKUP(LCARS_Off[AbilityID],RawOfficer[AbilityID],RawOfficer[AbilityAttributes])</f>
        <v>num_rounds=8</v>
      </c>
      <c r="W287" s="520" t="str">
        <f t="array" ref="W287">XLOOKUP(LCARS_Off[AbilityID],RawOfficer[AbilityID],RawOfficer[AbilityConditions])</f>
        <v>EnemyPlayer</v>
      </c>
      <c r="X287" s="519" t="str">
        <f t="array" ref="X287">XLOOKUP(LCARS_Off[AbilityID],RawOfficer[AbilityID],RawOfficer[AbilityTrigger])</f>
        <v>CombatStart</v>
      </c>
      <c r="Y287" s="519" t="str">
        <f t="array" ref="Y287">XLOOKUP(LCARS_Off[AbilityID],RawOfficer[AbilityID],RawOfficer[AbilityTarget])</f>
        <v>SelfShip</v>
      </c>
      <c r="Z287" s="519" t="str">
        <f t="array" ref="Z287">XLOOKUP(LCARS_Off[AbilityID],RawOfficer[AbilityID],RawOfficer[AbilityOperation])</f>
        <v>Add</v>
      </c>
      <c r="AA287" s="521" t="str">
        <f t="array" ref="AA287">XLOOKUP(LCARS_Off[AbilityID],RawOfficer[AbilityID],RawOfficer[AbilityDescription])</f>
        <v>For the first 8 rounds of combat against other players, Honorguard Worf increases the Critical Hit Chance of the ship by X.</v>
      </c>
      <c r="AB287" s="429" t="b">
        <v>0</v>
      </c>
      <c r="AC287" s="522" t="str">
        <f t="array" ref="AC287">XLOOKUP(LCARS_Off[AbilityID],RawOfficer[AbilityID],RawOfficer[AbilityDescriptionShort])</f>
        <v>+X to Crit Chance against players for the first 8 rounds of combat</v>
      </c>
      <c r="AD287" s="523"/>
      <c r="AE287" s="524"/>
      <c r="AF287" s="524"/>
      <c r="AG287" s="525" t="str">
        <f t="array" ref="AG287">XLOOKUP(LCARS_Off[AbilityID],RawOfficer[AbilityID],RawOfficer[AbilityChances])</f>
        <v>1.0, 1.0, 1.0, 1.0, 1.0</v>
      </c>
      <c r="AH287" s="525" t="str">
        <f t="array" ref="AH287">XLOOKUP(LCARS_Off[AbilityID],RawOfficer[AbilityID],RawOfficer[AbilityValues])</f>
        <v>0.45, 0.5, 0.6, 0.75, 1.0</v>
      </c>
      <c r="AI287" s="428" t="b">
        <f t="array" ref="AI287">XLOOKUP(LCARS_Off[AbilityID],RawOfficer[AbilityID],RawOfficer[AbilityHasChance])</f>
        <v>0</v>
      </c>
      <c r="AJ287" s="428" t="b">
        <f t="array" ref="AJ287">XLOOKUP(LCARS_Off[AbilityID],RawOfficer[AbilityID],RawOfficer[AbilityShowPercentage])</f>
        <v>1</v>
      </c>
      <c r="AK287" s="429">
        <f t="array" ref="AK287">XLOOKUP(LCARS_Off[AbilityID],RawOfficer[AbilityID],RawOfficer[OfficerArt])</f>
        <v>182</v>
      </c>
      <c r="AL287" s="430">
        <v>4.096806574E9</v>
      </c>
      <c r="AM287" s="430">
        <f t="array" ref="AM287">XLOOKUP(LCARS_Off[AbilityID],RawOfficer[AbilityID],RawOfficer[Default Order])</f>
        <v>284</v>
      </c>
    </row>
    <row r="288">
      <c r="A288" s="429" t="str">
        <f t="array" ref="A288">LEFT(XLOOKUP(LCARS_Off[AbilityID],RawOfficer[AbilityID],RawOfficer[OfficerRarity]), 1)</f>
        <v>E</v>
      </c>
      <c r="B288" s="429"/>
      <c r="C288" s="514" t="str">
        <f t="array" ref="C288">HYPERLINK("https://stfc.space/officers/" &amp; XLOOKUP(LCARS_Off[AbilityID],RawOfficer[AbilityID],RawOfficer[OfficerId]), XLOOKUP(LCARS_Off[AbilityID],RawOfficer[AbilityID],RawOfficer[OfficerName]))</f>
        <v>SELA</v>
      </c>
      <c r="D288" s="515" t="str">
        <f t="array" ref="D288">XLOOKUP(LCARS_Off[AbilityID],RawOfficer[AbilityID],RawOfficer[AbilityType])</f>
        <v>CM</v>
      </c>
      <c r="E288" s="516" t="str">
        <f t="array" ref="E288">XLOOKUP(LCARS_Off[AbilityID],RawOfficer[AbilityID],RawOfficer[Tag_PvPinSpace])</f>
        <v>✅</v>
      </c>
      <c r="F288" s="516" t="str">
        <f t="array" ref="F288">XLOOKUP(LCARS_Off[AbilityID],RawOfficer[AbilityID],RawOfficer[Tag_PvPStation])</f>
        <v>➖</v>
      </c>
      <c r="G288" s="516" t="str">
        <f t="array" ref="G288">XLOOKUP(LCARS_Off[AbilityID],RawOfficer[AbilityID],RawOfficer[Tag_NonArmadaHostiles])</f>
        <v>➖</v>
      </c>
      <c r="H288" s="516" t="str">
        <f t="array" ref="H288">XLOOKUP(LCARS_Off[AbilityID],RawOfficer[AbilityID],RawOfficer[Tag_WaveDefense])</f>
        <v>➖</v>
      </c>
      <c r="I288" s="516" t="str">
        <f t="array" ref="I288">XLOOKUP(LCARS_Off[AbilityID],RawOfficer[AbilityID],RawOfficer[Tag_QTrial])</f>
        <v>➖</v>
      </c>
      <c r="J288" s="516" t="str">
        <f t="array" ref="J288">XLOOKUP(LCARS_Off[AbilityID],RawOfficer[AbilityID],RawOfficer[Tag_MissionBosses])</f>
        <v>➖</v>
      </c>
      <c r="K288" s="516" t="str">
        <f t="array" ref="K288">XLOOKUP(LCARS_Off[AbilityID],RawOfficer[AbilityID],RawOfficer[Tag_GroupArmadas])</f>
        <v>➖</v>
      </c>
      <c r="L288" s="516" t="str">
        <f t="array" ref="L288">XLOOKUP(LCARS_Off[AbilityID],RawOfficer[AbilityID],RawOfficer[Tag_SoloArmadas])</f>
        <v>➖</v>
      </c>
      <c r="M288" s="516" t="str">
        <f t="array" ref="M288">XLOOKUP(LCARS_Off[AbilityID],RawOfficer[AbilityID],RawOfficer[Tag_InvadingEntities])</f>
        <v>➖</v>
      </c>
      <c r="N288" s="516" t="str">
        <f t="array" ref="N288">XLOOKUP(LCARS_Off[AbilityID],RawOfficer[AbilityID],RawOfficer[Tag_Assaults])</f>
        <v>➖</v>
      </c>
      <c r="O288" s="516" t="str">
        <f t="array" ref="O288">XLOOKUP(LCARS_Off[AbilityID],RawOfficer[AbilityID],RawOfficer[Tag_OutpostArmadas])</f>
        <v>➖</v>
      </c>
      <c r="P288" s="516" t="str">
        <f t="array" ref="P288">XLOOKUP(LCARS_Off[AbilityID],RawOfficer[AbilityID],RawOfficer[Tag_OutpostRetaliators])</f>
        <v>➖</v>
      </c>
      <c r="Q288" s="517" t="str">
        <f t="array" ref="Q288">XLOOKUP(LCARS_Off[AbilityID],RawOfficer[AbilityID],RawOfficer[Conditional_Reason])</f>
        <v/>
      </c>
      <c r="R288" s="518" t="str">
        <f t="array" ref="R288">XLOOKUP(LCARS_Off[AbilityID],RawOfficer[AbilityID],RawOfficer[Tag_Loot])</f>
        <v>➖</v>
      </c>
      <c r="S288" s="516" t="str">
        <f t="array" ref="S288">XLOOKUP(LCARS_Off[AbilityID],RawOfficer[AbilityID],RawOfficer[Tag_Utility])</f>
        <v>➖</v>
      </c>
      <c r="T288" s="429" t="str">
        <f t="array" ref="T288">XLOOKUP(LCARS_Off[AbilityID],RawOfficer[AbilityID],RawOfficer[OfficerSynergy])</f>
        <v>PRIDE OF ROMULUS</v>
      </c>
      <c r="U288" s="519" t="str">
        <f t="array" ref="U288">XLOOKUP(LCARS_Off[AbilityID],RawOfficer[AbilityID],RawOfficer[AbilityModifier])</f>
        <v>CritDamage</v>
      </c>
      <c r="V288" s="519" t="str">
        <f t="array" ref="V288">XLOOKUP(LCARS_Off[AbilityID],RawOfficer[AbilityID],RawOfficer[AbilityAttributes])</f>
        <v/>
      </c>
      <c r="W288" s="520" t="str">
        <f t="array" ref="W288">XLOOKUP(LCARS_Off[AbilityID],RawOfficer[AbilityID],RawOfficer[AbilityConditions])</f>
        <v>SelfCloaked</v>
      </c>
      <c r="X288" s="519" t="str">
        <f t="array" ref="X288">XLOOKUP(LCARS_Off[AbilityID],RawOfficer[AbilityID],RawOfficer[AbilityTrigger])</f>
        <v>CombatStart</v>
      </c>
      <c r="Y288" s="519" t="str">
        <f t="array" ref="Y288">XLOOKUP(LCARS_Off[AbilityID],RawOfficer[AbilityID],RawOfficer[AbilityTarget])</f>
        <v>SelfShip</v>
      </c>
      <c r="Z288" s="519" t="str">
        <f t="array" ref="Z288">XLOOKUP(LCARS_Off[AbilityID],RawOfficer[AbilityID],RawOfficer[AbilityOperation])</f>
        <v>Add</v>
      </c>
      <c r="AA288" s="521" t="str">
        <f t="array" ref="AA288">XLOOKUP(LCARS_Off[AbilityID],RawOfficer[AbilityID],RawOfficer[AbilityDescription])</f>
        <v>While cloaked, Sela increases Critical Hit Damage by X.</v>
      </c>
      <c r="AB288" s="429" t="b">
        <v>0</v>
      </c>
      <c r="AC288" s="522" t="str">
        <f t="array" ref="AC288">XLOOKUP(LCARS_Off[AbilityID],RawOfficer[AbilityID],RawOfficer[AbilityDescriptionShort])</f>
        <v>Increase Crit Damage by X while cloaked</v>
      </c>
      <c r="AD288" s="523"/>
      <c r="AE288" s="524"/>
      <c r="AF288" s="524"/>
      <c r="AG288" s="525" t="str">
        <f t="array" ref="AG288">XLOOKUP(LCARS_Off[AbilityID],RawOfficer[AbilityID],RawOfficer[AbilityChances])</f>
        <v>1.0, 1.0, 1.0</v>
      </c>
      <c r="AH288" s="525" t="str">
        <f t="array" ref="AH288">XLOOKUP(LCARS_Off[AbilityID],RawOfficer[AbilityID],RawOfficer[AbilityValues])</f>
        <v>0.5, 0.1, 0.15</v>
      </c>
      <c r="AI288" s="428" t="b">
        <f t="array" ref="AI288">XLOOKUP(LCARS_Off[AbilityID],RawOfficer[AbilityID],RawOfficer[AbilityHasChance])</f>
        <v>0</v>
      </c>
      <c r="AJ288" s="428" t="b">
        <f t="array" ref="AJ288">XLOOKUP(LCARS_Off[AbilityID],RawOfficer[AbilityID],RawOfficer[AbilityShowPercentage])</f>
        <v>1</v>
      </c>
      <c r="AK288" s="429">
        <f t="array" ref="AK288">XLOOKUP(LCARS_Off[AbilityID],RawOfficer[AbilityID],RawOfficer[OfficerArt])</f>
        <v>186</v>
      </c>
      <c r="AL288" s="430">
        <v>1.412669858E9</v>
      </c>
      <c r="AM288" s="430">
        <f t="array" ref="AM288">XLOOKUP(LCARS_Off[AbilityID],RawOfficer[AbilityID],RawOfficer[Default Order])</f>
        <v>285</v>
      </c>
    </row>
    <row r="289">
      <c r="A289" s="429" t="str">
        <f t="array" ref="A289">LEFT(XLOOKUP(LCARS_Off[AbilityID],RawOfficer[AbilityID],RawOfficer[OfficerRarity]), 1)</f>
        <v>E</v>
      </c>
      <c r="B289" s="429"/>
      <c r="C289" s="514" t="str">
        <f t="array" ref="C289">HYPERLINK("https://stfc.space/officers/" &amp; XLOOKUP(LCARS_Off[AbilityID],RawOfficer[AbilityID],RawOfficer[OfficerId]), XLOOKUP(LCARS_Off[AbilityID],RawOfficer[AbilityID],RawOfficer[OfficerName]))</f>
        <v>SELA</v>
      </c>
      <c r="D289" s="515" t="str">
        <f t="array" ref="D289">XLOOKUP(LCARS_Off[AbilityID],RawOfficer[AbilityID],RawOfficer[AbilityType])</f>
        <v>OA</v>
      </c>
      <c r="E289" s="516" t="str">
        <f t="array" ref="E289">XLOOKUP(LCARS_Off[AbilityID],RawOfficer[AbilityID],RawOfficer[Tag_PvPinSpace])</f>
        <v>✅</v>
      </c>
      <c r="F289" s="516" t="str">
        <f t="array" ref="F289">XLOOKUP(LCARS_Off[AbilityID],RawOfficer[AbilityID],RawOfficer[Tag_PvPStation])</f>
        <v>✅</v>
      </c>
      <c r="G289" s="516" t="str">
        <f t="array" ref="G289">XLOOKUP(LCARS_Off[AbilityID],RawOfficer[AbilityID],RawOfficer[Tag_NonArmadaHostiles])</f>
        <v>➖</v>
      </c>
      <c r="H289" s="516" t="str">
        <f t="array" ref="H289">XLOOKUP(LCARS_Off[AbilityID],RawOfficer[AbilityID],RawOfficer[Tag_WaveDefense])</f>
        <v>➖</v>
      </c>
      <c r="I289" s="516" t="str">
        <f t="array" ref="I289">XLOOKUP(LCARS_Off[AbilityID],RawOfficer[AbilityID],RawOfficer[Tag_QTrial])</f>
        <v>➖</v>
      </c>
      <c r="J289" s="516" t="str">
        <f t="array" ref="J289">XLOOKUP(LCARS_Off[AbilityID],RawOfficer[AbilityID],RawOfficer[Tag_MissionBosses])</f>
        <v>➖</v>
      </c>
      <c r="K289" s="516" t="str">
        <f t="array" ref="K289">XLOOKUP(LCARS_Off[AbilityID],RawOfficer[AbilityID],RawOfficer[Tag_GroupArmadas])</f>
        <v>➖</v>
      </c>
      <c r="L289" s="516" t="str">
        <f t="array" ref="L289">XLOOKUP(LCARS_Off[AbilityID],RawOfficer[AbilityID],RawOfficer[Tag_SoloArmadas])</f>
        <v>➖</v>
      </c>
      <c r="M289" s="516" t="str">
        <f t="array" ref="M289">XLOOKUP(LCARS_Off[AbilityID],RawOfficer[AbilityID],RawOfficer[Tag_InvadingEntities])</f>
        <v>➖</v>
      </c>
      <c r="N289" s="516" t="str">
        <f t="array" ref="N289">XLOOKUP(LCARS_Off[AbilityID],RawOfficer[AbilityID],RawOfficer[Tag_Assaults])</f>
        <v>➖</v>
      </c>
      <c r="O289" s="516" t="str">
        <f t="array" ref="O289">XLOOKUP(LCARS_Off[AbilityID],RawOfficer[AbilityID],RawOfficer[Tag_OutpostArmadas])</f>
        <v>➖</v>
      </c>
      <c r="P289" s="516" t="str">
        <f t="array" ref="P289">XLOOKUP(LCARS_Off[AbilityID],RawOfficer[AbilityID],RawOfficer[Tag_OutpostRetaliators])</f>
        <v>➖</v>
      </c>
      <c r="Q289" s="517" t="str">
        <f t="array" ref="Q289">XLOOKUP(LCARS_Off[AbilityID],RawOfficer[AbilityID],RawOfficer[Conditional_Reason])</f>
        <v/>
      </c>
      <c r="R289" s="518" t="str">
        <f t="array" ref="R289">XLOOKUP(LCARS_Off[AbilityID],RawOfficer[AbilityID],RawOfficer[Tag_Loot])</f>
        <v>➖</v>
      </c>
      <c r="S289" s="516" t="str">
        <f t="array" ref="S289">XLOOKUP(LCARS_Off[AbilityID],RawOfficer[AbilityID],RawOfficer[Tag_Utility])</f>
        <v>➖</v>
      </c>
      <c r="T289" s="429" t="str">
        <f t="array" ref="T289">XLOOKUP(LCARS_Off[AbilityID],RawOfficer[AbilityID],RawOfficer[OfficerSynergy])</f>
        <v>PRIDE OF ROMULUS</v>
      </c>
      <c r="U289" s="519" t="str">
        <f t="array" ref="U289">XLOOKUP(LCARS_Off[AbilityID],RawOfficer[AbilityID],RawOfficer[AbilityModifier])</f>
        <v>CritChance</v>
      </c>
      <c r="V289" s="519" t="str">
        <f t="array" ref="V289">XLOOKUP(LCARS_Off[AbilityID],RawOfficer[AbilityID],RawOfficer[AbilityAttributes])</f>
        <v/>
      </c>
      <c r="W289" s="520" t="str">
        <f t="array" ref="W289">XLOOKUP(LCARS_Off[AbilityID],RawOfficer[AbilityID],RawOfficer[AbilityConditions])</f>
        <v>EnemyPlayer</v>
      </c>
      <c r="X289" s="519" t="str">
        <f t="array" ref="X289">XLOOKUP(LCARS_Off[AbilityID],RawOfficer[AbilityID],RawOfficer[AbilityTrigger])</f>
        <v>EnemyTakesHit</v>
      </c>
      <c r="Y289" s="519" t="str">
        <f t="array" ref="Y289">XLOOKUP(LCARS_Off[AbilityID],RawOfficer[AbilityID],RawOfficer[AbilityTarget])</f>
        <v>EnemyShip</v>
      </c>
      <c r="Z289" s="519" t="str">
        <f t="array" ref="Z289">XLOOKUP(LCARS_Off[AbilityID],RawOfficer[AbilityID],RawOfficer[AbilityOperation])</f>
        <v>Sub</v>
      </c>
      <c r="AA289" s="521" t="str">
        <f t="array" ref="AA289">XLOOKUP(LCARS_Off[AbilityID],RawOfficer[AbilityID],RawOfficer[AbilityDescription])</f>
        <v>When fighting other players, Sela decreases the enemy's Critical Hit Chance by X every time the ship scores a hit.</v>
      </c>
      <c r="AB289" s="429" t="b">
        <v>0</v>
      </c>
      <c r="AC289" s="522" t="str">
        <f t="array" ref="AC289">XLOOKUP(LCARS_Off[AbilityID],RawOfficer[AbilityID],RawOfficer[AbilityDescriptionShort])</f>
        <v>In PVP, decrease enemy Crit Chance by X per hit</v>
      </c>
      <c r="AD289" s="523"/>
      <c r="AE289" s="524"/>
      <c r="AF289" s="524"/>
      <c r="AG289" s="525" t="str">
        <f t="array" ref="AG289">XLOOKUP(LCARS_Off[AbilityID],RawOfficer[AbilityID],RawOfficer[AbilityChances])</f>
        <v>1.0, 1.0, 1.0, 1.0, 1.0</v>
      </c>
      <c r="AH289" s="525" t="str">
        <f t="array" ref="AH289">XLOOKUP(LCARS_Off[AbilityID],RawOfficer[AbilityID],RawOfficer[AbilityValues])</f>
        <v>0.02, 0.03, 0.04, 0.05, 0.06</v>
      </c>
      <c r="AI289" s="428" t="b">
        <f t="array" ref="AI289">XLOOKUP(LCARS_Off[AbilityID],RawOfficer[AbilityID],RawOfficer[AbilityHasChance])</f>
        <v>0</v>
      </c>
      <c r="AJ289" s="428" t="b">
        <f t="array" ref="AJ289">XLOOKUP(LCARS_Off[AbilityID],RawOfficer[AbilityID],RawOfficer[AbilityShowPercentage])</f>
        <v>1</v>
      </c>
      <c r="AK289" s="429">
        <f t="array" ref="AK289">XLOOKUP(LCARS_Off[AbilityID],RawOfficer[AbilityID],RawOfficer[OfficerArt])</f>
        <v>186</v>
      </c>
      <c r="AL289" s="430">
        <v>5.42000466E8</v>
      </c>
      <c r="AM289" s="430">
        <f t="array" ref="AM289">XLOOKUP(LCARS_Off[AbilityID],RawOfficer[AbilityID],RawOfficer[Default Order])</f>
        <v>286</v>
      </c>
    </row>
    <row r="290">
      <c r="A290" s="429" t="str">
        <f t="array" ref="A290">LEFT(XLOOKUP(LCARS_Off[AbilityID],RawOfficer[AbilityID],RawOfficer[OfficerRarity]), 1)</f>
        <v>R</v>
      </c>
      <c r="B290" s="429"/>
      <c r="C290" s="514" t="str">
        <f t="array" ref="C290">HYPERLINK("https://stfc.space/officers/" &amp; XLOOKUP(LCARS_Off[AbilityID],RawOfficer[AbilityID],RawOfficer[OfficerId]), XLOOKUP(LCARS_Off[AbilityID],RawOfficer[AbilityID],RawOfficer[OfficerName]))</f>
        <v>TOMALAK</v>
      </c>
      <c r="D290" s="515" t="str">
        <f t="array" ref="D290">XLOOKUP(LCARS_Off[AbilityID],RawOfficer[AbilityID],RawOfficer[AbilityType])</f>
        <v>CM</v>
      </c>
      <c r="E290" s="516" t="str">
        <f t="array" ref="E290">XLOOKUP(LCARS_Off[AbilityID],RawOfficer[AbilityID],RawOfficer[Tag_PvPinSpace])</f>
        <v>✅</v>
      </c>
      <c r="F290" s="516" t="str">
        <f t="array" ref="F290">XLOOKUP(LCARS_Off[AbilityID],RawOfficer[AbilityID],RawOfficer[Tag_PvPStation])</f>
        <v>➖</v>
      </c>
      <c r="G290" s="516" t="str">
        <f t="array" ref="G290">XLOOKUP(LCARS_Off[AbilityID],RawOfficer[AbilityID],RawOfficer[Tag_NonArmadaHostiles])</f>
        <v>➖</v>
      </c>
      <c r="H290" s="516" t="str">
        <f t="array" ref="H290">XLOOKUP(LCARS_Off[AbilityID],RawOfficer[AbilityID],RawOfficer[Tag_WaveDefense])</f>
        <v>➖</v>
      </c>
      <c r="I290" s="516" t="str">
        <f t="array" ref="I290">XLOOKUP(LCARS_Off[AbilityID],RawOfficer[AbilityID],RawOfficer[Tag_QTrial])</f>
        <v>➖</v>
      </c>
      <c r="J290" s="516" t="str">
        <f t="array" ref="J290">XLOOKUP(LCARS_Off[AbilityID],RawOfficer[AbilityID],RawOfficer[Tag_MissionBosses])</f>
        <v>➖</v>
      </c>
      <c r="K290" s="516" t="str">
        <f t="array" ref="K290">XLOOKUP(LCARS_Off[AbilityID],RawOfficer[AbilityID],RawOfficer[Tag_GroupArmadas])</f>
        <v>➖</v>
      </c>
      <c r="L290" s="516" t="str">
        <f t="array" ref="L290">XLOOKUP(LCARS_Off[AbilityID],RawOfficer[AbilityID],RawOfficer[Tag_SoloArmadas])</f>
        <v>➖</v>
      </c>
      <c r="M290" s="516" t="str">
        <f t="array" ref="M290">XLOOKUP(LCARS_Off[AbilityID],RawOfficer[AbilityID],RawOfficer[Tag_InvadingEntities])</f>
        <v>➖</v>
      </c>
      <c r="N290" s="516" t="str">
        <f t="array" ref="N290">XLOOKUP(LCARS_Off[AbilityID],RawOfficer[AbilityID],RawOfficer[Tag_Assaults])</f>
        <v>➖</v>
      </c>
      <c r="O290" s="516" t="str">
        <f t="array" ref="O290">XLOOKUP(LCARS_Off[AbilityID],RawOfficer[AbilityID],RawOfficer[Tag_OutpostArmadas])</f>
        <v>➖</v>
      </c>
      <c r="P290" s="516" t="str">
        <f t="array" ref="P290">XLOOKUP(LCARS_Off[AbilityID],RawOfficer[AbilityID],RawOfficer[Tag_OutpostRetaliators])</f>
        <v>➖</v>
      </c>
      <c r="Q290" s="517" t="str">
        <f t="array" ref="Q290">XLOOKUP(LCARS_Off[AbilityID],RawOfficer[AbilityID],RawOfficer[Conditional_Reason])</f>
        <v/>
      </c>
      <c r="R290" s="518" t="str">
        <f t="array" ref="R290">XLOOKUP(LCARS_Off[AbilityID],RawOfficer[AbilityID],RawOfficer[Tag_Loot])</f>
        <v>➖</v>
      </c>
      <c r="S290" s="516" t="str">
        <f t="array" ref="S290">XLOOKUP(LCARS_Off[AbilityID],RawOfficer[AbilityID],RawOfficer[Tag_Utility])</f>
        <v>➖</v>
      </c>
      <c r="T290" s="429" t="str">
        <f t="array" ref="T290">XLOOKUP(LCARS_Off[AbilityID],RawOfficer[AbilityID],RawOfficer[OfficerSynergy])</f>
        <v>PRIDE OF ROMULUS</v>
      </c>
      <c r="U290" s="519" t="str">
        <f t="array" ref="U290">XLOOKUP(LCARS_Off[AbilityID],RawOfficer[AbilityID],RawOfficer[AbilityModifier])</f>
        <v>AllPiercing</v>
      </c>
      <c r="V290" s="519" t="str">
        <f t="array" ref="V290">XLOOKUP(LCARS_Off[AbilityID],RawOfficer[AbilityID],RawOfficer[AbilityAttributes])</f>
        <v/>
      </c>
      <c r="W290" s="520" t="str">
        <f t="array" ref="W290">XLOOKUP(LCARS_Off[AbilityID],RawOfficer[AbilityID],RawOfficer[AbilityConditions])</f>
        <v>SelfCloaked</v>
      </c>
      <c r="X290" s="519" t="str">
        <f t="array" ref="X290">XLOOKUP(LCARS_Off[AbilityID],RawOfficer[AbilityID],RawOfficer[AbilityTrigger])</f>
        <v>CombatStart</v>
      </c>
      <c r="Y290" s="519" t="str">
        <f t="array" ref="Y290">XLOOKUP(LCARS_Off[AbilityID],RawOfficer[AbilityID],RawOfficer[AbilityTarget])</f>
        <v>SelfShip</v>
      </c>
      <c r="Z290" s="519" t="str">
        <f t="array" ref="Z290">XLOOKUP(LCARS_Off[AbilityID],RawOfficer[AbilityID],RawOfficer[AbilityOperation])</f>
        <v>MultiplyAdd</v>
      </c>
      <c r="AA290" s="521" t="str">
        <f t="array" ref="AA290">XLOOKUP(LCARS_Off[AbilityID],RawOfficer[AbilityID],RawOfficer[AbilityDescription])</f>
        <v>While cloaked, Tomalak increases Armor Piercing, Shield Penetration, and Accuracy by X.</v>
      </c>
      <c r="AB290" s="429" t="b">
        <v>0</v>
      </c>
      <c r="AC290" s="522" t="str">
        <f t="array" ref="AC290">XLOOKUP(LCARS_Off[AbilityID],RawOfficer[AbilityID],RawOfficer[AbilityDescriptionShort])</f>
        <v>Increase all Penetration stats by X while cloaked</v>
      </c>
      <c r="AD290" s="523"/>
      <c r="AE290" s="524"/>
      <c r="AF290" s="524"/>
      <c r="AG290" s="525" t="str">
        <f t="array" ref="AG290">XLOOKUP(LCARS_Off[AbilityID],RawOfficer[AbilityID],RawOfficer[AbilityChances])</f>
        <v>1.0, 1.0, 1.0</v>
      </c>
      <c r="AH290" s="525" t="str">
        <f t="array" ref="AH290">XLOOKUP(LCARS_Off[AbilityID],RawOfficer[AbilityID],RawOfficer[AbilityValues])</f>
        <v>1.0, 0.25, 0.5</v>
      </c>
      <c r="AI290" s="428" t="b">
        <f t="array" ref="AI290">XLOOKUP(LCARS_Off[AbilityID],RawOfficer[AbilityID],RawOfficer[AbilityHasChance])</f>
        <v>0</v>
      </c>
      <c r="AJ290" s="428" t="b">
        <f t="array" ref="AJ290">XLOOKUP(LCARS_Off[AbilityID],RawOfficer[AbilityID],RawOfficer[AbilityShowPercentage])</f>
        <v>1</v>
      </c>
      <c r="AK290" s="429">
        <f t="array" ref="AK290">XLOOKUP(LCARS_Off[AbilityID],RawOfficer[AbilityID],RawOfficer[OfficerArt])</f>
        <v>187</v>
      </c>
      <c r="AL290" s="430">
        <v>4.018220297E9</v>
      </c>
      <c r="AM290" s="430">
        <f t="array" ref="AM290">XLOOKUP(LCARS_Off[AbilityID],RawOfficer[AbilityID],RawOfficer[Default Order])</f>
        <v>287</v>
      </c>
    </row>
    <row r="291">
      <c r="A291" s="429" t="str">
        <f t="array" ref="A291">LEFT(XLOOKUP(LCARS_Off[AbilityID],RawOfficer[AbilityID],RawOfficer[OfficerRarity]), 1)</f>
        <v>R</v>
      </c>
      <c r="B291" s="429"/>
      <c r="C291" s="514" t="str">
        <f t="array" ref="C291">HYPERLINK("https://stfc.space/officers/" &amp; XLOOKUP(LCARS_Off[AbilityID],RawOfficer[AbilityID],RawOfficer[OfficerId]), XLOOKUP(LCARS_Off[AbilityID],RawOfficer[AbilityID],RawOfficer[OfficerName]))</f>
        <v>TOMALAK</v>
      </c>
      <c r="D291" s="515" t="str">
        <f t="array" ref="D291">XLOOKUP(LCARS_Off[AbilityID],RawOfficer[AbilityID],RawOfficer[AbilityType])</f>
        <v>OA</v>
      </c>
      <c r="E291" s="516" t="str">
        <f t="array" ref="E291">XLOOKUP(LCARS_Off[AbilityID],RawOfficer[AbilityID],RawOfficer[Tag_PvPinSpace])</f>
        <v>✴️</v>
      </c>
      <c r="F291" s="516" t="str">
        <f t="array" ref="F291">XLOOKUP(LCARS_Off[AbilityID],RawOfficer[AbilityID],RawOfficer[Tag_PvPStation])</f>
        <v>✴️</v>
      </c>
      <c r="G291" s="516" t="str">
        <f t="array" ref="G291">XLOOKUP(LCARS_Off[AbilityID],RawOfficer[AbilityID],RawOfficer[Tag_NonArmadaHostiles])</f>
        <v>✴️</v>
      </c>
      <c r="H291" s="516" t="str">
        <f t="array" ref="H291">XLOOKUP(LCARS_Off[AbilityID],RawOfficer[AbilityID],RawOfficer[Tag_WaveDefense])</f>
        <v>✴️</v>
      </c>
      <c r="I291" s="516" t="str">
        <f t="array" ref="I291">XLOOKUP(LCARS_Off[AbilityID],RawOfficer[AbilityID],RawOfficer[Tag_QTrial])</f>
        <v>✴️</v>
      </c>
      <c r="J291" s="516" t="str">
        <f t="array" ref="J291">XLOOKUP(LCARS_Off[AbilityID],RawOfficer[AbilityID],RawOfficer[Tag_MissionBosses])</f>
        <v>✴️</v>
      </c>
      <c r="K291" s="516" t="str">
        <f t="array" ref="K291">XLOOKUP(LCARS_Off[AbilityID],RawOfficer[AbilityID],RawOfficer[Tag_GroupArmadas])</f>
        <v>✴️</v>
      </c>
      <c r="L291" s="516" t="str">
        <f t="array" ref="L291">XLOOKUP(LCARS_Off[AbilityID],RawOfficer[AbilityID],RawOfficer[Tag_SoloArmadas])</f>
        <v>✴️</v>
      </c>
      <c r="M291" s="516" t="str">
        <f t="array" ref="M291">XLOOKUP(LCARS_Off[AbilityID],RawOfficer[AbilityID],RawOfficer[Tag_InvadingEntities])</f>
        <v>➖</v>
      </c>
      <c r="N291" s="516" t="str">
        <f t="array" ref="N291">XLOOKUP(LCARS_Off[AbilityID],RawOfficer[AbilityID],RawOfficer[Tag_Assaults])</f>
        <v>✴️</v>
      </c>
      <c r="O291" s="516" t="str">
        <f t="array" ref="O291">XLOOKUP(LCARS_Off[AbilityID],RawOfficer[AbilityID],RawOfficer[Tag_OutpostArmadas])</f>
        <v>➖</v>
      </c>
      <c r="P291" s="516" t="str">
        <f t="array" ref="P291">XLOOKUP(LCARS_Off[AbilityID],RawOfficer[AbilityID],RawOfficer[Tag_OutpostRetaliators])</f>
        <v>➖</v>
      </c>
      <c r="Q291" s="517" t="str">
        <f t="array" ref="Q291">XLOOKUP(LCARS_Off[AbilityID],RawOfficer[AbilityID],RawOfficer[Conditional_Reason])</f>
        <v>Klingon</v>
      </c>
      <c r="R291" s="518" t="str">
        <f t="array" ref="R291">XLOOKUP(LCARS_Off[AbilityID],RawOfficer[AbilityID],RawOfficer[Tag_Loot])</f>
        <v>➖</v>
      </c>
      <c r="S291" s="516" t="str">
        <f t="array" ref="S291">XLOOKUP(LCARS_Off[AbilityID],RawOfficer[AbilityID],RawOfficer[Tag_Utility])</f>
        <v>➖</v>
      </c>
      <c r="T291" s="429" t="str">
        <f t="array" ref="T291">XLOOKUP(LCARS_Off[AbilityID],RawOfficer[AbilityID],RawOfficer[OfficerSynergy])</f>
        <v>PRIDE OF ROMULUS</v>
      </c>
      <c r="U291" s="519" t="str">
        <f t="array" ref="U291">XLOOKUP(LCARS_Off[AbilityID],RawOfficer[AbilityID],RawOfficer[AbilityModifier])</f>
        <v>AllDamage</v>
      </c>
      <c r="V291" s="519" t="str">
        <f t="array" ref="V291">XLOOKUP(LCARS_Off[AbilityID],RawOfficer[AbilityID],RawOfficer[AbilityAttributes])</f>
        <v>faction_id=4153667145, officer_stat=1</v>
      </c>
      <c r="W291" s="520" t="str">
        <f t="array" ref="W291">XLOOKUP(LCARS_Off[AbilityID],RawOfficer[AbilityID],RawOfficer[AbilityConditions])</f>
        <v>EnemyHullFaction</v>
      </c>
      <c r="X291" s="519" t="str">
        <f t="array" ref="X291">XLOOKUP(LCARS_Off[AbilityID],RawOfficer[AbilityID],RawOfficer[AbilityTrigger])</f>
        <v>CombatStart</v>
      </c>
      <c r="Y291" s="519" t="str">
        <f t="array" ref="Y291">XLOOKUP(LCARS_Off[AbilityID],RawOfficer[AbilityID],RawOfficer[AbilityTarget])</f>
        <v>SelfShip</v>
      </c>
      <c r="Z291" s="519" t="str">
        <f t="array" ref="Z291">XLOOKUP(LCARS_Off[AbilityID],RawOfficer[AbilityID],RawOfficer[AbilityOperation])</f>
        <v>MultiplyBaseAdd</v>
      </c>
      <c r="AA291" s="521" t="str">
        <f t="array" ref="AA291">XLOOKUP(LCARS_Off[AbilityID],RawOfficer[AbilityID],RawOfficer[AbilityDescription])</f>
        <v>Tomalak increases Weapon Damage against Klingon targets by X of total Crew Attack.</v>
      </c>
      <c r="AB291" s="429" t="b">
        <v>0</v>
      </c>
      <c r="AC291" s="522" t="str">
        <f t="array" ref="AC291">XLOOKUP(LCARS_Off[AbilityID],RawOfficer[AbilityID],RawOfficer[AbilityDescriptionShort])</f>
        <v>Increase Damage against Klingons by X of Crew Attack</v>
      </c>
      <c r="AD291" s="523"/>
      <c r="AE291" s="524"/>
      <c r="AF291" s="524"/>
      <c r="AG291" s="525" t="str">
        <f t="array" ref="AG291">XLOOKUP(LCARS_Off[AbilityID],RawOfficer[AbilityID],RawOfficer[AbilityChances])</f>
        <v>1.0, 1.0, 1.0, 1.0, 1.0</v>
      </c>
      <c r="AH291" s="525" t="str">
        <f t="array" ref="AH291">XLOOKUP(LCARS_Off[AbilityID],RawOfficer[AbilityID],RawOfficer[AbilityValues])</f>
        <v>0.25, 0.35, 0.75, 1.75, 5.0</v>
      </c>
      <c r="AI291" s="428" t="b">
        <f t="array" ref="AI291">XLOOKUP(LCARS_Off[AbilityID],RawOfficer[AbilityID],RawOfficer[AbilityHasChance])</f>
        <v>0</v>
      </c>
      <c r="AJ291" s="428" t="b">
        <f t="array" ref="AJ291">XLOOKUP(LCARS_Off[AbilityID],RawOfficer[AbilityID],RawOfficer[AbilityShowPercentage])</f>
        <v>1</v>
      </c>
      <c r="AK291" s="429">
        <f t="array" ref="AK291">XLOOKUP(LCARS_Off[AbilityID],RawOfficer[AbilityID],RawOfficer[OfficerArt])</f>
        <v>187</v>
      </c>
      <c r="AL291" s="430">
        <v>2.23743617E8</v>
      </c>
      <c r="AM291" s="430">
        <f t="array" ref="AM291">XLOOKUP(LCARS_Off[AbilityID],RawOfficer[AbilityID],RawOfficer[Default Order])</f>
        <v>288</v>
      </c>
    </row>
    <row r="292">
      <c r="A292" s="429" t="str">
        <f t="array" ref="A292">LEFT(XLOOKUP(LCARS_Off[AbilityID],RawOfficer[AbilityID],RawOfficer[OfficerRarity]), 1)</f>
        <v>R</v>
      </c>
      <c r="B292" s="429"/>
      <c r="C292" s="514" t="str">
        <f t="array" ref="C292">HYPERLINK("https://stfc.space/officers/" &amp; XLOOKUP(LCARS_Off[AbilityID],RawOfficer[AbilityID],RawOfficer[OfficerId]), XLOOKUP(LCARS_Off[AbilityID],RawOfficer[AbilityID],RawOfficer[OfficerName]))</f>
        <v>GOWRON</v>
      </c>
      <c r="D292" s="515" t="str">
        <f t="array" ref="D292">XLOOKUP(LCARS_Off[AbilityID],RawOfficer[AbilityID],RawOfficer[AbilityType])</f>
        <v>CM</v>
      </c>
      <c r="E292" s="516" t="str">
        <f t="array" ref="E292">XLOOKUP(LCARS_Off[AbilityID],RawOfficer[AbilityID],RawOfficer[Tag_PvPinSpace])</f>
        <v>✴️</v>
      </c>
      <c r="F292" s="516" t="str">
        <f t="array" ref="F292">XLOOKUP(LCARS_Off[AbilityID],RawOfficer[AbilityID],RawOfficer[Tag_PvPStation])</f>
        <v>✴️</v>
      </c>
      <c r="G292" s="516" t="str">
        <f t="array" ref="G292">XLOOKUP(LCARS_Off[AbilityID],RawOfficer[AbilityID],RawOfficer[Tag_NonArmadaHostiles])</f>
        <v>✴️</v>
      </c>
      <c r="H292" s="516" t="str">
        <f t="array" ref="H292">XLOOKUP(LCARS_Off[AbilityID],RawOfficer[AbilityID],RawOfficer[Tag_WaveDefense])</f>
        <v>✴️</v>
      </c>
      <c r="I292" s="516" t="str">
        <f t="array" ref="I292">XLOOKUP(LCARS_Off[AbilityID],RawOfficer[AbilityID],RawOfficer[Tag_QTrial])</f>
        <v>✴️</v>
      </c>
      <c r="J292" s="516" t="str">
        <f t="array" ref="J292">XLOOKUP(LCARS_Off[AbilityID],RawOfficer[AbilityID],RawOfficer[Tag_MissionBosses])</f>
        <v>✴️</v>
      </c>
      <c r="K292" s="516" t="str">
        <f t="array" ref="K292">XLOOKUP(LCARS_Off[AbilityID],RawOfficer[AbilityID],RawOfficer[Tag_GroupArmadas])</f>
        <v>✴️</v>
      </c>
      <c r="L292" s="516" t="str">
        <f t="array" ref="L292">XLOOKUP(LCARS_Off[AbilityID],RawOfficer[AbilityID],RawOfficer[Tag_SoloArmadas])</f>
        <v>✴️</v>
      </c>
      <c r="M292" s="516" t="str">
        <f t="array" ref="M292">XLOOKUP(LCARS_Off[AbilityID],RawOfficer[AbilityID],RawOfficer[Tag_InvadingEntities])</f>
        <v>✴️</v>
      </c>
      <c r="N292" s="516" t="str">
        <f t="array" ref="N292">XLOOKUP(LCARS_Off[AbilityID],RawOfficer[AbilityID],RawOfficer[Tag_Assaults])</f>
        <v>✴️</v>
      </c>
      <c r="O292" s="516" t="str">
        <f t="array" ref="O292">XLOOKUP(LCARS_Off[AbilityID],RawOfficer[AbilityID],RawOfficer[Tag_OutpostArmadas])</f>
        <v>✴️</v>
      </c>
      <c r="P292" s="516" t="str">
        <f t="array" ref="P292">XLOOKUP(LCARS_Off[AbilityID],RawOfficer[AbilityID],RawOfficer[Tag_OutpostRetaliators])</f>
        <v>✴️</v>
      </c>
      <c r="Q292" s="517" t="str">
        <f t="array" ref="Q292">XLOOKUP(LCARS_Off[AbilityID],RawOfficer[AbilityID],RawOfficer[Conditional_Reason])</f>
        <v>ModuleEnergy</v>
      </c>
      <c r="R292" s="518" t="str">
        <f t="array" ref="R292">XLOOKUP(LCARS_Off[AbilityID],RawOfficer[AbilityID],RawOfficer[Tag_Loot])</f>
        <v>➖</v>
      </c>
      <c r="S292" s="516" t="str">
        <f t="array" ref="S292">XLOOKUP(LCARS_Off[AbilityID],RawOfficer[AbilityID],RawOfficer[Tag_Utility])</f>
        <v>➖</v>
      </c>
      <c r="T292" s="429" t="str">
        <f t="array" ref="T292">XLOOKUP(LCARS_Off[AbilityID],RawOfficer[AbilityID],RawOfficer[OfficerSynergy])</f>
        <v>KHITOMER'S REVENGE</v>
      </c>
      <c r="U292" s="519" t="str">
        <f t="array" ref="U292">XLOOKUP(LCARS_Off[AbilityID],RawOfficer[AbilityID],RawOfficer[AbilityModifier])</f>
        <v>AllDamage</v>
      </c>
      <c r="V292" s="519" t="str">
        <f t="array" ref="V292">XLOOKUP(LCARS_Off[AbilityID],RawOfficer[AbilityID],RawOfficer[AbilityAttributes])</f>
        <v/>
      </c>
      <c r="W292" s="520" t="str">
        <f t="array" ref="W292">XLOOKUP(LCARS_Off[AbilityID],RawOfficer[AbilityID],RawOfficer[AbilityConditions])</f>
        <v>ModuleEnergy</v>
      </c>
      <c r="X292" s="519" t="str">
        <f t="array" ref="X292">XLOOKUP(LCARS_Off[AbilityID],RawOfficer[AbilityID],RawOfficer[AbilityTrigger])</f>
        <v>CombatStart</v>
      </c>
      <c r="Y292" s="519" t="str">
        <f t="array" ref="Y292">XLOOKUP(LCARS_Off[AbilityID],RawOfficer[AbilityID],RawOfficer[AbilityTarget])</f>
        <v>SelfShip</v>
      </c>
      <c r="Z292" s="519" t="str">
        <f t="array" ref="Z292">XLOOKUP(LCARS_Off[AbilityID],RawOfficer[AbilityID],RawOfficer[AbilityOperation])</f>
        <v>MultiplyAdd</v>
      </c>
      <c r="AA292" s="521" t="str">
        <f t="array" ref="AA292">XLOOKUP(LCARS_Off[AbilityID],RawOfficer[AbilityID],RawOfficer[AbilityDescription])</f>
        <v>Gowron increases the ship's Energy Weapon Damage by X.</v>
      </c>
      <c r="AB292" s="429" t="b">
        <v>0</v>
      </c>
      <c r="AC292" s="522" t="str">
        <f t="array" ref="AC292">XLOOKUP(LCARS_Off[AbilityID],RawOfficer[AbilityID],RawOfficer[AbilityDescriptionShort])</f>
        <v>+X to Energy Weapon Damage</v>
      </c>
      <c r="AD292" s="523"/>
      <c r="AE292" s="524"/>
      <c r="AF292" s="524"/>
      <c r="AG292" s="525" t="str">
        <f t="array" ref="AG292">XLOOKUP(LCARS_Off[AbilityID],RawOfficer[AbilityID],RawOfficer[AbilityChances])</f>
        <v>1.0, 1.0, 1.0</v>
      </c>
      <c r="AH292" s="525" t="str">
        <f t="array" ref="AH292">XLOOKUP(LCARS_Off[AbilityID],RawOfficer[AbilityID],RawOfficer[AbilityValues])</f>
        <v>0.5, 0.05, 0.1</v>
      </c>
      <c r="AI292" s="428" t="b">
        <f t="array" ref="AI292">XLOOKUP(LCARS_Off[AbilityID],RawOfficer[AbilityID],RawOfficer[AbilityHasChance])</f>
        <v>0</v>
      </c>
      <c r="AJ292" s="428" t="b">
        <f t="array" ref="AJ292">XLOOKUP(LCARS_Off[AbilityID],RawOfficer[AbilityID],RawOfficer[AbilityShowPercentage])</f>
        <v>1</v>
      </c>
      <c r="AK292" s="429">
        <f t="array" ref="AK292">XLOOKUP(LCARS_Off[AbilityID],RawOfficer[AbilityID],RawOfficer[OfficerArt])</f>
        <v>183</v>
      </c>
      <c r="AL292" s="430">
        <v>2.629388546E9</v>
      </c>
      <c r="AM292" s="430">
        <f t="array" ref="AM292">XLOOKUP(LCARS_Off[AbilityID],RawOfficer[AbilityID],RawOfficer[Default Order])</f>
        <v>289</v>
      </c>
    </row>
    <row r="293">
      <c r="A293" s="429" t="str">
        <f t="array" ref="A293">LEFT(XLOOKUP(LCARS_Off[AbilityID],RawOfficer[AbilityID],RawOfficer[OfficerRarity]), 1)</f>
        <v>R</v>
      </c>
      <c r="B293" s="429"/>
      <c r="C293" s="514" t="str">
        <f t="array" ref="C293">HYPERLINK("https://stfc.space/officers/" &amp; XLOOKUP(LCARS_Off[AbilityID],RawOfficer[AbilityID],RawOfficer[OfficerId]), XLOOKUP(LCARS_Off[AbilityID],RawOfficer[AbilityID],RawOfficer[OfficerName]))</f>
        <v>GOWRON</v>
      </c>
      <c r="D293" s="515" t="str">
        <f t="array" ref="D293">XLOOKUP(LCARS_Off[AbilityID],RawOfficer[AbilityID],RawOfficer[AbilityType])</f>
        <v>OA</v>
      </c>
      <c r="E293" s="516" t="str">
        <f t="array" ref="E293">XLOOKUP(LCARS_Off[AbilityID],RawOfficer[AbilityID],RawOfficer[Tag_PvPinSpace])</f>
        <v>✅</v>
      </c>
      <c r="F293" s="516" t="str">
        <f t="array" ref="F293">XLOOKUP(LCARS_Off[AbilityID],RawOfficer[AbilityID],RawOfficer[Tag_PvPStation])</f>
        <v>✅</v>
      </c>
      <c r="G293" s="516" t="str">
        <f t="array" ref="G293">XLOOKUP(LCARS_Off[AbilityID],RawOfficer[AbilityID],RawOfficer[Tag_NonArmadaHostiles])</f>
        <v>✅</v>
      </c>
      <c r="H293" s="516" t="str">
        <f t="array" ref="H293">XLOOKUP(LCARS_Off[AbilityID],RawOfficer[AbilityID],RawOfficer[Tag_WaveDefense])</f>
        <v>✅</v>
      </c>
      <c r="I293" s="516" t="str">
        <f t="array" ref="I293">XLOOKUP(LCARS_Off[AbilityID],RawOfficer[AbilityID],RawOfficer[Tag_QTrial])</f>
        <v>✅</v>
      </c>
      <c r="J293" s="516" t="str">
        <f t="array" ref="J293">XLOOKUP(LCARS_Off[AbilityID],RawOfficer[AbilityID],RawOfficer[Tag_MissionBosses])</f>
        <v>✅</v>
      </c>
      <c r="K293" s="516" t="str">
        <f t="array" ref="K293">XLOOKUP(LCARS_Off[AbilityID],RawOfficer[AbilityID],RawOfficer[Tag_GroupArmadas])</f>
        <v>✅</v>
      </c>
      <c r="L293" s="516" t="str">
        <f t="array" ref="L293">XLOOKUP(LCARS_Off[AbilityID],RawOfficer[AbilityID],RawOfficer[Tag_SoloArmadas])</f>
        <v>✅</v>
      </c>
      <c r="M293" s="516" t="str">
        <f t="array" ref="M293">XLOOKUP(LCARS_Off[AbilityID],RawOfficer[AbilityID],RawOfficer[Tag_InvadingEntities])</f>
        <v>✅</v>
      </c>
      <c r="N293" s="516" t="str">
        <f t="array" ref="N293">XLOOKUP(LCARS_Off[AbilityID],RawOfficer[AbilityID],RawOfficer[Tag_Assaults])</f>
        <v>✅</v>
      </c>
      <c r="O293" s="516" t="str">
        <f t="array" ref="O293">XLOOKUP(LCARS_Off[AbilityID],RawOfficer[AbilityID],RawOfficer[Tag_OutpostArmadas])</f>
        <v>✅</v>
      </c>
      <c r="P293" s="516" t="str">
        <f t="array" ref="P293">XLOOKUP(LCARS_Off[AbilityID],RawOfficer[AbilityID],RawOfficer[Tag_OutpostRetaliators])</f>
        <v>✅</v>
      </c>
      <c r="Q293" s="517" t="str">
        <f t="array" ref="Q293">XLOOKUP(LCARS_Off[AbilityID],RawOfficer[AbilityID],RawOfficer[Conditional_Reason])</f>
        <v/>
      </c>
      <c r="R293" s="518" t="str">
        <f t="array" ref="R293">XLOOKUP(LCARS_Off[AbilityID],RawOfficer[AbilityID],RawOfficer[Tag_Loot])</f>
        <v>➖</v>
      </c>
      <c r="S293" s="516" t="str">
        <f t="array" ref="S293">XLOOKUP(LCARS_Off[AbilityID],RawOfficer[AbilityID],RawOfficer[Tag_Utility])</f>
        <v>➖</v>
      </c>
      <c r="T293" s="429" t="str">
        <f t="array" ref="T293">XLOOKUP(LCARS_Off[AbilityID],RawOfficer[AbilityID],RawOfficer[OfficerSynergy])</f>
        <v>KHITOMER'S REVENGE</v>
      </c>
      <c r="U293" s="519" t="str">
        <f t="array" ref="U293">XLOOKUP(LCARS_Off[AbilityID],RawOfficer[AbilityID],RawOfficer[AbilityModifier])</f>
        <v>Shields</v>
      </c>
      <c r="V293" s="519" t="str">
        <f t="array" ref="V293">XLOOKUP(LCARS_Off[AbilityID],RawOfficer[AbilityID],RawOfficer[AbilityAttributes])</f>
        <v>officer_stat=3</v>
      </c>
      <c r="W293" s="520" t="str">
        <f t="array" ref="W293">XLOOKUP(LCARS_Off[AbilityID],RawOfficer[AbilityID],RawOfficer[AbilityConditions])</f>
        <v/>
      </c>
      <c r="X293" s="519" t="str">
        <f t="array" ref="X293">XLOOKUP(LCARS_Off[AbilityID],RawOfficer[AbilityID],RawOfficer[AbilityTrigger])</f>
        <v>CombatStart</v>
      </c>
      <c r="Y293" s="519" t="str">
        <f t="array" ref="Y293">XLOOKUP(LCARS_Off[AbilityID],RawOfficer[AbilityID],RawOfficer[AbilityTarget])</f>
        <v>SelfShip</v>
      </c>
      <c r="Z293" s="519" t="str">
        <f t="array" ref="Z293">XLOOKUP(LCARS_Off[AbilityID],RawOfficer[AbilityID],RawOfficer[AbilityOperation])</f>
        <v>MultiplyBaseAdd</v>
      </c>
      <c r="AA293" s="521" t="str">
        <f t="array" ref="AA293">XLOOKUP(LCARS_Off[AbilityID],RawOfficer[AbilityID],RawOfficer[AbilityDescription])</f>
        <v>Gowron increases the ship's Shield Deflection by X of total Crew Health.</v>
      </c>
      <c r="AB293" s="429" t="b">
        <v>0</v>
      </c>
      <c r="AC293" s="522" t="str">
        <f t="array" ref="AC293">XLOOKUP(LCARS_Off[AbilityID],RawOfficer[AbilityID],RawOfficer[AbilityDescriptionShort])</f>
        <v>+X of Crew Health to Shield Deflection</v>
      </c>
      <c r="AD293" s="523"/>
      <c r="AE293" s="524"/>
      <c r="AF293" s="524"/>
      <c r="AG293" s="525" t="str">
        <f t="array" ref="AG293">XLOOKUP(LCARS_Off[AbilityID],RawOfficer[AbilityID],RawOfficer[AbilityChances])</f>
        <v>1.0, 1.0, 1.0, 1.0, 1.0</v>
      </c>
      <c r="AH293" s="525" t="str">
        <f t="array" ref="AH293">XLOOKUP(LCARS_Off[AbilityID],RawOfficer[AbilityID],RawOfficer[AbilityValues])</f>
        <v>2.0, 5.0, 8.0, 11.0, 14.0</v>
      </c>
      <c r="AI293" s="428" t="b">
        <f t="array" ref="AI293">XLOOKUP(LCARS_Off[AbilityID],RawOfficer[AbilityID],RawOfficer[AbilityHasChance])</f>
        <v>0</v>
      </c>
      <c r="AJ293" s="428" t="b">
        <f t="array" ref="AJ293">XLOOKUP(LCARS_Off[AbilityID],RawOfficer[AbilityID],RawOfficer[AbilityShowPercentage])</f>
        <v>1</v>
      </c>
      <c r="AK293" s="429">
        <f t="array" ref="AK293">XLOOKUP(LCARS_Off[AbilityID],RawOfficer[AbilityID],RawOfficer[OfficerArt])</f>
        <v>183</v>
      </c>
      <c r="AL293" s="430">
        <v>1.180450595E9</v>
      </c>
      <c r="AM293" s="430">
        <f t="array" ref="AM293">XLOOKUP(LCARS_Off[AbilityID],RawOfficer[AbilityID],RawOfficer[Default Order])</f>
        <v>290</v>
      </c>
    </row>
    <row r="294">
      <c r="A294" s="429" t="str">
        <f t="array" ref="A294">LEFT(XLOOKUP(LCARS_Off[AbilityID],RawOfficer[AbilityID],RawOfficer[OfficerRarity]), 1)</f>
        <v>R</v>
      </c>
      <c r="B294" s="429"/>
      <c r="C294" s="514" t="str">
        <f t="array" ref="C294">HYPERLINK("https://stfc.space/officers/" &amp; XLOOKUP(LCARS_Off[AbilityID],RawOfficer[AbilityID],RawOfficer[OfficerId]), XLOOKUP(LCARS_Off[AbilityID],RawOfficer[AbilityID],RawOfficer[OfficerName]))</f>
        <v>MARTOK</v>
      </c>
      <c r="D294" s="515" t="str">
        <f t="array" ref="D294">XLOOKUP(LCARS_Off[AbilityID],RawOfficer[AbilityID],RawOfficer[AbilityType])</f>
        <v>CM</v>
      </c>
      <c r="E294" s="516" t="str">
        <f t="array" ref="E294">XLOOKUP(LCARS_Off[AbilityID],RawOfficer[AbilityID],RawOfficer[Tag_PvPinSpace])</f>
        <v>✴️</v>
      </c>
      <c r="F294" s="516" t="str">
        <f t="array" ref="F294">XLOOKUP(LCARS_Off[AbilityID],RawOfficer[AbilityID],RawOfficer[Tag_PvPStation])</f>
        <v>✴️</v>
      </c>
      <c r="G294" s="516" t="str">
        <f t="array" ref="G294">XLOOKUP(LCARS_Off[AbilityID],RawOfficer[AbilityID],RawOfficer[Tag_NonArmadaHostiles])</f>
        <v>✴️</v>
      </c>
      <c r="H294" s="516" t="str">
        <f t="array" ref="H294">XLOOKUP(LCARS_Off[AbilityID],RawOfficer[AbilityID],RawOfficer[Tag_WaveDefense])</f>
        <v>✴️</v>
      </c>
      <c r="I294" s="516" t="str">
        <f t="array" ref="I294">XLOOKUP(LCARS_Off[AbilityID],RawOfficer[AbilityID],RawOfficer[Tag_QTrial])</f>
        <v>✴️</v>
      </c>
      <c r="J294" s="516" t="str">
        <f t="array" ref="J294">XLOOKUP(LCARS_Off[AbilityID],RawOfficer[AbilityID],RawOfficer[Tag_MissionBosses])</f>
        <v>✴️</v>
      </c>
      <c r="K294" s="516" t="str">
        <f t="array" ref="K294">XLOOKUP(LCARS_Off[AbilityID],RawOfficer[AbilityID],RawOfficer[Tag_GroupArmadas])</f>
        <v>✴️</v>
      </c>
      <c r="L294" s="516" t="str">
        <f t="array" ref="L294">XLOOKUP(LCARS_Off[AbilityID],RawOfficer[AbilityID],RawOfficer[Tag_SoloArmadas])</f>
        <v>✴️</v>
      </c>
      <c r="M294" s="516" t="str">
        <f t="array" ref="M294">XLOOKUP(LCARS_Off[AbilityID],RawOfficer[AbilityID],RawOfficer[Tag_InvadingEntities])</f>
        <v>✴️</v>
      </c>
      <c r="N294" s="516" t="str">
        <f t="array" ref="N294">XLOOKUP(LCARS_Off[AbilityID],RawOfficer[AbilityID],RawOfficer[Tag_Assaults])</f>
        <v>✴️</v>
      </c>
      <c r="O294" s="516" t="str">
        <f t="array" ref="O294">XLOOKUP(LCARS_Off[AbilityID],RawOfficer[AbilityID],RawOfficer[Tag_OutpostArmadas])</f>
        <v>✴️</v>
      </c>
      <c r="P294" s="516" t="str">
        <f t="array" ref="P294">XLOOKUP(LCARS_Off[AbilityID],RawOfficer[AbilityID],RawOfficer[Tag_OutpostRetaliators])</f>
        <v>✴️</v>
      </c>
      <c r="Q294" s="517" t="str">
        <f t="array" ref="Q294">XLOOKUP(LCARS_Off[AbilityID],RawOfficer[AbilityID],RawOfficer[Conditional_Reason])</f>
        <v>ModuleKinetic</v>
      </c>
      <c r="R294" s="518" t="str">
        <f t="array" ref="R294">XLOOKUP(LCARS_Off[AbilityID],RawOfficer[AbilityID],RawOfficer[Tag_Loot])</f>
        <v>➖</v>
      </c>
      <c r="S294" s="516" t="str">
        <f t="array" ref="S294">XLOOKUP(LCARS_Off[AbilityID],RawOfficer[AbilityID],RawOfficer[Tag_Utility])</f>
        <v>➖</v>
      </c>
      <c r="T294" s="429" t="str">
        <f t="array" ref="T294">XLOOKUP(LCARS_Off[AbilityID],RawOfficer[AbilityID],RawOfficer[OfficerSynergy])</f>
        <v>KHITOMER'S REVENGE</v>
      </c>
      <c r="U294" s="519" t="str">
        <f t="array" ref="U294">XLOOKUP(LCARS_Off[AbilityID],RawOfficer[AbilityID],RawOfficer[AbilityModifier])</f>
        <v>AllDamage</v>
      </c>
      <c r="V294" s="519" t="str">
        <f t="array" ref="V294">XLOOKUP(LCARS_Off[AbilityID],RawOfficer[AbilityID],RawOfficer[AbilityAttributes])</f>
        <v/>
      </c>
      <c r="W294" s="520" t="str">
        <f t="array" ref="W294">XLOOKUP(LCARS_Off[AbilityID],RawOfficer[AbilityID],RawOfficer[AbilityConditions])</f>
        <v>ModuleKinetic</v>
      </c>
      <c r="X294" s="519" t="str">
        <f t="array" ref="X294">XLOOKUP(LCARS_Off[AbilityID],RawOfficer[AbilityID],RawOfficer[AbilityTrigger])</f>
        <v>CombatStart</v>
      </c>
      <c r="Y294" s="519" t="str">
        <f t="array" ref="Y294">XLOOKUP(LCARS_Off[AbilityID],RawOfficer[AbilityID],RawOfficer[AbilityTarget])</f>
        <v>SelfShip</v>
      </c>
      <c r="Z294" s="519" t="str">
        <f t="array" ref="Z294">XLOOKUP(LCARS_Off[AbilityID],RawOfficer[AbilityID],RawOfficer[AbilityOperation])</f>
        <v>MultiplyAdd</v>
      </c>
      <c r="AA294" s="521" t="str">
        <f t="array" ref="AA294">XLOOKUP(LCARS_Off[AbilityID],RawOfficer[AbilityID],RawOfficer[AbilityDescription])</f>
        <v>Martok increases the ship's Kinetic Weapon Damage by X.</v>
      </c>
      <c r="AB294" s="429" t="b">
        <v>0</v>
      </c>
      <c r="AC294" s="522" t="str">
        <f t="array" ref="AC294">XLOOKUP(LCARS_Off[AbilityID],RawOfficer[AbilityID],RawOfficer[AbilityDescriptionShort])</f>
        <v>+X to Kinetic Weapon Damage</v>
      </c>
      <c r="AD294" s="523"/>
      <c r="AE294" s="524"/>
      <c r="AF294" s="524"/>
      <c r="AG294" s="525" t="str">
        <f t="array" ref="AG294">XLOOKUP(LCARS_Off[AbilityID],RawOfficer[AbilityID],RawOfficer[AbilityChances])</f>
        <v>1.0, 1.0, 1.0</v>
      </c>
      <c r="AH294" s="525" t="str">
        <f t="array" ref="AH294">XLOOKUP(LCARS_Off[AbilityID],RawOfficer[AbilityID],RawOfficer[AbilityValues])</f>
        <v>0.5, 0.05, 0.1</v>
      </c>
      <c r="AI294" s="428" t="b">
        <f t="array" ref="AI294">XLOOKUP(LCARS_Off[AbilityID],RawOfficer[AbilityID],RawOfficer[AbilityHasChance])</f>
        <v>0</v>
      </c>
      <c r="AJ294" s="428" t="b">
        <f t="array" ref="AJ294">XLOOKUP(LCARS_Off[AbilityID],RawOfficer[AbilityID],RawOfficer[AbilityShowPercentage])</f>
        <v>1</v>
      </c>
      <c r="AK294" s="429">
        <f t="array" ref="AK294">XLOOKUP(LCARS_Off[AbilityID],RawOfficer[AbilityID],RawOfficer[OfficerArt])</f>
        <v>184</v>
      </c>
      <c r="AL294" s="430">
        <v>8.76485508E8</v>
      </c>
      <c r="AM294" s="430">
        <f t="array" ref="AM294">XLOOKUP(LCARS_Off[AbilityID],RawOfficer[AbilityID],RawOfficer[Default Order])</f>
        <v>291</v>
      </c>
    </row>
    <row r="295">
      <c r="A295" s="429" t="str">
        <f t="array" ref="A295">LEFT(XLOOKUP(LCARS_Off[AbilityID],RawOfficer[AbilityID],RawOfficer[OfficerRarity]), 1)</f>
        <v>R</v>
      </c>
      <c r="B295" s="429"/>
      <c r="C295" s="514" t="str">
        <f t="array" ref="C295">HYPERLINK("https://stfc.space/officers/" &amp; XLOOKUP(LCARS_Off[AbilityID],RawOfficer[AbilityID],RawOfficer[OfficerId]), XLOOKUP(LCARS_Off[AbilityID],RawOfficer[AbilityID],RawOfficer[OfficerName]))</f>
        <v>MARTOK</v>
      </c>
      <c r="D295" s="515" t="str">
        <f t="array" ref="D295">XLOOKUP(LCARS_Off[AbilityID],RawOfficer[AbilityID],RawOfficer[AbilityType])</f>
        <v>OA</v>
      </c>
      <c r="E295" s="516" t="str">
        <f t="array" ref="E295">XLOOKUP(LCARS_Off[AbilityID],RawOfficer[AbilityID],RawOfficer[Tag_PvPinSpace])</f>
        <v>✅</v>
      </c>
      <c r="F295" s="516" t="str">
        <f t="array" ref="F295">XLOOKUP(LCARS_Off[AbilityID],RawOfficer[AbilityID],RawOfficer[Tag_PvPStation])</f>
        <v>✅</v>
      </c>
      <c r="G295" s="516" t="str">
        <f t="array" ref="G295">XLOOKUP(LCARS_Off[AbilityID],RawOfficer[AbilityID],RawOfficer[Tag_NonArmadaHostiles])</f>
        <v>✅</v>
      </c>
      <c r="H295" s="516" t="str">
        <f t="array" ref="H295">XLOOKUP(LCARS_Off[AbilityID],RawOfficer[AbilityID],RawOfficer[Tag_WaveDefense])</f>
        <v>✅</v>
      </c>
      <c r="I295" s="516" t="str">
        <f t="array" ref="I295">XLOOKUP(LCARS_Off[AbilityID],RawOfficer[AbilityID],RawOfficer[Tag_QTrial])</f>
        <v>✅</v>
      </c>
      <c r="J295" s="516" t="str">
        <f t="array" ref="J295">XLOOKUP(LCARS_Off[AbilityID],RawOfficer[AbilityID],RawOfficer[Tag_MissionBosses])</f>
        <v>✅</v>
      </c>
      <c r="K295" s="516" t="str">
        <f t="array" ref="K295">XLOOKUP(LCARS_Off[AbilityID],RawOfficer[AbilityID],RawOfficer[Tag_GroupArmadas])</f>
        <v>✅</v>
      </c>
      <c r="L295" s="516" t="str">
        <f t="array" ref="L295">XLOOKUP(LCARS_Off[AbilityID],RawOfficer[AbilityID],RawOfficer[Tag_SoloArmadas])</f>
        <v>✅</v>
      </c>
      <c r="M295" s="516" t="str">
        <f t="array" ref="M295">XLOOKUP(LCARS_Off[AbilityID],RawOfficer[AbilityID],RawOfficer[Tag_InvadingEntities])</f>
        <v>✅</v>
      </c>
      <c r="N295" s="516" t="str">
        <f t="array" ref="N295">XLOOKUP(LCARS_Off[AbilityID],RawOfficer[AbilityID],RawOfficer[Tag_Assaults])</f>
        <v>✅</v>
      </c>
      <c r="O295" s="516" t="str">
        <f t="array" ref="O295">XLOOKUP(LCARS_Off[AbilityID],RawOfficer[AbilityID],RawOfficer[Tag_OutpostArmadas])</f>
        <v>✅</v>
      </c>
      <c r="P295" s="516" t="str">
        <f t="array" ref="P295">XLOOKUP(LCARS_Off[AbilityID],RawOfficer[AbilityID],RawOfficer[Tag_OutpostRetaliators])</f>
        <v>✅</v>
      </c>
      <c r="Q295" s="517" t="str">
        <f t="array" ref="Q295">XLOOKUP(LCARS_Off[AbilityID],RawOfficer[AbilityID],RawOfficer[Conditional_Reason])</f>
        <v/>
      </c>
      <c r="R295" s="518" t="str">
        <f t="array" ref="R295">XLOOKUP(LCARS_Off[AbilityID],RawOfficer[AbilityID],RawOfficer[Tag_Loot])</f>
        <v>➖</v>
      </c>
      <c r="S295" s="516" t="str">
        <f t="array" ref="S295">XLOOKUP(LCARS_Off[AbilityID],RawOfficer[AbilityID],RawOfficer[Tag_Utility])</f>
        <v>➖</v>
      </c>
      <c r="T295" s="429" t="str">
        <f t="array" ref="T295">XLOOKUP(LCARS_Off[AbilityID],RawOfficer[AbilityID],RawOfficer[OfficerSynergy])</f>
        <v>KHITOMER'S REVENGE</v>
      </c>
      <c r="U295" s="519" t="str">
        <f t="array" ref="U295">XLOOKUP(LCARS_Off[AbilityID],RawOfficer[AbilityID],RawOfficer[AbilityModifier])</f>
        <v>ShipDodge</v>
      </c>
      <c r="V295" s="519" t="str">
        <f t="array" ref="V295">XLOOKUP(LCARS_Off[AbilityID],RawOfficer[AbilityID],RawOfficer[AbilityAttributes])</f>
        <v>officer_stat=2</v>
      </c>
      <c r="W295" s="520" t="str">
        <f t="array" ref="W295">XLOOKUP(LCARS_Off[AbilityID],RawOfficer[AbilityID],RawOfficer[AbilityConditions])</f>
        <v/>
      </c>
      <c r="X295" s="519" t="str">
        <f t="array" ref="X295">XLOOKUP(LCARS_Off[AbilityID],RawOfficer[AbilityID],RawOfficer[AbilityTrigger])</f>
        <v>CombatStart</v>
      </c>
      <c r="Y295" s="519" t="str">
        <f t="array" ref="Y295">XLOOKUP(LCARS_Off[AbilityID],RawOfficer[AbilityID],RawOfficer[AbilityTarget])</f>
        <v>SelfShip</v>
      </c>
      <c r="Z295" s="519" t="str">
        <f t="array" ref="Z295">XLOOKUP(LCARS_Off[AbilityID],RawOfficer[AbilityID],RawOfficer[AbilityOperation])</f>
        <v>MultiplyBaseAdd</v>
      </c>
      <c r="AA295" s="521" t="str">
        <f t="array" ref="AA295">XLOOKUP(LCARS_Off[AbilityID],RawOfficer[AbilityID],RawOfficer[AbilityDescription])</f>
        <v>Martok increases the ship's Dodge by X of total Crew Defense.</v>
      </c>
      <c r="AB295" s="429" t="b">
        <v>0</v>
      </c>
      <c r="AC295" s="522" t="str">
        <f t="array" ref="AC295">XLOOKUP(LCARS_Off[AbilityID],RawOfficer[AbilityID],RawOfficer[AbilityDescriptionShort])</f>
        <v>+X of Crew Defense to Dodge</v>
      </c>
      <c r="AD295" s="523"/>
      <c r="AE295" s="524"/>
      <c r="AF295" s="524"/>
      <c r="AG295" s="525" t="str">
        <f t="array" ref="AG295">XLOOKUP(LCARS_Off[AbilityID],RawOfficer[AbilityID],RawOfficer[AbilityChances])</f>
        <v>1.0, 1.0, 1.0, 1.0, 1.0</v>
      </c>
      <c r="AH295" s="525" t="str">
        <f t="array" ref="AH295">XLOOKUP(LCARS_Off[AbilityID],RawOfficer[AbilityID],RawOfficer[AbilityValues])</f>
        <v>2.0, 5.0, 8.0, 11.0, 14.0</v>
      </c>
      <c r="AI295" s="428" t="b">
        <f t="array" ref="AI295">XLOOKUP(LCARS_Off[AbilityID],RawOfficer[AbilityID],RawOfficer[AbilityHasChance])</f>
        <v>0</v>
      </c>
      <c r="AJ295" s="428" t="b">
        <f t="array" ref="AJ295">XLOOKUP(LCARS_Off[AbilityID],RawOfficer[AbilityID],RawOfficer[AbilityShowPercentage])</f>
        <v>1</v>
      </c>
      <c r="AK295" s="429">
        <f t="array" ref="AK295">XLOOKUP(LCARS_Off[AbilityID],RawOfficer[AbilityID],RawOfficer[OfficerArt])</f>
        <v>184</v>
      </c>
      <c r="AL295" s="430">
        <v>4.048510643E9</v>
      </c>
      <c r="AM295" s="430">
        <f t="array" ref="AM295">XLOOKUP(LCARS_Off[AbilityID],RawOfficer[AbilityID],RawOfficer[Default Order])</f>
        <v>292</v>
      </c>
    </row>
    <row r="296">
      <c r="A296" s="429" t="str">
        <f t="array" ref="A296">LEFT(XLOOKUP(LCARS_Off[AbilityID],RawOfficer[AbilityID],RawOfficer[OfficerRarity]), 1)</f>
        <v>E</v>
      </c>
      <c r="B296" s="429"/>
      <c r="C296" s="514" t="str">
        <f t="array" ref="C296">HYPERLINK("https://stfc.space/officers/" &amp; XLOOKUP(LCARS_Off[AbilityID],RawOfficer[AbilityID],RawOfficer[OfficerId]), XLOOKUP(LCARS_Off[AbilityID],RawOfficer[AbilityID],RawOfficer[OfficerName]))</f>
        <v>GHRUSH</v>
      </c>
      <c r="D296" s="515" t="str">
        <f t="array" ref="D296">XLOOKUP(LCARS_Off[AbilityID],RawOfficer[AbilityID],RawOfficer[AbilityType])</f>
        <v>CM</v>
      </c>
      <c r="E296" s="516" t="str">
        <f t="array" ref="E296">XLOOKUP(LCARS_Off[AbilityID],RawOfficer[AbilityID],RawOfficer[Tag_PvPinSpace])</f>
        <v>➖</v>
      </c>
      <c r="F296" s="516" t="str">
        <f t="array" ref="F296">XLOOKUP(LCARS_Off[AbilityID],RawOfficer[AbilityID],RawOfficer[Tag_PvPStation])</f>
        <v>➖</v>
      </c>
      <c r="G296" s="516" t="str">
        <f t="array" ref="G296">XLOOKUP(LCARS_Off[AbilityID],RawOfficer[AbilityID],RawOfficer[Tag_NonArmadaHostiles])</f>
        <v>➖</v>
      </c>
      <c r="H296" s="516" t="str">
        <f t="array" ref="H296">XLOOKUP(LCARS_Off[AbilityID],RawOfficer[AbilityID],RawOfficer[Tag_WaveDefense])</f>
        <v>➖</v>
      </c>
      <c r="I296" s="516" t="str">
        <f t="array" ref="I296">XLOOKUP(LCARS_Off[AbilityID],RawOfficer[AbilityID],RawOfficer[Tag_QTrial])</f>
        <v>➖</v>
      </c>
      <c r="J296" s="516" t="str">
        <f t="array" ref="J296">XLOOKUP(LCARS_Off[AbilityID],RawOfficer[AbilityID],RawOfficer[Tag_MissionBosses])</f>
        <v>➖</v>
      </c>
      <c r="K296" s="516" t="str">
        <f t="array" ref="K296">XLOOKUP(LCARS_Off[AbilityID],RawOfficer[AbilityID],RawOfficer[Tag_GroupArmadas])</f>
        <v>➖</v>
      </c>
      <c r="L296" s="516" t="str">
        <f t="array" ref="L296">XLOOKUP(LCARS_Off[AbilityID],RawOfficer[AbilityID],RawOfficer[Tag_SoloArmadas])</f>
        <v>➖</v>
      </c>
      <c r="M296" s="516" t="str">
        <f t="array" ref="M296">XLOOKUP(LCARS_Off[AbilityID],RawOfficer[AbilityID],RawOfficer[Tag_InvadingEntities])</f>
        <v>➖</v>
      </c>
      <c r="N296" s="516" t="str">
        <f t="array" ref="N296">XLOOKUP(LCARS_Off[AbilityID],RawOfficer[AbilityID],RawOfficer[Tag_Assaults])</f>
        <v>➖</v>
      </c>
      <c r="O296" s="516" t="str">
        <f t="array" ref="O296">XLOOKUP(LCARS_Off[AbilityID],RawOfficer[AbilityID],RawOfficer[Tag_OutpostArmadas])</f>
        <v>➖</v>
      </c>
      <c r="P296" s="516" t="str">
        <f t="array" ref="P296">XLOOKUP(LCARS_Off[AbilityID],RawOfficer[AbilityID],RawOfficer[Tag_OutpostRetaliators])</f>
        <v>➖</v>
      </c>
      <c r="Q296" s="517" t="str">
        <f t="array" ref="Q296">XLOOKUP(LCARS_Off[AbilityID],RawOfficer[AbilityID],RawOfficer[Conditional_Reason])</f>
        <v/>
      </c>
      <c r="R296" s="518" t="str">
        <f t="array" ref="R296">XLOOKUP(LCARS_Off[AbilityID],RawOfficer[AbilityID],RawOfficer[Tag_Loot])</f>
        <v>➖</v>
      </c>
      <c r="S296" s="516" t="str">
        <f t="array" ref="S296">XLOOKUP(LCARS_Off[AbilityID],RawOfficer[AbilityID],RawOfficer[Tag_Utility])</f>
        <v>✅</v>
      </c>
      <c r="T296" s="429" t="str">
        <f t="array" ref="T296">XLOOKUP(LCARS_Off[AbilityID],RawOfficer[AbilityID],RawOfficer[OfficerSynergy])</f>
        <v>Syndicate</v>
      </c>
      <c r="U296" s="519" t="str">
        <f t="array" ref="U296">XLOOKUP(LCARS_Off[AbilityID],RawOfficer[AbilityID],RawOfficer[AbilityModifier])</f>
        <v>CargoProtection</v>
      </c>
      <c r="V296" s="519" t="str">
        <f t="array" ref="V296">XLOOKUP(LCARS_Off[AbilityID],RawOfficer[AbilityID],RawOfficer[AbilityAttributes])</f>
        <v/>
      </c>
      <c r="W296" s="520" t="str">
        <f t="array" ref="W296">XLOOKUP(LCARS_Off[AbilityID],RawOfficer[AbilityID],RawOfficer[AbilityConditions])</f>
        <v/>
      </c>
      <c r="X296" s="519" t="str">
        <f t="array" ref="X296">XLOOKUP(LCARS_Off[AbilityID],RawOfficer[AbilityID],RawOfficer[AbilityTrigger])</f>
        <v>ShipLaunched</v>
      </c>
      <c r="Y296" s="519" t="str">
        <f t="array" ref="Y296">XLOOKUP(LCARS_Off[AbilityID],RawOfficer[AbilityID],RawOfficer[AbilityTarget])</f>
        <v>SelfShip</v>
      </c>
      <c r="Z296" s="519" t="str">
        <f t="array" ref="Z296">XLOOKUP(LCARS_Off[AbilityID],RawOfficer[AbilityID],RawOfficer[AbilityOperation])</f>
        <v>MultiplyAdd</v>
      </c>
      <c r="AA296" s="521" t="str">
        <f t="array" ref="AA296">XLOOKUP(LCARS_Off[AbilityID],RawOfficer[AbilityID],RawOfficer[AbilityDescription])</f>
        <v>Ghrush increases the Protected Cargo of the ship by X.</v>
      </c>
      <c r="AB296" s="429" t="b">
        <v>0</v>
      </c>
      <c r="AC296" s="522" t="str">
        <f t="array" ref="AC296">XLOOKUP(LCARS_Off[AbilityID],RawOfficer[AbilityID],RawOfficer[AbilityDescriptionShort])</f>
        <v>+X to Protected Cargo</v>
      </c>
      <c r="AD296" s="523"/>
      <c r="AE296" s="524"/>
      <c r="AF296" s="524"/>
      <c r="AG296" s="525" t="str">
        <f t="array" ref="AG296">XLOOKUP(LCARS_Off[AbilityID],RawOfficer[AbilityID],RawOfficer[AbilityChances])</f>
        <v>1.0, 1.0, 1.0</v>
      </c>
      <c r="AH296" s="525" t="str">
        <f t="array" ref="AH296">XLOOKUP(LCARS_Off[AbilityID],RawOfficer[AbilityID],RawOfficer[AbilityValues])</f>
        <v>1.0, 0.25, 0.5</v>
      </c>
      <c r="AI296" s="428" t="b">
        <f t="array" ref="AI296">XLOOKUP(LCARS_Off[AbilityID],RawOfficer[AbilityID],RawOfficer[AbilityHasChance])</f>
        <v>0</v>
      </c>
      <c r="AJ296" s="428" t="b">
        <f t="array" ref="AJ296">XLOOKUP(LCARS_Off[AbilityID],RawOfficer[AbilityID],RawOfficer[AbilityShowPercentage])</f>
        <v>1</v>
      </c>
      <c r="AK296" s="429">
        <f t="array" ref="AK296">XLOOKUP(LCARS_Off[AbilityID],RawOfficer[AbilityID],RawOfficer[OfficerArt])</f>
        <v>921</v>
      </c>
      <c r="AL296" s="430">
        <v>7.41219458E8</v>
      </c>
      <c r="AM296" s="430">
        <f t="array" ref="AM296">XLOOKUP(LCARS_Off[AbilityID],RawOfficer[AbilityID],RawOfficer[Default Order])</f>
        <v>293</v>
      </c>
    </row>
    <row r="297">
      <c r="A297" s="429" t="str">
        <f t="array" ref="A297">LEFT(XLOOKUP(LCARS_Off[AbilityID],RawOfficer[AbilityID],RawOfficer[OfficerRarity]), 1)</f>
        <v>E</v>
      </c>
      <c r="B297" s="429"/>
      <c r="C297" s="514" t="str">
        <f t="array" ref="C297">HYPERLINK("https://stfc.space/officers/" &amp; XLOOKUP(LCARS_Off[AbilityID],RawOfficer[AbilityID],RawOfficer[OfficerId]), XLOOKUP(LCARS_Off[AbilityID],RawOfficer[AbilityID],RawOfficer[OfficerName]))</f>
        <v>GHRUSH</v>
      </c>
      <c r="D297" s="515" t="str">
        <f t="array" ref="D297">XLOOKUP(LCARS_Off[AbilityID],RawOfficer[AbilityID],RawOfficer[AbilityType])</f>
        <v>OA</v>
      </c>
      <c r="E297" s="516" t="str">
        <f t="array" ref="E297">XLOOKUP(LCARS_Off[AbilityID],RawOfficer[AbilityID],RawOfficer[Tag_PvPinSpace])</f>
        <v>➖</v>
      </c>
      <c r="F297" s="516" t="str">
        <f t="array" ref="F297">XLOOKUP(LCARS_Off[AbilityID],RawOfficer[AbilityID],RawOfficer[Tag_PvPStation])</f>
        <v>➖</v>
      </c>
      <c r="G297" s="516" t="str">
        <f t="array" ref="G297">XLOOKUP(LCARS_Off[AbilityID],RawOfficer[AbilityID],RawOfficer[Tag_NonArmadaHostiles])</f>
        <v>➖</v>
      </c>
      <c r="H297" s="516" t="str">
        <f t="array" ref="H297">XLOOKUP(LCARS_Off[AbilityID],RawOfficer[AbilityID],RawOfficer[Tag_WaveDefense])</f>
        <v>➖</v>
      </c>
      <c r="I297" s="516" t="str">
        <f t="array" ref="I297">XLOOKUP(LCARS_Off[AbilityID],RawOfficer[AbilityID],RawOfficer[Tag_QTrial])</f>
        <v>➖</v>
      </c>
      <c r="J297" s="516" t="str">
        <f t="array" ref="J297">XLOOKUP(LCARS_Off[AbilityID],RawOfficer[AbilityID],RawOfficer[Tag_MissionBosses])</f>
        <v>➖</v>
      </c>
      <c r="K297" s="516" t="str">
        <f t="array" ref="K297">XLOOKUP(LCARS_Off[AbilityID],RawOfficer[AbilityID],RawOfficer[Tag_GroupArmadas])</f>
        <v>➖</v>
      </c>
      <c r="L297" s="516" t="str">
        <f t="array" ref="L297">XLOOKUP(LCARS_Off[AbilityID],RawOfficer[AbilityID],RawOfficer[Tag_SoloArmadas])</f>
        <v>➖</v>
      </c>
      <c r="M297" s="516" t="str">
        <f t="array" ref="M297">XLOOKUP(LCARS_Off[AbilityID],RawOfficer[AbilityID],RawOfficer[Tag_InvadingEntities])</f>
        <v>➖</v>
      </c>
      <c r="N297" s="516" t="str">
        <f t="array" ref="N297">XLOOKUP(LCARS_Off[AbilityID],RawOfficer[AbilityID],RawOfficer[Tag_Assaults])</f>
        <v>➖</v>
      </c>
      <c r="O297" s="516" t="str">
        <f t="array" ref="O297">XLOOKUP(LCARS_Off[AbilityID],RawOfficer[AbilityID],RawOfficer[Tag_OutpostArmadas])</f>
        <v>➖</v>
      </c>
      <c r="P297" s="516" t="str">
        <f t="array" ref="P297">XLOOKUP(LCARS_Off[AbilityID],RawOfficer[AbilityID],RawOfficer[Tag_OutpostRetaliators])</f>
        <v>➖</v>
      </c>
      <c r="Q297" s="517" t="str">
        <f t="array" ref="Q297">XLOOKUP(LCARS_Off[AbilityID],RawOfficer[AbilityID],RawOfficer[Conditional_Reason])</f>
        <v/>
      </c>
      <c r="R297" s="518" t="str">
        <f t="array" ref="R297">XLOOKUP(LCARS_Off[AbilityID],RawOfficer[AbilityID],RawOfficer[Tag_Loot])</f>
        <v>➖</v>
      </c>
      <c r="S297" s="516" t="str">
        <f t="array" ref="S297">XLOOKUP(LCARS_Off[AbilityID],RawOfficer[AbilityID],RawOfficer[Tag_Utility])</f>
        <v>✅</v>
      </c>
      <c r="T297" s="429" t="str">
        <f t="array" ref="T297">XLOOKUP(LCARS_Off[AbilityID],RawOfficer[AbilityID],RawOfficer[OfficerSynergy])</f>
        <v>Syndicate</v>
      </c>
      <c r="U297" s="519" t="str">
        <f t="array" ref="U297">XLOOKUP(LCARS_Off[AbilityID],RawOfficer[AbilityID],RawOfficer[AbilityModifier])</f>
        <v>WarpDistance</v>
      </c>
      <c r="V297" s="519" t="str">
        <f t="array" ref="V297">XLOOKUP(LCARS_Off[AbilityID],RawOfficer[AbilityID],RawOfficer[AbilityAttributes])</f>
        <v/>
      </c>
      <c r="W297" s="520" t="str">
        <f t="array" ref="W297">XLOOKUP(LCARS_Off[AbilityID],RawOfficer[AbilityID],RawOfficer[AbilityConditions])</f>
        <v/>
      </c>
      <c r="X297" s="519" t="str">
        <f t="array" ref="X297">XLOOKUP(LCARS_Off[AbilityID],RawOfficer[AbilityID],RawOfficer[AbilityTrigger])</f>
        <v>ShipLaunched</v>
      </c>
      <c r="Y297" s="519" t="str">
        <f t="array" ref="Y297">XLOOKUP(LCARS_Off[AbilityID],RawOfficer[AbilityID],RawOfficer[AbilityTarget])</f>
        <v>SelfShip</v>
      </c>
      <c r="Z297" s="519" t="str">
        <f t="array" ref="Z297">XLOOKUP(LCARS_Off[AbilityID],RawOfficer[AbilityID],RawOfficer[AbilityOperation])</f>
        <v>MultiplyAdd</v>
      </c>
      <c r="AA297" s="521" t="str">
        <f t="array" ref="AA297">XLOOKUP(LCARS_Off[AbilityID],RawOfficer[AbilityID],RawOfficer[AbilityDescription])</f>
        <v>Ghrush increases the Warp Range of the ship by X.</v>
      </c>
      <c r="AB297" s="429" t="b">
        <v>0</v>
      </c>
      <c r="AC297" s="522" t="str">
        <f t="array" ref="AC297">XLOOKUP(LCARS_Off[AbilityID],RawOfficer[AbilityID],RawOfficer[AbilityDescriptionShort])</f>
        <v>+X to Warp Range</v>
      </c>
      <c r="AD297" s="523"/>
      <c r="AE297" s="524"/>
      <c r="AF297" s="524"/>
      <c r="AG297" s="525" t="str">
        <f t="array" ref="AG297">XLOOKUP(LCARS_Off[AbilityID],RawOfficer[AbilityID],RawOfficer[AbilityChances])</f>
        <v>1.0, 1.0, 1.0, 1.0, 1.0</v>
      </c>
      <c r="AH297" s="525" t="str">
        <f t="array" ref="AH297">XLOOKUP(LCARS_Off[AbilityID],RawOfficer[AbilityID],RawOfficer[AbilityValues])</f>
        <v>0.06, 0.08, 0.1, 0.12, 0.15</v>
      </c>
      <c r="AI297" s="428" t="b">
        <f t="array" ref="AI297">XLOOKUP(LCARS_Off[AbilityID],RawOfficer[AbilityID],RawOfficer[AbilityHasChance])</f>
        <v>0</v>
      </c>
      <c r="AJ297" s="428" t="b">
        <f t="array" ref="AJ297">XLOOKUP(LCARS_Off[AbilityID],RawOfficer[AbilityID],RawOfficer[AbilityShowPercentage])</f>
        <v>1</v>
      </c>
      <c r="AK297" s="429">
        <f t="array" ref="AK297">XLOOKUP(LCARS_Off[AbilityID],RawOfficer[AbilityID],RawOfficer[OfficerArt])</f>
        <v>921</v>
      </c>
      <c r="AL297" s="430">
        <v>1.514072808E9</v>
      </c>
      <c r="AM297" s="430">
        <f t="array" ref="AM297">XLOOKUP(LCARS_Off[AbilityID],RawOfficer[AbilityID],RawOfficer[Default Order])</f>
        <v>294</v>
      </c>
    </row>
    <row r="298">
      <c r="A298" s="429" t="str">
        <f t="array" ref="A298">LEFT(XLOOKUP(LCARS_Off[AbilityID],RawOfficer[AbilityID],RawOfficer[OfficerRarity]), 1)</f>
        <v>R</v>
      </c>
      <c r="B298" s="429"/>
      <c r="C298" s="514" t="str">
        <f t="array" ref="C298">HYPERLINK("https://stfc.space/officers/" &amp; XLOOKUP(LCARS_Off[AbilityID],RawOfficer[AbilityID],RawOfficer[OfficerId]), XLOOKUP(LCARS_Off[AbilityID],RawOfficer[AbilityID],RawOfficer[OfficerName]))</f>
        <v>BA'EL</v>
      </c>
      <c r="D298" s="515" t="str">
        <f t="array" ref="D298">XLOOKUP(LCARS_Off[AbilityID],RawOfficer[AbilityID],RawOfficer[AbilityType])</f>
        <v>CM</v>
      </c>
      <c r="E298" s="516" t="str">
        <f t="array" ref="E298">XLOOKUP(LCARS_Off[AbilityID],RawOfficer[AbilityID],RawOfficer[Tag_PvPinSpace])</f>
        <v>✅</v>
      </c>
      <c r="F298" s="516" t="str">
        <f t="array" ref="F298">XLOOKUP(LCARS_Off[AbilityID],RawOfficer[AbilityID],RawOfficer[Tag_PvPStation])</f>
        <v>✅</v>
      </c>
      <c r="G298" s="516" t="str">
        <f t="array" ref="G298">XLOOKUP(LCARS_Off[AbilityID],RawOfficer[AbilityID],RawOfficer[Tag_NonArmadaHostiles])</f>
        <v>✅</v>
      </c>
      <c r="H298" s="516" t="str">
        <f t="array" ref="H298">XLOOKUP(LCARS_Off[AbilityID],RawOfficer[AbilityID],RawOfficer[Tag_WaveDefense])</f>
        <v>✅</v>
      </c>
      <c r="I298" s="516" t="str">
        <f t="array" ref="I298">XLOOKUP(LCARS_Off[AbilityID],RawOfficer[AbilityID],RawOfficer[Tag_QTrial])</f>
        <v>✅</v>
      </c>
      <c r="J298" s="516" t="str">
        <f t="array" ref="J298">XLOOKUP(LCARS_Off[AbilityID],RawOfficer[AbilityID],RawOfficer[Tag_MissionBosses])</f>
        <v>✅</v>
      </c>
      <c r="K298" s="516" t="str">
        <f t="array" ref="K298">XLOOKUP(LCARS_Off[AbilityID],RawOfficer[AbilityID],RawOfficer[Tag_GroupArmadas])</f>
        <v>✅</v>
      </c>
      <c r="L298" s="516" t="str">
        <f t="array" ref="L298">XLOOKUP(LCARS_Off[AbilityID],RawOfficer[AbilityID],RawOfficer[Tag_SoloArmadas])</f>
        <v>✅</v>
      </c>
      <c r="M298" s="516" t="str">
        <f t="array" ref="M298">XLOOKUP(LCARS_Off[AbilityID],RawOfficer[AbilityID],RawOfficer[Tag_InvadingEntities])</f>
        <v>✅</v>
      </c>
      <c r="N298" s="516" t="str">
        <f t="array" ref="N298">XLOOKUP(LCARS_Off[AbilityID],RawOfficer[AbilityID],RawOfficer[Tag_Assaults])</f>
        <v>✅</v>
      </c>
      <c r="O298" s="516" t="str">
        <f t="array" ref="O298">XLOOKUP(LCARS_Off[AbilityID],RawOfficer[AbilityID],RawOfficer[Tag_OutpostArmadas])</f>
        <v>✅</v>
      </c>
      <c r="P298" s="516" t="str">
        <f t="array" ref="P298">XLOOKUP(LCARS_Off[AbilityID],RawOfficer[AbilityID],RawOfficer[Tag_OutpostRetaliators])</f>
        <v>✅</v>
      </c>
      <c r="Q298" s="517" t="str">
        <f t="array" ref="Q298">XLOOKUP(LCARS_Off[AbilityID],RawOfficer[AbilityID],RawOfficer[Conditional_Reason])</f>
        <v/>
      </c>
      <c r="R298" s="518" t="str">
        <f t="array" ref="R298">XLOOKUP(LCARS_Off[AbilityID],RawOfficer[AbilityID],RawOfficer[Tag_Loot])</f>
        <v>➖</v>
      </c>
      <c r="S298" s="516" t="str">
        <f t="array" ref="S298">XLOOKUP(LCARS_Off[AbilityID],RawOfficer[AbilityID],RawOfficer[Tag_Utility])</f>
        <v>➖</v>
      </c>
      <c r="T298" s="429" t="str">
        <f t="array" ref="T298">XLOOKUP(LCARS_Off[AbilityID],RawOfficer[AbilityID],RawOfficer[OfficerSynergy])</f>
        <v>KHITOMER'S REVENGE</v>
      </c>
      <c r="U298" s="519" t="str">
        <f t="array" ref="U298">XLOOKUP(LCARS_Off[AbilityID],RawOfficer[AbilityID],RawOfficer[AbilityModifier])</f>
        <v>AllDamage</v>
      </c>
      <c r="V298" s="519" t="str">
        <f t="array" ref="V298">XLOOKUP(LCARS_Off[AbilityID],RawOfficer[AbilityID],RawOfficer[AbilityAttributes])</f>
        <v/>
      </c>
      <c r="W298" s="520" t="str">
        <f t="array" ref="W298">XLOOKUP(LCARS_Off[AbilityID],RawOfficer[AbilityID],RawOfficer[AbilityConditions])</f>
        <v/>
      </c>
      <c r="X298" s="519" t="str">
        <f t="array" ref="X298">XLOOKUP(LCARS_Off[AbilityID],RawOfficer[AbilityID],RawOfficer[AbilityTrigger])</f>
        <v>CombatStart</v>
      </c>
      <c r="Y298" s="519" t="str">
        <f t="array" ref="Y298">XLOOKUP(LCARS_Off[AbilityID],RawOfficer[AbilityID],RawOfficer[AbilityTarget])</f>
        <v>SelfShip</v>
      </c>
      <c r="Z298" s="519" t="str">
        <f t="array" ref="Z298">XLOOKUP(LCARS_Off[AbilityID],RawOfficer[AbilityID],RawOfficer[AbilityOperation])</f>
        <v>MultiplyAdd</v>
      </c>
      <c r="AA298" s="521" t="str">
        <f t="array" ref="AA298">XLOOKUP(LCARS_Off[AbilityID],RawOfficer[AbilityID],RawOfficer[AbilityDescription])</f>
        <v>Ba'el increases the ship's Weapon Damage by X.</v>
      </c>
      <c r="AB298" s="429" t="b">
        <v>0</v>
      </c>
      <c r="AC298" s="522" t="str">
        <f t="array" ref="AC298">XLOOKUP(LCARS_Off[AbilityID],RawOfficer[AbilityID],RawOfficer[AbilityDescriptionShort])</f>
        <v>+X to Weapon Damage</v>
      </c>
      <c r="AD298" s="523"/>
      <c r="AE298" s="524"/>
      <c r="AF298" s="524"/>
      <c r="AG298" s="525" t="str">
        <f t="array" ref="AG298">XLOOKUP(LCARS_Off[AbilityID],RawOfficer[AbilityID],RawOfficer[AbilityChances])</f>
        <v>1.0, 1.0, 1.0</v>
      </c>
      <c r="AH298" s="525" t="str">
        <f t="array" ref="AH298">XLOOKUP(LCARS_Off[AbilityID],RawOfficer[AbilityID],RawOfficer[AbilityValues])</f>
        <v>0.25, 0.025, 0.05</v>
      </c>
      <c r="AI298" s="428" t="b">
        <f t="array" ref="AI298">XLOOKUP(LCARS_Off[AbilityID],RawOfficer[AbilityID],RawOfficer[AbilityHasChance])</f>
        <v>0</v>
      </c>
      <c r="AJ298" s="428" t="b">
        <f t="array" ref="AJ298">XLOOKUP(LCARS_Off[AbilityID],RawOfficer[AbilityID],RawOfficer[AbilityShowPercentage])</f>
        <v>1</v>
      </c>
      <c r="AK298" s="429">
        <f t="array" ref="AK298">XLOOKUP(LCARS_Off[AbilityID],RawOfficer[AbilityID],RawOfficer[OfficerArt])</f>
        <v>185</v>
      </c>
      <c r="AL298" s="430">
        <v>1.281603395E9</v>
      </c>
      <c r="AM298" s="430">
        <f t="array" ref="AM298">XLOOKUP(LCARS_Off[AbilityID],RawOfficer[AbilityID],RawOfficer[Default Order])</f>
        <v>295</v>
      </c>
    </row>
    <row r="299">
      <c r="A299" s="429" t="str">
        <f t="array" ref="A299">LEFT(XLOOKUP(LCARS_Off[AbilityID],RawOfficer[AbilityID],RawOfficer[OfficerRarity]), 1)</f>
        <v>R</v>
      </c>
      <c r="B299" s="429"/>
      <c r="C299" s="514" t="str">
        <f t="array" ref="C299">HYPERLINK("https://stfc.space/officers/" &amp; XLOOKUP(LCARS_Off[AbilityID],RawOfficer[AbilityID],RawOfficer[OfficerId]), XLOOKUP(LCARS_Off[AbilityID],RawOfficer[AbilityID],RawOfficer[OfficerName]))</f>
        <v>BA'EL</v>
      </c>
      <c r="D299" s="515" t="str">
        <f t="array" ref="D299">XLOOKUP(LCARS_Off[AbilityID],RawOfficer[AbilityID],RawOfficer[AbilityType])</f>
        <v>OA</v>
      </c>
      <c r="E299" s="516" t="str">
        <f t="array" ref="E299">XLOOKUP(LCARS_Off[AbilityID],RawOfficer[AbilityID],RawOfficer[Tag_PvPinSpace])</f>
        <v>✅</v>
      </c>
      <c r="F299" s="516" t="str">
        <f t="array" ref="F299">XLOOKUP(LCARS_Off[AbilityID],RawOfficer[AbilityID],RawOfficer[Tag_PvPStation])</f>
        <v>✅</v>
      </c>
      <c r="G299" s="516" t="str">
        <f t="array" ref="G299">XLOOKUP(LCARS_Off[AbilityID],RawOfficer[AbilityID],RawOfficer[Tag_NonArmadaHostiles])</f>
        <v>✅</v>
      </c>
      <c r="H299" s="516" t="str">
        <f t="array" ref="H299">XLOOKUP(LCARS_Off[AbilityID],RawOfficer[AbilityID],RawOfficer[Tag_WaveDefense])</f>
        <v>✅</v>
      </c>
      <c r="I299" s="516" t="str">
        <f t="array" ref="I299">XLOOKUP(LCARS_Off[AbilityID],RawOfficer[AbilityID],RawOfficer[Tag_QTrial])</f>
        <v>✅</v>
      </c>
      <c r="J299" s="516" t="str">
        <f t="array" ref="J299">XLOOKUP(LCARS_Off[AbilityID],RawOfficer[AbilityID],RawOfficer[Tag_MissionBosses])</f>
        <v>✅</v>
      </c>
      <c r="K299" s="516" t="str">
        <f t="array" ref="K299">XLOOKUP(LCARS_Off[AbilityID],RawOfficer[AbilityID],RawOfficer[Tag_GroupArmadas])</f>
        <v>✅</v>
      </c>
      <c r="L299" s="516" t="str">
        <f t="array" ref="L299">XLOOKUP(LCARS_Off[AbilityID],RawOfficer[AbilityID],RawOfficer[Tag_SoloArmadas])</f>
        <v>✅</v>
      </c>
      <c r="M299" s="516" t="str">
        <f t="array" ref="M299">XLOOKUP(LCARS_Off[AbilityID],RawOfficer[AbilityID],RawOfficer[Tag_InvadingEntities])</f>
        <v>✅</v>
      </c>
      <c r="N299" s="516" t="str">
        <f t="array" ref="N299">XLOOKUP(LCARS_Off[AbilityID],RawOfficer[AbilityID],RawOfficer[Tag_Assaults])</f>
        <v>✅</v>
      </c>
      <c r="O299" s="516" t="str">
        <f t="array" ref="O299">XLOOKUP(LCARS_Off[AbilityID],RawOfficer[AbilityID],RawOfficer[Tag_OutpostArmadas])</f>
        <v>✅</v>
      </c>
      <c r="P299" s="516" t="str">
        <f t="array" ref="P299">XLOOKUP(LCARS_Off[AbilityID],RawOfficer[AbilityID],RawOfficer[Tag_OutpostRetaliators])</f>
        <v>✅</v>
      </c>
      <c r="Q299" s="517" t="str">
        <f t="array" ref="Q299">XLOOKUP(LCARS_Off[AbilityID],RawOfficer[AbilityID],RawOfficer[Conditional_Reason])</f>
        <v/>
      </c>
      <c r="R299" s="518" t="str">
        <f t="array" ref="R299">XLOOKUP(LCARS_Off[AbilityID],RawOfficer[AbilityID],RawOfficer[Tag_Loot])</f>
        <v>➖</v>
      </c>
      <c r="S299" s="516" t="str">
        <f t="array" ref="S299">XLOOKUP(LCARS_Off[AbilityID],RawOfficer[AbilityID],RawOfficer[Tag_Utility])</f>
        <v>➖</v>
      </c>
      <c r="T299" s="429" t="str">
        <f t="array" ref="T299">XLOOKUP(LCARS_Off[AbilityID],RawOfficer[AbilityID],RawOfficer[OfficerSynergy])</f>
        <v>KHITOMER'S REVENGE</v>
      </c>
      <c r="U299" s="519" t="str">
        <f t="array" ref="U299">XLOOKUP(LCARS_Off[AbilityID],RawOfficer[AbilityID],RawOfficer[AbilityModifier])</f>
        <v>ShipArmor</v>
      </c>
      <c r="V299" s="519" t="str">
        <f t="array" ref="V299">XLOOKUP(LCARS_Off[AbilityID],RawOfficer[AbilityID],RawOfficer[AbilityAttributes])</f>
        <v>officer_stat=1</v>
      </c>
      <c r="W299" s="520" t="str">
        <f t="array" ref="W299">XLOOKUP(LCARS_Off[AbilityID],RawOfficer[AbilityID],RawOfficer[AbilityConditions])</f>
        <v/>
      </c>
      <c r="X299" s="519" t="str">
        <f t="array" ref="X299">XLOOKUP(LCARS_Off[AbilityID],RawOfficer[AbilityID],RawOfficer[AbilityTrigger])</f>
        <v>CombatStart</v>
      </c>
      <c r="Y299" s="519" t="str">
        <f t="array" ref="Y299">XLOOKUP(LCARS_Off[AbilityID],RawOfficer[AbilityID],RawOfficer[AbilityTarget])</f>
        <v>SelfShip</v>
      </c>
      <c r="Z299" s="519" t="str">
        <f t="array" ref="Z299">XLOOKUP(LCARS_Off[AbilityID],RawOfficer[AbilityID],RawOfficer[AbilityOperation])</f>
        <v>MultiplyBaseAdd</v>
      </c>
      <c r="AA299" s="521" t="str">
        <f t="array" ref="AA299">XLOOKUP(LCARS_Off[AbilityID],RawOfficer[AbilityID],RawOfficer[AbilityDescription])</f>
        <v>Ba'el increases the ship's Armor by X of total Crew Attack.</v>
      </c>
      <c r="AB299" s="429" t="b">
        <v>0</v>
      </c>
      <c r="AC299" s="522" t="str">
        <f t="array" ref="AC299">XLOOKUP(LCARS_Off[AbilityID],RawOfficer[AbilityID],RawOfficer[AbilityDescriptionShort])</f>
        <v>+X of Crew Attack to Armor</v>
      </c>
      <c r="AD299" s="523"/>
      <c r="AE299" s="524"/>
      <c r="AF299" s="524"/>
      <c r="AG299" s="525" t="str">
        <f t="array" ref="AG299">XLOOKUP(LCARS_Off[AbilityID],RawOfficer[AbilityID],RawOfficer[AbilityChances])</f>
        <v>1.0, 1.0, 1.0, 1.0, 1.0</v>
      </c>
      <c r="AH299" s="525" t="str">
        <f t="array" ref="AH299">XLOOKUP(LCARS_Off[AbilityID],RawOfficer[AbilityID],RawOfficer[AbilityValues])</f>
        <v>2.0, 5.0, 8.0, 11.0, 14.0</v>
      </c>
      <c r="AI299" s="428" t="b">
        <f t="array" ref="AI299">XLOOKUP(LCARS_Off[AbilityID],RawOfficer[AbilityID],RawOfficer[AbilityHasChance])</f>
        <v>0</v>
      </c>
      <c r="AJ299" s="428" t="b">
        <f t="array" ref="AJ299">XLOOKUP(LCARS_Off[AbilityID],RawOfficer[AbilityID],RawOfficer[AbilityShowPercentage])</f>
        <v>1</v>
      </c>
      <c r="AK299" s="429">
        <f t="array" ref="AK299">XLOOKUP(LCARS_Off[AbilityID],RawOfficer[AbilityID],RawOfficer[OfficerArt])</f>
        <v>185</v>
      </c>
      <c r="AL299" s="430">
        <v>1.300699647E9</v>
      </c>
      <c r="AM299" s="430">
        <f t="array" ref="AM299">XLOOKUP(LCARS_Off[AbilityID],RawOfficer[AbilityID],RawOfficer[Default Order])</f>
        <v>296</v>
      </c>
    </row>
    <row r="300">
      <c r="A300" s="429" t="str">
        <f t="array" ref="A300">LEFT(XLOOKUP(LCARS_Off[AbilityID],RawOfficer[AbilityID],RawOfficer[OfficerRarity]), 1)</f>
        <v>R</v>
      </c>
      <c r="B300" s="429"/>
      <c r="C300" s="514" t="str">
        <f t="array" ref="C300">HYPERLINK("https://stfc.space/officers/" &amp; XLOOKUP(LCARS_Off[AbilityID],RawOfficer[AbilityID],RawOfficer[OfficerId]), XLOOKUP(LCARS_Off[AbilityID],RawOfficer[AbilityID],RawOfficer[OfficerName]))</f>
        <v>B'ETOR</v>
      </c>
      <c r="D300" s="515" t="str">
        <f t="array" ref="D300">XLOOKUP(LCARS_Off[AbilityID],RawOfficer[AbilityID],RawOfficer[AbilityType])</f>
        <v>CM</v>
      </c>
      <c r="E300" s="516" t="str">
        <f t="array" ref="E300">XLOOKUP(LCARS_Off[AbilityID],RawOfficer[AbilityID],RawOfficer[Tag_PvPinSpace])</f>
        <v>➖</v>
      </c>
      <c r="F300" s="516" t="str">
        <f t="array" ref="F300">XLOOKUP(LCARS_Off[AbilityID],RawOfficer[AbilityID],RawOfficer[Tag_PvPStation])</f>
        <v>➖</v>
      </c>
      <c r="G300" s="516" t="str">
        <f t="array" ref="G300">XLOOKUP(LCARS_Off[AbilityID],RawOfficer[AbilityID],RawOfficer[Tag_NonArmadaHostiles])</f>
        <v>➖</v>
      </c>
      <c r="H300" s="516" t="str">
        <f t="array" ref="H300">XLOOKUP(LCARS_Off[AbilityID],RawOfficer[AbilityID],RawOfficer[Tag_WaveDefense])</f>
        <v>➖</v>
      </c>
      <c r="I300" s="516" t="str">
        <f t="array" ref="I300">XLOOKUP(LCARS_Off[AbilityID],RawOfficer[AbilityID],RawOfficer[Tag_QTrial])</f>
        <v>➖</v>
      </c>
      <c r="J300" s="516" t="str">
        <f t="array" ref="J300">XLOOKUP(LCARS_Off[AbilityID],RawOfficer[AbilityID],RawOfficer[Tag_MissionBosses])</f>
        <v>➖</v>
      </c>
      <c r="K300" s="516" t="str">
        <f t="array" ref="K300">XLOOKUP(LCARS_Off[AbilityID],RawOfficer[AbilityID],RawOfficer[Tag_GroupArmadas])</f>
        <v>➖</v>
      </c>
      <c r="L300" s="516" t="str">
        <f t="array" ref="L300">XLOOKUP(LCARS_Off[AbilityID],RawOfficer[AbilityID],RawOfficer[Tag_SoloArmadas])</f>
        <v>➖</v>
      </c>
      <c r="M300" s="516" t="str">
        <f t="array" ref="M300">XLOOKUP(LCARS_Off[AbilityID],RawOfficer[AbilityID],RawOfficer[Tag_InvadingEntities])</f>
        <v>➖</v>
      </c>
      <c r="N300" s="516" t="str">
        <f t="array" ref="N300">XLOOKUP(LCARS_Off[AbilityID],RawOfficer[AbilityID],RawOfficer[Tag_Assaults])</f>
        <v>➖</v>
      </c>
      <c r="O300" s="516" t="str">
        <f t="array" ref="O300">XLOOKUP(LCARS_Off[AbilityID],RawOfficer[AbilityID],RawOfficer[Tag_OutpostArmadas])</f>
        <v>➖</v>
      </c>
      <c r="P300" s="516" t="str">
        <f t="array" ref="P300">XLOOKUP(LCARS_Off[AbilityID],RawOfficer[AbilityID],RawOfficer[Tag_OutpostRetaliators])</f>
        <v>➖</v>
      </c>
      <c r="Q300" s="517" t="str">
        <f t="array" ref="Q300">XLOOKUP(LCARS_Off[AbilityID],RawOfficer[AbilityID],RawOfficer[Conditional_Reason])</f>
        <v/>
      </c>
      <c r="R300" s="518" t="str">
        <f t="array" ref="R300">XLOOKUP(LCARS_Off[AbilityID],RawOfficer[AbilityID],RawOfficer[Tag_Loot])</f>
        <v>➖</v>
      </c>
      <c r="S300" s="516" t="str">
        <f t="array" ref="S300">XLOOKUP(LCARS_Off[AbilityID],RawOfficer[AbilityID],RawOfficer[Tag_Utility])</f>
        <v>✅</v>
      </c>
      <c r="T300" s="429" t="str">
        <f t="array" ref="T300">XLOOKUP(LCARS_Off[AbilityID],RawOfficer[AbilityID],RawOfficer[OfficerSynergy])</f>
        <v>PRIDE OF ROMULUS</v>
      </c>
      <c r="U300" s="519" t="str">
        <f t="array" ref="U300">XLOOKUP(LCARS_Off[AbilityID],RawOfficer[AbilityID],RawOfficer[AbilityModifier])</f>
        <v>SkillCloakingDuration</v>
      </c>
      <c r="V300" s="519" t="str">
        <f t="array" ref="V300">XLOOKUP(LCARS_Off[AbilityID],RawOfficer[AbilityID],RawOfficer[AbilityAttributes])</f>
        <v/>
      </c>
      <c r="W300" s="520" t="str">
        <f t="array" ref="W300">XLOOKUP(LCARS_Off[AbilityID],RawOfficer[AbilityID],RawOfficer[AbilityConditions])</f>
        <v/>
      </c>
      <c r="X300" s="519" t="str">
        <f t="array" ref="X300">XLOOKUP(LCARS_Off[AbilityID],RawOfficer[AbilityID],RawOfficer[AbilityTrigger])</f>
        <v>ShipLaunched</v>
      </c>
      <c r="Y300" s="519" t="str">
        <f t="array" ref="Y300">XLOOKUP(LCARS_Off[AbilityID],RawOfficer[AbilityID],RawOfficer[AbilityTarget])</f>
        <v>SelfShip</v>
      </c>
      <c r="Z300" s="519" t="str">
        <f t="array" ref="Z300">XLOOKUP(LCARS_Off[AbilityID],RawOfficer[AbilityID],RawOfficer[AbilityOperation])</f>
        <v>MultiplyAdd</v>
      </c>
      <c r="AA300" s="521" t="str">
        <f t="array" ref="AA300">XLOOKUP(LCARS_Off[AbilityID],RawOfficer[AbilityID],RawOfficer[AbilityDescription])</f>
        <v>When on a ship that can use cloaking, B'Etor increases the duration the ship can stay cloaked by X.</v>
      </c>
      <c r="AB300" s="429" t="b">
        <v>0</v>
      </c>
      <c r="AC300" s="522" t="str">
        <f t="array" ref="AC300">XLOOKUP(LCARS_Off[AbilityID],RawOfficer[AbilityID],RawOfficer[AbilityDescriptionShort])</f>
        <v>+X to cloaking duration</v>
      </c>
      <c r="AD300" s="523"/>
      <c r="AE300" s="524"/>
      <c r="AF300" s="524"/>
      <c r="AG300" s="525" t="str">
        <f t="array" ref="AG300">XLOOKUP(LCARS_Off[AbilityID],RawOfficer[AbilityID],RawOfficer[AbilityChances])</f>
        <v>1.0, 1.0, 1.0</v>
      </c>
      <c r="AH300" s="525" t="str">
        <f t="array" ref="AH300">XLOOKUP(LCARS_Off[AbilityID],RawOfficer[AbilityID],RawOfficer[AbilityValues])</f>
        <v>0.2, 0.05, 0.1</v>
      </c>
      <c r="AI300" s="428" t="b">
        <f t="array" ref="AI300">XLOOKUP(LCARS_Off[AbilityID],RawOfficer[AbilityID],RawOfficer[AbilityHasChance])</f>
        <v>0</v>
      </c>
      <c r="AJ300" s="428" t="b">
        <f t="array" ref="AJ300">XLOOKUP(LCARS_Off[AbilityID],RawOfficer[AbilityID],RawOfficer[AbilityShowPercentage])</f>
        <v>1</v>
      </c>
      <c r="AK300" s="429">
        <f t="array" ref="AK300">XLOOKUP(LCARS_Off[AbilityID],RawOfficer[AbilityID],RawOfficer[OfficerArt])</f>
        <v>189</v>
      </c>
      <c r="AL300" s="430">
        <v>2.319707047E9</v>
      </c>
      <c r="AM300" s="430">
        <f t="array" ref="AM300">XLOOKUP(LCARS_Off[AbilityID],RawOfficer[AbilityID],RawOfficer[Default Order])</f>
        <v>297</v>
      </c>
    </row>
    <row r="301">
      <c r="A301" s="429" t="str">
        <f t="array" ref="A301">LEFT(XLOOKUP(LCARS_Off[AbilityID],RawOfficer[AbilityID],RawOfficer[OfficerRarity]), 1)</f>
        <v>R</v>
      </c>
      <c r="B301" s="429"/>
      <c r="C301" s="514" t="str">
        <f t="array" ref="C301">HYPERLINK("https://stfc.space/officers/" &amp; XLOOKUP(LCARS_Off[AbilityID],RawOfficer[AbilityID],RawOfficer[OfficerId]), XLOOKUP(LCARS_Off[AbilityID],RawOfficer[AbilityID],RawOfficer[OfficerName]))</f>
        <v>B'ETOR</v>
      </c>
      <c r="D301" s="515" t="str">
        <f t="array" ref="D301">XLOOKUP(LCARS_Off[AbilityID],RawOfficer[AbilityID],RawOfficer[AbilityType])</f>
        <v>OA</v>
      </c>
      <c r="E301" s="516" t="str">
        <f t="array" ref="E301">XLOOKUP(LCARS_Off[AbilityID],RawOfficer[AbilityID],RawOfficer[Tag_PvPinSpace])</f>
        <v>➖</v>
      </c>
      <c r="F301" s="516" t="str">
        <f t="array" ref="F301">XLOOKUP(LCARS_Off[AbilityID],RawOfficer[AbilityID],RawOfficer[Tag_PvPStation])</f>
        <v>✴️</v>
      </c>
      <c r="G301" s="516" t="str">
        <f t="array" ref="G301">XLOOKUP(LCARS_Off[AbilityID],RawOfficer[AbilityID],RawOfficer[Tag_NonArmadaHostiles])</f>
        <v>➖</v>
      </c>
      <c r="H301" s="516" t="str">
        <f t="array" ref="H301">XLOOKUP(LCARS_Off[AbilityID],RawOfficer[AbilityID],RawOfficer[Tag_WaveDefense])</f>
        <v>➖</v>
      </c>
      <c r="I301" s="516" t="str">
        <f t="array" ref="I301">XLOOKUP(LCARS_Off[AbilityID],RawOfficer[AbilityID],RawOfficer[Tag_QTrial])</f>
        <v>➖</v>
      </c>
      <c r="J301" s="516" t="str">
        <f t="array" ref="J301">XLOOKUP(LCARS_Off[AbilityID],RawOfficer[AbilityID],RawOfficer[Tag_MissionBosses])</f>
        <v>➖</v>
      </c>
      <c r="K301" s="516" t="str">
        <f t="array" ref="K301">XLOOKUP(LCARS_Off[AbilityID],RawOfficer[AbilityID],RawOfficer[Tag_GroupArmadas])</f>
        <v>➖</v>
      </c>
      <c r="L301" s="516" t="str">
        <f t="array" ref="L301">XLOOKUP(LCARS_Off[AbilityID],RawOfficer[AbilityID],RawOfficer[Tag_SoloArmadas])</f>
        <v>➖</v>
      </c>
      <c r="M301" s="516" t="str">
        <f t="array" ref="M301">XLOOKUP(LCARS_Off[AbilityID],RawOfficer[AbilityID],RawOfficer[Tag_InvadingEntities])</f>
        <v>➖</v>
      </c>
      <c r="N301" s="516" t="str">
        <f t="array" ref="N301">XLOOKUP(LCARS_Off[AbilityID],RawOfficer[AbilityID],RawOfficer[Tag_Assaults])</f>
        <v>➖</v>
      </c>
      <c r="O301" s="516" t="str">
        <f t="array" ref="O301">XLOOKUP(LCARS_Off[AbilityID],RawOfficer[AbilityID],RawOfficer[Tag_OutpostArmadas])</f>
        <v>➖</v>
      </c>
      <c r="P301" s="516" t="str">
        <f t="array" ref="P301">XLOOKUP(LCARS_Off[AbilityID],RawOfficer[AbilityID],RawOfficer[Tag_OutpostRetaliators])</f>
        <v>➖</v>
      </c>
      <c r="Q301" s="517" t="str">
        <f t="array" ref="Q301">XLOOKUP(LCARS_Off[AbilityID],RawOfficer[AbilityID],RawOfficer[Conditional_Reason])</f>
        <v>Amalgam</v>
      </c>
      <c r="R301" s="518" t="str">
        <f t="array" ref="R301">XLOOKUP(LCARS_Off[AbilityID],RawOfficer[AbilityID],RawOfficer[Tag_Loot])</f>
        <v>➖</v>
      </c>
      <c r="S301" s="516" t="str">
        <f t="array" ref="S301">XLOOKUP(LCARS_Off[AbilityID],RawOfficer[AbilityID],RawOfficer[Tag_Utility])</f>
        <v>➖</v>
      </c>
      <c r="T301" s="429" t="str">
        <f t="array" ref="T301">XLOOKUP(LCARS_Off[AbilityID],RawOfficer[AbilityID],RawOfficer[OfficerSynergy])</f>
        <v>PRIDE OF ROMULUS</v>
      </c>
      <c r="U301" s="519" t="str">
        <f t="array" ref="U301">XLOOKUP(LCARS_Off[AbilityID],RawOfficer[AbilityID],RawOfficer[AbilityModifier])</f>
        <v>CombatScavenger</v>
      </c>
      <c r="V301" s="519" t="str">
        <f t="array" ref="V301">XLOOKUP(LCARS_Off[AbilityID],RawOfficer[AbilityID],RawOfficer[AbilityAttributes])</f>
        <v/>
      </c>
      <c r="W301" s="520" t="str">
        <f t="array" ref="W301">XLOOKUP(LCARS_Off[AbilityID],RawOfficer[AbilityID],RawOfficer[AbilityConditions])</f>
        <v>SelfHullAmalgam</v>
      </c>
      <c r="X301" s="519" t="str">
        <f t="array" ref="X301">XLOOKUP(LCARS_Off[AbilityID],RawOfficer[AbilityID],RawOfficer[AbilityTrigger])</f>
        <v>ShipLaunched</v>
      </c>
      <c r="Y301" s="519" t="str">
        <f t="array" ref="Y301">XLOOKUP(LCARS_Off[AbilityID],RawOfficer[AbilityID],RawOfficer[AbilityTarget])</f>
        <v>SelfShip</v>
      </c>
      <c r="Z301" s="519" t="str">
        <f t="array" ref="Z301">XLOOKUP(LCARS_Off[AbilityID],RawOfficer[AbilityID],RawOfficer[AbilityOperation])</f>
        <v>MultiplyAdd</v>
      </c>
      <c r="AA301" s="521" t="str">
        <f t="array" ref="AA301">XLOOKUP(LCARS_Off[AbilityID],RawOfficer[AbilityID],RawOfficer[AbilityDescription])</f>
        <v>When on the Amalgam, B'Etor boosts the Amalgam's bonus loot ship ability by X.</v>
      </c>
      <c r="AB301" s="429" t="b">
        <v>0</v>
      </c>
      <c r="AC301" s="522" t="str">
        <f t="array" ref="AC301">XLOOKUP(LCARS_Off[AbilityID],RawOfficer[AbilityID],RawOfficer[AbilityDescriptionShort])</f>
        <v>B'Etor boosts the Amalgam's bonus loot ship ability by +X</v>
      </c>
      <c r="AD301" s="523"/>
      <c r="AE301" s="524"/>
      <c r="AF301" s="524"/>
      <c r="AG301" s="525" t="str">
        <f t="array" ref="AG301">XLOOKUP(LCARS_Off[AbilityID],RawOfficer[AbilityID],RawOfficer[AbilityChances])</f>
        <v>1.0, 1.0, 1.0, 1.0, 1.0</v>
      </c>
      <c r="AH301" s="525" t="str">
        <f t="array" ref="AH301">XLOOKUP(LCARS_Off[AbilityID],RawOfficer[AbilityID],RawOfficer[AbilityValues])</f>
        <v>0.1, 0.14, 0.22, 0.34, 0.5</v>
      </c>
      <c r="AI301" s="428" t="b">
        <f t="array" ref="AI301">XLOOKUP(LCARS_Off[AbilityID],RawOfficer[AbilityID],RawOfficer[AbilityHasChance])</f>
        <v>0</v>
      </c>
      <c r="AJ301" s="428" t="b">
        <f t="array" ref="AJ301">XLOOKUP(LCARS_Off[AbilityID],RawOfficer[AbilityID],RawOfficer[AbilityShowPercentage])</f>
        <v>1</v>
      </c>
      <c r="AK301" s="429">
        <f t="array" ref="AK301">XLOOKUP(LCARS_Off[AbilityID],RawOfficer[AbilityID],RawOfficer[OfficerArt])</f>
        <v>189</v>
      </c>
      <c r="AL301" s="430">
        <v>2.971941649E9</v>
      </c>
      <c r="AM301" s="430">
        <f t="array" ref="AM301">XLOOKUP(LCARS_Off[AbilityID],RawOfficer[AbilityID],RawOfficer[Default Order])</f>
        <v>298</v>
      </c>
    </row>
    <row r="302">
      <c r="A302" s="429" t="str">
        <f t="array" ref="A302">LEFT(XLOOKUP(LCARS_Off[AbilityID],RawOfficer[AbilityID],RawOfficer[OfficerRarity]), 1)</f>
        <v>U</v>
      </c>
      <c r="B302" s="429"/>
      <c r="C302" s="514" t="str">
        <f t="array" ref="C302">HYPERLINK("https://stfc.space/officers/" &amp; XLOOKUP(LCARS_Off[AbilityID],RawOfficer[AbilityID],RawOfficer[OfficerId]), XLOOKUP(LCARS_Off[AbilityID],RawOfficer[AbilityID],RawOfficer[OfficerName]))</f>
        <v>LURSA</v>
      </c>
      <c r="D302" s="515" t="str">
        <f t="array" ref="D302">XLOOKUP(LCARS_Off[AbilityID],RawOfficer[AbilityID],RawOfficer[AbilityType])</f>
        <v>CM</v>
      </c>
      <c r="E302" s="516" t="str">
        <f t="array" ref="E302">XLOOKUP(LCARS_Off[AbilityID],RawOfficer[AbilityID],RawOfficer[Tag_PvPinSpace])</f>
        <v>➖</v>
      </c>
      <c r="F302" s="516" t="str">
        <f t="array" ref="F302">XLOOKUP(LCARS_Off[AbilityID],RawOfficer[AbilityID],RawOfficer[Tag_PvPStation])</f>
        <v>➖</v>
      </c>
      <c r="G302" s="516" t="str">
        <f t="array" ref="G302">XLOOKUP(LCARS_Off[AbilityID],RawOfficer[AbilityID],RawOfficer[Tag_NonArmadaHostiles])</f>
        <v>➖</v>
      </c>
      <c r="H302" s="516" t="str">
        <f t="array" ref="H302">XLOOKUP(LCARS_Off[AbilityID],RawOfficer[AbilityID],RawOfficer[Tag_WaveDefense])</f>
        <v>➖</v>
      </c>
      <c r="I302" s="516" t="str">
        <f t="array" ref="I302">XLOOKUP(LCARS_Off[AbilityID],RawOfficer[AbilityID],RawOfficer[Tag_QTrial])</f>
        <v>➖</v>
      </c>
      <c r="J302" s="516" t="str">
        <f t="array" ref="J302">XLOOKUP(LCARS_Off[AbilityID],RawOfficer[AbilityID],RawOfficer[Tag_MissionBosses])</f>
        <v>➖</v>
      </c>
      <c r="K302" s="516" t="str">
        <f t="array" ref="K302">XLOOKUP(LCARS_Off[AbilityID],RawOfficer[AbilityID],RawOfficer[Tag_GroupArmadas])</f>
        <v>➖</v>
      </c>
      <c r="L302" s="516" t="str">
        <f t="array" ref="L302">XLOOKUP(LCARS_Off[AbilityID],RawOfficer[AbilityID],RawOfficer[Tag_SoloArmadas])</f>
        <v>➖</v>
      </c>
      <c r="M302" s="516" t="str">
        <f t="array" ref="M302">XLOOKUP(LCARS_Off[AbilityID],RawOfficer[AbilityID],RawOfficer[Tag_InvadingEntities])</f>
        <v>➖</v>
      </c>
      <c r="N302" s="516" t="str">
        <f t="array" ref="N302">XLOOKUP(LCARS_Off[AbilityID],RawOfficer[AbilityID],RawOfficer[Tag_Assaults])</f>
        <v>➖</v>
      </c>
      <c r="O302" s="516" t="str">
        <f t="array" ref="O302">XLOOKUP(LCARS_Off[AbilityID],RawOfficer[AbilityID],RawOfficer[Tag_OutpostArmadas])</f>
        <v>➖</v>
      </c>
      <c r="P302" s="516" t="str">
        <f t="array" ref="P302">XLOOKUP(LCARS_Off[AbilityID],RawOfficer[AbilityID],RawOfficer[Tag_OutpostRetaliators])</f>
        <v>➖</v>
      </c>
      <c r="Q302" s="517" t="str">
        <f t="array" ref="Q302">XLOOKUP(LCARS_Off[AbilityID],RawOfficer[AbilityID],RawOfficer[Conditional_Reason])</f>
        <v/>
      </c>
      <c r="R302" s="518" t="str">
        <f t="array" ref="R302">XLOOKUP(LCARS_Off[AbilityID],RawOfficer[AbilityID],RawOfficer[Tag_Loot])</f>
        <v>➖</v>
      </c>
      <c r="S302" s="516" t="str">
        <f t="array" ref="S302">XLOOKUP(LCARS_Off[AbilityID],RawOfficer[AbilityID],RawOfficer[Tag_Utility])</f>
        <v>✅</v>
      </c>
      <c r="T302" s="429" t="str">
        <f t="array" ref="T302">XLOOKUP(LCARS_Off[AbilityID],RawOfficer[AbilityID],RawOfficer[OfficerSynergy])</f>
        <v>PRIDE OF ROMULUS</v>
      </c>
      <c r="U302" s="519" t="str">
        <f t="array" ref="U302">XLOOKUP(LCARS_Off[AbilityID],RawOfficer[AbilityID],RawOfficer[AbilityModifier])</f>
        <v>SkillCloakingCooldown</v>
      </c>
      <c r="V302" s="519" t="str">
        <f t="array" ref="V302">XLOOKUP(LCARS_Off[AbilityID],RawOfficer[AbilityID],RawOfficer[AbilityAttributes])</f>
        <v/>
      </c>
      <c r="W302" s="520" t="str">
        <f t="array" ref="W302">XLOOKUP(LCARS_Off[AbilityID],RawOfficer[AbilityID],RawOfficer[AbilityConditions])</f>
        <v/>
      </c>
      <c r="X302" s="519" t="str">
        <f t="array" ref="X302">XLOOKUP(LCARS_Off[AbilityID],RawOfficer[AbilityID],RawOfficer[AbilityTrigger])</f>
        <v>ShipLaunched</v>
      </c>
      <c r="Y302" s="519" t="str">
        <f t="array" ref="Y302">XLOOKUP(LCARS_Off[AbilityID],RawOfficer[AbilityID],RawOfficer[AbilityTarget])</f>
        <v>SelfShip</v>
      </c>
      <c r="Z302" s="519" t="str">
        <f t="array" ref="Z302">XLOOKUP(LCARS_Off[AbilityID],RawOfficer[AbilityID],RawOfficer[AbilityOperation])</f>
        <v>Add</v>
      </c>
      <c r="AA302" s="521" t="str">
        <f t="array" ref="AA302">XLOOKUP(LCARS_Off[AbilityID],RawOfficer[AbilityID],RawOfficer[AbilityDescription])</f>
        <v>When on a ship that can use cloaking, Lursa decreases the cloaking cooldown by X.</v>
      </c>
      <c r="AB302" s="429" t="b">
        <v>0</v>
      </c>
      <c r="AC302" s="522" t="str">
        <f t="array" ref="AC302">XLOOKUP(LCARS_Off[AbilityID],RawOfficer[AbilityID],RawOfficer[AbilityDescriptionShort])</f>
        <v>-X to cloaking cooldown</v>
      </c>
      <c r="AD302" s="523"/>
      <c r="AE302" s="524"/>
      <c r="AF302" s="524"/>
      <c r="AG302" s="525" t="str">
        <f t="array" ref="AG302">XLOOKUP(LCARS_Off[AbilityID],RawOfficer[AbilityID],RawOfficer[AbilityChances])</f>
        <v>1.0, 1.0, 1.0</v>
      </c>
      <c r="AH302" s="525" t="str">
        <f t="array" ref="AH302">XLOOKUP(LCARS_Off[AbilityID],RawOfficer[AbilityID],RawOfficer[AbilityValues])</f>
        <v>0.3, 0.05, 0.1</v>
      </c>
      <c r="AI302" s="428" t="b">
        <f t="array" ref="AI302">XLOOKUP(LCARS_Off[AbilityID],RawOfficer[AbilityID],RawOfficer[AbilityHasChance])</f>
        <v>0</v>
      </c>
      <c r="AJ302" s="428" t="b">
        <f t="array" ref="AJ302">XLOOKUP(LCARS_Off[AbilityID],RawOfficer[AbilityID],RawOfficer[AbilityShowPercentage])</f>
        <v>1</v>
      </c>
      <c r="AK302" s="429">
        <f t="array" ref="AK302">XLOOKUP(LCARS_Off[AbilityID],RawOfficer[AbilityID],RawOfficer[OfficerArt])</f>
        <v>188</v>
      </c>
      <c r="AL302" s="430">
        <v>1.037918091E9</v>
      </c>
      <c r="AM302" s="430">
        <f t="array" ref="AM302">XLOOKUP(LCARS_Off[AbilityID],RawOfficer[AbilityID],RawOfficer[Default Order])</f>
        <v>299</v>
      </c>
    </row>
    <row r="303">
      <c r="A303" s="429" t="str">
        <f t="array" ref="A303">LEFT(XLOOKUP(LCARS_Off[AbilityID],RawOfficer[AbilityID],RawOfficer[OfficerRarity]), 1)</f>
        <v>U</v>
      </c>
      <c r="B303" s="429"/>
      <c r="C303" s="514" t="str">
        <f t="array" ref="C303">HYPERLINK("https://stfc.space/officers/" &amp; XLOOKUP(LCARS_Off[AbilityID],RawOfficer[AbilityID],RawOfficer[OfficerId]), XLOOKUP(LCARS_Off[AbilityID],RawOfficer[AbilityID],RawOfficer[OfficerName]))</f>
        <v>LURSA</v>
      </c>
      <c r="D303" s="515" t="str">
        <f t="array" ref="D303">XLOOKUP(LCARS_Off[AbilityID],RawOfficer[AbilityID],RawOfficer[AbilityType])</f>
        <v>OA</v>
      </c>
      <c r="E303" s="516" t="str">
        <f t="array" ref="E303">XLOOKUP(LCARS_Off[AbilityID],RawOfficer[AbilityID],RawOfficer[Tag_PvPinSpace])</f>
        <v>✅</v>
      </c>
      <c r="F303" s="516" t="str">
        <f t="array" ref="F303">XLOOKUP(LCARS_Off[AbilityID],RawOfficer[AbilityID],RawOfficer[Tag_PvPStation])</f>
        <v>✅</v>
      </c>
      <c r="G303" s="516" t="str">
        <f t="array" ref="G303">XLOOKUP(LCARS_Off[AbilityID],RawOfficer[AbilityID],RawOfficer[Tag_NonArmadaHostiles])</f>
        <v>➖</v>
      </c>
      <c r="H303" s="516" t="str">
        <f t="array" ref="H303">XLOOKUP(LCARS_Off[AbilityID],RawOfficer[AbilityID],RawOfficer[Tag_WaveDefense])</f>
        <v>➖</v>
      </c>
      <c r="I303" s="516" t="str">
        <f t="array" ref="I303">XLOOKUP(LCARS_Off[AbilityID],RawOfficer[AbilityID],RawOfficer[Tag_QTrial])</f>
        <v>➖</v>
      </c>
      <c r="J303" s="516" t="str">
        <f t="array" ref="J303">XLOOKUP(LCARS_Off[AbilityID],RawOfficer[AbilityID],RawOfficer[Tag_MissionBosses])</f>
        <v>➖</v>
      </c>
      <c r="K303" s="516" t="str">
        <f t="array" ref="K303">XLOOKUP(LCARS_Off[AbilityID],RawOfficer[AbilityID],RawOfficer[Tag_GroupArmadas])</f>
        <v>➖</v>
      </c>
      <c r="L303" s="516" t="str">
        <f t="array" ref="L303">XLOOKUP(LCARS_Off[AbilityID],RawOfficer[AbilityID],RawOfficer[Tag_SoloArmadas])</f>
        <v>➖</v>
      </c>
      <c r="M303" s="516" t="str">
        <f t="array" ref="M303">XLOOKUP(LCARS_Off[AbilityID],RawOfficer[AbilityID],RawOfficer[Tag_InvadingEntities])</f>
        <v>➖</v>
      </c>
      <c r="N303" s="516" t="str">
        <f t="array" ref="N303">XLOOKUP(LCARS_Off[AbilityID],RawOfficer[AbilityID],RawOfficer[Tag_Assaults])</f>
        <v>➖</v>
      </c>
      <c r="O303" s="516" t="str">
        <f t="array" ref="O303">XLOOKUP(LCARS_Off[AbilityID],RawOfficer[AbilityID],RawOfficer[Tag_OutpostArmadas])</f>
        <v>➖</v>
      </c>
      <c r="P303" s="516" t="str">
        <f t="array" ref="P303">XLOOKUP(LCARS_Off[AbilityID],RawOfficer[AbilityID],RawOfficer[Tag_OutpostRetaliators])</f>
        <v>➖</v>
      </c>
      <c r="Q303" s="517" t="str">
        <f t="array" ref="Q303">XLOOKUP(LCARS_Off[AbilityID],RawOfficer[AbilityID],RawOfficer[Conditional_Reason])</f>
        <v/>
      </c>
      <c r="R303" s="518" t="str">
        <f t="array" ref="R303">XLOOKUP(LCARS_Off[AbilityID],RawOfficer[AbilityID],RawOfficer[Tag_Loot])</f>
        <v>➖</v>
      </c>
      <c r="S303" s="516" t="str">
        <f t="array" ref="S303">XLOOKUP(LCARS_Off[AbilityID],RawOfficer[AbilityID],RawOfficer[Tag_Utility])</f>
        <v>➖</v>
      </c>
      <c r="T303" s="429" t="str">
        <f t="array" ref="T303">XLOOKUP(LCARS_Off[AbilityID],RawOfficer[AbilityID],RawOfficer[OfficerSynergy])</f>
        <v>PRIDE OF ROMULUS</v>
      </c>
      <c r="U303" s="519" t="str">
        <f t="array" ref="U303">XLOOKUP(LCARS_Off[AbilityID],RawOfficer[AbilityID],RawOfficer[AbilityModifier])</f>
        <v>AllDamage</v>
      </c>
      <c r="V303" s="519" t="str">
        <f t="array" ref="V303">XLOOKUP(LCARS_Off[AbilityID],RawOfficer[AbilityID],RawOfficer[AbilityAttributes])</f>
        <v/>
      </c>
      <c r="W303" s="520" t="str">
        <f t="array" ref="W303">XLOOKUP(LCARS_Off[AbilityID],RawOfficer[AbilityID],RawOfficer[AbilityConditions])</f>
        <v>EnemyPlayer, SelfAttacking</v>
      </c>
      <c r="X303" s="519" t="str">
        <f t="array" ref="X303">XLOOKUP(LCARS_Off[AbilityID],RawOfficer[AbilityID],RawOfficer[AbilityTrigger])</f>
        <v>CombatStart</v>
      </c>
      <c r="Y303" s="519" t="str">
        <f t="array" ref="Y303">XLOOKUP(LCARS_Off[AbilityID],RawOfficer[AbilityID],RawOfficer[AbilityTarget])</f>
        <v>EnemyShip</v>
      </c>
      <c r="Z303" s="519" t="str">
        <f t="array" ref="Z303">XLOOKUP(LCARS_Off[AbilityID],RawOfficer[AbilityID],RawOfficer[AbilityOperation])</f>
        <v>MultiplySub</v>
      </c>
      <c r="AA303" s="521" t="str">
        <f t="array" ref="AA303">XLOOKUP(LCARS_Off[AbilityID],RawOfficer[AbilityID],RawOfficer[AbilityDescription])</f>
        <v>When attacking other players, Lursa decreases the opponent's Weapon Damage by X.</v>
      </c>
      <c r="AB303" s="429" t="b">
        <v>0</v>
      </c>
      <c r="AC303" s="522" t="str">
        <f t="array" ref="AC303">XLOOKUP(LCARS_Off[AbilityID],RawOfficer[AbilityID],RawOfficer[AbilityDescriptionShort])</f>
        <v>-X to defending enemy player Weapon Damage</v>
      </c>
      <c r="AD303" s="523"/>
      <c r="AE303" s="524"/>
      <c r="AF303" s="524"/>
      <c r="AG303" s="525" t="str">
        <f t="array" ref="AG303">XLOOKUP(LCARS_Off[AbilityID],RawOfficer[AbilityID],RawOfficer[AbilityChances])</f>
        <v>1.0, 1.0, 1.0, 1.0, 1.0</v>
      </c>
      <c r="AH303" s="525" t="str">
        <f t="array" ref="AH303">XLOOKUP(LCARS_Off[AbilityID],RawOfficer[AbilityID],RawOfficer[AbilityValues])</f>
        <v>0.25, 0.3, 0.4, 0.55, 0.7</v>
      </c>
      <c r="AI303" s="428" t="b">
        <f t="array" ref="AI303">XLOOKUP(LCARS_Off[AbilityID],RawOfficer[AbilityID],RawOfficer[AbilityHasChance])</f>
        <v>0</v>
      </c>
      <c r="AJ303" s="428" t="b">
        <f t="array" ref="AJ303">XLOOKUP(LCARS_Off[AbilityID],RawOfficer[AbilityID],RawOfficer[AbilityShowPercentage])</f>
        <v>1</v>
      </c>
      <c r="AK303" s="429">
        <f t="array" ref="AK303">XLOOKUP(LCARS_Off[AbilityID],RawOfficer[AbilityID],RawOfficer[OfficerArt])</f>
        <v>188</v>
      </c>
      <c r="AL303" s="430">
        <v>3.409009998E9</v>
      </c>
      <c r="AM303" s="430">
        <f t="array" ref="AM303">XLOOKUP(LCARS_Off[AbilityID],RawOfficer[AbilityID],RawOfficer[Default Order])</f>
        <v>300</v>
      </c>
    </row>
    <row r="304">
      <c r="A304" s="429" t="str">
        <f t="array" ref="A304">LEFT(XLOOKUP(LCARS_Off[AbilityID],RawOfficer[AbilityID],RawOfficer[OfficerRarity]), 1)</f>
        <v>R</v>
      </c>
      <c r="B304" s="429"/>
      <c r="C304" s="514" t="str">
        <f t="array" ref="C304">HYPERLINK("https://stfc.space/officers/" &amp; XLOOKUP(LCARS_Off[AbilityID],RawOfficer[AbilityID],RawOfficer[OfficerId]), XLOOKUP(LCARS_Off[AbilityID],RawOfficer[AbilityID],RawOfficer[OfficerName]))</f>
        <v>ARROCK</v>
      </c>
      <c r="D304" s="515" t="str">
        <f t="array" ref="D304">XLOOKUP(LCARS_Off[AbilityID],RawOfficer[AbilityID],RawOfficer[AbilityType])</f>
        <v>CM</v>
      </c>
      <c r="E304" s="516" t="str">
        <f t="array" ref="E304">XLOOKUP(LCARS_Off[AbilityID],RawOfficer[AbilityID],RawOfficer[Tag_PvPinSpace])</f>
        <v>➖</v>
      </c>
      <c r="F304" s="516" t="str">
        <f t="array" ref="F304">XLOOKUP(LCARS_Off[AbilityID],RawOfficer[AbilityID],RawOfficer[Tag_PvPStation])</f>
        <v>➖</v>
      </c>
      <c r="G304" s="516" t="str">
        <f t="array" ref="G304">XLOOKUP(LCARS_Off[AbilityID],RawOfficer[AbilityID],RawOfficer[Tag_NonArmadaHostiles])</f>
        <v>➖</v>
      </c>
      <c r="H304" s="516" t="str">
        <f t="array" ref="H304">XLOOKUP(LCARS_Off[AbilityID],RawOfficer[AbilityID],RawOfficer[Tag_WaveDefense])</f>
        <v>➖</v>
      </c>
      <c r="I304" s="516" t="str">
        <f t="array" ref="I304">XLOOKUP(LCARS_Off[AbilityID],RawOfficer[AbilityID],RawOfficer[Tag_QTrial])</f>
        <v>➖</v>
      </c>
      <c r="J304" s="516" t="str">
        <f t="array" ref="J304">XLOOKUP(LCARS_Off[AbilityID],RawOfficer[AbilityID],RawOfficer[Tag_MissionBosses])</f>
        <v>➖</v>
      </c>
      <c r="K304" s="516" t="str">
        <f t="array" ref="K304">XLOOKUP(LCARS_Off[AbilityID],RawOfficer[AbilityID],RawOfficer[Tag_GroupArmadas])</f>
        <v>➖</v>
      </c>
      <c r="L304" s="516" t="str">
        <f t="array" ref="L304">XLOOKUP(LCARS_Off[AbilityID],RawOfficer[AbilityID],RawOfficer[Tag_SoloArmadas])</f>
        <v>➖</v>
      </c>
      <c r="M304" s="516" t="str">
        <f t="array" ref="M304">XLOOKUP(LCARS_Off[AbilityID],RawOfficer[AbilityID],RawOfficer[Tag_InvadingEntities])</f>
        <v>➖</v>
      </c>
      <c r="N304" s="516" t="str">
        <f t="array" ref="N304">XLOOKUP(LCARS_Off[AbilityID],RawOfficer[AbilityID],RawOfficer[Tag_Assaults])</f>
        <v>➖</v>
      </c>
      <c r="O304" s="516" t="str">
        <f t="array" ref="O304">XLOOKUP(LCARS_Off[AbilityID],RawOfficer[AbilityID],RawOfficer[Tag_OutpostArmadas])</f>
        <v>➖</v>
      </c>
      <c r="P304" s="516" t="str">
        <f t="array" ref="P304">XLOOKUP(LCARS_Off[AbilityID],RawOfficer[AbilityID],RawOfficer[Tag_OutpostRetaliators])</f>
        <v>➖</v>
      </c>
      <c r="Q304" s="517" t="str">
        <f t="array" ref="Q304">XLOOKUP(LCARS_Off[AbilityID],RawOfficer[AbilityID],RawOfficer[Conditional_Reason])</f>
        <v/>
      </c>
      <c r="R304" s="518" t="str">
        <f t="array" ref="R304">XLOOKUP(LCARS_Off[AbilityID],RawOfficer[AbilityID],RawOfficer[Tag_Loot])</f>
        <v>➖</v>
      </c>
      <c r="S304" s="516" t="str">
        <f t="array" ref="S304">XLOOKUP(LCARS_Off[AbilityID],RawOfficer[AbilityID],RawOfficer[Tag_Utility])</f>
        <v>✅</v>
      </c>
      <c r="T304" s="429" t="str">
        <f t="array" ref="T304">XLOOKUP(LCARS_Off[AbilityID],RawOfficer[AbilityID],RawOfficer[OfficerSynergy])</f>
        <v>FERENGI CONGLOMERATE</v>
      </c>
      <c r="U304" s="519" t="str">
        <f t="array" ref="U304">XLOOKUP(LCARS_Off[AbilityID],RawOfficer[AbilityID],RawOfficer[AbilityModifier])</f>
        <v>MiningRate</v>
      </c>
      <c r="V304" s="519" t="str">
        <f t="array" ref="V304">XLOOKUP(LCARS_Off[AbilityID],RawOfficer[AbilityID],RawOfficer[AbilityAttributes])</f>
        <v>resources=[2164745208]</v>
      </c>
      <c r="W304" s="520" t="str">
        <f t="array" ref="W304">XLOOKUP(LCARS_Off[AbilityID],RawOfficer[AbilityID],RawOfficer[AbilityConditions])</f>
        <v/>
      </c>
      <c r="X304" s="519" t="str">
        <f t="array" ref="X304">XLOOKUP(LCARS_Off[AbilityID],RawOfficer[AbilityID],RawOfficer[AbilityTrigger])</f>
        <v>ShipLaunched</v>
      </c>
      <c r="Y304" s="519" t="str">
        <f t="array" ref="Y304">XLOOKUP(LCARS_Off[AbilityID],RawOfficer[AbilityID],RawOfficer[AbilityTarget])</f>
        <v>SelfShip</v>
      </c>
      <c r="Z304" s="519" t="str">
        <f t="array" ref="Z304">XLOOKUP(LCARS_Off[AbilityID],RawOfficer[AbilityID],RawOfficer[AbilityOperation])</f>
        <v>MultiplyAdd</v>
      </c>
      <c r="AA304" s="521" t="str">
        <f t="array" ref="AA304">XLOOKUP(LCARS_Off[AbilityID],RawOfficer[AbilityID],RawOfficer[AbilityDescription])</f>
        <v>Increase mining speed when mining Concentrated Latinum by X.</v>
      </c>
      <c r="AB304" s="429" t="b">
        <v>0</v>
      </c>
      <c r="AC304" s="522" t="str">
        <f t="array" ref="AC304">XLOOKUP(LCARS_Off[AbilityID],RawOfficer[AbilityID],RawOfficer[AbilityDescriptionShort])</f>
        <v>+X mining speed for Concentrated Latinum.</v>
      </c>
      <c r="AD304" s="523"/>
      <c r="AE304" s="524"/>
      <c r="AF304" s="524"/>
      <c r="AG304" s="525" t="str">
        <f t="array" ref="AG304">XLOOKUP(LCARS_Off[AbilityID],RawOfficer[AbilityID],RawOfficer[AbilityChances])</f>
        <v>1.0, 1.0, 1.0</v>
      </c>
      <c r="AH304" s="525" t="str">
        <f t="array" ref="AH304">XLOOKUP(LCARS_Off[AbilityID],RawOfficer[AbilityID],RawOfficer[AbilityValues])</f>
        <v>65.0, 12.0, 30.0</v>
      </c>
      <c r="AI304" s="428" t="b">
        <f t="array" ref="AI304">XLOOKUP(LCARS_Off[AbilityID],RawOfficer[AbilityID],RawOfficer[AbilityHasChance])</f>
        <v>0</v>
      </c>
      <c r="AJ304" s="428" t="b">
        <f t="array" ref="AJ304">XLOOKUP(LCARS_Off[AbilityID],RawOfficer[AbilityID],RawOfficer[AbilityShowPercentage])</f>
        <v>1</v>
      </c>
      <c r="AK304" s="429">
        <f t="array" ref="AK304">XLOOKUP(LCARS_Off[AbilityID],RawOfficer[AbilityID],RawOfficer[OfficerArt])</f>
        <v>192</v>
      </c>
      <c r="AL304" s="430">
        <v>1.319690809E9</v>
      </c>
      <c r="AM304" s="430">
        <f t="array" ref="AM304">XLOOKUP(LCARS_Off[AbilityID],RawOfficer[AbilityID],RawOfficer[Default Order])</f>
        <v>301</v>
      </c>
    </row>
    <row r="305">
      <c r="A305" s="429" t="str">
        <f t="array" ref="A305">LEFT(XLOOKUP(LCARS_Off[AbilityID],RawOfficer[AbilityID],RawOfficer[OfficerRarity]), 1)</f>
        <v>R</v>
      </c>
      <c r="B305" s="429"/>
      <c r="C305" s="514" t="str">
        <f t="array" ref="C305">HYPERLINK("https://stfc.space/officers/" &amp; XLOOKUP(LCARS_Off[AbilityID],RawOfficer[AbilityID],RawOfficer[OfficerId]), XLOOKUP(LCARS_Off[AbilityID],RawOfficer[AbilityID],RawOfficer[OfficerName]))</f>
        <v>ARROCK</v>
      </c>
      <c r="D305" s="515" t="str">
        <f t="array" ref="D305">XLOOKUP(LCARS_Off[AbilityID],RawOfficer[AbilityID],RawOfficer[AbilityType])</f>
        <v>OA</v>
      </c>
      <c r="E305" s="516" t="str">
        <f t="array" ref="E305">XLOOKUP(LCARS_Off[AbilityID],RawOfficer[AbilityID],RawOfficer[Tag_PvPinSpace])</f>
        <v>➖</v>
      </c>
      <c r="F305" s="516" t="str">
        <f t="array" ref="F305">XLOOKUP(LCARS_Off[AbilityID],RawOfficer[AbilityID],RawOfficer[Tag_PvPStation])</f>
        <v>➖</v>
      </c>
      <c r="G305" s="516" t="str">
        <f t="array" ref="G305">XLOOKUP(LCARS_Off[AbilityID],RawOfficer[AbilityID],RawOfficer[Tag_NonArmadaHostiles])</f>
        <v>➖</v>
      </c>
      <c r="H305" s="516" t="str">
        <f t="array" ref="H305">XLOOKUP(LCARS_Off[AbilityID],RawOfficer[AbilityID],RawOfficer[Tag_WaveDefense])</f>
        <v>➖</v>
      </c>
      <c r="I305" s="516" t="str">
        <f t="array" ref="I305">XLOOKUP(LCARS_Off[AbilityID],RawOfficer[AbilityID],RawOfficer[Tag_QTrial])</f>
        <v>➖</v>
      </c>
      <c r="J305" s="516" t="str">
        <f t="array" ref="J305">XLOOKUP(LCARS_Off[AbilityID],RawOfficer[AbilityID],RawOfficer[Tag_MissionBosses])</f>
        <v>➖</v>
      </c>
      <c r="K305" s="516" t="str">
        <f t="array" ref="K305">XLOOKUP(LCARS_Off[AbilityID],RawOfficer[AbilityID],RawOfficer[Tag_GroupArmadas])</f>
        <v>➖</v>
      </c>
      <c r="L305" s="516" t="str">
        <f t="array" ref="L305">XLOOKUP(LCARS_Off[AbilityID],RawOfficer[AbilityID],RawOfficer[Tag_SoloArmadas])</f>
        <v>➖</v>
      </c>
      <c r="M305" s="516" t="str">
        <f t="array" ref="M305">XLOOKUP(LCARS_Off[AbilityID],RawOfficer[AbilityID],RawOfficer[Tag_InvadingEntities])</f>
        <v>➖</v>
      </c>
      <c r="N305" s="516" t="str">
        <f t="array" ref="N305">XLOOKUP(LCARS_Off[AbilityID],RawOfficer[AbilityID],RawOfficer[Tag_Assaults])</f>
        <v>➖</v>
      </c>
      <c r="O305" s="516" t="str">
        <f t="array" ref="O305">XLOOKUP(LCARS_Off[AbilityID],RawOfficer[AbilityID],RawOfficer[Tag_OutpostArmadas])</f>
        <v>➖</v>
      </c>
      <c r="P305" s="516" t="str">
        <f t="array" ref="P305">XLOOKUP(LCARS_Off[AbilityID],RawOfficer[AbilityID],RawOfficer[Tag_OutpostRetaliators])</f>
        <v>➖</v>
      </c>
      <c r="Q305" s="517" t="str">
        <f t="array" ref="Q305">XLOOKUP(LCARS_Off[AbilityID],RawOfficer[AbilityID],RawOfficer[Conditional_Reason])</f>
        <v/>
      </c>
      <c r="R305" s="518" t="str">
        <f t="array" ref="R305">XLOOKUP(LCARS_Off[AbilityID],RawOfficer[AbilityID],RawOfficer[Tag_Loot])</f>
        <v>➖</v>
      </c>
      <c r="S305" s="516" t="str">
        <f t="array" ref="S305">XLOOKUP(LCARS_Off[AbilityID],RawOfficer[AbilityID],RawOfficer[Tag_Utility])</f>
        <v>✅</v>
      </c>
      <c r="T305" s="429" t="str">
        <f t="array" ref="T305">XLOOKUP(LCARS_Off[AbilityID],RawOfficer[AbilityID],RawOfficer[OfficerSynergy])</f>
        <v>FERENGI CONGLOMERATE</v>
      </c>
      <c r="U305" s="519" t="str">
        <f t="array" ref="U305">XLOOKUP(LCARS_Off[AbilityID],RawOfficer[AbilityID],RawOfficer[AbilityModifier])</f>
        <v>MiningRate</v>
      </c>
      <c r="V305" s="519" t="str">
        <f t="array" ref="V305">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305" s="520" t="str">
        <f t="array" ref="W305">XLOOKUP(LCARS_Off[AbilityID],RawOfficer[AbilityID],RawOfficer[AbilityConditions])</f>
        <v/>
      </c>
      <c r="X305" s="519" t="str">
        <f t="array" ref="X305">XLOOKUP(LCARS_Off[AbilityID],RawOfficer[AbilityID],RawOfficer[AbilityTrigger])</f>
        <v>ShipLaunched</v>
      </c>
      <c r="Y305" s="519" t="str">
        <f t="array" ref="Y305">XLOOKUP(LCARS_Off[AbilityID],RawOfficer[AbilityID],RawOfficer[AbilityTarget])</f>
        <v>SelfShip</v>
      </c>
      <c r="Z305" s="519" t="str">
        <f t="array" ref="Z305">XLOOKUP(LCARS_Off[AbilityID],RawOfficer[AbilityID],RawOfficer[AbilityOperation])</f>
        <v>MultiplyAdd</v>
      </c>
      <c r="AA305" s="521" t="str">
        <f t="array" ref="AA305">XLOOKUP(LCARS_Off[AbilityID],RawOfficer[AbilityID],RawOfficer[AbilityDescription])</f>
        <v>Increase mining speed by X.</v>
      </c>
      <c r="AB305" s="429" t="b">
        <v>0</v>
      </c>
      <c r="AC305" s="522" t="str">
        <f t="array" ref="AC305">XLOOKUP(LCARS_Off[AbilityID],RawOfficer[AbilityID],RawOfficer[AbilityDescriptionShort])</f>
        <v>+X Mining Speed.</v>
      </c>
      <c r="AD305" s="523"/>
      <c r="AE305" s="524"/>
      <c r="AF305" s="524"/>
      <c r="AG305" s="525" t="str">
        <f t="array" ref="AG305">XLOOKUP(LCARS_Off[AbilityID],RawOfficer[AbilityID],RawOfficer[AbilityChances])</f>
        <v>1.0, 1.0, 1.0, 1.0, 1.0</v>
      </c>
      <c r="AH305" s="525" t="str">
        <f t="array" ref="AH305">XLOOKUP(LCARS_Off[AbilityID],RawOfficer[AbilityID],RawOfficer[AbilityValues])</f>
        <v>0.25, 0.3, 0.4, 0.45, 0.5</v>
      </c>
      <c r="AI305" s="428" t="b">
        <f t="array" ref="AI305">XLOOKUP(LCARS_Off[AbilityID],RawOfficer[AbilityID],RawOfficer[AbilityHasChance])</f>
        <v>0</v>
      </c>
      <c r="AJ305" s="428" t="b">
        <f t="array" ref="AJ305">XLOOKUP(LCARS_Off[AbilityID],RawOfficer[AbilityID],RawOfficer[AbilityShowPercentage])</f>
        <v>1</v>
      </c>
      <c r="AK305" s="429">
        <f t="array" ref="AK305">XLOOKUP(LCARS_Off[AbilityID],RawOfficer[AbilityID],RawOfficer[OfficerArt])</f>
        <v>192</v>
      </c>
      <c r="AL305" s="430">
        <v>1.04723506E8</v>
      </c>
      <c r="AM305" s="430">
        <f t="array" ref="AM305">XLOOKUP(LCARS_Off[AbilityID],RawOfficer[AbilityID],RawOfficer[Default Order])</f>
        <v>302</v>
      </c>
    </row>
    <row r="306">
      <c r="A306" s="429" t="str">
        <f t="array" ref="A306">LEFT(XLOOKUP(LCARS_Off[AbilityID],RawOfficer[AbilityID],RawOfficer[OfficerRarity]), 1)</f>
        <v>R</v>
      </c>
      <c r="B306" s="429"/>
      <c r="C306" s="514" t="str">
        <f t="array" ref="C306">HYPERLINK("https://stfc.space/officers/" &amp; XLOOKUP(LCARS_Off[AbilityID],RawOfficer[AbilityID],RawOfficer[OfficerId]), XLOOKUP(LCARS_Off[AbilityID],RawOfficer[AbilityID],RawOfficer[OfficerName]))</f>
        <v>FESS</v>
      </c>
      <c r="D306" s="515" t="str">
        <f t="array" ref="D306">XLOOKUP(LCARS_Off[AbilityID],RawOfficer[AbilityID],RawOfficer[AbilityType])</f>
        <v>CM</v>
      </c>
      <c r="E306" s="516" t="str">
        <f t="array" ref="E306">XLOOKUP(LCARS_Off[AbilityID],RawOfficer[AbilityID],RawOfficer[Tag_PvPinSpace])</f>
        <v>➖</v>
      </c>
      <c r="F306" s="516" t="str">
        <f t="array" ref="F306">XLOOKUP(LCARS_Off[AbilityID],RawOfficer[AbilityID],RawOfficer[Tag_PvPStation])</f>
        <v>➖</v>
      </c>
      <c r="G306" s="516" t="str">
        <f t="array" ref="G306">XLOOKUP(LCARS_Off[AbilityID],RawOfficer[AbilityID],RawOfficer[Tag_NonArmadaHostiles])</f>
        <v>➖</v>
      </c>
      <c r="H306" s="516" t="str">
        <f t="array" ref="H306">XLOOKUP(LCARS_Off[AbilityID],RawOfficer[AbilityID],RawOfficer[Tag_WaveDefense])</f>
        <v>➖</v>
      </c>
      <c r="I306" s="516" t="str">
        <f t="array" ref="I306">XLOOKUP(LCARS_Off[AbilityID],RawOfficer[AbilityID],RawOfficer[Tag_QTrial])</f>
        <v>➖</v>
      </c>
      <c r="J306" s="516" t="str">
        <f t="array" ref="J306">XLOOKUP(LCARS_Off[AbilityID],RawOfficer[AbilityID],RawOfficer[Tag_MissionBosses])</f>
        <v>➖</v>
      </c>
      <c r="K306" s="516" t="str">
        <f t="array" ref="K306">XLOOKUP(LCARS_Off[AbilityID],RawOfficer[AbilityID],RawOfficer[Tag_GroupArmadas])</f>
        <v>➖</v>
      </c>
      <c r="L306" s="516" t="str">
        <f t="array" ref="L306">XLOOKUP(LCARS_Off[AbilityID],RawOfficer[AbilityID],RawOfficer[Tag_SoloArmadas])</f>
        <v>➖</v>
      </c>
      <c r="M306" s="516" t="str">
        <f t="array" ref="M306">XLOOKUP(LCARS_Off[AbilityID],RawOfficer[AbilityID],RawOfficer[Tag_InvadingEntities])</f>
        <v>➖</v>
      </c>
      <c r="N306" s="516" t="str">
        <f t="array" ref="N306">XLOOKUP(LCARS_Off[AbilityID],RawOfficer[AbilityID],RawOfficer[Tag_Assaults])</f>
        <v>➖</v>
      </c>
      <c r="O306" s="516" t="str">
        <f t="array" ref="O306">XLOOKUP(LCARS_Off[AbilityID],RawOfficer[AbilityID],RawOfficer[Tag_OutpostArmadas])</f>
        <v>➖</v>
      </c>
      <c r="P306" s="516" t="str">
        <f t="array" ref="P306">XLOOKUP(LCARS_Off[AbilityID],RawOfficer[AbilityID],RawOfficer[Tag_OutpostRetaliators])</f>
        <v>➖</v>
      </c>
      <c r="Q306" s="517" t="str">
        <f t="array" ref="Q306">XLOOKUP(LCARS_Off[AbilityID],RawOfficer[AbilityID],RawOfficer[Conditional_Reason])</f>
        <v/>
      </c>
      <c r="R306" s="518" t="str">
        <f t="array" ref="R306">XLOOKUP(LCARS_Off[AbilityID],RawOfficer[AbilityID],RawOfficer[Tag_Loot])</f>
        <v>➖</v>
      </c>
      <c r="S306" s="516" t="str">
        <f t="array" ref="S306">XLOOKUP(LCARS_Off[AbilityID],RawOfficer[AbilityID],RawOfficer[Tag_Utility])</f>
        <v>✅</v>
      </c>
      <c r="T306" s="429" t="str">
        <f t="array" ref="T306">XLOOKUP(LCARS_Off[AbilityID],RawOfficer[AbilityID],RawOfficer[OfficerSynergy])</f>
        <v>FERENGI CONGLOMERATE</v>
      </c>
      <c r="U306" s="519" t="str">
        <f t="array" ref="U306">XLOOKUP(LCARS_Off[AbilityID],RawOfficer[AbilityID],RawOfficer[AbilityModifier])</f>
        <v>MiningRate</v>
      </c>
      <c r="V306" s="519" t="str">
        <f t="array" ref="V306">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306" s="520" t="str">
        <f t="array" ref="W306">XLOOKUP(LCARS_Off[AbilityID],RawOfficer[AbilityID],RawOfficer[AbilityConditions])</f>
        <v/>
      </c>
      <c r="X306" s="519" t="str">
        <f t="array" ref="X306">XLOOKUP(LCARS_Off[AbilityID],RawOfficer[AbilityID],RawOfficer[AbilityTrigger])</f>
        <v>ShipLaunched</v>
      </c>
      <c r="Y306" s="519" t="str">
        <f t="array" ref="Y306">XLOOKUP(LCARS_Off[AbilityID],RawOfficer[AbilityID],RawOfficer[AbilityTarget])</f>
        <v>SelfShip</v>
      </c>
      <c r="Z306" s="519" t="str">
        <f t="array" ref="Z306">XLOOKUP(LCARS_Off[AbilityID],RawOfficer[AbilityID],RawOfficer[AbilityOperation])</f>
        <v>MultiplyAdd</v>
      </c>
      <c r="AA306" s="521" t="str">
        <f t="array" ref="AA306">XLOOKUP(LCARS_Off[AbilityID],RawOfficer[AbilityID],RawOfficer[AbilityDescription])</f>
        <v>Increase base mining speed by X.</v>
      </c>
      <c r="AB306" s="429" t="b">
        <v>0</v>
      </c>
      <c r="AC306" s="522" t="str">
        <f t="array" ref="AC306">XLOOKUP(LCARS_Off[AbilityID],RawOfficer[AbilityID],RawOfficer[AbilityDescriptionShort])</f>
        <v>+X Mining Speed.</v>
      </c>
      <c r="AD306" s="523"/>
      <c r="AE306" s="524"/>
      <c r="AF306" s="524"/>
      <c r="AG306" s="525" t="str">
        <f t="array" ref="AG306">XLOOKUP(LCARS_Off[AbilityID],RawOfficer[AbilityID],RawOfficer[AbilityChances])</f>
        <v>1.0, 1.0, 1.0</v>
      </c>
      <c r="AH306" s="525" t="str">
        <f t="array" ref="AH306">XLOOKUP(LCARS_Off[AbilityID],RawOfficer[AbilityID],RawOfficer[AbilityValues])</f>
        <v>0.55, 0.2, 0.35</v>
      </c>
      <c r="AI306" s="428" t="b">
        <f t="array" ref="AI306">XLOOKUP(LCARS_Off[AbilityID],RawOfficer[AbilityID],RawOfficer[AbilityHasChance])</f>
        <v>0</v>
      </c>
      <c r="AJ306" s="428" t="b">
        <f t="array" ref="AJ306">XLOOKUP(LCARS_Off[AbilityID],RawOfficer[AbilityID],RawOfficer[AbilityShowPercentage])</f>
        <v>1</v>
      </c>
      <c r="AK306" s="429">
        <f t="array" ref="AK306">XLOOKUP(LCARS_Off[AbilityID],RawOfficer[AbilityID],RawOfficer[OfficerArt])</f>
        <v>193</v>
      </c>
      <c r="AL306" s="430">
        <v>4.265842515E9</v>
      </c>
      <c r="AM306" s="430">
        <f t="array" ref="AM306">XLOOKUP(LCARS_Off[AbilityID],RawOfficer[AbilityID],RawOfficer[Default Order])</f>
        <v>303</v>
      </c>
    </row>
    <row r="307">
      <c r="A307" s="429" t="str">
        <f t="array" ref="A307">LEFT(XLOOKUP(LCARS_Off[AbilityID],RawOfficer[AbilityID],RawOfficer[OfficerRarity]), 1)</f>
        <v>R</v>
      </c>
      <c r="B307" s="429"/>
      <c r="C307" s="514" t="str">
        <f t="array" ref="C307">HYPERLINK("https://stfc.space/officers/" &amp; XLOOKUP(LCARS_Off[AbilityID],RawOfficer[AbilityID],RawOfficer[OfficerId]), XLOOKUP(LCARS_Off[AbilityID],RawOfficer[AbilityID],RawOfficer[OfficerName]))</f>
        <v>FESS</v>
      </c>
      <c r="D307" s="515" t="str">
        <f t="array" ref="D307">XLOOKUP(LCARS_Off[AbilityID],RawOfficer[AbilityID],RawOfficer[AbilityType])</f>
        <v>OA</v>
      </c>
      <c r="E307" s="516" t="str">
        <f t="array" ref="E307">XLOOKUP(LCARS_Off[AbilityID],RawOfficer[AbilityID],RawOfficer[Tag_PvPinSpace])</f>
        <v>➖</v>
      </c>
      <c r="F307" s="516" t="str">
        <f t="array" ref="F307">XLOOKUP(LCARS_Off[AbilityID],RawOfficer[AbilityID],RawOfficer[Tag_PvPStation])</f>
        <v>➖</v>
      </c>
      <c r="G307" s="516" t="str">
        <f t="array" ref="G307">XLOOKUP(LCARS_Off[AbilityID],RawOfficer[AbilityID],RawOfficer[Tag_NonArmadaHostiles])</f>
        <v>➖</v>
      </c>
      <c r="H307" s="516" t="str">
        <f t="array" ref="H307">XLOOKUP(LCARS_Off[AbilityID],RawOfficer[AbilityID],RawOfficer[Tag_WaveDefense])</f>
        <v>➖</v>
      </c>
      <c r="I307" s="516" t="str">
        <f t="array" ref="I307">XLOOKUP(LCARS_Off[AbilityID],RawOfficer[AbilityID],RawOfficer[Tag_QTrial])</f>
        <v>➖</v>
      </c>
      <c r="J307" s="516" t="str">
        <f t="array" ref="J307">XLOOKUP(LCARS_Off[AbilityID],RawOfficer[AbilityID],RawOfficer[Tag_MissionBosses])</f>
        <v>➖</v>
      </c>
      <c r="K307" s="516" t="str">
        <f t="array" ref="K307">XLOOKUP(LCARS_Off[AbilityID],RawOfficer[AbilityID],RawOfficer[Tag_GroupArmadas])</f>
        <v>➖</v>
      </c>
      <c r="L307" s="516" t="str">
        <f t="array" ref="L307">XLOOKUP(LCARS_Off[AbilityID],RawOfficer[AbilityID],RawOfficer[Tag_SoloArmadas])</f>
        <v>➖</v>
      </c>
      <c r="M307" s="516" t="str">
        <f t="array" ref="M307">XLOOKUP(LCARS_Off[AbilityID],RawOfficer[AbilityID],RawOfficer[Tag_InvadingEntities])</f>
        <v>➖</v>
      </c>
      <c r="N307" s="516" t="str">
        <f t="array" ref="N307">XLOOKUP(LCARS_Off[AbilityID],RawOfficer[AbilityID],RawOfficer[Tag_Assaults])</f>
        <v>➖</v>
      </c>
      <c r="O307" s="516" t="str">
        <f t="array" ref="O307">XLOOKUP(LCARS_Off[AbilityID],RawOfficer[AbilityID],RawOfficer[Tag_OutpostArmadas])</f>
        <v>➖</v>
      </c>
      <c r="P307" s="516" t="str">
        <f t="array" ref="P307">XLOOKUP(LCARS_Off[AbilityID],RawOfficer[AbilityID],RawOfficer[Tag_OutpostRetaliators])</f>
        <v>➖</v>
      </c>
      <c r="Q307" s="517" t="str">
        <f t="array" ref="Q307">XLOOKUP(LCARS_Off[AbilityID],RawOfficer[AbilityID],RawOfficer[Conditional_Reason])</f>
        <v/>
      </c>
      <c r="R307" s="518" t="str">
        <f t="array" ref="R307">XLOOKUP(LCARS_Off[AbilityID],RawOfficer[AbilityID],RawOfficer[Tag_Loot])</f>
        <v>➖</v>
      </c>
      <c r="S307" s="516" t="str">
        <f t="array" ref="S307">XLOOKUP(LCARS_Off[AbilityID],RawOfficer[AbilityID],RawOfficer[Tag_Utility])</f>
        <v>✅</v>
      </c>
      <c r="T307" s="429" t="str">
        <f t="array" ref="T307">XLOOKUP(LCARS_Off[AbilityID],RawOfficer[AbilityID],RawOfficer[OfficerSynergy])</f>
        <v>FERENGI CONGLOMERATE</v>
      </c>
      <c r="U307" s="519" t="str">
        <f t="array" ref="U307">XLOOKUP(LCARS_Off[AbilityID],RawOfficer[AbilityID],RawOfficer[AbilityModifier])</f>
        <v>CargoProtection</v>
      </c>
      <c r="V307" s="519" t="str">
        <f t="array" ref="V307">XLOOKUP(LCARS_Off[AbilityID],RawOfficer[AbilityID],RawOfficer[AbilityAttributes])</f>
        <v/>
      </c>
      <c r="W307" s="520" t="str">
        <f t="array" ref="W307">XLOOKUP(LCARS_Off[AbilityID],RawOfficer[AbilityID],RawOfficer[AbilityConditions])</f>
        <v/>
      </c>
      <c r="X307" s="519" t="str">
        <f t="array" ref="X307">XLOOKUP(LCARS_Off[AbilityID],RawOfficer[AbilityID],RawOfficer[AbilityTrigger])</f>
        <v>ShipLaunched</v>
      </c>
      <c r="Y307" s="519" t="str">
        <f t="array" ref="Y307">XLOOKUP(LCARS_Off[AbilityID],RawOfficer[AbilityID],RawOfficer[AbilityTarget])</f>
        <v>SelfShip</v>
      </c>
      <c r="Z307" s="519" t="str">
        <f t="array" ref="Z307">XLOOKUP(LCARS_Off[AbilityID],RawOfficer[AbilityID],RawOfficer[AbilityOperation])</f>
        <v>MultiplySub</v>
      </c>
      <c r="AA307" s="521" t="str">
        <f t="array" ref="AA307">XLOOKUP(LCARS_Off[AbilityID],RawOfficer[AbilityID],RawOfficer[AbilityDescription])</f>
        <v>Reduce protected cargo by X.</v>
      </c>
      <c r="AB307" s="429" t="b">
        <v>0</v>
      </c>
      <c r="AC307" s="522" t="str">
        <f t="array" ref="AC307">XLOOKUP(LCARS_Off[AbilityID],RawOfficer[AbilityID],RawOfficer[AbilityDescriptionShort])</f>
        <v>Reduce protected cargo by X.</v>
      </c>
      <c r="AD307" s="523"/>
      <c r="AE307" s="524"/>
      <c r="AF307" s="524"/>
      <c r="AG307" s="525" t="str">
        <f t="array" ref="AG307">XLOOKUP(LCARS_Off[AbilityID],RawOfficer[AbilityID],RawOfficer[AbilityChances])</f>
        <v>1.0, 1.0, 1.0, 1.0, 1.0</v>
      </c>
      <c r="AH307" s="525" t="str">
        <f t="array" ref="AH307">XLOOKUP(LCARS_Off[AbilityID],RawOfficer[AbilityID],RawOfficer[AbilityValues])</f>
        <v>0.3, 0.25, 0.2, 0.15, 0.1</v>
      </c>
      <c r="AI307" s="428" t="b">
        <f t="array" ref="AI307">XLOOKUP(LCARS_Off[AbilityID],RawOfficer[AbilityID],RawOfficer[AbilityHasChance])</f>
        <v>0</v>
      </c>
      <c r="AJ307" s="428" t="b">
        <f t="array" ref="AJ307">XLOOKUP(LCARS_Off[AbilityID],RawOfficer[AbilityID],RawOfficer[AbilityShowPercentage])</f>
        <v>1</v>
      </c>
      <c r="AK307" s="429">
        <f t="array" ref="AK307">XLOOKUP(LCARS_Off[AbilityID],RawOfficer[AbilityID],RawOfficer[OfficerArt])</f>
        <v>193</v>
      </c>
      <c r="AL307" s="430">
        <v>2.110567361E9</v>
      </c>
      <c r="AM307" s="430">
        <f t="array" ref="AM307">XLOOKUP(LCARS_Off[AbilityID],RawOfficer[AbilityID],RawOfficer[Default Order])</f>
        <v>304</v>
      </c>
    </row>
    <row r="308">
      <c r="A308" s="429" t="str">
        <f t="array" ref="A308">LEFT(XLOOKUP(LCARS_Off[AbilityID],RawOfficer[AbilityID],RawOfficer[OfficerRarity]), 1)</f>
        <v>E</v>
      </c>
      <c r="B308" s="429"/>
      <c r="C308" s="514" t="str">
        <f t="array" ref="C308">HYPERLINK("https://stfc.space/officers/" &amp; XLOOKUP(LCARS_Off[AbilityID],RawOfficer[AbilityID],RawOfficer[OfficerId]), XLOOKUP(LCARS_Off[AbilityID],RawOfficer[AbilityID],RawOfficer[OfficerName]))</f>
        <v>QUARK</v>
      </c>
      <c r="D308" s="515" t="str">
        <f t="array" ref="D308">XLOOKUP(LCARS_Off[AbilityID],RawOfficer[AbilityID],RawOfficer[AbilityType])</f>
        <v>CM</v>
      </c>
      <c r="E308" s="516" t="str">
        <f t="array" ref="E308">XLOOKUP(LCARS_Off[AbilityID],RawOfficer[AbilityID],RawOfficer[Tag_PvPinSpace])</f>
        <v>➖</v>
      </c>
      <c r="F308" s="516" t="str">
        <f t="array" ref="F308">XLOOKUP(LCARS_Off[AbilityID],RawOfficer[AbilityID],RawOfficer[Tag_PvPStation])</f>
        <v>➖</v>
      </c>
      <c r="G308" s="516" t="str">
        <f t="array" ref="G308">XLOOKUP(LCARS_Off[AbilityID],RawOfficer[AbilityID],RawOfficer[Tag_NonArmadaHostiles])</f>
        <v>➖</v>
      </c>
      <c r="H308" s="516" t="str">
        <f t="array" ref="H308">XLOOKUP(LCARS_Off[AbilityID],RawOfficer[AbilityID],RawOfficer[Tag_WaveDefense])</f>
        <v>➖</v>
      </c>
      <c r="I308" s="516" t="str">
        <f t="array" ref="I308">XLOOKUP(LCARS_Off[AbilityID],RawOfficer[AbilityID],RawOfficer[Tag_QTrial])</f>
        <v>➖</v>
      </c>
      <c r="J308" s="516" t="str">
        <f t="array" ref="J308">XLOOKUP(LCARS_Off[AbilityID],RawOfficer[AbilityID],RawOfficer[Tag_MissionBosses])</f>
        <v>➖</v>
      </c>
      <c r="K308" s="516" t="str">
        <f t="array" ref="K308">XLOOKUP(LCARS_Off[AbilityID],RawOfficer[AbilityID],RawOfficer[Tag_GroupArmadas])</f>
        <v>➖</v>
      </c>
      <c r="L308" s="516" t="str">
        <f t="array" ref="L308">XLOOKUP(LCARS_Off[AbilityID],RawOfficer[AbilityID],RawOfficer[Tag_SoloArmadas])</f>
        <v>➖</v>
      </c>
      <c r="M308" s="516" t="str">
        <f t="array" ref="M308">XLOOKUP(LCARS_Off[AbilityID],RawOfficer[AbilityID],RawOfficer[Tag_InvadingEntities])</f>
        <v>➖</v>
      </c>
      <c r="N308" s="516" t="str">
        <f t="array" ref="N308">XLOOKUP(LCARS_Off[AbilityID],RawOfficer[AbilityID],RawOfficer[Tag_Assaults])</f>
        <v>➖</v>
      </c>
      <c r="O308" s="516" t="str">
        <f t="array" ref="O308">XLOOKUP(LCARS_Off[AbilityID],RawOfficer[AbilityID],RawOfficer[Tag_OutpostArmadas])</f>
        <v>➖</v>
      </c>
      <c r="P308" s="516" t="str">
        <f t="array" ref="P308">XLOOKUP(LCARS_Off[AbilityID],RawOfficer[AbilityID],RawOfficer[Tag_OutpostRetaliators])</f>
        <v>➖</v>
      </c>
      <c r="Q308" s="517" t="str">
        <f t="array" ref="Q308">XLOOKUP(LCARS_Off[AbilityID],RawOfficer[AbilityID],RawOfficer[Conditional_Reason])</f>
        <v/>
      </c>
      <c r="R308" s="518" t="str">
        <f t="array" ref="R308">XLOOKUP(LCARS_Off[AbilityID],RawOfficer[AbilityID],RawOfficer[Tag_Loot])</f>
        <v>➖</v>
      </c>
      <c r="S308" s="516" t="str">
        <f t="array" ref="S308">XLOOKUP(LCARS_Off[AbilityID],RawOfficer[AbilityID],RawOfficer[Tag_Utility])</f>
        <v>✅</v>
      </c>
      <c r="T308" s="429" t="str">
        <f t="array" ref="T308">XLOOKUP(LCARS_Off[AbilityID],RawOfficer[AbilityID],RawOfficer[OfficerSynergy])</f>
        <v>FERENGI CONGLOMERATE</v>
      </c>
      <c r="U308" s="519" t="str">
        <f t="array" ref="U308">XLOOKUP(LCARS_Off[AbilityID],RawOfficer[AbilityID],RawOfficer[AbilityModifier])</f>
        <v>CargoProtection</v>
      </c>
      <c r="V308" s="519" t="str">
        <f t="array" ref="V308">XLOOKUP(LCARS_Off[AbilityID],RawOfficer[AbilityID],RawOfficer[AbilityAttributes])</f>
        <v/>
      </c>
      <c r="W308" s="520" t="str">
        <f t="array" ref="W308">XLOOKUP(LCARS_Off[AbilityID],RawOfficer[AbilityID],RawOfficer[AbilityConditions])</f>
        <v/>
      </c>
      <c r="X308" s="519" t="str">
        <f t="array" ref="X308">XLOOKUP(LCARS_Off[AbilityID],RawOfficer[AbilityID],RawOfficer[AbilityTrigger])</f>
        <v>ShipLaunched</v>
      </c>
      <c r="Y308" s="519" t="str">
        <f t="array" ref="Y308">XLOOKUP(LCARS_Off[AbilityID],RawOfficer[AbilityID],RawOfficer[AbilityTarget])</f>
        <v>SelfShip</v>
      </c>
      <c r="Z308" s="519" t="str">
        <f t="array" ref="Z308">XLOOKUP(LCARS_Off[AbilityID],RawOfficer[AbilityID],RawOfficer[AbilityOperation])</f>
        <v>MultiplyAdd</v>
      </c>
      <c r="AA308" s="521" t="str">
        <f t="array" ref="AA308">XLOOKUP(LCARS_Off[AbilityID],RawOfficer[AbilityID],RawOfficer[AbilityDescription])</f>
        <v>Increase protected cargo by X.</v>
      </c>
      <c r="AB308" s="429" t="b">
        <v>0</v>
      </c>
      <c r="AC308" s="522" t="str">
        <f t="array" ref="AC308">XLOOKUP(LCARS_Off[AbilityID],RawOfficer[AbilityID],RawOfficer[AbilityDescriptionShort])</f>
        <v>Increase protected cargo by +X.</v>
      </c>
      <c r="AD308" s="523"/>
      <c r="AE308" s="524"/>
      <c r="AF308" s="524"/>
      <c r="AG308" s="525" t="str">
        <f t="array" ref="AG308">XLOOKUP(LCARS_Off[AbilityID],RawOfficer[AbilityID],RawOfficer[AbilityChances])</f>
        <v>1.0, 1.0, 1.0</v>
      </c>
      <c r="AH308" s="525" t="str">
        <f t="array" ref="AH308">XLOOKUP(LCARS_Off[AbilityID],RawOfficer[AbilityID],RawOfficer[AbilityValues])</f>
        <v>0.9, 0.08, 0.15</v>
      </c>
      <c r="AI308" s="428" t="b">
        <f t="array" ref="AI308">XLOOKUP(LCARS_Off[AbilityID],RawOfficer[AbilityID],RawOfficer[AbilityHasChance])</f>
        <v>0</v>
      </c>
      <c r="AJ308" s="428" t="b">
        <f t="array" ref="AJ308">XLOOKUP(LCARS_Off[AbilityID],RawOfficer[AbilityID],RawOfficer[AbilityShowPercentage])</f>
        <v>1</v>
      </c>
      <c r="AK308" s="429">
        <f t="array" ref="AK308">XLOOKUP(LCARS_Off[AbilityID],RawOfficer[AbilityID],RawOfficer[OfficerArt])</f>
        <v>191</v>
      </c>
      <c r="AL308" s="430">
        <v>3.140201508E9</v>
      </c>
      <c r="AM308" s="430">
        <f t="array" ref="AM308">XLOOKUP(LCARS_Off[AbilityID],RawOfficer[AbilityID],RawOfficer[Default Order])</f>
        <v>305</v>
      </c>
    </row>
    <row r="309">
      <c r="A309" s="429" t="str">
        <f t="array" ref="A309">LEFT(XLOOKUP(LCARS_Off[AbilityID],RawOfficer[AbilityID],RawOfficer[OfficerRarity]), 1)</f>
        <v>E</v>
      </c>
      <c r="B309" s="429"/>
      <c r="C309" s="514" t="str">
        <f t="array" ref="C309">HYPERLINK("https://stfc.space/officers/" &amp; XLOOKUP(LCARS_Off[AbilityID],RawOfficer[AbilityID],RawOfficer[OfficerId]), XLOOKUP(LCARS_Off[AbilityID],RawOfficer[AbilityID],RawOfficer[OfficerName]))</f>
        <v>QUARK</v>
      </c>
      <c r="D309" s="515" t="str">
        <f t="array" ref="D309">XLOOKUP(LCARS_Off[AbilityID],RawOfficer[AbilityID],RawOfficer[AbilityType])</f>
        <v>OA</v>
      </c>
      <c r="E309" s="516" t="str">
        <f t="array" ref="E309">XLOOKUP(LCARS_Off[AbilityID],RawOfficer[AbilityID],RawOfficer[Tag_PvPinSpace])</f>
        <v>➖</v>
      </c>
      <c r="F309" s="516" t="str">
        <f t="array" ref="F309">XLOOKUP(LCARS_Off[AbilityID],RawOfficer[AbilityID],RawOfficer[Tag_PvPStation])</f>
        <v>➖</v>
      </c>
      <c r="G309" s="516" t="str">
        <f t="array" ref="G309">XLOOKUP(LCARS_Off[AbilityID],RawOfficer[AbilityID],RawOfficer[Tag_NonArmadaHostiles])</f>
        <v>➖</v>
      </c>
      <c r="H309" s="516" t="str">
        <f t="array" ref="H309">XLOOKUP(LCARS_Off[AbilityID],RawOfficer[AbilityID],RawOfficer[Tag_WaveDefense])</f>
        <v>➖</v>
      </c>
      <c r="I309" s="516" t="str">
        <f t="array" ref="I309">XLOOKUP(LCARS_Off[AbilityID],RawOfficer[AbilityID],RawOfficer[Tag_QTrial])</f>
        <v>➖</v>
      </c>
      <c r="J309" s="516" t="str">
        <f t="array" ref="J309">XLOOKUP(LCARS_Off[AbilityID],RawOfficer[AbilityID],RawOfficer[Tag_MissionBosses])</f>
        <v>➖</v>
      </c>
      <c r="K309" s="516" t="str">
        <f t="array" ref="K309">XLOOKUP(LCARS_Off[AbilityID],RawOfficer[AbilityID],RawOfficer[Tag_GroupArmadas])</f>
        <v>➖</v>
      </c>
      <c r="L309" s="516" t="str">
        <f t="array" ref="L309">XLOOKUP(LCARS_Off[AbilityID],RawOfficer[AbilityID],RawOfficer[Tag_SoloArmadas])</f>
        <v>➖</v>
      </c>
      <c r="M309" s="516" t="str">
        <f t="array" ref="M309">XLOOKUP(LCARS_Off[AbilityID],RawOfficer[AbilityID],RawOfficer[Tag_InvadingEntities])</f>
        <v>➖</v>
      </c>
      <c r="N309" s="516" t="str">
        <f t="array" ref="N309">XLOOKUP(LCARS_Off[AbilityID],RawOfficer[AbilityID],RawOfficer[Tag_Assaults])</f>
        <v>➖</v>
      </c>
      <c r="O309" s="516" t="str">
        <f t="array" ref="O309">XLOOKUP(LCARS_Off[AbilityID],RawOfficer[AbilityID],RawOfficer[Tag_OutpostArmadas])</f>
        <v>➖</v>
      </c>
      <c r="P309" s="516" t="str">
        <f t="array" ref="P309">XLOOKUP(LCARS_Off[AbilityID],RawOfficer[AbilityID],RawOfficer[Tag_OutpostRetaliators])</f>
        <v>➖</v>
      </c>
      <c r="Q309" s="517" t="str">
        <f t="array" ref="Q309">XLOOKUP(LCARS_Off[AbilityID],RawOfficer[AbilityID],RawOfficer[Conditional_Reason])</f>
        <v/>
      </c>
      <c r="R309" s="518" t="str">
        <f t="array" ref="R309">XLOOKUP(LCARS_Off[AbilityID],RawOfficer[AbilityID],RawOfficer[Tag_Loot])</f>
        <v>➖</v>
      </c>
      <c r="S309" s="516" t="str">
        <f t="array" ref="S309">XLOOKUP(LCARS_Off[AbilityID],RawOfficer[AbilityID],RawOfficer[Tag_Utility])</f>
        <v>✅</v>
      </c>
      <c r="T309" s="429" t="str">
        <f t="array" ref="T309">XLOOKUP(LCARS_Off[AbilityID],RawOfficer[AbilityID],RawOfficer[OfficerSynergy])</f>
        <v>FERENGI CONGLOMERATE</v>
      </c>
      <c r="U309" s="519" t="str">
        <f t="array" ref="U309">XLOOKUP(LCARS_Off[AbilityID],RawOfficer[AbilityID],RawOfficer[AbilityModifier])</f>
        <v>MiningRate</v>
      </c>
      <c r="V309" s="519" t="str">
        <f t="array" ref="V309">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309" s="520" t="str">
        <f t="array" ref="W309">XLOOKUP(LCARS_Off[AbilityID],RawOfficer[AbilityID],RawOfficer[AbilityConditions])</f>
        <v/>
      </c>
      <c r="X309" s="519" t="str">
        <f t="array" ref="X309">XLOOKUP(LCARS_Off[AbilityID],RawOfficer[AbilityID],RawOfficer[AbilityTrigger])</f>
        <v>ShipLaunched</v>
      </c>
      <c r="Y309" s="519" t="str">
        <f t="array" ref="Y309">XLOOKUP(LCARS_Off[AbilityID],RawOfficer[AbilityID],RawOfficer[AbilityTarget])</f>
        <v>SelfShip</v>
      </c>
      <c r="Z309" s="519" t="str">
        <f t="array" ref="Z309">XLOOKUP(LCARS_Off[AbilityID],RawOfficer[AbilityID],RawOfficer[AbilityOperation])</f>
        <v>MultiplyAdd</v>
      </c>
      <c r="AA309" s="521" t="str">
        <f t="array" ref="AA309">XLOOKUP(LCARS_Off[AbilityID],RawOfficer[AbilityID],RawOfficer[AbilityDescription])</f>
        <v>Increase mining speed by X.</v>
      </c>
      <c r="AB309" s="429" t="b">
        <v>0</v>
      </c>
      <c r="AC309" s="522" t="str">
        <f t="array" ref="AC309">XLOOKUP(LCARS_Off[AbilityID],RawOfficer[AbilityID],RawOfficer[AbilityDescriptionShort])</f>
        <v>+X Mining Speed.</v>
      </c>
      <c r="AD309" s="523"/>
      <c r="AE309" s="524"/>
      <c r="AF309" s="524"/>
      <c r="AG309" s="525" t="str">
        <f t="array" ref="AG309">XLOOKUP(LCARS_Off[AbilityID],RawOfficer[AbilityID],RawOfficer[AbilityChances])</f>
        <v>1.0, 1.0, 1.0, 1.0, 1.0</v>
      </c>
      <c r="AH309" s="525" t="str">
        <f t="array" ref="AH309">XLOOKUP(LCARS_Off[AbilityID],RawOfficer[AbilityID],RawOfficer[AbilityValues])</f>
        <v>0.8, 1.0, 1.2, 1.4, 1.6</v>
      </c>
      <c r="AI309" s="428" t="b">
        <f t="array" ref="AI309">XLOOKUP(LCARS_Off[AbilityID],RawOfficer[AbilityID],RawOfficer[AbilityHasChance])</f>
        <v>0</v>
      </c>
      <c r="AJ309" s="428" t="b">
        <f t="array" ref="AJ309">XLOOKUP(LCARS_Off[AbilityID],RawOfficer[AbilityID],RawOfficer[AbilityShowPercentage])</f>
        <v>1</v>
      </c>
      <c r="AK309" s="429">
        <f t="array" ref="AK309">XLOOKUP(LCARS_Off[AbilityID],RawOfficer[AbilityID],RawOfficer[OfficerArt])</f>
        <v>191</v>
      </c>
      <c r="AL309" s="430">
        <v>2.656564852E9</v>
      </c>
      <c r="AM309" s="430">
        <f t="array" ref="AM309">XLOOKUP(LCARS_Off[AbilityID],RawOfficer[AbilityID],RawOfficer[Default Order])</f>
        <v>306</v>
      </c>
    </row>
    <row r="310">
      <c r="A310" s="429" t="str">
        <f t="array" ref="A310">LEFT(XLOOKUP(LCARS_Off[AbilityID],RawOfficer[AbilityID],RawOfficer[OfficerRarity]), 1)</f>
        <v>E</v>
      </c>
      <c r="B310" s="429"/>
      <c r="C310" s="514" t="str">
        <f t="array" ref="C310">HYPERLINK("https://stfc.space/officers/" &amp; XLOOKUP(LCARS_Off[AbilityID],RawOfficer[AbilityID],RawOfficer[OfficerId]), XLOOKUP(LCARS_Off[AbilityID],RawOfficer[AbilityID],RawOfficer[OfficerName]))</f>
        <v>ROM</v>
      </c>
      <c r="D310" s="515" t="str">
        <f t="array" ref="D310">XLOOKUP(LCARS_Off[AbilityID],RawOfficer[AbilityID],RawOfficer[AbilityType])</f>
        <v>CM</v>
      </c>
      <c r="E310" s="516" t="str">
        <f t="array" ref="E310">XLOOKUP(LCARS_Off[AbilityID],RawOfficer[AbilityID],RawOfficer[Tag_PvPinSpace])</f>
        <v>➖</v>
      </c>
      <c r="F310" s="516" t="str">
        <f t="array" ref="F310">XLOOKUP(LCARS_Off[AbilityID],RawOfficer[AbilityID],RawOfficer[Tag_PvPStation])</f>
        <v>✅</v>
      </c>
      <c r="G310" s="516" t="str">
        <f t="array" ref="G310">XLOOKUP(LCARS_Off[AbilityID],RawOfficer[AbilityID],RawOfficer[Tag_NonArmadaHostiles])</f>
        <v>➖</v>
      </c>
      <c r="H310" s="516" t="str">
        <f t="array" ref="H310">XLOOKUP(LCARS_Off[AbilityID],RawOfficer[AbilityID],RawOfficer[Tag_WaveDefense])</f>
        <v>➖</v>
      </c>
      <c r="I310" s="516" t="str">
        <f t="array" ref="I310">XLOOKUP(LCARS_Off[AbilityID],RawOfficer[AbilityID],RawOfficer[Tag_QTrial])</f>
        <v>➖</v>
      </c>
      <c r="J310" s="516" t="str">
        <f t="array" ref="J310">XLOOKUP(LCARS_Off[AbilityID],RawOfficer[AbilityID],RawOfficer[Tag_MissionBosses])</f>
        <v>➖</v>
      </c>
      <c r="K310" s="516" t="str">
        <f t="array" ref="K310">XLOOKUP(LCARS_Off[AbilityID],RawOfficer[AbilityID],RawOfficer[Tag_GroupArmadas])</f>
        <v>➖</v>
      </c>
      <c r="L310" s="516" t="str">
        <f t="array" ref="L310">XLOOKUP(LCARS_Off[AbilityID],RawOfficer[AbilityID],RawOfficer[Tag_SoloArmadas])</f>
        <v>➖</v>
      </c>
      <c r="M310" s="516" t="str">
        <f t="array" ref="M310">XLOOKUP(LCARS_Off[AbilityID],RawOfficer[AbilityID],RawOfficer[Tag_InvadingEntities])</f>
        <v>➖</v>
      </c>
      <c r="N310" s="516" t="str">
        <f t="array" ref="N310">XLOOKUP(LCARS_Off[AbilityID],RawOfficer[AbilityID],RawOfficer[Tag_Assaults])</f>
        <v>➖</v>
      </c>
      <c r="O310" s="516" t="str">
        <f t="array" ref="O310">XLOOKUP(LCARS_Off[AbilityID],RawOfficer[AbilityID],RawOfficer[Tag_OutpostArmadas])</f>
        <v>➖</v>
      </c>
      <c r="P310" s="516" t="str">
        <f t="array" ref="P310">XLOOKUP(LCARS_Off[AbilityID],RawOfficer[AbilityID],RawOfficer[Tag_OutpostRetaliators])</f>
        <v>➖</v>
      </c>
      <c r="Q310" s="517" t="str">
        <f t="array" ref="Q310">XLOOKUP(LCARS_Off[AbilityID],RawOfficer[AbilityID],RawOfficer[Conditional_Reason])</f>
        <v/>
      </c>
      <c r="R310" s="518" t="str">
        <f t="array" ref="R310">XLOOKUP(LCARS_Off[AbilityID],RawOfficer[AbilityID],RawOfficer[Tag_Loot])</f>
        <v>➖</v>
      </c>
      <c r="S310" s="516" t="str">
        <f t="array" ref="S310">XLOOKUP(LCARS_Off[AbilityID],RawOfficer[AbilityID],RawOfficer[Tag_Utility])</f>
        <v>➖</v>
      </c>
      <c r="T310" s="429" t="str">
        <f t="array" ref="T310">XLOOKUP(LCARS_Off[AbilityID],RawOfficer[AbilityID],RawOfficer[OfficerSynergy])</f>
        <v>FERENGI CONGLOMERATE</v>
      </c>
      <c r="U310" s="519" t="str">
        <f t="array" ref="U310">XLOOKUP(LCARS_Off[AbilityID],RawOfficer[AbilityID],RawOfficer[AbilityModifier])</f>
        <v>AllLoadSpeed</v>
      </c>
      <c r="V310" s="519" t="str">
        <f t="array" ref="V310">XLOOKUP(LCARS_Off[AbilityID],RawOfficer[AbilityID],RawOfficer[AbilityAttributes])</f>
        <v/>
      </c>
      <c r="W310" s="520" t="str">
        <f t="array" ref="W310">XLOOKUP(LCARS_Off[AbilityID],RawOfficer[AbilityID],RawOfficer[AbilityConditions])</f>
        <v>EnemySentinel, TargetNotASB, SelfAttacking</v>
      </c>
      <c r="X310" s="519" t="str">
        <f t="array" ref="X310">XLOOKUP(LCARS_Off[AbilityID],RawOfficer[AbilityID],RawOfficer[AbilityTrigger])</f>
        <v>CombatStart</v>
      </c>
      <c r="Y310" s="519" t="str">
        <f t="array" ref="Y310">XLOOKUP(LCARS_Off[AbilityID],RawOfficer[AbilityID],RawOfficer[AbilityTarget])</f>
        <v>EnemyAllShips</v>
      </c>
      <c r="Z310" s="519" t="str">
        <f t="array" ref="Z310">XLOOKUP(LCARS_Off[AbilityID],RawOfficer[AbilityID],RawOfficer[AbilityOperation])</f>
        <v>Add</v>
      </c>
      <c r="AA310" s="521" t="str">
        <f t="array" ref="AA310">XLOOKUP(LCARS_Off[AbilityID],RawOfficer[AbilityID],RawOfficer[AbilityDescription])</f>
        <v>When attacking a station, Rom delays opponent ship and defense platform Weapon Fire for X round. -- This ability does not gain synergy group benefits.</v>
      </c>
      <c r="AB310" s="429" t="b">
        <v>0</v>
      </c>
      <c r="AC310" s="522" t="str">
        <f t="array" ref="AC310">XLOOKUP(LCARS_Off[AbilityID],RawOfficer[AbilityID],RawOfficer[AbilityDescriptionShort])</f>
        <v>Delay opponent's fire by X round when attacking a station.</v>
      </c>
      <c r="AD310" s="523"/>
      <c r="AE310" s="524"/>
      <c r="AF310" s="524"/>
      <c r="AG310" s="525" t="str">
        <f t="array" ref="AG310">XLOOKUP(LCARS_Off[AbilityID],RawOfficer[AbilityID],RawOfficer[AbilityChances])</f>
        <v>1.0, 1.0, 1.0</v>
      </c>
      <c r="AH310" s="525" t="str">
        <f t="array" ref="AH310">XLOOKUP(LCARS_Off[AbilityID],RawOfficer[AbilityID],RawOfficer[AbilityValues])</f>
        <v>1.0, 0.0, 0.0</v>
      </c>
      <c r="AI310" s="428" t="b">
        <f t="array" ref="AI310">XLOOKUP(LCARS_Off[AbilityID],RawOfficer[AbilityID],RawOfficer[AbilityHasChance])</f>
        <v>0</v>
      </c>
      <c r="AJ310" s="428" t="b">
        <f t="array" ref="AJ310">XLOOKUP(LCARS_Off[AbilityID],RawOfficer[AbilityID],RawOfficer[AbilityShowPercentage])</f>
        <v>1</v>
      </c>
      <c r="AK310" s="429">
        <f t="array" ref="AK310">XLOOKUP(LCARS_Off[AbilityID],RawOfficer[AbilityID],RawOfficer[OfficerArt])</f>
        <v>194</v>
      </c>
      <c r="AL310" s="430">
        <v>3.54611297E9</v>
      </c>
      <c r="AM310" s="430">
        <f t="array" ref="AM310">XLOOKUP(LCARS_Off[AbilityID],RawOfficer[AbilityID],RawOfficer[Default Order])</f>
        <v>307</v>
      </c>
    </row>
    <row r="311">
      <c r="A311" s="429" t="str">
        <f t="array" ref="A311">LEFT(XLOOKUP(LCARS_Off[AbilityID],RawOfficer[AbilityID],RawOfficer[OfficerRarity]), 1)</f>
        <v>E</v>
      </c>
      <c r="B311" s="429"/>
      <c r="C311" s="514" t="str">
        <f t="array" ref="C311">HYPERLINK("https://stfc.space/officers/" &amp; XLOOKUP(LCARS_Off[AbilityID],RawOfficer[AbilityID],RawOfficer[OfficerId]), XLOOKUP(LCARS_Off[AbilityID],RawOfficer[AbilityID],RawOfficer[OfficerName]))</f>
        <v>ROM</v>
      </c>
      <c r="D311" s="515" t="str">
        <f t="array" ref="D311">XLOOKUP(LCARS_Off[AbilityID],RawOfficer[AbilityID],RawOfficer[AbilityType])</f>
        <v>OA</v>
      </c>
      <c r="E311" s="516" t="str">
        <f t="array" ref="E311">XLOOKUP(LCARS_Off[AbilityID],RawOfficer[AbilityID],RawOfficer[Tag_PvPinSpace])</f>
        <v>➖</v>
      </c>
      <c r="F311" s="516" t="str">
        <f t="array" ref="F311">XLOOKUP(LCARS_Off[AbilityID],RawOfficer[AbilityID],RawOfficer[Tag_PvPStation])</f>
        <v>✅</v>
      </c>
      <c r="G311" s="516" t="str">
        <f t="array" ref="G311">XLOOKUP(LCARS_Off[AbilityID],RawOfficer[AbilityID],RawOfficer[Tag_NonArmadaHostiles])</f>
        <v>➖</v>
      </c>
      <c r="H311" s="516" t="str">
        <f t="array" ref="H311">XLOOKUP(LCARS_Off[AbilityID],RawOfficer[AbilityID],RawOfficer[Tag_WaveDefense])</f>
        <v>➖</v>
      </c>
      <c r="I311" s="516" t="str">
        <f t="array" ref="I311">XLOOKUP(LCARS_Off[AbilityID],RawOfficer[AbilityID],RawOfficer[Tag_QTrial])</f>
        <v>➖</v>
      </c>
      <c r="J311" s="516" t="str">
        <f t="array" ref="J311">XLOOKUP(LCARS_Off[AbilityID],RawOfficer[AbilityID],RawOfficer[Tag_MissionBosses])</f>
        <v>➖</v>
      </c>
      <c r="K311" s="516" t="str">
        <f t="array" ref="K311">XLOOKUP(LCARS_Off[AbilityID],RawOfficer[AbilityID],RawOfficer[Tag_GroupArmadas])</f>
        <v>➖</v>
      </c>
      <c r="L311" s="516" t="str">
        <f t="array" ref="L311">XLOOKUP(LCARS_Off[AbilityID],RawOfficer[AbilityID],RawOfficer[Tag_SoloArmadas])</f>
        <v>➖</v>
      </c>
      <c r="M311" s="516" t="str">
        <f t="array" ref="M311">XLOOKUP(LCARS_Off[AbilityID],RawOfficer[AbilityID],RawOfficer[Tag_InvadingEntities])</f>
        <v>➖</v>
      </c>
      <c r="N311" s="516" t="str">
        <f t="array" ref="N311">XLOOKUP(LCARS_Off[AbilityID],RawOfficer[AbilityID],RawOfficer[Tag_Assaults])</f>
        <v>➖</v>
      </c>
      <c r="O311" s="516" t="str">
        <f t="array" ref="O311">XLOOKUP(LCARS_Off[AbilityID],RawOfficer[AbilityID],RawOfficer[Tag_OutpostArmadas])</f>
        <v>➖</v>
      </c>
      <c r="P311" s="516" t="str">
        <f t="array" ref="P311">XLOOKUP(LCARS_Off[AbilityID],RawOfficer[AbilityID],RawOfficer[Tag_OutpostRetaliators])</f>
        <v>➖</v>
      </c>
      <c r="Q311" s="517" t="str">
        <f t="array" ref="Q311">XLOOKUP(LCARS_Off[AbilityID],RawOfficer[AbilityID],RawOfficer[Conditional_Reason])</f>
        <v/>
      </c>
      <c r="R311" s="518" t="str">
        <f t="array" ref="R311">XLOOKUP(LCARS_Off[AbilityID],RawOfficer[AbilityID],RawOfficer[Tag_Loot])</f>
        <v>➖</v>
      </c>
      <c r="S311" s="516" t="str">
        <f t="array" ref="S311">XLOOKUP(LCARS_Off[AbilityID],RawOfficer[AbilityID],RawOfficer[Tag_Utility])</f>
        <v>➖</v>
      </c>
      <c r="T311" s="429" t="str">
        <f t="array" ref="T311">XLOOKUP(LCARS_Off[AbilityID],RawOfficer[AbilityID],RawOfficer[OfficerSynergy])</f>
        <v>FERENGI CONGLOMERATE</v>
      </c>
      <c r="U311" s="519" t="str">
        <f t="array" ref="U311">XLOOKUP(LCARS_Off[AbilityID],RawOfficer[AbilityID],RawOfficer[AbilityModifier])</f>
        <v>ShotsPerAttack</v>
      </c>
      <c r="V311" s="519" t="str">
        <f t="array" ref="V311">XLOOKUP(LCARS_Off[AbilityID],RawOfficer[AbilityID],RawOfficer[AbilityAttributes])</f>
        <v/>
      </c>
      <c r="W311" s="520" t="str">
        <f t="array" ref="W311">XLOOKUP(LCARS_Off[AbilityID],RawOfficer[AbilityID],RawOfficer[AbilityConditions])</f>
        <v>EnemySentinel, TargetNotASB, SelfAttacking</v>
      </c>
      <c r="X311" s="519" t="str">
        <f t="array" ref="X311">XLOOKUP(LCARS_Off[AbilityID],RawOfficer[AbilityID],RawOfficer[AbilityTrigger])</f>
        <v>CombatStart</v>
      </c>
      <c r="Y311" s="519" t="str">
        <f t="array" ref="Y311">XLOOKUP(LCARS_Off[AbilityID],RawOfficer[AbilityID],RawOfficer[AbilityTarget])</f>
        <v>SelfShip</v>
      </c>
      <c r="Z311" s="519" t="str">
        <f t="array" ref="Z311">XLOOKUP(LCARS_Off[AbilityID],RawOfficer[AbilityID],RawOfficer[AbilityOperation])</f>
        <v>MultiplyAdd</v>
      </c>
      <c r="AA311" s="521" t="str">
        <f t="array" ref="AA311">XLOOKUP(LCARS_Off[AbilityID],RawOfficer[AbilityID],RawOfficer[AbilityDescription])</f>
        <v>When attacking a station, Rom increases the number of shots of the ship's weapons by X.</v>
      </c>
      <c r="AB311" s="429" t="b">
        <v>0</v>
      </c>
      <c r="AC311" s="522" t="str">
        <f t="array" ref="AC311">XLOOKUP(LCARS_Off[AbilityID],RawOfficer[AbilityID],RawOfficer[AbilityDescriptionShort])</f>
        <v>+X shots when attacking a station.</v>
      </c>
      <c r="AD311" s="523"/>
      <c r="AE311" s="524"/>
      <c r="AF311" s="524"/>
      <c r="AG311" s="525" t="str">
        <f t="array" ref="AG311">XLOOKUP(LCARS_Off[AbilityID],RawOfficer[AbilityID],RawOfficer[AbilityChances])</f>
        <v>1.0, 1.0, 1.0, 1.0, 1.0</v>
      </c>
      <c r="AH311" s="525" t="str">
        <f t="array" ref="AH311">XLOOKUP(LCARS_Off[AbilityID],RawOfficer[AbilityID],RawOfficer[AbilityValues])</f>
        <v>0.5, 0.7, 0.9, 1.2, 1.5</v>
      </c>
      <c r="AI311" s="428" t="b">
        <f t="array" ref="AI311">XLOOKUP(LCARS_Off[AbilityID],RawOfficer[AbilityID],RawOfficer[AbilityHasChance])</f>
        <v>0</v>
      </c>
      <c r="AJ311" s="428" t="b">
        <f t="array" ref="AJ311">XLOOKUP(LCARS_Off[AbilityID],RawOfficer[AbilityID],RawOfficer[AbilityShowPercentage])</f>
        <v>1</v>
      </c>
      <c r="AK311" s="429">
        <f t="array" ref="AK311">XLOOKUP(LCARS_Off[AbilityID],RawOfficer[AbilityID],RawOfficer[OfficerArt])</f>
        <v>194</v>
      </c>
      <c r="AL311" s="430">
        <v>4.79594847E8</v>
      </c>
      <c r="AM311" s="430">
        <f t="array" ref="AM311">XLOOKUP(LCARS_Off[AbilityID],RawOfficer[AbilityID],RawOfficer[Default Order])</f>
        <v>308</v>
      </c>
    </row>
    <row r="312">
      <c r="A312" s="429" t="str">
        <f t="array" ref="A312">LEFT(XLOOKUP(LCARS_Off[AbilityID],RawOfficer[AbilityID],RawOfficer[OfficerRarity]), 1)</f>
        <v>R</v>
      </c>
      <c r="B312" s="429"/>
      <c r="C312" s="514" t="str">
        <f t="array" ref="C312">HYPERLINK("https://stfc.space/officers/" &amp; XLOOKUP(LCARS_Off[AbilityID],RawOfficer[AbilityID],RawOfficer[OfficerId]), XLOOKUP(LCARS_Off[AbilityID],RawOfficer[AbilityID],RawOfficer[OfficerName]))</f>
        <v>CATH</v>
      </c>
      <c r="D312" s="515" t="str">
        <f t="array" ref="D312">XLOOKUP(LCARS_Off[AbilityID],RawOfficer[AbilityID],RawOfficer[AbilityType])</f>
        <v>CM</v>
      </c>
      <c r="E312" s="516" t="str">
        <f t="array" ref="E312">XLOOKUP(LCARS_Off[AbilityID],RawOfficer[AbilityID],RawOfficer[Tag_PvPinSpace])</f>
        <v>➖</v>
      </c>
      <c r="F312" s="516" t="str">
        <f t="array" ref="F312">XLOOKUP(LCARS_Off[AbilityID],RawOfficer[AbilityID],RawOfficer[Tag_PvPStation])</f>
        <v>➖</v>
      </c>
      <c r="G312" s="516" t="str">
        <f t="array" ref="G312">XLOOKUP(LCARS_Off[AbilityID],RawOfficer[AbilityID],RawOfficer[Tag_NonArmadaHostiles])</f>
        <v>➖</v>
      </c>
      <c r="H312" s="516" t="str">
        <f t="array" ref="H312">XLOOKUP(LCARS_Off[AbilityID],RawOfficer[AbilityID],RawOfficer[Tag_WaveDefense])</f>
        <v>➖</v>
      </c>
      <c r="I312" s="516" t="str">
        <f t="array" ref="I312">XLOOKUP(LCARS_Off[AbilityID],RawOfficer[AbilityID],RawOfficer[Tag_QTrial])</f>
        <v>➖</v>
      </c>
      <c r="J312" s="516" t="str">
        <f t="array" ref="J312">XLOOKUP(LCARS_Off[AbilityID],RawOfficer[AbilityID],RawOfficer[Tag_MissionBosses])</f>
        <v>➖</v>
      </c>
      <c r="K312" s="516" t="str">
        <f t="array" ref="K312">XLOOKUP(LCARS_Off[AbilityID],RawOfficer[AbilityID],RawOfficer[Tag_GroupArmadas])</f>
        <v>➖</v>
      </c>
      <c r="L312" s="516" t="str">
        <f t="array" ref="L312">XLOOKUP(LCARS_Off[AbilityID],RawOfficer[AbilityID],RawOfficer[Tag_SoloArmadas])</f>
        <v>➖</v>
      </c>
      <c r="M312" s="516" t="str">
        <f t="array" ref="M312">XLOOKUP(LCARS_Off[AbilityID],RawOfficer[AbilityID],RawOfficer[Tag_InvadingEntities])</f>
        <v>➖</v>
      </c>
      <c r="N312" s="516" t="str">
        <f t="array" ref="N312">XLOOKUP(LCARS_Off[AbilityID],RawOfficer[AbilityID],RawOfficer[Tag_Assaults])</f>
        <v>➖</v>
      </c>
      <c r="O312" s="516" t="str">
        <f t="array" ref="O312">XLOOKUP(LCARS_Off[AbilityID],RawOfficer[AbilityID],RawOfficer[Tag_OutpostArmadas])</f>
        <v>➖</v>
      </c>
      <c r="P312" s="516" t="str">
        <f t="array" ref="P312">XLOOKUP(LCARS_Off[AbilityID],RawOfficer[AbilityID],RawOfficer[Tag_OutpostRetaliators])</f>
        <v>➖</v>
      </c>
      <c r="Q312" s="517" t="str">
        <f t="array" ref="Q312">XLOOKUP(LCARS_Off[AbilityID],RawOfficer[AbilityID],RawOfficer[Conditional_Reason])</f>
        <v/>
      </c>
      <c r="R312" s="518" t="str">
        <f t="array" ref="R312">XLOOKUP(LCARS_Off[AbilityID],RawOfficer[AbilityID],RawOfficer[Tag_Loot])</f>
        <v>➖</v>
      </c>
      <c r="S312" s="516" t="str">
        <f t="array" ref="S312">XLOOKUP(LCARS_Off[AbilityID],RawOfficer[AbilityID],RawOfficer[Tag_Utility])</f>
        <v>✅</v>
      </c>
      <c r="T312" s="429" t="str">
        <f t="array" ref="T312">XLOOKUP(LCARS_Off[AbilityID],RawOfficer[AbilityID],RawOfficer[OfficerSynergy])</f>
        <v>FERENGI CONGLOMERATE</v>
      </c>
      <c r="U312" s="519" t="str">
        <f t="array" ref="U312">XLOOKUP(LCARS_Off[AbilityID],RawOfficer[AbilityID],RawOfficer[AbilityModifier])</f>
        <v>RepairCostsPost</v>
      </c>
      <c r="V312" s="519" t="str">
        <f t="array" ref="V312">XLOOKUP(LCARS_Off[AbilityID],RawOfficer[AbilityID],RawOfficer[AbilityAttributes])</f>
        <v/>
      </c>
      <c r="W312" s="520" t="str">
        <f t="array" ref="W312">XLOOKUP(LCARS_Off[AbilityID],RawOfficer[AbilityID],RawOfficer[AbilityConditions])</f>
        <v/>
      </c>
      <c r="X312" s="519" t="str">
        <f t="array" ref="X312">XLOOKUP(LCARS_Off[AbilityID],RawOfficer[AbilityID],RawOfficer[AbilityTrigger])</f>
        <v>ShipLaunched</v>
      </c>
      <c r="Y312" s="519" t="str">
        <f t="array" ref="Y312">XLOOKUP(LCARS_Off[AbilityID],RawOfficer[AbilityID],RawOfficer[AbilityTarget])</f>
        <v>SelfShip</v>
      </c>
      <c r="Z312" s="519" t="str">
        <f t="array" ref="Z312">XLOOKUP(LCARS_Off[AbilityID],RawOfficer[AbilityID],RawOfficer[AbilityOperation])</f>
        <v>MultiplyAdd</v>
      </c>
      <c r="AA312" s="521" t="str">
        <f t="array" ref="AA312">XLOOKUP(LCARS_Off[AbilityID],RawOfficer[AbilityID],RawOfficer[AbilityDescription])</f>
        <v>Cath increases the Repair Cost Efficiency of the ship by X. -- This ability is applied after all other bonuses from research and/or your station and stacked on top.</v>
      </c>
      <c r="AB312" s="429" t="b">
        <v>0</v>
      </c>
      <c r="AC312" s="522" t="str">
        <f t="array" ref="AC312">XLOOKUP(LCARS_Off[AbilityID],RawOfficer[AbilityID],RawOfficer[AbilityDescriptionShort])</f>
        <v>+X to Repair Cost Efficiency</v>
      </c>
      <c r="AD312" s="523"/>
      <c r="AE312" s="524"/>
      <c r="AF312" s="524"/>
      <c r="AG312" s="525" t="str">
        <f t="array" ref="AG312">XLOOKUP(LCARS_Off[AbilityID],RawOfficer[AbilityID],RawOfficer[AbilityChances])</f>
        <v>1.0, 1.0, 1.0</v>
      </c>
      <c r="AH312" s="525" t="str">
        <f t="array" ref="AH312">XLOOKUP(LCARS_Off[AbilityID],RawOfficer[AbilityID],RawOfficer[AbilityValues])</f>
        <v>0.4, 0.05, 0.1</v>
      </c>
      <c r="AI312" s="428" t="b">
        <f t="array" ref="AI312">XLOOKUP(LCARS_Off[AbilityID],RawOfficer[AbilityID],RawOfficer[AbilityHasChance])</f>
        <v>0</v>
      </c>
      <c r="AJ312" s="428" t="b">
        <f t="array" ref="AJ312">XLOOKUP(LCARS_Off[AbilityID],RawOfficer[AbilityID],RawOfficer[AbilityShowPercentage])</f>
        <v>1</v>
      </c>
      <c r="AK312" s="429">
        <f t="array" ref="AK312">XLOOKUP(LCARS_Off[AbilityID],RawOfficer[AbilityID],RawOfficer[OfficerArt])</f>
        <v>195</v>
      </c>
      <c r="AL312" s="430">
        <v>1.100318825E9</v>
      </c>
      <c r="AM312" s="430">
        <f t="array" ref="AM312">XLOOKUP(LCARS_Off[AbilityID],RawOfficer[AbilityID],RawOfficer[Default Order])</f>
        <v>309</v>
      </c>
    </row>
    <row r="313">
      <c r="A313" s="429" t="str">
        <f t="array" ref="A313">LEFT(XLOOKUP(LCARS_Off[AbilityID],RawOfficer[AbilityID],RawOfficer[OfficerRarity]), 1)</f>
        <v>R</v>
      </c>
      <c r="B313" s="429"/>
      <c r="C313" s="514" t="str">
        <f t="array" ref="C313">HYPERLINK("https://stfc.space/officers/" &amp; XLOOKUP(LCARS_Off[AbilityID],RawOfficer[AbilityID],RawOfficer[OfficerId]), XLOOKUP(LCARS_Off[AbilityID],RawOfficer[AbilityID],RawOfficer[OfficerName]))</f>
        <v>CATH</v>
      </c>
      <c r="D313" s="515" t="str">
        <f t="array" ref="D313">XLOOKUP(LCARS_Off[AbilityID],RawOfficer[AbilityID],RawOfficer[AbilityType])</f>
        <v>OA</v>
      </c>
      <c r="E313" s="516" t="str">
        <f t="array" ref="E313">XLOOKUP(LCARS_Off[AbilityID],RawOfficer[AbilityID],RawOfficer[Tag_PvPinSpace])</f>
        <v>➖</v>
      </c>
      <c r="F313" s="516" t="str">
        <f t="array" ref="F313">XLOOKUP(LCARS_Off[AbilityID],RawOfficer[AbilityID],RawOfficer[Tag_PvPStation])</f>
        <v>➖</v>
      </c>
      <c r="G313" s="516" t="str">
        <f t="array" ref="G313">XLOOKUP(LCARS_Off[AbilityID],RawOfficer[AbilityID],RawOfficer[Tag_NonArmadaHostiles])</f>
        <v>✴️</v>
      </c>
      <c r="H313" s="516" t="str">
        <f t="array" ref="H313">XLOOKUP(LCARS_Off[AbilityID],RawOfficer[AbilityID],RawOfficer[Tag_WaveDefense])</f>
        <v>✴️</v>
      </c>
      <c r="I313" s="516" t="str">
        <f t="array" ref="I313">XLOOKUP(LCARS_Off[AbilityID],RawOfficer[AbilityID],RawOfficer[Tag_QTrial])</f>
        <v>✴️</v>
      </c>
      <c r="J313" s="516" t="str">
        <f t="array" ref="J313">XLOOKUP(LCARS_Off[AbilityID],RawOfficer[AbilityID],RawOfficer[Tag_MissionBosses])</f>
        <v>➖</v>
      </c>
      <c r="K313" s="516" t="str">
        <f t="array" ref="K313">XLOOKUP(LCARS_Off[AbilityID],RawOfficer[AbilityID],RawOfficer[Tag_GroupArmadas])</f>
        <v>➖</v>
      </c>
      <c r="L313" s="516" t="str">
        <f t="array" ref="L313">XLOOKUP(LCARS_Off[AbilityID],RawOfficer[AbilityID],RawOfficer[Tag_SoloArmadas])</f>
        <v>➖</v>
      </c>
      <c r="M313" s="516" t="str">
        <f t="array" ref="M313">XLOOKUP(LCARS_Off[AbilityID],RawOfficer[AbilityID],RawOfficer[Tag_InvadingEntities])</f>
        <v>➖</v>
      </c>
      <c r="N313" s="516" t="str">
        <f t="array" ref="N313">XLOOKUP(LCARS_Off[AbilityID],RawOfficer[AbilityID],RawOfficer[Tag_Assaults])</f>
        <v>➖</v>
      </c>
      <c r="O313" s="516" t="str">
        <f t="array" ref="O313">XLOOKUP(LCARS_Off[AbilityID],RawOfficer[AbilityID],RawOfficer[Tag_OutpostArmadas])</f>
        <v>➖</v>
      </c>
      <c r="P313" s="516" t="str">
        <f t="array" ref="P313">XLOOKUP(LCARS_Off[AbilityID],RawOfficer[AbilityID],RawOfficer[Tag_OutpostRetaliators])</f>
        <v>➖</v>
      </c>
      <c r="Q313" s="517" t="str">
        <f t="array" ref="Q313">XLOOKUP(LCARS_Off[AbilityID],RawOfficer[AbilityID],RawOfficer[Conditional_Reason])</f>
        <v>TargetMaxLevel, ModuleKinetic</v>
      </c>
      <c r="R313" s="518" t="str">
        <f t="array" ref="R313">XLOOKUP(LCARS_Off[AbilityID],RawOfficer[AbilityID],RawOfficer[Tag_Loot])</f>
        <v>➖</v>
      </c>
      <c r="S313" s="516" t="str">
        <f t="array" ref="S313">XLOOKUP(LCARS_Off[AbilityID],RawOfficer[AbilityID],RawOfficer[Tag_Utility])</f>
        <v>➖</v>
      </c>
      <c r="T313" s="429" t="str">
        <f t="array" ref="T313">XLOOKUP(LCARS_Off[AbilityID],RawOfficer[AbilityID],RawOfficer[OfficerSynergy])</f>
        <v>FERENGI CONGLOMERATE</v>
      </c>
      <c r="U313" s="519" t="str">
        <f t="array" ref="U313">XLOOKUP(LCARS_Off[AbilityID],RawOfficer[AbilityID],RawOfficer[AbilityModifier])</f>
        <v>AllDamage</v>
      </c>
      <c r="V313" s="519" t="str">
        <f t="array" ref="V313">XLOOKUP(LCARS_Off[AbilityID],RawOfficer[AbilityID],RawOfficer[AbilityAttributes])</f>
        <v>max_level=51</v>
      </c>
      <c r="W313" s="520" t="str">
        <f t="array" ref="W313">XLOOKUP(LCARS_Off[AbilityID],RawOfficer[AbilityID],RawOfficer[AbilityConditions])</f>
        <v>ModuleKinetic, TargetMaxLevel, EnemyHostile, TargetNotArmada</v>
      </c>
      <c r="X313" s="519" t="str">
        <f t="array" ref="X313">XLOOKUP(LCARS_Off[AbilityID],RawOfficer[AbilityID],RawOfficer[AbilityTrigger])</f>
        <v>CombatStart</v>
      </c>
      <c r="Y313" s="519" t="str">
        <f t="array" ref="Y313">XLOOKUP(LCARS_Off[AbilityID],RawOfficer[AbilityID],RawOfficer[AbilityTarget])</f>
        <v>EnemyShip</v>
      </c>
      <c r="Z313" s="519" t="str">
        <f t="array" ref="Z313">XLOOKUP(LCARS_Off[AbilityID],RawOfficer[AbilityID],RawOfficer[AbilityOperation])</f>
        <v>MultiplySub</v>
      </c>
      <c r="AA313" s="521" t="str">
        <f t="array" ref="AA313">XLOOKUP(LCARS_Off[AbilityID],RawOfficer[AbilityID],RawOfficer[AbilityDescription])</f>
        <v>If the opponent is a Hostile, Cath decreases the Damage done by its Kinetic Weapons by X. Works against Hostiles of level 51 and under.</v>
      </c>
      <c r="AB313" s="429" t="b">
        <v>0</v>
      </c>
      <c r="AC313" s="522" t="str">
        <f t="array" ref="AC313">XLOOKUP(LCARS_Off[AbilityID],RawOfficer[AbilityID],RawOfficer[AbilityDescriptionShort])</f>
        <v>-X to Kinetic Damage dealt by enemy Hostiles</v>
      </c>
      <c r="AD313" s="523"/>
      <c r="AE313" s="524"/>
      <c r="AF313" s="524"/>
      <c r="AG313" s="525" t="str">
        <f t="array" ref="AG313">XLOOKUP(LCARS_Off[AbilityID],RawOfficer[AbilityID],RawOfficer[AbilityChances])</f>
        <v>1.0, 1.0, 1.0, 1.0, 1.0</v>
      </c>
      <c r="AH313" s="525" t="str">
        <f t="array" ref="AH313">XLOOKUP(LCARS_Off[AbilityID],RawOfficer[AbilityID],RawOfficer[AbilityValues])</f>
        <v>0.12, 0.15, 0.18, 0.21, 0.25</v>
      </c>
      <c r="AI313" s="428" t="b">
        <f t="array" ref="AI313">XLOOKUP(LCARS_Off[AbilityID],RawOfficer[AbilityID],RawOfficer[AbilityHasChance])</f>
        <v>0</v>
      </c>
      <c r="AJ313" s="428" t="b">
        <f t="array" ref="AJ313">XLOOKUP(LCARS_Off[AbilityID],RawOfficer[AbilityID],RawOfficer[AbilityShowPercentage])</f>
        <v>1</v>
      </c>
      <c r="AK313" s="429">
        <f t="array" ref="AK313">XLOOKUP(LCARS_Off[AbilityID],RawOfficer[AbilityID],RawOfficer[OfficerArt])</f>
        <v>195</v>
      </c>
      <c r="AL313" s="430">
        <v>1.250096698E9</v>
      </c>
      <c r="AM313" s="430">
        <f t="array" ref="AM313">XLOOKUP(LCARS_Off[AbilityID],RawOfficer[AbilityID],RawOfficer[Default Order])</f>
        <v>310</v>
      </c>
    </row>
    <row r="314">
      <c r="A314" s="429" t="str">
        <f t="array" ref="A314">LEFT(XLOOKUP(LCARS_Off[AbilityID],RawOfficer[AbilityID],RawOfficer[OfficerRarity]), 1)</f>
        <v>E</v>
      </c>
      <c r="B314" s="429"/>
      <c r="C314" s="514" t="str">
        <f t="array" ref="C314">HYPERLINK("https://stfc.space/officers/" &amp; XLOOKUP(LCARS_Off[AbilityID],RawOfficer[AbilityID],RawOfficer[OfficerId]), XLOOKUP(LCARS_Off[AbilityID],RawOfficer[AbilityID],RawOfficer[OfficerName]))</f>
        <v>BECKETT MARINER</v>
      </c>
      <c r="D314" s="515" t="str">
        <f t="array" ref="D314">XLOOKUP(LCARS_Off[AbilityID],RawOfficer[AbilityID],RawOfficer[AbilityType])</f>
        <v>OA</v>
      </c>
      <c r="E314" s="516" t="str">
        <f t="array" ref="E314">XLOOKUP(LCARS_Off[AbilityID],RawOfficer[AbilityID],RawOfficer[Tag_PvPinSpace])</f>
        <v>✅</v>
      </c>
      <c r="F314" s="516" t="str">
        <f t="array" ref="F314">XLOOKUP(LCARS_Off[AbilityID],RawOfficer[AbilityID],RawOfficer[Tag_PvPStation])</f>
        <v>✅</v>
      </c>
      <c r="G314" s="516" t="str">
        <f t="array" ref="G314">XLOOKUP(LCARS_Off[AbilityID],RawOfficer[AbilityID],RawOfficer[Tag_NonArmadaHostiles])</f>
        <v>✅</v>
      </c>
      <c r="H314" s="516" t="str">
        <f t="array" ref="H314">XLOOKUP(LCARS_Off[AbilityID],RawOfficer[AbilityID],RawOfficer[Tag_WaveDefense])</f>
        <v>✅</v>
      </c>
      <c r="I314" s="516" t="str">
        <f t="array" ref="I314">XLOOKUP(LCARS_Off[AbilityID],RawOfficer[AbilityID],RawOfficer[Tag_QTrial])</f>
        <v>✅</v>
      </c>
      <c r="J314" s="516" t="str">
        <f t="array" ref="J314">XLOOKUP(LCARS_Off[AbilityID],RawOfficer[AbilityID],RawOfficer[Tag_MissionBosses])</f>
        <v>✅</v>
      </c>
      <c r="K314" s="516" t="str">
        <f t="array" ref="K314">XLOOKUP(LCARS_Off[AbilityID],RawOfficer[AbilityID],RawOfficer[Tag_GroupArmadas])</f>
        <v>✅</v>
      </c>
      <c r="L314" s="516" t="str">
        <f t="array" ref="L314">XLOOKUP(LCARS_Off[AbilityID],RawOfficer[AbilityID],RawOfficer[Tag_SoloArmadas])</f>
        <v>✅</v>
      </c>
      <c r="M314" s="516" t="str">
        <f t="array" ref="M314">XLOOKUP(LCARS_Off[AbilityID],RawOfficer[AbilityID],RawOfficer[Tag_InvadingEntities])</f>
        <v>✅</v>
      </c>
      <c r="N314" s="516" t="str">
        <f t="array" ref="N314">XLOOKUP(LCARS_Off[AbilityID],RawOfficer[AbilityID],RawOfficer[Tag_Assaults])</f>
        <v>✅</v>
      </c>
      <c r="O314" s="516" t="str">
        <f t="array" ref="O314">XLOOKUP(LCARS_Off[AbilityID],RawOfficer[AbilityID],RawOfficer[Tag_OutpostArmadas])</f>
        <v>✅</v>
      </c>
      <c r="P314" s="516" t="str">
        <f t="array" ref="P314">XLOOKUP(LCARS_Off[AbilityID],RawOfficer[AbilityID],RawOfficer[Tag_OutpostRetaliators])</f>
        <v>✅</v>
      </c>
      <c r="Q314" s="517" t="str">
        <f t="array" ref="Q314">XLOOKUP(LCARS_Off[AbilityID],RawOfficer[AbilityID],RawOfficer[Conditional_Reason])</f>
        <v/>
      </c>
      <c r="R314" s="518" t="str">
        <f t="array" ref="R314">XLOOKUP(LCARS_Off[AbilityID],RawOfficer[AbilityID],RawOfficer[Tag_Loot])</f>
        <v>➖</v>
      </c>
      <c r="S314" s="516" t="str">
        <f t="array" ref="S314">XLOOKUP(LCARS_Off[AbilityID],RawOfficer[AbilityID],RawOfficer[Tag_Utility])</f>
        <v>➖</v>
      </c>
      <c r="T314" s="429" t="str">
        <f t="array" ref="T314">XLOOKUP(LCARS_Off[AbilityID],RawOfficer[AbilityID],RawOfficer[OfficerSynergy])</f>
        <v>LOWER DECKS CREW</v>
      </c>
      <c r="U314" s="519" t="str">
        <f t="array" ref="U314">XLOOKUP(LCARS_Off[AbilityID],RawOfficer[AbilityID],RawOfficer[AbilityModifier])</f>
        <v>OfficerStatAttack</v>
      </c>
      <c r="V314" s="519" t="str">
        <f t="array" ref="V314">XLOOKUP(LCARS_Off[AbilityID],RawOfficer[AbilityID],RawOfficer[AbilityAttributes])</f>
        <v/>
      </c>
      <c r="W314" s="520" t="str">
        <f t="array" ref="W314">XLOOKUP(LCARS_Off[AbilityID],RawOfficer[AbilityID],RawOfficer[AbilityConditions])</f>
        <v/>
      </c>
      <c r="X314" s="519" t="str">
        <f t="array" ref="X314">XLOOKUP(LCARS_Off[AbilityID],RawOfficer[AbilityID],RawOfficer[AbilityTrigger])</f>
        <v>ShipLaunched</v>
      </c>
      <c r="Y314" s="519" t="str">
        <f t="array" ref="Y314">XLOOKUP(LCARS_Off[AbilityID],RawOfficer[AbilityID],RawOfficer[AbilityTarget])</f>
        <v>SelfAll</v>
      </c>
      <c r="Z314" s="519" t="str">
        <f t="array" ref="Z314">XLOOKUP(LCARS_Off[AbilityID],RawOfficer[AbilityID],RawOfficer[AbilityOperation])</f>
        <v>MultiplyAdd</v>
      </c>
      <c r="AA314" s="521" t="str">
        <f t="array" ref="AA314">XLOOKUP(LCARS_Off[AbilityID],RawOfficer[AbilityID],RawOfficer[AbilityDescription])</f>
        <v>Beckett Mariner increases the Attack of all Officers on the ship by X.</v>
      </c>
      <c r="AB314" s="429" t="b">
        <v>0</v>
      </c>
      <c r="AC314" s="522" t="str">
        <f t="array" ref="AC314">XLOOKUP(LCARS_Off[AbilityID],RawOfficer[AbilityID],RawOfficer[AbilityDescriptionShort])</f>
        <v>+X to all Officer Attack.</v>
      </c>
      <c r="AD314" s="523"/>
      <c r="AE314" s="524"/>
      <c r="AF314" s="524"/>
      <c r="AG314" s="525" t="str">
        <f t="array" ref="AG314">XLOOKUP(LCARS_Off[AbilityID],RawOfficer[AbilityID],RawOfficer[AbilityChances])</f>
        <v>1.0, 1.0, 1.0, 1.0, 1.0</v>
      </c>
      <c r="AH314" s="525" t="str">
        <f t="array" ref="AH314">XLOOKUP(LCARS_Off[AbilityID],RawOfficer[AbilityID],RawOfficer[AbilityValues])</f>
        <v>0.05, 0.1, 0.15, 0.25, 0.3</v>
      </c>
      <c r="AI314" s="428" t="b">
        <f t="array" ref="AI314">XLOOKUP(LCARS_Off[AbilityID],RawOfficer[AbilityID],RawOfficer[AbilityHasChance])</f>
        <v>0</v>
      </c>
      <c r="AJ314" s="428" t="b">
        <f t="array" ref="AJ314">XLOOKUP(LCARS_Off[AbilityID],RawOfficer[AbilityID],RawOfficer[AbilityShowPercentage])</f>
        <v>1</v>
      </c>
      <c r="AK314" s="429">
        <f t="array" ref="AK314">XLOOKUP(LCARS_Off[AbilityID],RawOfficer[AbilityID],RawOfficer[OfficerArt])</f>
        <v>196</v>
      </c>
      <c r="AL314" s="430">
        <v>2.587348908E9</v>
      </c>
      <c r="AM314" s="430">
        <f t="array" ref="AM314">XLOOKUP(LCARS_Off[AbilityID],RawOfficer[AbilityID],RawOfficer[Default Order])</f>
        <v>311</v>
      </c>
    </row>
    <row r="315">
      <c r="A315" s="429" t="str">
        <f t="array" ref="A315">LEFT(XLOOKUP(LCARS_Off[AbilityID],RawOfficer[AbilityID],RawOfficer[OfficerRarity]), 1)</f>
        <v>E</v>
      </c>
      <c r="B315" s="429"/>
      <c r="C315" s="514" t="str">
        <f t="array" ref="C315">HYPERLINK("https://stfc.space/officers/" &amp; XLOOKUP(LCARS_Off[AbilityID],RawOfficer[AbilityID],RawOfficer[OfficerId]), XLOOKUP(LCARS_Off[AbilityID],RawOfficer[AbilityID],RawOfficer[OfficerName]))</f>
        <v>BECKETT MARINER</v>
      </c>
      <c r="D315" s="515" t="str">
        <f t="array" ref="D315">XLOOKUP(LCARS_Off[AbilityID],RawOfficer[AbilityID],RawOfficer[AbilityType])</f>
        <v>BDA</v>
      </c>
      <c r="E315" s="516" t="str">
        <f t="array" ref="E315">XLOOKUP(LCARS_Off[AbilityID],RawOfficer[AbilityID],RawOfficer[Tag_PvPinSpace])</f>
        <v>✅</v>
      </c>
      <c r="F315" s="516" t="str">
        <f t="array" ref="F315">XLOOKUP(LCARS_Off[AbilityID],RawOfficer[AbilityID],RawOfficer[Tag_PvPStation])</f>
        <v>✅</v>
      </c>
      <c r="G315" s="516" t="str">
        <f t="array" ref="G315">XLOOKUP(LCARS_Off[AbilityID],RawOfficer[AbilityID],RawOfficer[Tag_NonArmadaHostiles])</f>
        <v>✅</v>
      </c>
      <c r="H315" s="516" t="str">
        <f t="array" ref="H315">XLOOKUP(LCARS_Off[AbilityID],RawOfficer[AbilityID],RawOfficer[Tag_WaveDefense])</f>
        <v>✅</v>
      </c>
      <c r="I315" s="516" t="str">
        <f t="array" ref="I315">XLOOKUP(LCARS_Off[AbilityID],RawOfficer[AbilityID],RawOfficer[Tag_QTrial])</f>
        <v>✅</v>
      </c>
      <c r="J315" s="516" t="str">
        <f t="array" ref="J315">XLOOKUP(LCARS_Off[AbilityID],RawOfficer[AbilityID],RawOfficer[Tag_MissionBosses])</f>
        <v>✅</v>
      </c>
      <c r="K315" s="516" t="str">
        <f t="array" ref="K315">XLOOKUP(LCARS_Off[AbilityID],RawOfficer[AbilityID],RawOfficer[Tag_GroupArmadas])</f>
        <v>✅</v>
      </c>
      <c r="L315" s="516" t="str">
        <f t="array" ref="L315">XLOOKUP(LCARS_Off[AbilityID],RawOfficer[AbilityID],RawOfficer[Tag_SoloArmadas])</f>
        <v>✅</v>
      </c>
      <c r="M315" s="516" t="str">
        <f t="array" ref="M315">XLOOKUP(LCARS_Off[AbilityID],RawOfficer[AbilityID],RawOfficer[Tag_InvadingEntities])</f>
        <v>✅</v>
      </c>
      <c r="N315" s="516" t="str">
        <f t="array" ref="N315">XLOOKUP(LCARS_Off[AbilityID],RawOfficer[AbilityID],RawOfficer[Tag_Assaults])</f>
        <v>✅</v>
      </c>
      <c r="O315" s="516" t="str">
        <f t="array" ref="O315">XLOOKUP(LCARS_Off[AbilityID],RawOfficer[AbilityID],RawOfficer[Tag_OutpostArmadas])</f>
        <v>✅</v>
      </c>
      <c r="P315" s="516" t="str">
        <f t="array" ref="P315">XLOOKUP(LCARS_Off[AbilityID],RawOfficer[AbilityID],RawOfficer[Tag_OutpostRetaliators])</f>
        <v>✅</v>
      </c>
      <c r="Q315" s="517" t="str">
        <f t="array" ref="Q315">XLOOKUP(LCARS_Off[AbilityID],RawOfficer[AbilityID],RawOfficer[Conditional_Reason])</f>
        <v/>
      </c>
      <c r="R315" s="518" t="str">
        <f t="array" ref="R315">XLOOKUP(LCARS_Off[AbilityID],RawOfficer[AbilityID],RawOfficer[Tag_Loot])</f>
        <v>➖</v>
      </c>
      <c r="S315" s="516" t="str">
        <f t="array" ref="S315">XLOOKUP(LCARS_Off[AbilityID],RawOfficer[AbilityID],RawOfficer[Tag_Utility])</f>
        <v>➖</v>
      </c>
      <c r="T315" s="429" t="str">
        <f t="array" ref="T315">XLOOKUP(LCARS_Off[AbilityID],RawOfficer[AbilityID],RawOfficer[OfficerSynergy])</f>
        <v>LOWER DECKS CREW</v>
      </c>
      <c r="U315" s="519" t="str">
        <f t="array" ref="U315">XLOOKUP(LCARS_Off[AbilityID],RawOfficer[AbilityID],RawOfficer[AbilityModifier])</f>
        <v>AllDamage</v>
      </c>
      <c r="V315" s="519" t="str">
        <f t="array" ref="V315">XLOOKUP(LCARS_Off[AbilityID],RawOfficer[AbilityID],RawOfficer[AbilityAttributes])</f>
        <v/>
      </c>
      <c r="W315" s="520" t="str">
        <f t="array" ref="W315">XLOOKUP(LCARS_Off[AbilityID],RawOfficer[AbilityID],RawOfficer[AbilityConditions])</f>
        <v/>
      </c>
      <c r="X315" s="519" t="str">
        <f t="array" ref="X315">XLOOKUP(LCARS_Off[AbilityID],RawOfficer[AbilityID],RawOfficer[AbilityTrigger])</f>
        <v>ShipLaunched</v>
      </c>
      <c r="Y315" s="519" t="str">
        <f t="array" ref="Y315">XLOOKUP(LCARS_Off[AbilityID],RawOfficer[AbilityID],RawOfficer[AbilityTarget])</f>
        <v>SelfShip</v>
      </c>
      <c r="Z315" s="519" t="str">
        <f t="array" ref="Z315">XLOOKUP(LCARS_Off[AbilityID],RawOfficer[AbilityID],RawOfficer[AbilityOperation])</f>
        <v>MultiplyAdd</v>
      </c>
      <c r="AA315" s="521" t="str">
        <f t="array" ref="AA315">XLOOKUP(LCARS_Off[AbilityID],RawOfficer[AbilityID],RawOfficer[AbilityDescription])</f>
        <v>Beckett Mariner increases the ship's Weapon Damage by X.</v>
      </c>
      <c r="AB315" s="429" t="b">
        <v>0</v>
      </c>
      <c r="AC315" s="522" t="str">
        <f t="array" ref="AC315">XLOOKUP(LCARS_Off[AbilityID],RawOfficer[AbilityID],RawOfficer[AbilityDescriptionShort])</f>
        <v>+X to Weapon Damage.</v>
      </c>
      <c r="AD315" s="523"/>
      <c r="AE315" s="524"/>
      <c r="AF315" s="524"/>
      <c r="AG315" s="525" t="str">
        <f t="array" ref="AG315">XLOOKUP(LCARS_Off[AbilityID],RawOfficer[AbilityID],RawOfficer[AbilityChances])</f>
        <v>1.0, 1.0, 1.0, 1.0, 1.0</v>
      </c>
      <c r="AH315" s="525" t="str">
        <f t="array" ref="AH315">XLOOKUP(LCARS_Off[AbilityID],RawOfficer[AbilityID],RawOfficer[AbilityValues])</f>
        <v>0.7, 0.95, 1.15, 1.4, 1.8</v>
      </c>
      <c r="AI315" s="428" t="b">
        <f t="array" ref="AI315">XLOOKUP(LCARS_Off[AbilityID],RawOfficer[AbilityID],RawOfficer[AbilityHasChance])</f>
        <v>0</v>
      </c>
      <c r="AJ315" s="428" t="b">
        <f t="array" ref="AJ315">XLOOKUP(LCARS_Off[AbilityID],RawOfficer[AbilityID],RawOfficer[AbilityShowPercentage])</f>
        <v>1</v>
      </c>
      <c r="AK315" s="429">
        <f t="array" ref="AK315">XLOOKUP(LCARS_Off[AbilityID],RawOfficer[AbilityID],RawOfficer[OfficerArt])</f>
        <v>196</v>
      </c>
      <c r="AL315" s="430">
        <v>4.09777518E8</v>
      </c>
      <c r="AM315" s="430">
        <f t="array" ref="AM315">XLOOKUP(LCARS_Off[AbilityID],RawOfficer[AbilityID],RawOfficer[Default Order])</f>
        <v>312</v>
      </c>
    </row>
    <row r="316">
      <c r="A316" s="429" t="str">
        <f t="array" ref="A316">LEFT(XLOOKUP(LCARS_Off[AbilityID],RawOfficer[AbilityID],RawOfficer[OfficerRarity]), 1)</f>
        <v>R</v>
      </c>
      <c r="B316" s="429"/>
      <c r="C316" s="514" t="str">
        <f t="array" ref="C316">HYPERLINK("https://stfc.space/officers/" &amp; XLOOKUP(LCARS_Off[AbilityID],RawOfficer[AbilityID],RawOfficer[OfficerId]), XLOOKUP(LCARS_Off[AbilityID],RawOfficer[AbilityID],RawOfficer[OfficerName]))</f>
        <v>BRAD BOIMLER</v>
      </c>
      <c r="D316" s="515" t="str">
        <f t="array" ref="D316">XLOOKUP(LCARS_Off[AbilityID],RawOfficer[AbilityID],RawOfficer[AbilityType])</f>
        <v>OA</v>
      </c>
      <c r="E316" s="516" t="str">
        <f t="array" ref="E316">XLOOKUP(LCARS_Off[AbilityID],RawOfficer[AbilityID],RawOfficer[Tag_PvPinSpace])</f>
        <v>✅</v>
      </c>
      <c r="F316" s="516" t="str">
        <f t="array" ref="F316">XLOOKUP(LCARS_Off[AbilityID],RawOfficer[AbilityID],RawOfficer[Tag_PvPStation])</f>
        <v>✅</v>
      </c>
      <c r="G316" s="516" t="str">
        <f t="array" ref="G316">XLOOKUP(LCARS_Off[AbilityID],RawOfficer[AbilityID],RawOfficer[Tag_NonArmadaHostiles])</f>
        <v>✅</v>
      </c>
      <c r="H316" s="516" t="str">
        <f t="array" ref="H316">XLOOKUP(LCARS_Off[AbilityID],RawOfficer[AbilityID],RawOfficer[Tag_WaveDefense])</f>
        <v>✅</v>
      </c>
      <c r="I316" s="516" t="str">
        <f t="array" ref="I316">XLOOKUP(LCARS_Off[AbilityID],RawOfficer[AbilityID],RawOfficer[Tag_QTrial])</f>
        <v>✅</v>
      </c>
      <c r="J316" s="516" t="str">
        <f t="array" ref="J316">XLOOKUP(LCARS_Off[AbilityID],RawOfficer[AbilityID],RawOfficer[Tag_MissionBosses])</f>
        <v>✅</v>
      </c>
      <c r="K316" s="516" t="str">
        <f t="array" ref="K316">XLOOKUP(LCARS_Off[AbilityID],RawOfficer[AbilityID],RawOfficer[Tag_GroupArmadas])</f>
        <v>✅</v>
      </c>
      <c r="L316" s="516" t="str">
        <f t="array" ref="L316">XLOOKUP(LCARS_Off[AbilityID],RawOfficer[AbilityID],RawOfficer[Tag_SoloArmadas])</f>
        <v>✅</v>
      </c>
      <c r="M316" s="516" t="str">
        <f t="array" ref="M316">XLOOKUP(LCARS_Off[AbilityID],RawOfficer[AbilityID],RawOfficer[Tag_InvadingEntities])</f>
        <v>✅</v>
      </c>
      <c r="N316" s="516" t="str">
        <f t="array" ref="N316">XLOOKUP(LCARS_Off[AbilityID],RawOfficer[AbilityID],RawOfficer[Tag_Assaults])</f>
        <v>✅</v>
      </c>
      <c r="O316" s="516" t="str">
        <f t="array" ref="O316">XLOOKUP(LCARS_Off[AbilityID],RawOfficer[AbilityID],RawOfficer[Tag_OutpostArmadas])</f>
        <v>✅</v>
      </c>
      <c r="P316" s="516" t="str">
        <f t="array" ref="P316">XLOOKUP(LCARS_Off[AbilityID],RawOfficer[AbilityID],RawOfficer[Tag_OutpostRetaliators])</f>
        <v>✅</v>
      </c>
      <c r="Q316" s="517" t="str">
        <f t="array" ref="Q316">XLOOKUP(LCARS_Off[AbilityID],RawOfficer[AbilityID],RawOfficer[Conditional_Reason])</f>
        <v/>
      </c>
      <c r="R316" s="518" t="str">
        <f t="array" ref="R316">XLOOKUP(LCARS_Off[AbilityID],RawOfficer[AbilityID],RawOfficer[Tag_Loot])</f>
        <v>➖</v>
      </c>
      <c r="S316" s="516" t="str">
        <f t="array" ref="S316">XLOOKUP(LCARS_Off[AbilityID],RawOfficer[AbilityID],RawOfficer[Tag_Utility])</f>
        <v>➖</v>
      </c>
      <c r="T316" s="429" t="str">
        <f t="array" ref="T316">XLOOKUP(LCARS_Off[AbilityID],RawOfficer[AbilityID],RawOfficer[OfficerSynergy])</f>
        <v>LOWER DECKS CREW</v>
      </c>
      <c r="U316" s="519" t="str">
        <f t="array" ref="U316">XLOOKUP(LCARS_Off[AbilityID],RawOfficer[AbilityID],RawOfficer[AbilityModifier])</f>
        <v>AllPiercing</v>
      </c>
      <c r="V316" s="519" t="str">
        <f t="array" ref="V316">XLOOKUP(LCARS_Off[AbilityID],RawOfficer[AbilityID],RawOfficer[AbilityAttributes])</f>
        <v/>
      </c>
      <c r="W316" s="520" t="str">
        <f t="array" ref="W316">XLOOKUP(LCARS_Off[AbilityID],RawOfficer[AbilityID],RawOfficer[AbilityConditions])</f>
        <v/>
      </c>
      <c r="X316" s="519" t="str">
        <f t="array" ref="X316">XLOOKUP(LCARS_Off[AbilityID],RawOfficer[AbilityID],RawOfficer[AbilityTrigger])</f>
        <v>ShipLaunched</v>
      </c>
      <c r="Y316" s="519" t="str">
        <f t="array" ref="Y316">XLOOKUP(LCARS_Off[AbilityID],RawOfficer[AbilityID],RawOfficer[AbilityTarget])</f>
        <v>SelfShip</v>
      </c>
      <c r="Z316" s="519" t="str">
        <f t="array" ref="Z316">XLOOKUP(LCARS_Off[AbilityID],RawOfficer[AbilityID],RawOfficer[AbilityOperation])</f>
        <v>MultiplyAdd</v>
      </c>
      <c r="AA316" s="521" t="str">
        <f t="array" ref="AA316">XLOOKUP(LCARS_Off[AbilityID],RawOfficer[AbilityID],RawOfficer[AbilityDescription])</f>
        <v>Brad Boimler increases Armor Piercing, Shield Piercing, and Accuracy by X.</v>
      </c>
      <c r="AB316" s="429" t="b">
        <v>0</v>
      </c>
      <c r="AC316" s="522" t="str">
        <f t="array" ref="AC316">XLOOKUP(LCARS_Off[AbilityID],RawOfficer[AbilityID],RawOfficer[AbilityDescriptionShort])</f>
        <v>+X to all Penetration stats.</v>
      </c>
      <c r="AD316" s="523"/>
      <c r="AE316" s="524"/>
      <c r="AF316" s="524"/>
      <c r="AG316" s="525" t="str">
        <f t="array" ref="AG316">XLOOKUP(LCARS_Off[AbilityID],RawOfficer[AbilityID],RawOfficer[AbilityChances])</f>
        <v>1.0, 1.0, 1.0, 1.0, 1.0</v>
      </c>
      <c r="AH316" s="525" t="str">
        <f t="array" ref="AH316">XLOOKUP(LCARS_Off[AbilityID],RawOfficer[AbilityID],RawOfficer[AbilityValues])</f>
        <v>0.3, 0.35, 0.4, 0.45, 0.5</v>
      </c>
      <c r="AI316" s="428" t="b">
        <f t="array" ref="AI316">XLOOKUP(LCARS_Off[AbilityID],RawOfficer[AbilityID],RawOfficer[AbilityHasChance])</f>
        <v>0</v>
      </c>
      <c r="AJ316" s="428" t="b">
        <f t="array" ref="AJ316">XLOOKUP(LCARS_Off[AbilityID],RawOfficer[AbilityID],RawOfficer[AbilityShowPercentage])</f>
        <v>1</v>
      </c>
      <c r="AK316" s="429">
        <f t="array" ref="AK316">XLOOKUP(LCARS_Off[AbilityID],RawOfficer[AbilityID],RawOfficer[OfficerArt])</f>
        <v>197</v>
      </c>
      <c r="AL316" s="430">
        <v>3.954073301E9</v>
      </c>
      <c r="AM316" s="430">
        <f t="array" ref="AM316">XLOOKUP(LCARS_Off[AbilityID],RawOfficer[AbilityID],RawOfficer[Default Order])</f>
        <v>313</v>
      </c>
    </row>
    <row r="317">
      <c r="A317" s="429" t="str">
        <f t="array" ref="A317">LEFT(XLOOKUP(LCARS_Off[AbilityID],RawOfficer[AbilityID],RawOfficer[OfficerRarity]), 1)</f>
        <v>R</v>
      </c>
      <c r="B317" s="429"/>
      <c r="C317" s="514" t="str">
        <f t="array" ref="C317">HYPERLINK("https://stfc.space/officers/" &amp; XLOOKUP(LCARS_Off[AbilityID],RawOfficer[AbilityID],RawOfficer[OfficerId]), XLOOKUP(LCARS_Off[AbilityID],RawOfficer[AbilityID],RawOfficer[OfficerName]))</f>
        <v>BRAD BOIMLER</v>
      </c>
      <c r="D317" s="515" t="str">
        <f t="array" ref="D317">XLOOKUP(LCARS_Off[AbilityID],RawOfficer[AbilityID],RawOfficer[AbilityType])</f>
        <v>BDA</v>
      </c>
      <c r="E317" s="516" t="str">
        <f t="array" ref="E317">XLOOKUP(LCARS_Off[AbilityID],RawOfficer[AbilityID],RawOfficer[Tag_PvPinSpace])</f>
        <v>✅</v>
      </c>
      <c r="F317" s="516" t="str">
        <f t="array" ref="F317">XLOOKUP(LCARS_Off[AbilityID],RawOfficer[AbilityID],RawOfficer[Tag_PvPStation])</f>
        <v>✅</v>
      </c>
      <c r="G317" s="516" t="str">
        <f t="array" ref="G317">XLOOKUP(LCARS_Off[AbilityID],RawOfficer[AbilityID],RawOfficer[Tag_NonArmadaHostiles])</f>
        <v>✅</v>
      </c>
      <c r="H317" s="516" t="str">
        <f t="array" ref="H317">XLOOKUP(LCARS_Off[AbilityID],RawOfficer[AbilityID],RawOfficer[Tag_WaveDefense])</f>
        <v>✅</v>
      </c>
      <c r="I317" s="516" t="str">
        <f t="array" ref="I317">XLOOKUP(LCARS_Off[AbilityID],RawOfficer[AbilityID],RawOfficer[Tag_QTrial])</f>
        <v>✅</v>
      </c>
      <c r="J317" s="516" t="str">
        <f t="array" ref="J317">XLOOKUP(LCARS_Off[AbilityID],RawOfficer[AbilityID],RawOfficer[Tag_MissionBosses])</f>
        <v>✅</v>
      </c>
      <c r="K317" s="516" t="str">
        <f t="array" ref="K317">XLOOKUP(LCARS_Off[AbilityID],RawOfficer[AbilityID],RawOfficer[Tag_GroupArmadas])</f>
        <v>✅</v>
      </c>
      <c r="L317" s="516" t="str">
        <f t="array" ref="L317">XLOOKUP(LCARS_Off[AbilityID],RawOfficer[AbilityID],RawOfficer[Tag_SoloArmadas])</f>
        <v>✅</v>
      </c>
      <c r="M317" s="516" t="str">
        <f t="array" ref="M317">XLOOKUP(LCARS_Off[AbilityID],RawOfficer[AbilityID],RawOfficer[Tag_InvadingEntities])</f>
        <v>✅</v>
      </c>
      <c r="N317" s="516" t="str">
        <f t="array" ref="N317">XLOOKUP(LCARS_Off[AbilityID],RawOfficer[AbilityID],RawOfficer[Tag_Assaults])</f>
        <v>✅</v>
      </c>
      <c r="O317" s="516" t="str">
        <f t="array" ref="O317">XLOOKUP(LCARS_Off[AbilityID],RawOfficer[AbilityID],RawOfficer[Tag_OutpostArmadas])</f>
        <v>✅</v>
      </c>
      <c r="P317" s="516" t="str">
        <f t="array" ref="P317">XLOOKUP(LCARS_Off[AbilityID],RawOfficer[AbilityID],RawOfficer[Tag_OutpostRetaliators])</f>
        <v>✅</v>
      </c>
      <c r="Q317" s="517" t="str">
        <f t="array" ref="Q317">XLOOKUP(LCARS_Off[AbilityID],RawOfficer[AbilityID],RawOfficer[Conditional_Reason])</f>
        <v/>
      </c>
      <c r="R317" s="518" t="str">
        <f t="array" ref="R317">XLOOKUP(LCARS_Off[AbilityID],RawOfficer[AbilityID],RawOfficer[Tag_Loot])</f>
        <v>➖</v>
      </c>
      <c r="S317" s="516" t="str">
        <f t="array" ref="S317">XLOOKUP(LCARS_Off[AbilityID],RawOfficer[AbilityID],RawOfficer[Tag_Utility])</f>
        <v>➖</v>
      </c>
      <c r="T317" s="429" t="str">
        <f t="array" ref="T317">XLOOKUP(LCARS_Off[AbilityID],RawOfficer[AbilityID],RawOfficer[OfficerSynergy])</f>
        <v>LOWER DECKS CREW</v>
      </c>
      <c r="U317" s="519" t="str">
        <f t="array" ref="U317">XLOOKUP(LCARS_Off[AbilityID],RawOfficer[AbilityID],RawOfficer[AbilityModifier])</f>
        <v>AllDefenses</v>
      </c>
      <c r="V317" s="519" t="str">
        <f t="array" ref="V317">XLOOKUP(LCARS_Off[AbilityID],RawOfficer[AbilityID],RawOfficer[AbilityAttributes])</f>
        <v/>
      </c>
      <c r="W317" s="520" t="str">
        <f t="array" ref="W317">XLOOKUP(LCARS_Off[AbilityID],RawOfficer[AbilityID],RawOfficer[AbilityConditions])</f>
        <v/>
      </c>
      <c r="X317" s="519" t="str">
        <f t="array" ref="X317">XLOOKUP(LCARS_Off[AbilityID],RawOfficer[AbilityID],RawOfficer[AbilityTrigger])</f>
        <v>ShipLaunched</v>
      </c>
      <c r="Y317" s="519" t="str">
        <f t="array" ref="Y317">XLOOKUP(LCARS_Off[AbilityID],RawOfficer[AbilityID],RawOfficer[AbilityTarget])</f>
        <v>SelfShip</v>
      </c>
      <c r="Z317" s="519" t="str">
        <f t="array" ref="Z317">XLOOKUP(LCARS_Off[AbilityID],RawOfficer[AbilityID],RawOfficer[AbilityOperation])</f>
        <v>MultiplyAdd</v>
      </c>
      <c r="AA317" s="521" t="str">
        <f t="array" ref="AA317">XLOOKUP(LCARS_Off[AbilityID],RawOfficer[AbilityID],RawOfficer[AbilityDescription])</f>
        <v>Brad Boimler increases Armor, Shield Deflection, and Dodge by X.</v>
      </c>
      <c r="AB317" s="429" t="b">
        <v>0</v>
      </c>
      <c r="AC317" s="522" t="str">
        <f t="array" ref="AC317">XLOOKUP(LCARS_Off[AbilityID],RawOfficer[AbilityID],RawOfficer[AbilityDescriptionShort])</f>
        <v>+X to all Mitigation stats.</v>
      </c>
      <c r="AD317" s="523"/>
      <c r="AE317" s="524"/>
      <c r="AF317" s="524"/>
      <c r="AG317" s="525" t="str">
        <f t="array" ref="AG317">XLOOKUP(LCARS_Off[AbilityID],RawOfficer[AbilityID],RawOfficer[AbilityChances])</f>
        <v>1.0, 1.0, 1.0, 1.0, 1.0</v>
      </c>
      <c r="AH317" s="525" t="str">
        <f t="array" ref="AH317">XLOOKUP(LCARS_Off[AbilityID],RawOfficer[AbilityID],RawOfficer[AbilityValues])</f>
        <v>0.5, 0.675, 0.85, 1.075, 1.3</v>
      </c>
      <c r="AI317" s="428" t="b">
        <f t="array" ref="AI317">XLOOKUP(LCARS_Off[AbilityID],RawOfficer[AbilityID],RawOfficer[AbilityHasChance])</f>
        <v>0</v>
      </c>
      <c r="AJ317" s="428" t="b">
        <f t="array" ref="AJ317">XLOOKUP(LCARS_Off[AbilityID],RawOfficer[AbilityID],RawOfficer[AbilityShowPercentage])</f>
        <v>1</v>
      </c>
      <c r="AK317" s="429">
        <f t="array" ref="AK317">XLOOKUP(LCARS_Off[AbilityID],RawOfficer[AbilityID],RawOfficer[OfficerArt])</f>
        <v>197</v>
      </c>
      <c r="AL317" s="430">
        <v>4.19878869E8</v>
      </c>
      <c r="AM317" s="430">
        <f t="array" ref="AM317">XLOOKUP(LCARS_Off[AbilityID],RawOfficer[AbilityID],RawOfficer[Default Order])</f>
        <v>314</v>
      </c>
    </row>
    <row r="318">
      <c r="A318" s="429" t="str">
        <f t="array" ref="A318">LEFT(XLOOKUP(LCARS_Off[AbilityID],RawOfficer[AbilityID],RawOfficer[OfficerRarity]), 1)</f>
        <v>U</v>
      </c>
      <c r="B318" s="429"/>
      <c r="C318" s="514" t="str">
        <f t="array" ref="C318">HYPERLINK("https://stfc.space/officers/" &amp; XLOOKUP(LCARS_Off[AbilityID],RawOfficer[AbilityID],RawOfficer[OfficerId]), XLOOKUP(LCARS_Off[AbilityID],RawOfficer[AbilityID],RawOfficer[OfficerName]))</f>
        <v>BADGEY</v>
      </c>
      <c r="D318" s="515" t="str">
        <f t="array" ref="D318">XLOOKUP(LCARS_Off[AbilityID],RawOfficer[AbilityID],RawOfficer[AbilityType])</f>
        <v>OA</v>
      </c>
      <c r="E318" s="516" t="str">
        <f t="array" ref="E318">XLOOKUP(LCARS_Off[AbilityID],RawOfficer[AbilityID],RawOfficer[Tag_PvPinSpace])</f>
        <v>✅</v>
      </c>
      <c r="F318" s="516" t="str">
        <f t="array" ref="F318">XLOOKUP(LCARS_Off[AbilityID],RawOfficer[AbilityID],RawOfficer[Tag_PvPStation])</f>
        <v>✅</v>
      </c>
      <c r="G318" s="516" t="str">
        <f t="array" ref="G318">XLOOKUP(LCARS_Off[AbilityID],RawOfficer[AbilityID],RawOfficer[Tag_NonArmadaHostiles])</f>
        <v>✅</v>
      </c>
      <c r="H318" s="516" t="str">
        <f t="array" ref="H318">XLOOKUP(LCARS_Off[AbilityID],RawOfficer[AbilityID],RawOfficer[Tag_WaveDefense])</f>
        <v>✅</v>
      </c>
      <c r="I318" s="516" t="str">
        <f t="array" ref="I318">XLOOKUP(LCARS_Off[AbilityID],RawOfficer[AbilityID],RawOfficer[Tag_QTrial])</f>
        <v>✅</v>
      </c>
      <c r="J318" s="516" t="str">
        <f t="array" ref="J318">XLOOKUP(LCARS_Off[AbilityID],RawOfficer[AbilityID],RawOfficer[Tag_MissionBosses])</f>
        <v>✅</v>
      </c>
      <c r="K318" s="516" t="str">
        <f t="array" ref="K318">XLOOKUP(LCARS_Off[AbilityID],RawOfficer[AbilityID],RawOfficer[Tag_GroupArmadas])</f>
        <v>➖</v>
      </c>
      <c r="L318" s="516" t="str">
        <f t="array" ref="L318">XLOOKUP(LCARS_Off[AbilityID],RawOfficer[AbilityID],RawOfficer[Tag_SoloArmadas])</f>
        <v>➖</v>
      </c>
      <c r="M318" s="516" t="str">
        <f t="array" ref="M318">XLOOKUP(LCARS_Off[AbilityID],RawOfficer[AbilityID],RawOfficer[Tag_InvadingEntities])</f>
        <v>➖</v>
      </c>
      <c r="N318" s="516" t="str">
        <f t="array" ref="N318">XLOOKUP(LCARS_Off[AbilityID],RawOfficer[AbilityID],RawOfficer[Tag_Assaults])</f>
        <v>➖</v>
      </c>
      <c r="O318" s="516" t="str">
        <f t="array" ref="O318">XLOOKUP(LCARS_Off[AbilityID],RawOfficer[AbilityID],RawOfficer[Tag_OutpostArmadas])</f>
        <v>✅</v>
      </c>
      <c r="P318" s="516" t="str">
        <f t="array" ref="P318">XLOOKUP(LCARS_Off[AbilityID],RawOfficer[AbilityID],RawOfficer[Tag_OutpostRetaliators])</f>
        <v>✅</v>
      </c>
      <c r="Q318" s="517" t="str">
        <f t="array" ref="Q318">XLOOKUP(LCARS_Off[AbilityID],RawOfficer[AbilityID],RawOfficer[Conditional_Reason])</f>
        <v/>
      </c>
      <c r="R318" s="518" t="str">
        <f t="array" ref="R318">XLOOKUP(LCARS_Off[AbilityID],RawOfficer[AbilityID],RawOfficer[Tag_Loot])</f>
        <v>➖</v>
      </c>
      <c r="S318" s="516" t="str">
        <f t="array" ref="S318">XLOOKUP(LCARS_Off[AbilityID],RawOfficer[AbilityID],RawOfficer[Tag_Utility])</f>
        <v>➖</v>
      </c>
      <c r="T318" s="429" t="str">
        <f t="array" ref="T318">XLOOKUP(LCARS_Off[AbilityID],RawOfficer[AbilityID],RawOfficer[OfficerSynergy])</f>
        <v>LOWER DECKS CREW</v>
      </c>
      <c r="U318" s="519" t="str">
        <f t="array" ref="U318">XLOOKUP(LCARS_Off[AbilityID],RawOfficer[AbilityID],RawOfficer[AbilityModifier])</f>
        <v>AllDefenses</v>
      </c>
      <c r="V318" s="519" t="str">
        <f t="array" ref="V318">XLOOKUP(LCARS_Off[AbilityID],RawOfficer[AbilityID],RawOfficer[AbilityAttributes])</f>
        <v/>
      </c>
      <c r="W318" s="520" t="str">
        <f t="array" ref="W318">XLOOKUP(LCARS_Off[AbilityID],RawOfficer[AbilityID],RawOfficer[AbilityConditions])</f>
        <v>TargetNotArmada, TargetNotASB</v>
      </c>
      <c r="X318" s="519" t="str">
        <f t="array" ref="X318">XLOOKUP(LCARS_Off[AbilityID],RawOfficer[AbilityID],RawOfficer[AbilityTrigger])</f>
        <v>CombatStart</v>
      </c>
      <c r="Y318" s="519" t="str">
        <f t="array" ref="Y318">XLOOKUP(LCARS_Off[AbilityID],RawOfficer[AbilityID],RawOfficer[AbilityTarget])</f>
        <v>EnemyShip</v>
      </c>
      <c r="Z318" s="519" t="str">
        <f t="array" ref="Z318">XLOOKUP(LCARS_Off[AbilityID],RawOfficer[AbilityID],RawOfficer[AbilityOperation])</f>
        <v>MultiplySub</v>
      </c>
      <c r="AA318" s="521" t="str">
        <f t="array" ref="AA318">XLOOKUP(LCARS_Off[AbilityID],RawOfficer[AbilityID],RawOfficer[AbilityDescription])</f>
        <v>Badgey decreases the Armor, Shield Deflection, and Dodge of enemy ships by X.</v>
      </c>
      <c r="AB318" s="429" t="b">
        <v>0</v>
      </c>
      <c r="AC318" s="522" t="str">
        <f t="array" ref="AC318">XLOOKUP(LCARS_Off[AbilityID],RawOfficer[AbilityID],RawOfficer[AbilityDescriptionShort])</f>
        <v>-X to all Mitigation stats of enemy ships.</v>
      </c>
      <c r="AD318" s="523"/>
      <c r="AE318" s="524"/>
      <c r="AF318" s="524"/>
      <c r="AG318" s="525" t="str">
        <f t="array" ref="AG318">XLOOKUP(LCARS_Off[AbilityID],RawOfficer[AbilityID],RawOfficer[AbilityChances])</f>
        <v>1.0, 1.0, 1.0, 1.0, 1.0</v>
      </c>
      <c r="AH318" s="525" t="str">
        <f t="array" ref="AH318">XLOOKUP(LCARS_Off[AbilityID],RawOfficer[AbilityID],RawOfficer[AbilityValues])</f>
        <v>0.05, 0.12, 0.15, 0.18, 0.2</v>
      </c>
      <c r="AI318" s="428" t="b">
        <f t="array" ref="AI318">XLOOKUP(LCARS_Off[AbilityID],RawOfficer[AbilityID],RawOfficer[AbilityHasChance])</f>
        <v>0</v>
      </c>
      <c r="AJ318" s="428" t="b">
        <f t="array" ref="AJ318">XLOOKUP(LCARS_Off[AbilityID],RawOfficer[AbilityID],RawOfficer[AbilityShowPercentage])</f>
        <v>1</v>
      </c>
      <c r="AK318" s="429">
        <f t="array" ref="AK318">XLOOKUP(LCARS_Off[AbilityID],RawOfficer[AbilityID],RawOfficer[OfficerArt])</f>
        <v>198</v>
      </c>
      <c r="AL318" s="430">
        <v>1.821429098E9</v>
      </c>
      <c r="AM318" s="430">
        <f t="array" ref="AM318">XLOOKUP(LCARS_Off[AbilityID],RawOfficer[AbilityID],RawOfficer[Default Order])</f>
        <v>315</v>
      </c>
    </row>
    <row r="319">
      <c r="A319" s="429" t="str">
        <f t="array" ref="A319">LEFT(XLOOKUP(LCARS_Off[AbilityID],RawOfficer[AbilityID],RawOfficer[OfficerRarity]), 1)</f>
        <v>U</v>
      </c>
      <c r="B319" s="429"/>
      <c r="C319" s="514" t="str">
        <f t="array" ref="C319">HYPERLINK("https://stfc.space/officers/" &amp; XLOOKUP(LCARS_Off[AbilityID],RawOfficer[AbilityID],RawOfficer[OfficerId]), XLOOKUP(LCARS_Off[AbilityID],RawOfficer[AbilityID],RawOfficer[OfficerName]))</f>
        <v>BADGEY</v>
      </c>
      <c r="D319" s="515" t="str">
        <f t="array" ref="D319">XLOOKUP(LCARS_Off[AbilityID],RawOfficer[AbilityID],RawOfficer[AbilityType])</f>
        <v>BDA</v>
      </c>
      <c r="E319" s="516" t="str">
        <f t="array" ref="E319">XLOOKUP(LCARS_Off[AbilityID],RawOfficer[AbilityID],RawOfficer[Tag_PvPinSpace])</f>
        <v>✅</v>
      </c>
      <c r="F319" s="516" t="str">
        <f t="array" ref="F319">XLOOKUP(LCARS_Off[AbilityID],RawOfficer[AbilityID],RawOfficer[Tag_PvPStation])</f>
        <v>✅</v>
      </c>
      <c r="G319" s="516" t="str">
        <f t="array" ref="G319">XLOOKUP(LCARS_Off[AbilityID],RawOfficer[AbilityID],RawOfficer[Tag_NonArmadaHostiles])</f>
        <v>✅</v>
      </c>
      <c r="H319" s="516" t="str">
        <f t="array" ref="H319">XLOOKUP(LCARS_Off[AbilityID],RawOfficer[AbilityID],RawOfficer[Tag_WaveDefense])</f>
        <v>✅</v>
      </c>
      <c r="I319" s="516" t="str">
        <f t="array" ref="I319">XLOOKUP(LCARS_Off[AbilityID],RawOfficer[AbilityID],RawOfficer[Tag_QTrial])</f>
        <v>✅</v>
      </c>
      <c r="J319" s="516" t="str">
        <f t="array" ref="J319">XLOOKUP(LCARS_Off[AbilityID],RawOfficer[AbilityID],RawOfficer[Tag_MissionBosses])</f>
        <v>✅</v>
      </c>
      <c r="K319" s="516" t="str">
        <f t="array" ref="K319">XLOOKUP(LCARS_Off[AbilityID],RawOfficer[AbilityID],RawOfficer[Tag_GroupArmadas])</f>
        <v>✅</v>
      </c>
      <c r="L319" s="516" t="str">
        <f t="array" ref="L319">XLOOKUP(LCARS_Off[AbilityID],RawOfficer[AbilityID],RawOfficer[Tag_SoloArmadas])</f>
        <v>✅</v>
      </c>
      <c r="M319" s="516" t="str">
        <f t="array" ref="M319">XLOOKUP(LCARS_Off[AbilityID],RawOfficer[AbilityID],RawOfficer[Tag_InvadingEntities])</f>
        <v>✅</v>
      </c>
      <c r="N319" s="516" t="str">
        <f t="array" ref="N319">XLOOKUP(LCARS_Off[AbilityID],RawOfficer[AbilityID],RawOfficer[Tag_Assaults])</f>
        <v>✅</v>
      </c>
      <c r="O319" s="516" t="str">
        <f t="array" ref="O319">XLOOKUP(LCARS_Off[AbilityID],RawOfficer[AbilityID],RawOfficer[Tag_OutpostArmadas])</f>
        <v>✅</v>
      </c>
      <c r="P319" s="516" t="str">
        <f t="array" ref="P319">XLOOKUP(LCARS_Off[AbilityID],RawOfficer[AbilityID],RawOfficer[Tag_OutpostRetaliators])</f>
        <v>✅</v>
      </c>
      <c r="Q319" s="517" t="str">
        <f t="array" ref="Q319">XLOOKUP(LCARS_Off[AbilityID],RawOfficer[AbilityID],RawOfficer[Conditional_Reason])</f>
        <v/>
      </c>
      <c r="R319" s="518" t="str">
        <f t="array" ref="R319">XLOOKUP(LCARS_Off[AbilityID],RawOfficer[AbilityID],RawOfficer[Tag_Loot])</f>
        <v>➖</v>
      </c>
      <c r="S319" s="516" t="str">
        <f t="array" ref="S319">XLOOKUP(LCARS_Off[AbilityID],RawOfficer[AbilityID],RawOfficer[Tag_Utility])</f>
        <v>➖</v>
      </c>
      <c r="T319" s="429" t="str">
        <f t="array" ref="T319">XLOOKUP(LCARS_Off[AbilityID],RawOfficer[AbilityID],RawOfficer[OfficerSynergy])</f>
        <v>LOWER DECKS CREW</v>
      </c>
      <c r="U319" s="519" t="str">
        <f t="array" ref="U319">XLOOKUP(LCARS_Off[AbilityID],RawOfficer[AbilityID],RawOfficer[AbilityModifier])</f>
        <v>AllPiercing</v>
      </c>
      <c r="V319" s="519" t="str">
        <f t="array" ref="V319">XLOOKUP(LCARS_Off[AbilityID],RawOfficer[AbilityID],RawOfficer[AbilityAttributes])</f>
        <v/>
      </c>
      <c r="W319" s="520" t="str">
        <f t="array" ref="W319">XLOOKUP(LCARS_Off[AbilityID],RawOfficer[AbilityID],RawOfficer[AbilityConditions])</f>
        <v/>
      </c>
      <c r="X319" s="519" t="str">
        <f t="array" ref="X319">XLOOKUP(LCARS_Off[AbilityID],RawOfficer[AbilityID],RawOfficer[AbilityTrigger])</f>
        <v>ShipLaunched</v>
      </c>
      <c r="Y319" s="519" t="str">
        <f t="array" ref="Y319">XLOOKUP(LCARS_Off[AbilityID],RawOfficer[AbilityID],RawOfficer[AbilityTarget])</f>
        <v>SelfShip</v>
      </c>
      <c r="Z319" s="519" t="str">
        <f t="array" ref="Z319">XLOOKUP(LCARS_Off[AbilityID],RawOfficer[AbilityID],RawOfficer[AbilityOperation])</f>
        <v>MultiplyAdd</v>
      </c>
      <c r="AA319" s="521" t="str">
        <f t="array" ref="AA319">XLOOKUP(LCARS_Off[AbilityID],RawOfficer[AbilityID],RawOfficer[AbilityDescription])</f>
        <v>Badgey increases Armor Penetration, Shield Penetration, and Accuracy by X.</v>
      </c>
      <c r="AB319" s="429" t="b">
        <v>0</v>
      </c>
      <c r="AC319" s="522" t="str">
        <f t="array" ref="AC319">XLOOKUP(LCARS_Off[AbilityID],RawOfficer[AbilityID],RawOfficer[AbilityDescriptionShort])</f>
        <v>+X to all Penetration stats.</v>
      </c>
      <c r="AD319" s="523"/>
      <c r="AE319" s="524"/>
      <c r="AF319" s="524"/>
      <c r="AG319" s="525" t="str">
        <f t="array" ref="AG319">XLOOKUP(LCARS_Off[AbilityID],RawOfficer[AbilityID],RawOfficer[AbilityChances])</f>
        <v>1.0, 1.0, 1.0, 1.0, 1.0</v>
      </c>
      <c r="AH319" s="525" t="str">
        <f t="array" ref="AH319">XLOOKUP(LCARS_Off[AbilityID],RawOfficer[AbilityID],RawOfficer[AbilityValues])</f>
        <v>0.15, 0.225, 0.3, 0.45, 0.65</v>
      </c>
      <c r="AI319" s="428" t="b">
        <f t="array" ref="AI319">XLOOKUP(LCARS_Off[AbilityID],RawOfficer[AbilityID],RawOfficer[AbilityHasChance])</f>
        <v>0</v>
      </c>
      <c r="AJ319" s="428" t="b">
        <f t="array" ref="AJ319">XLOOKUP(LCARS_Off[AbilityID],RawOfficer[AbilityID],RawOfficer[AbilityShowPercentage])</f>
        <v>1</v>
      </c>
      <c r="AK319" s="429">
        <f t="array" ref="AK319">XLOOKUP(LCARS_Off[AbilityID],RawOfficer[AbilityID],RawOfficer[OfficerArt])</f>
        <v>198</v>
      </c>
      <c r="AL319" s="430">
        <v>2.353995811E9</v>
      </c>
      <c r="AM319" s="430">
        <f t="array" ref="AM319">XLOOKUP(LCARS_Off[AbilityID],RawOfficer[AbilityID],RawOfficer[Default Order])</f>
        <v>316</v>
      </c>
    </row>
    <row r="320">
      <c r="A320" s="429" t="str">
        <f t="array" ref="A320">LEFT(XLOOKUP(LCARS_Off[AbilityID],RawOfficer[AbilityID],RawOfficer[OfficerRarity]), 1)</f>
        <v>E</v>
      </c>
      <c r="B320" s="429"/>
      <c r="C320" s="514" t="str">
        <f t="array" ref="C320">HYPERLINK("https://stfc.space/officers/" &amp; XLOOKUP(LCARS_Off[AbilityID],RawOfficer[AbilityID],RawOfficer[OfficerId]), XLOOKUP(LCARS_Off[AbilityID],RawOfficer[AbilityID],RawOfficer[OfficerName]))</f>
        <v>D'VANA TENDI</v>
      </c>
      <c r="D320" s="515" t="str">
        <f t="array" ref="D320">XLOOKUP(LCARS_Off[AbilityID],RawOfficer[AbilityID],RawOfficer[AbilityType])</f>
        <v>OA</v>
      </c>
      <c r="E320" s="516" t="str">
        <f t="array" ref="E320">XLOOKUP(LCARS_Off[AbilityID],RawOfficer[AbilityID],RawOfficer[Tag_PvPinSpace])</f>
        <v>✅</v>
      </c>
      <c r="F320" s="516" t="str">
        <f t="array" ref="F320">XLOOKUP(LCARS_Off[AbilityID],RawOfficer[AbilityID],RawOfficer[Tag_PvPStation])</f>
        <v>✅</v>
      </c>
      <c r="G320" s="516" t="str">
        <f t="array" ref="G320">XLOOKUP(LCARS_Off[AbilityID],RawOfficer[AbilityID],RawOfficer[Tag_NonArmadaHostiles])</f>
        <v>✅</v>
      </c>
      <c r="H320" s="516" t="str">
        <f t="array" ref="H320">XLOOKUP(LCARS_Off[AbilityID],RawOfficer[AbilityID],RawOfficer[Tag_WaveDefense])</f>
        <v>✅</v>
      </c>
      <c r="I320" s="516" t="str">
        <f t="array" ref="I320">XLOOKUP(LCARS_Off[AbilityID],RawOfficer[AbilityID],RawOfficer[Tag_QTrial])</f>
        <v>✅</v>
      </c>
      <c r="J320" s="516" t="str">
        <f t="array" ref="J320">XLOOKUP(LCARS_Off[AbilityID],RawOfficer[AbilityID],RawOfficer[Tag_MissionBosses])</f>
        <v>✅</v>
      </c>
      <c r="K320" s="516" t="str">
        <f t="array" ref="K320">XLOOKUP(LCARS_Off[AbilityID],RawOfficer[AbilityID],RawOfficer[Tag_GroupArmadas])</f>
        <v>✅</v>
      </c>
      <c r="L320" s="516" t="str">
        <f t="array" ref="L320">XLOOKUP(LCARS_Off[AbilityID],RawOfficer[AbilityID],RawOfficer[Tag_SoloArmadas])</f>
        <v>✅</v>
      </c>
      <c r="M320" s="516" t="str">
        <f t="array" ref="M320">XLOOKUP(LCARS_Off[AbilityID],RawOfficer[AbilityID],RawOfficer[Tag_InvadingEntities])</f>
        <v>✅</v>
      </c>
      <c r="N320" s="516" t="str">
        <f t="array" ref="N320">XLOOKUP(LCARS_Off[AbilityID],RawOfficer[AbilityID],RawOfficer[Tag_Assaults])</f>
        <v>✅</v>
      </c>
      <c r="O320" s="516" t="str">
        <f t="array" ref="O320">XLOOKUP(LCARS_Off[AbilityID],RawOfficer[AbilityID],RawOfficer[Tag_OutpostArmadas])</f>
        <v>✅</v>
      </c>
      <c r="P320" s="516" t="str">
        <f t="array" ref="P320">XLOOKUP(LCARS_Off[AbilityID],RawOfficer[AbilityID],RawOfficer[Tag_OutpostRetaliators])</f>
        <v>✅</v>
      </c>
      <c r="Q320" s="517" t="str">
        <f t="array" ref="Q320">XLOOKUP(LCARS_Off[AbilityID],RawOfficer[AbilityID],RawOfficer[Conditional_Reason])</f>
        <v/>
      </c>
      <c r="R320" s="518" t="str">
        <f t="array" ref="R320">XLOOKUP(LCARS_Off[AbilityID],RawOfficer[AbilityID],RawOfficer[Tag_Loot])</f>
        <v>➖</v>
      </c>
      <c r="S320" s="516" t="str">
        <f t="array" ref="S320">XLOOKUP(LCARS_Off[AbilityID],RawOfficer[AbilityID],RawOfficer[Tag_Utility])</f>
        <v>➖</v>
      </c>
      <c r="T320" s="429" t="str">
        <f t="array" ref="T320">XLOOKUP(LCARS_Off[AbilityID],RawOfficer[AbilityID],RawOfficer[OfficerSynergy])</f>
        <v>LOWER DECKS CREW</v>
      </c>
      <c r="U320" s="519" t="str">
        <f t="array" ref="U320">XLOOKUP(LCARS_Off[AbilityID],RawOfficer[AbilityID],RawOfficer[AbilityModifier])</f>
        <v>OfficerStatHealth</v>
      </c>
      <c r="V320" s="519" t="str">
        <f t="array" ref="V320">XLOOKUP(LCARS_Off[AbilityID],RawOfficer[AbilityID],RawOfficer[AbilityAttributes])</f>
        <v/>
      </c>
      <c r="W320" s="520" t="str">
        <f t="array" ref="W320">XLOOKUP(LCARS_Off[AbilityID],RawOfficer[AbilityID],RawOfficer[AbilityConditions])</f>
        <v/>
      </c>
      <c r="X320" s="519" t="str">
        <f t="array" ref="X320">XLOOKUP(LCARS_Off[AbilityID],RawOfficer[AbilityID],RawOfficer[AbilityTrigger])</f>
        <v>ShipLaunched</v>
      </c>
      <c r="Y320" s="519" t="str">
        <f t="array" ref="Y320">XLOOKUP(LCARS_Off[AbilityID],RawOfficer[AbilityID],RawOfficer[AbilityTarget])</f>
        <v>SelfAll</v>
      </c>
      <c r="Z320" s="519" t="str">
        <f t="array" ref="Z320">XLOOKUP(LCARS_Off[AbilityID],RawOfficer[AbilityID],RawOfficer[AbilityOperation])</f>
        <v>MultiplyAdd</v>
      </c>
      <c r="AA320" s="521" t="str">
        <f t="array" ref="AA320">XLOOKUP(LCARS_Off[AbilityID],RawOfficer[AbilityID],RawOfficer[AbilityDescription])</f>
        <v>D'Vana Tendi increases the Health of all Officers on the ship by X.</v>
      </c>
      <c r="AB320" s="429" t="b">
        <v>0</v>
      </c>
      <c r="AC320" s="522" t="str">
        <f t="array" ref="AC320">XLOOKUP(LCARS_Off[AbilityID],RawOfficer[AbilityID],RawOfficer[AbilityDescriptionShort])</f>
        <v>+X to all Officer Health.</v>
      </c>
      <c r="AD320" s="523"/>
      <c r="AE320" s="524"/>
      <c r="AF320" s="524"/>
      <c r="AG320" s="525" t="str">
        <f t="array" ref="AG320">XLOOKUP(LCARS_Off[AbilityID],RawOfficer[AbilityID],RawOfficer[AbilityChances])</f>
        <v>1.0, 1.0, 1.0, 1.0, 1.0</v>
      </c>
      <c r="AH320" s="525" t="str">
        <f t="array" ref="AH320">XLOOKUP(LCARS_Off[AbilityID],RawOfficer[AbilityID],RawOfficer[AbilityValues])</f>
        <v>0.05, 0.1, 0.15, 0.25, 0.3</v>
      </c>
      <c r="AI320" s="428" t="b">
        <f t="array" ref="AI320">XLOOKUP(LCARS_Off[AbilityID],RawOfficer[AbilityID],RawOfficer[AbilityHasChance])</f>
        <v>0</v>
      </c>
      <c r="AJ320" s="428" t="b">
        <f t="array" ref="AJ320">XLOOKUP(LCARS_Off[AbilityID],RawOfficer[AbilityID],RawOfficer[AbilityShowPercentage])</f>
        <v>1</v>
      </c>
      <c r="AK320" s="429">
        <f t="array" ref="AK320">XLOOKUP(LCARS_Off[AbilityID],RawOfficer[AbilityID],RawOfficer[OfficerArt])</f>
        <v>200</v>
      </c>
      <c r="AL320" s="430">
        <v>6.98615866E8</v>
      </c>
      <c r="AM320" s="430">
        <f t="array" ref="AM320">XLOOKUP(LCARS_Off[AbilityID],RawOfficer[AbilityID],RawOfficer[Default Order])</f>
        <v>317</v>
      </c>
    </row>
    <row r="321">
      <c r="A321" s="429" t="str">
        <f t="array" ref="A321">LEFT(XLOOKUP(LCARS_Off[AbilityID],RawOfficer[AbilityID],RawOfficer[OfficerRarity]), 1)</f>
        <v>E</v>
      </c>
      <c r="B321" s="429"/>
      <c r="C321" s="514" t="str">
        <f t="array" ref="C321">HYPERLINK("https://stfc.space/officers/" &amp; XLOOKUP(LCARS_Off[AbilityID],RawOfficer[AbilityID],RawOfficer[OfficerId]), XLOOKUP(LCARS_Off[AbilityID],RawOfficer[AbilityID],RawOfficer[OfficerName]))</f>
        <v>D'VANA TENDI</v>
      </c>
      <c r="D321" s="515" t="str">
        <f t="array" ref="D321">XLOOKUP(LCARS_Off[AbilityID],RawOfficer[AbilityID],RawOfficer[AbilityType])</f>
        <v>BDA</v>
      </c>
      <c r="E321" s="516" t="str">
        <f t="array" ref="E321">XLOOKUP(LCARS_Off[AbilityID],RawOfficer[AbilityID],RawOfficer[Tag_PvPinSpace])</f>
        <v>✅</v>
      </c>
      <c r="F321" s="516" t="str">
        <f t="array" ref="F321">XLOOKUP(LCARS_Off[AbilityID],RawOfficer[AbilityID],RawOfficer[Tag_PvPStation])</f>
        <v>✅</v>
      </c>
      <c r="G321" s="516" t="str">
        <f t="array" ref="G321">XLOOKUP(LCARS_Off[AbilityID],RawOfficer[AbilityID],RawOfficer[Tag_NonArmadaHostiles])</f>
        <v>✅</v>
      </c>
      <c r="H321" s="516" t="str">
        <f t="array" ref="H321">XLOOKUP(LCARS_Off[AbilityID],RawOfficer[AbilityID],RawOfficer[Tag_WaveDefense])</f>
        <v>✅</v>
      </c>
      <c r="I321" s="516" t="str">
        <f t="array" ref="I321">XLOOKUP(LCARS_Off[AbilityID],RawOfficer[AbilityID],RawOfficer[Tag_QTrial])</f>
        <v>✅</v>
      </c>
      <c r="J321" s="516" t="str">
        <f t="array" ref="J321">XLOOKUP(LCARS_Off[AbilityID],RawOfficer[AbilityID],RawOfficer[Tag_MissionBosses])</f>
        <v>✅</v>
      </c>
      <c r="K321" s="516" t="str">
        <f t="array" ref="K321">XLOOKUP(LCARS_Off[AbilityID],RawOfficer[AbilityID],RawOfficer[Tag_GroupArmadas])</f>
        <v>✅</v>
      </c>
      <c r="L321" s="516" t="str">
        <f t="array" ref="L321">XLOOKUP(LCARS_Off[AbilityID],RawOfficer[AbilityID],RawOfficer[Tag_SoloArmadas])</f>
        <v>✅</v>
      </c>
      <c r="M321" s="516" t="str">
        <f t="array" ref="M321">XLOOKUP(LCARS_Off[AbilityID],RawOfficer[AbilityID],RawOfficer[Tag_InvadingEntities])</f>
        <v>✅</v>
      </c>
      <c r="N321" s="516" t="str">
        <f t="array" ref="N321">XLOOKUP(LCARS_Off[AbilityID],RawOfficer[AbilityID],RawOfficer[Tag_Assaults])</f>
        <v>✅</v>
      </c>
      <c r="O321" s="516" t="str">
        <f t="array" ref="O321">XLOOKUP(LCARS_Off[AbilityID],RawOfficer[AbilityID],RawOfficer[Tag_OutpostArmadas])</f>
        <v>✅</v>
      </c>
      <c r="P321" s="516" t="str">
        <f t="array" ref="P321">XLOOKUP(LCARS_Off[AbilityID],RawOfficer[AbilityID],RawOfficer[Tag_OutpostRetaliators])</f>
        <v>✅</v>
      </c>
      <c r="Q321" s="517" t="str">
        <f t="array" ref="Q321">XLOOKUP(LCARS_Off[AbilityID],RawOfficer[AbilityID],RawOfficer[Conditional_Reason])</f>
        <v/>
      </c>
      <c r="R321" s="518" t="str">
        <f t="array" ref="R321">XLOOKUP(LCARS_Off[AbilityID],RawOfficer[AbilityID],RawOfficer[Tag_Loot])</f>
        <v>➖</v>
      </c>
      <c r="S321" s="516" t="str">
        <f t="array" ref="S321">XLOOKUP(LCARS_Off[AbilityID],RawOfficer[AbilityID],RawOfficer[Tag_Utility])</f>
        <v>➖</v>
      </c>
      <c r="T321" s="429" t="str">
        <f t="array" ref="T321">XLOOKUP(LCARS_Off[AbilityID],RawOfficer[AbilityID],RawOfficer[OfficerSynergy])</f>
        <v>LOWER DECKS CREW</v>
      </c>
      <c r="U321" s="519" t="str">
        <f t="array" ref="U321">XLOOKUP(LCARS_Off[AbilityID],RawOfficer[AbilityID],RawOfficer[AbilityModifier])</f>
        <v>HullHPMax</v>
      </c>
      <c r="V321" s="519" t="str">
        <f t="array" ref="V321">XLOOKUP(LCARS_Off[AbilityID],RawOfficer[AbilityID],RawOfficer[AbilityAttributes])</f>
        <v/>
      </c>
      <c r="W321" s="520" t="str">
        <f t="array" ref="W321">XLOOKUP(LCARS_Off[AbilityID],RawOfficer[AbilityID],RawOfficer[AbilityConditions])</f>
        <v/>
      </c>
      <c r="X321" s="519" t="str">
        <f t="array" ref="X321">XLOOKUP(LCARS_Off[AbilityID],RawOfficer[AbilityID],RawOfficer[AbilityTrigger])</f>
        <v>ShipLaunched</v>
      </c>
      <c r="Y321" s="519" t="str">
        <f t="array" ref="Y321">XLOOKUP(LCARS_Off[AbilityID],RawOfficer[AbilityID],RawOfficer[AbilityTarget])</f>
        <v>SelfShip</v>
      </c>
      <c r="Z321" s="519" t="str">
        <f t="array" ref="Z321">XLOOKUP(LCARS_Off[AbilityID],RawOfficer[AbilityID],RawOfficer[AbilityOperation])</f>
        <v>MultiplyAdd</v>
      </c>
      <c r="AA321" s="521" t="str">
        <f t="array" ref="AA321">XLOOKUP(LCARS_Off[AbilityID],RawOfficer[AbilityID],RawOfficer[AbilityDescription])</f>
        <v>D'Vana Tendi increases the ship's Hull Health by X.</v>
      </c>
      <c r="AB321" s="429" t="b">
        <v>0</v>
      </c>
      <c r="AC321" s="522" t="str">
        <f t="array" ref="AC321">XLOOKUP(LCARS_Off[AbilityID],RawOfficer[AbilityID],RawOfficer[AbilityDescriptionShort])</f>
        <v>+X to HHP.</v>
      </c>
      <c r="AD321" s="523"/>
      <c r="AE321" s="524"/>
      <c r="AF321" s="524"/>
      <c r="AG321" s="525" t="str">
        <f t="array" ref="AG321">XLOOKUP(LCARS_Off[AbilityID],RawOfficer[AbilityID],RawOfficer[AbilityChances])</f>
        <v>1.0, 1.0, 1.0, 1.0, 1.0</v>
      </c>
      <c r="AH321" s="525" t="str">
        <f t="array" ref="AH321">XLOOKUP(LCARS_Off[AbilityID],RawOfficer[AbilityID],RawOfficer[AbilityValues])</f>
        <v>0.75, 1.0, 1.35, 1.7, 2.15</v>
      </c>
      <c r="AI321" s="428" t="b">
        <f t="array" ref="AI321">XLOOKUP(LCARS_Off[AbilityID],RawOfficer[AbilityID],RawOfficer[AbilityHasChance])</f>
        <v>0</v>
      </c>
      <c r="AJ321" s="428" t="b">
        <f t="array" ref="AJ321">XLOOKUP(LCARS_Off[AbilityID],RawOfficer[AbilityID],RawOfficer[AbilityShowPercentage])</f>
        <v>1</v>
      </c>
      <c r="AK321" s="429">
        <f t="array" ref="AK321">XLOOKUP(LCARS_Off[AbilityID],RawOfficer[AbilityID],RawOfficer[OfficerArt])</f>
        <v>200</v>
      </c>
      <c r="AL321" s="430">
        <v>2.296451322E9</v>
      </c>
      <c r="AM321" s="430">
        <f t="array" ref="AM321">XLOOKUP(LCARS_Off[AbilityID],RawOfficer[AbilityID],RawOfficer[Default Order])</f>
        <v>318</v>
      </c>
    </row>
    <row r="322">
      <c r="A322" s="429" t="str">
        <f t="array" ref="A322">LEFT(XLOOKUP(LCARS_Off[AbilityID],RawOfficer[AbilityID],RawOfficer[OfficerRarity]), 1)</f>
        <v>R</v>
      </c>
      <c r="B322" s="429"/>
      <c r="C322" s="514" t="str">
        <f t="array" ref="C322">HYPERLINK("https://stfc.space/officers/" &amp; XLOOKUP(LCARS_Off[AbilityID],RawOfficer[AbilityID],RawOfficer[OfficerId]), XLOOKUP(LCARS_Off[AbilityID],RawOfficer[AbilityID],RawOfficer[OfficerName]))</f>
        <v>SAM RUTHERFORD</v>
      </c>
      <c r="D322" s="515" t="str">
        <f t="array" ref="D322">XLOOKUP(LCARS_Off[AbilityID],RawOfficer[AbilityID],RawOfficer[AbilityType])</f>
        <v>OA</v>
      </c>
      <c r="E322" s="516" t="str">
        <f t="array" ref="E322">XLOOKUP(LCARS_Off[AbilityID],RawOfficer[AbilityID],RawOfficer[Tag_PvPinSpace])</f>
        <v>✅</v>
      </c>
      <c r="F322" s="516" t="str">
        <f t="array" ref="F322">XLOOKUP(LCARS_Off[AbilityID],RawOfficer[AbilityID],RawOfficer[Tag_PvPStation])</f>
        <v>✅</v>
      </c>
      <c r="G322" s="516" t="str">
        <f t="array" ref="G322">XLOOKUP(LCARS_Off[AbilityID],RawOfficer[AbilityID],RawOfficer[Tag_NonArmadaHostiles])</f>
        <v>✅</v>
      </c>
      <c r="H322" s="516" t="str">
        <f t="array" ref="H322">XLOOKUP(LCARS_Off[AbilityID],RawOfficer[AbilityID],RawOfficer[Tag_WaveDefense])</f>
        <v>✅</v>
      </c>
      <c r="I322" s="516" t="str">
        <f t="array" ref="I322">XLOOKUP(LCARS_Off[AbilityID],RawOfficer[AbilityID],RawOfficer[Tag_QTrial])</f>
        <v>✅</v>
      </c>
      <c r="J322" s="516" t="str">
        <f t="array" ref="J322">XLOOKUP(LCARS_Off[AbilityID],RawOfficer[AbilityID],RawOfficer[Tag_MissionBosses])</f>
        <v>✅</v>
      </c>
      <c r="K322" s="516" t="str">
        <f t="array" ref="K322">XLOOKUP(LCARS_Off[AbilityID],RawOfficer[AbilityID],RawOfficer[Tag_GroupArmadas])</f>
        <v>✅</v>
      </c>
      <c r="L322" s="516" t="str">
        <f t="array" ref="L322">XLOOKUP(LCARS_Off[AbilityID],RawOfficer[AbilityID],RawOfficer[Tag_SoloArmadas])</f>
        <v>✅</v>
      </c>
      <c r="M322" s="516" t="str">
        <f t="array" ref="M322">XLOOKUP(LCARS_Off[AbilityID],RawOfficer[AbilityID],RawOfficer[Tag_InvadingEntities])</f>
        <v>✅</v>
      </c>
      <c r="N322" s="516" t="str">
        <f t="array" ref="N322">XLOOKUP(LCARS_Off[AbilityID],RawOfficer[AbilityID],RawOfficer[Tag_Assaults])</f>
        <v>✅</v>
      </c>
      <c r="O322" s="516" t="str">
        <f t="array" ref="O322">XLOOKUP(LCARS_Off[AbilityID],RawOfficer[AbilityID],RawOfficer[Tag_OutpostArmadas])</f>
        <v>✅</v>
      </c>
      <c r="P322" s="516" t="str">
        <f t="array" ref="P322">XLOOKUP(LCARS_Off[AbilityID],RawOfficer[AbilityID],RawOfficer[Tag_OutpostRetaliators])</f>
        <v>✅</v>
      </c>
      <c r="Q322" s="517" t="str">
        <f t="array" ref="Q322">XLOOKUP(LCARS_Off[AbilityID],RawOfficer[AbilityID],RawOfficer[Conditional_Reason])</f>
        <v/>
      </c>
      <c r="R322" s="518" t="str">
        <f t="array" ref="R322">XLOOKUP(LCARS_Off[AbilityID],RawOfficer[AbilityID],RawOfficer[Tag_Loot])</f>
        <v>➖</v>
      </c>
      <c r="S322" s="516" t="str">
        <f t="array" ref="S322">XLOOKUP(LCARS_Off[AbilityID],RawOfficer[AbilityID],RawOfficer[Tag_Utility])</f>
        <v>➖</v>
      </c>
      <c r="T322" s="429" t="str">
        <f t="array" ref="T322">XLOOKUP(LCARS_Off[AbilityID],RawOfficer[AbilityID],RawOfficer[OfficerSynergy])</f>
        <v>LOWER DECKS CREW</v>
      </c>
      <c r="U322" s="519" t="str">
        <f t="array" ref="U322">XLOOKUP(LCARS_Off[AbilityID],RawOfficer[AbilityID],RawOfficer[AbilityModifier])</f>
        <v>AllDefenses</v>
      </c>
      <c r="V322" s="519" t="str">
        <f t="array" ref="V322">XLOOKUP(LCARS_Off[AbilityID],RawOfficer[AbilityID],RawOfficer[AbilityAttributes])</f>
        <v/>
      </c>
      <c r="W322" s="520" t="str">
        <f t="array" ref="W322">XLOOKUP(LCARS_Off[AbilityID],RawOfficer[AbilityID],RawOfficer[AbilityConditions])</f>
        <v/>
      </c>
      <c r="X322" s="519" t="str">
        <f t="array" ref="X322">XLOOKUP(LCARS_Off[AbilityID],RawOfficer[AbilityID],RawOfficer[AbilityTrigger])</f>
        <v>ShipLaunched</v>
      </c>
      <c r="Y322" s="519" t="str">
        <f t="array" ref="Y322">XLOOKUP(LCARS_Off[AbilityID],RawOfficer[AbilityID],RawOfficer[AbilityTarget])</f>
        <v>SelfShip</v>
      </c>
      <c r="Z322" s="519" t="str">
        <f t="array" ref="Z322">XLOOKUP(LCARS_Off[AbilityID],RawOfficer[AbilityID],RawOfficer[AbilityOperation])</f>
        <v>MultiplyAdd</v>
      </c>
      <c r="AA322" s="521" t="str">
        <f t="array" ref="AA322">XLOOKUP(LCARS_Off[AbilityID],RawOfficer[AbilityID],RawOfficer[AbilityDescription])</f>
        <v>Sam Rutherford increases Armor, Shield Deflection, and Dodge by X.</v>
      </c>
      <c r="AB322" s="429" t="b">
        <v>0</v>
      </c>
      <c r="AC322" s="522" t="str">
        <f t="array" ref="AC322">XLOOKUP(LCARS_Off[AbilityID],RawOfficer[AbilityID],RawOfficer[AbilityDescriptionShort])</f>
        <v>+X to all Mitigation stats.</v>
      </c>
      <c r="AD322" s="523"/>
      <c r="AE322" s="524"/>
      <c r="AF322" s="524"/>
      <c r="AG322" s="525" t="str">
        <f t="array" ref="AG322">XLOOKUP(LCARS_Off[AbilityID],RawOfficer[AbilityID],RawOfficer[AbilityChances])</f>
        <v>1.0, 1.0, 1.0, 1.0, 1.0</v>
      </c>
      <c r="AH322" s="525" t="str">
        <f t="array" ref="AH322">XLOOKUP(LCARS_Off[AbilityID],RawOfficer[AbilityID],RawOfficer[AbilityValues])</f>
        <v>0.3, 0.35, 0.4, 0.45, 0.5</v>
      </c>
      <c r="AI322" s="428" t="b">
        <f t="array" ref="AI322">XLOOKUP(LCARS_Off[AbilityID],RawOfficer[AbilityID],RawOfficer[AbilityHasChance])</f>
        <v>0</v>
      </c>
      <c r="AJ322" s="428" t="b">
        <f t="array" ref="AJ322">XLOOKUP(LCARS_Off[AbilityID],RawOfficer[AbilityID],RawOfficer[AbilityShowPercentage])</f>
        <v>1</v>
      </c>
      <c r="AK322" s="429">
        <f t="array" ref="AK322">XLOOKUP(LCARS_Off[AbilityID],RawOfficer[AbilityID],RawOfficer[OfficerArt])</f>
        <v>199</v>
      </c>
      <c r="AL322" s="430">
        <v>2.260942311E9</v>
      </c>
      <c r="AM322" s="430">
        <f t="array" ref="AM322">XLOOKUP(LCARS_Off[AbilityID],RawOfficer[AbilityID],RawOfficer[Default Order])</f>
        <v>319</v>
      </c>
    </row>
    <row r="323">
      <c r="A323" s="429" t="str">
        <f t="array" ref="A323">LEFT(XLOOKUP(LCARS_Off[AbilityID],RawOfficer[AbilityID],RawOfficer[OfficerRarity]), 1)</f>
        <v>R</v>
      </c>
      <c r="B323" s="429"/>
      <c r="C323" s="514" t="str">
        <f t="array" ref="C323">HYPERLINK("https://stfc.space/officers/" &amp; XLOOKUP(LCARS_Off[AbilityID],RawOfficer[AbilityID],RawOfficer[OfficerId]), XLOOKUP(LCARS_Off[AbilityID],RawOfficer[AbilityID],RawOfficer[OfficerName]))</f>
        <v>SAM RUTHERFORD</v>
      </c>
      <c r="D323" s="515" t="str">
        <f t="array" ref="D323">XLOOKUP(LCARS_Off[AbilityID],RawOfficer[AbilityID],RawOfficer[AbilityType])</f>
        <v>BDA</v>
      </c>
      <c r="E323" s="516" t="str">
        <f t="array" ref="E323">XLOOKUP(LCARS_Off[AbilityID],RawOfficer[AbilityID],RawOfficer[Tag_PvPinSpace])</f>
        <v>✅</v>
      </c>
      <c r="F323" s="516" t="str">
        <f t="array" ref="F323">XLOOKUP(LCARS_Off[AbilityID],RawOfficer[AbilityID],RawOfficer[Tag_PvPStation])</f>
        <v>✅</v>
      </c>
      <c r="G323" s="516" t="str">
        <f t="array" ref="G323">XLOOKUP(LCARS_Off[AbilityID],RawOfficer[AbilityID],RawOfficer[Tag_NonArmadaHostiles])</f>
        <v>✅</v>
      </c>
      <c r="H323" s="516" t="str">
        <f t="array" ref="H323">XLOOKUP(LCARS_Off[AbilityID],RawOfficer[AbilityID],RawOfficer[Tag_WaveDefense])</f>
        <v>✅</v>
      </c>
      <c r="I323" s="516" t="str">
        <f t="array" ref="I323">XLOOKUP(LCARS_Off[AbilityID],RawOfficer[AbilityID],RawOfficer[Tag_QTrial])</f>
        <v>✅</v>
      </c>
      <c r="J323" s="516" t="str">
        <f t="array" ref="J323">XLOOKUP(LCARS_Off[AbilityID],RawOfficer[AbilityID],RawOfficer[Tag_MissionBosses])</f>
        <v>✅</v>
      </c>
      <c r="K323" s="516" t="str">
        <f t="array" ref="K323">XLOOKUP(LCARS_Off[AbilityID],RawOfficer[AbilityID],RawOfficer[Tag_GroupArmadas])</f>
        <v>✅</v>
      </c>
      <c r="L323" s="516" t="str">
        <f t="array" ref="L323">XLOOKUP(LCARS_Off[AbilityID],RawOfficer[AbilityID],RawOfficer[Tag_SoloArmadas])</f>
        <v>✅</v>
      </c>
      <c r="M323" s="516" t="str">
        <f t="array" ref="M323">XLOOKUP(LCARS_Off[AbilityID],RawOfficer[AbilityID],RawOfficer[Tag_InvadingEntities])</f>
        <v>✅</v>
      </c>
      <c r="N323" s="516" t="str">
        <f t="array" ref="N323">XLOOKUP(LCARS_Off[AbilityID],RawOfficer[AbilityID],RawOfficer[Tag_Assaults])</f>
        <v>✅</v>
      </c>
      <c r="O323" s="516" t="str">
        <f t="array" ref="O323">XLOOKUP(LCARS_Off[AbilityID],RawOfficer[AbilityID],RawOfficer[Tag_OutpostArmadas])</f>
        <v>✅</v>
      </c>
      <c r="P323" s="516" t="str">
        <f t="array" ref="P323">XLOOKUP(LCARS_Off[AbilityID],RawOfficer[AbilityID],RawOfficer[Tag_OutpostRetaliators])</f>
        <v>✅</v>
      </c>
      <c r="Q323" s="517" t="str">
        <f t="array" ref="Q323">XLOOKUP(LCARS_Off[AbilityID],RawOfficer[AbilityID],RawOfficer[Conditional_Reason])</f>
        <v/>
      </c>
      <c r="R323" s="518" t="str">
        <f t="array" ref="R323">XLOOKUP(LCARS_Off[AbilityID],RawOfficer[AbilityID],RawOfficer[Tag_Loot])</f>
        <v>➖</v>
      </c>
      <c r="S323" s="516" t="str">
        <f t="array" ref="S323">XLOOKUP(LCARS_Off[AbilityID],RawOfficer[AbilityID],RawOfficer[Tag_Utility])</f>
        <v>➖</v>
      </c>
      <c r="T323" s="429" t="str">
        <f t="array" ref="T323">XLOOKUP(LCARS_Off[AbilityID],RawOfficer[AbilityID],RawOfficer[OfficerSynergy])</f>
        <v>LOWER DECKS CREW</v>
      </c>
      <c r="U323" s="519" t="str">
        <f t="array" ref="U323">XLOOKUP(LCARS_Off[AbilityID],RawOfficer[AbilityID],RawOfficer[AbilityModifier])</f>
        <v>ShieldHPMax</v>
      </c>
      <c r="V323" s="519" t="str">
        <f t="array" ref="V323">XLOOKUP(LCARS_Off[AbilityID],RawOfficer[AbilityID],RawOfficer[AbilityAttributes])</f>
        <v/>
      </c>
      <c r="W323" s="520" t="str">
        <f t="array" ref="W323">XLOOKUP(LCARS_Off[AbilityID],RawOfficer[AbilityID],RawOfficer[AbilityConditions])</f>
        <v/>
      </c>
      <c r="X323" s="519" t="str">
        <f t="array" ref="X323">XLOOKUP(LCARS_Off[AbilityID],RawOfficer[AbilityID],RawOfficer[AbilityTrigger])</f>
        <v>ShipLaunched</v>
      </c>
      <c r="Y323" s="519" t="str">
        <f t="array" ref="Y323">XLOOKUP(LCARS_Off[AbilityID],RawOfficer[AbilityID],RawOfficer[AbilityTarget])</f>
        <v>SelfShip</v>
      </c>
      <c r="Z323" s="519" t="str">
        <f t="array" ref="Z323">XLOOKUP(LCARS_Off[AbilityID],RawOfficer[AbilityID],RawOfficer[AbilityOperation])</f>
        <v>MultiplyAdd</v>
      </c>
      <c r="AA323" s="521" t="str">
        <f t="array" ref="AA323">XLOOKUP(LCARS_Off[AbilityID],RawOfficer[AbilityID],RawOfficer[AbilityDescription])</f>
        <v>Sam Rutherford increases the ship's Shield Health by X.</v>
      </c>
      <c r="AB323" s="429" t="b">
        <v>0</v>
      </c>
      <c r="AC323" s="522" t="str">
        <f t="array" ref="AC323">XLOOKUP(LCARS_Off[AbilityID],RawOfficer[AbilityID],RawOfficer[AbilityDescriptionShort])</f>
        <v>+X to SHP.</v>
      </c>
      <c r="AD323" s="523"/>
      <c r="AE323" s="524"/>
      <c r="AF323" s="524"/>
      <c r="AG323" s="525" t="str">
        <f t="array" ref="AG323">XLOOKUP(LCARS_Off[AbilityID],RawOfficer[AbilityID],RawOfficer[AbilityChances])</f>
        <v>1.0, 1.0, 1.0, 1.0, 1.0</v>
      </c>
      <c r="AH323" s="525" t="str">
        <f t="array" ref="AH323">XLOOKUP(LCARS_Off[AbilityID],RawOfficer[AbilityID],RawOfficer[AbilityValues])</f>
        <v>0.5, 0.7, 0.9, 1.1, 1.35</v>
      </c>
      <c r="AI323" s="428" t="b">
        <f t="array" ref="AI323">XLOOKUP(LCARS_Off[AbilityID],RawOfficer[AbilityID],RawOfficer[AbilityHasChance])</f>
        <v>0</v>
      </c>
      <c r="AJ323" s="428" t="b">
        <f t="array" ref="AJ323">XLOOKUP(LCARS_Off[AbilityID],RawOfficer[AbilityID],RawOfficer[AbilityShowPercentage])</f>
        <v>1</v>
      </c>
      <c r="AK323" s="429">
        <f t="array" ref="AK323">XLOOKUP(LCARS_Off[AbilityID],RawOfficer[AbilityID],RawOfficer[OfficerArt])</f>
        <v>199</v>
      </c>
      <c r="AL323" s="430">
        <v>1.49510426E9</v>
      </c>
      <c r="AM323" s="430">
        <f t="array" ref="AM323">XLOOKUP(LCARS_Off[AbilityID],RawOfficer[AbilityID],RawOfficer[Default Order])</f>
        <v>320</v>
      </c>
    </row>
    <row r="324">
      <c r="A324" s="429" t="str">
        <f t="array" ref="A324">LEFT(XLOOKUP(LCARS_Off[AbilityID],RawOfficer[AbilityID],RawOfficer[OfficerRarity]), 1)</f>
        <v>E</v>
      </c>
      <c r="B324" s="429"/>
      <c r="C324" s="514" t="str">
        <f t="array" ref="C324">HYPERLINK("https://stfc.space/officers/" &amp; XLOOKUP(LCARS_Off[AbilityID],RawOfficer[AbilityID],RawOfficer[OfficerId]), XLOOKUP(LCARS_Off[AbilityID],RawOfficer[AbilityID],RawOfficer[OfficerName]))</f>
        <v>SNW PIKE</v>
      </c>
      <c r="D324" s="515" t="str">
        <f t="array" ref="D324">XLOOKUP(LCARS_Off[AbilityID],RawOfficer[AbilityID],RawOfficer[AbilityType])</f>
        <v>CM</v>
      </c>
      <c r="E324" s="516" t="str">
        <f t="array" ref="E324">XLOOKUP(LCARS_Off[AbilityID],RawOfficer[AbilityID],RawOfficer[Tag_PvPinSpace])</f>
        <v>➖</v>
      </c>
      <c r="F324" s="516" t="str">
        <f t="array" ref="F324">XLOOKUP(LCARS_Off[AbilityID],RawOfficer[AbilityID],RawOfficer[Tag_PvPStation])</f>
        <v>➖</v>
      </c>
      <c r="G324" s="516" t="str">
        <f t="array" ref="G324">XLOOKUP(LCARS_Off[AbilityID],RawOfficer[AbilityID],RawOfficer[Tag_NonArmadaHostiles])</f>
        <v>✅</v>
      </c>
      <c r="H324" s="516" t="str">
        <f t="array" ref="H324">XLOOKUP(LCARS_Off[AbilityID],RawOfficer[AbilityID],RawOfficer[Tag_WaveDefense])</f>
        <v>✅</v>
      </c>
      <c r="I324" s="516" t="str">
        <f t="array" ref="I324">XLOOKUP(LCARS_Off[AbilityID],RawOfficer[AbilityID],RawOfficer[Tag_QTrial])</f>
        <v>✅</v>
      </c>
      <c r="J324" s="516" t="str">
        <f t="array" ref="J324">XLOOKUP(LCARS_Off[AbilityID],RawOfficer[AbilityID],RawOfficer[Tag_MissionBosses])</f>
        <v>➖</v>
      </c>
      <c r="K324" s="516" t="str">
        <f t="array" ref="K324">XLOOKUP(LCARS_Off[AbilityID],RawOfficer[AbilityID],RawOfficer[Tag_GroupArmadas])</f>
        <v>➖</v>
      </c>
      <c r="L324" s="516" t="str">
        <f t="array" ref="L324">XLOOKUP(LCARS_Off[AbilityID],RawOfficer[AbilityID],RawOfficer[Tag_SoloArmadas])</f>
        <v>➖</v>
      </c>
      <c r="M324" s="516" t="str">
        <f t="array" ref="M324">XLOOKUP(LCARS_Off[AbilityID],RawOfficer[AbilityID],RawOfficer[Tag_InvadingEntities])</f>
        <v>➖</v>
      </c>
      <c r="N324" s="516" t="str">
        <f t="array" ref="N324">XLOOKUP(LCARS_Off[AbilityID],RawOfficer[AbilityID],RawOfficer[Tag_Assaults])</f>
        <v>➖</v>
      </c>
      <c r="O324" s="516" t="str">
        <f t="array" ref="O324">XLOOKUP(LCARS_Off[AbilityID],RawOfficer[AbilityID],RawOfficer[Tag_OutpostArmadas])</f>
        <v>➖</v>
      </c>
      <c r="P324" s="516" t="str">
        <f t="array" ref="P324">XLOOKUP(LCARS_Off[AbilityID],RawOfficer[AbilityID],RawOfficer[Tag_OutpostRetaliators])</f>
        <v>➖</v>
      </c>
      <c r="Q324" s="517" t="str">
        <f t="array" ref="Q324">XLOOKUP(LCARS_Off[AbilityID],RawOfficer[AbilityID],RawOfficer[Conditional_Reason])</f>
        <v/>
      </c>
      <c r="R324" s="518" t="str">
        <f t="array" ref="R324">XLOOKUP(LCARS_Off[AbilityID],RawOfficer[AbilityID],RawOfficer[Tag_Loot])</f>
        <v>➖</v>
      </c>
      <c r="S324" s="516" t="str">
        <f t="array" ref="S324">XLOOKUP(LCARS_Off[AbilityID],RawOfficer[AbilityID],RawOfficer[Tag_Utility])</f>
        <v>➖</v>
      </c>
      <c r="T324" s="429" t="str">
        <f t="array" ref="T324">XLOOKUP(LCARS_Off[AbilityID],RawOfficer[AbilityID],RawOfficer[OfficerSynergy])</f>
        <v>STRANGE NEW WORLDS</v>
      </c>
      <c r="U324" s="519" t="str">
        <f t="array" ref="U324">XLOOKUP(LCARS_Off[AbilityID],RawOfficer[AbilityID],RawOfficer[AbilityModifier])</f>
        <v>ShieldMitigation</v>
      </c>
      <c r="V324" s="519" t="str">
        <f t="array" ref="V324">XLOOKUP(LCARS_Off[AbilityID],RawOfficer[AbilityID],RawOfficer[AbilityAttributes])</f>
        <v/>
      </c>
      <c r="W324" s="520" t="str">
        <f t="array" ref="W324">XLOOKUP(LCARS_Off[AbilityID],RawOfficer[AbilityID],RawOfficer[AbilityConditions])</f>
        <v>EnemyHostile, TargetNotArmada</v>
      </c>
      <c r="X324" s="519" t="str">
        <f t="array" ref="X324">XLOOKUP(LCARS_Off[AbilityID],RawOfficer[AbilityID],RawOfficer[AbilityTrigger])</f>
        <v>CombatStart</v>
      </c>
      <c r="Y324" s="519" t="str">
        <f t="array" ref="Y324">XLOOKUP(LCARS_Off[AbilityID],RawOfficer[AbilityID],RawOfficer[AbilityTarget])</f>
        <v>SelfShip</v>
      </c>
      <c r="Z324" s="519" t="str">
        <f t="array" ref="Z324">XLOOKUP(LCARS_Off[AbilityID],RawOfficer[AbilityID],RawOfficer[AbilityOperation])</f>
        <v>Add</v>
      </c>
      <c r="AA324" s="521" t="str">
        <f t="array" ref="AA324">XLOOKUP(LCARS_Off[AbilityID],RawOfficer[AbilityID],RawOfficer[AbilityDescription])</f>
        <v>When fighting hostiles, SNW Pike increases Shield Mitigation by X.</v>
      </c>
      <c r="AB324" s="429" t="b">
        <v>0</v>
      </c>
      <c r="AC324" s="522" t="str">
        <f t="array" ref="AC324">XLOOKUP(LCARS_Off[AbilityID],RawOfficer[AbilityID],RawOfficer[AbilityDescriptionShort])</f>
        <v>Increase Shield Mitigation by X.</v>
      </c>
      <c r="AD324" s="523"/>
      <c r="AE324" s="524"/>
      <c r="AF324" s="524"/>
      <c r="AG324" s="525" t="str">
        <f t="array" ref="AG324">XLOOKUP(LCARS_Off[AbilityID],RawOfficer[AbilityID],RawOfficer[AbilityChances])</f>
        <v>1.0, 1.0, 1.0</v>
      </c>
      <c r="AH324" s="525" t="str">
        <f t="array" ref="AH324">XLOOKUP(LCARS_Off[AbilityID],RawOfficer[AbilityID],RawOfficer[AbilityValues])</f>
        <v>0.04, 0.02, 0.05</v>
      </c>
      <c r="AI324" s="428" t="b">
        <f t="array" ref="AI324">XLOOKUP(LCARS_Off[AbilityID],RawOfficer[AbilityID],RawOfficer[AbilityHasChance])</f>
        <v>0</v>
      </c>
      <c r="AJ324" s="428" t="b">
        <f t="array" ref="AJ324">XLOOKUP(LCARS_Off[AbilityID],RawOfficer[AbilityID],RawOfficer[AbilityShowPercentage])</f>
        <v>1</v>
      </c>
      <c r="AK324" s="429">
        <f t="array" ref="AK324">XLOOKUP(LCARS_Off[AbilityID],RawOfficer[AbilityID],RawOfficer[OfficerArt])</f>
        <v>201</v>
      </c>
      <c r="AL324" s="430">
        <v>3.308805436E9</v>
      </c>
      <c r="AM324" s="430">
        <f t="array" ref="AM324">XLOOKUP(LCARS_Off[AbilityID],RawOfficer[AbilityID],RawOfficer[Default Order])</f>
        <v>321</v>
      </c>
    </row>
    <row r="325">
      <c r="A325" s="429" t="str">
        <f t="array" ref="A325">LEFT(XLOOKUP(LCARS_Off[AbilityID],RawOfficer[AbilityID],RawOfficer[OfficerRarity]), 1)</f>
        <v>E</v>
      </c>
      <c r="B325" s="429"/>
      <c r="C325" s="514" t="str">
        <f t="array" ref="C325">HYPERLINK("https://stfc.space/officers/" &amp; XLOOKUP(LCARS_Off[AbilityID],RawOfficer[AbilityID],RawOfficer[OfficerId]), XLOOKUP(LCARS_Off[AbilityID],RawOfficer[AbilityID],RawOfficer[OfficerName]))</f>
        <v>SNW PIKE</v>
      </c>
      <c r="D325" s="515" t="str">
        <f t="array" ref="D325">XLOOKUP(LCARS_Off[AbilityID],RawOfficer[AbilityID],RawOfficer[AbilityType])</f>
        <v>OA</v>
      </c>
      <c r="E325" s="516" t="str">
        <f t="array" ref="E325">XLOOKUP(LCARS_Off[AbilityID],RawOfficer[AbilityID],RawOfficer[Tag_PvPinSpace])</f>
        <v>➖</v>
      </c>
      <c r="F325" s="516" t="str">
        <f t="array" ref="F325">XLOOKUP(LCARS_Off[AbilityID],RawOfficer[AbilityID],RawOfficer[Tag_PvPStation])</f>
        <v>➖</v>
      </c>
      <c r="G325" s="516" t="str">
        <f t="array" ref="G325">XLOOKUP(LCARS_Off[AbilityID],RawOfficer[AbilityID],RawOfficer[Tag_NonArmadaHostiles])</f>
        <v>✅</v>
      </c>
      <c r="H325" s="516" t="str">
        <f t="array" ref="H325">XLOOKUP(LCARS_Off[AbilityID],RawOfficer[AbilityID],RawOfficer[Tag_WaveDefense])</f>
        <v>✅</v>
      </c>
      <c r="I325" s="516" t="str">
        <f t="array" ref="I325">XLOOKUP(LCARS_Off[AbilityID],RawOfficer[AbilityID],RawOfficer[Tag_QTrial])</f>
        <v>✅</v>
      </c>
      <c r="J325" s="516" t="str">
        <f t="array" ref="J325">XLOOKUP(LCARS_Off[AbilityID],RawOfficer[AbilityID],RawOfficer[Tag_MissionBosses])</f>
        <v>➖</v>
      </c>
      <c r="K325" s="516" t="str">
        <f t="array" ref="K325">XLOOKUP(LCARS_Off[AbilityID],RawOfficer[AbilityID],RawOfficer[Tag_GroupArmadas])</f>
        <v>➖</v>
      </c>
      <c r="L325" s="516" t="str">
        <f t="array" ref="L325">XLOOKUP(LCARS_Off[AbilityID],RawOfficer[AbilityID],RawOfficer[Tag_SoloArmadas])</f>
        <v>➖</v>
      </c>
      <c r="M325" s="516" t="str">
        <f t="array" ref="M325">XLOOKUP(LCARS_Off[AbilityID],RawOfficer[AbilityID],RawOfficer[Tag_InvadingEntities])</f>
        <v>➖</v>
      </c>
      <c r="N325" s="516" t="str">
        <f t="array" ref="N325">XLOOKUP(LCARS_Off[AbilityID],RawOfficer[AbilityID],RawOfficer[Tag_Assaults])</f>
        <v>➖</v>
      </c>
      <c r="O325" s="516" t="str">
        <f t="array" ref="O325">XLOOKUP(LCARS_Off[AbilityID],RawOfficer[AbilityID],RawOfficer[Tag_OutpostArmadas])</f>
        <v>➖</v>
      </c>
      <c r="P325" s="516" t="str">
        <f t="array" ref="P325">XLOOKUP(LCARS_Off[AbilityID],RawOfficer[AbilityID],RawOfficer[Tag_OutpostRetaliators])</f>
        <v>➖</v>
      </c>
      <c r="Q325" s="517" t="str">
        <f t="array" ref="Q325">XLOOKUP(LCARS_Off[AbilityID],RawOfficer[AbilityID],RawOfficer[Conditional_Reason])</f>
        <v/>
      </c>
      <c r="R325" s="518" t="str">
        <f t="array" ref="R325">XLOOKUP(LCARS_Off[AbilityID],RawOfficer[AbilityID],RawOfficer[Tag_Loot])</f>
        <v>➖</v>
      </c>
      <c r="S325" s="516" t="str">
        <f t="array" ref="S325">XLOOKUP(LCARS_Off[AbilityID],RawOfficer[AbilityID],RawOfficer[Tag_Utility])</f>
        <v>➖</v>
      </c>
      <c r="T325" s="429" t="str">
        <f t="array" ref="T325">XLOOKUP(LCARS_Off[AbilityID],RawOfficer[AbilityID],RawOfficer[OfficerSynergy])</f>
        <v>STRANGE NEW WORLDS</v>
      </c>
      <c r="U325" s="519" t="str">
        <f t="array" ref="U325">XLOOKUP(LCARS_Off[AbilityID],RawOfficer[AbilityID],RawOfficer[AbilityModifier])</f>
        <v>ShieldMitigation</v>
      </c>
      <c r="V325" s="519" t="str">
        <f t="array" ref="V325">XLOOKUP(LCARS_Off[AbilityID],RawOfficer[AbilityID],RawOfficer[AbilityAttributes])</f>
        <v/>
      </c>
      <c r="W325" s="520" t="str">
        <f t="array" ref="W325">XLOOKUP(LCARS_Off[AbilityID],RawOfficer[AbilityID],RawOfficer[AbilityConditions])</f>
        <v>EnemyHostile, TargetNotArmada</v>
      </c>
      <c r="X325" s="519" t="str">
        <f t="array" ref="X325">XLOOKUP(LCARS_Off[AbilityID],RawOfficer[AbilityID],RawOfficer[AbilityTrigger])</f>
        <v>CombatStart</v>
      </c>
      <c r="Y325" s="519" t="str">
        <f t="array" ref="Y325">XLOOKUP(LCARS_Off[AbilityID],RawOfficer[AbilityID],RawOfficer[AbilityTarget])</f>
        <v>EnemyShip</v>
      </c>
      <c r="Z325" s="519" t="str">
        <f t="array" ref="Z325">XLOOKUP(LCARS_Off[AbilityID],RawOfficer[AbilityID],RawOfficer[AbilityOperation])</f>
        <v>Sub</v>
      </c>
      <c r="AA325" s="521" t="str">
        <f t="array" ref="AA325">XLOOKUP(LCARS_Off[AbilityID],RawOfficer[AbilityID],RawOfficer[AbilityDescription])</f>
        <v>When fighting hostiles, SNW Pike decreases hostile Shield Mitigation by X.</v>
      </c>
      <c r="AB325" s="429" t="b">
        <v>0</v>
      </c>
      <c r="AC325" s="522" t="str">
        <f t="array" ref="AC325">XLOOKUP(LCARS_Off[AbilityID],RawOfficer[AbilityID],RawOfficer[AbilityDescriptionShort])</f>
        <v>Decrease hostile Shield Mitigation by X.</v>
      </c>
      <c r="AD325" s="523"/>
      <c r="AE325" s="524"/>
      <c r="AF325" s="524"/>
      <c r="AG325" s="525" t="str">
        <f t="array" ref="AG325">XLOOKUP(LCARS_Off[AbilityID],RawOfficer[AbilityID],RawOfficer[AbilityChances])</f>
        <v>1.0, 1.0, 1.0, 1.0, 1.0</v>
      </c>
      <c r="AH325" s="525" t="str">
        <f t="array" ref="AH325">XLOOKUP(LCARS_Off[AbilityID],RawOfficer[AbilityID],RawOfficer[AbilityValues])</f>
        <v>0.1, 0.15, 0.2, 0.25, 0.35</v>
      </c>
      <c r="AI325" s="428" t="b">
        <f t="array" ref="AI325">XLOOKUP(LCARS_Off[AbilityID],RawOfficer[AbilityID],RawOfficer[AbilityHasChance])</f>
        <v>0</v>
      </c>
      <c r="AJ325" s="428" t="b">
        <f t="array" ref="AJ325">XLOOKUP(LCARS_Off[AbilityID],RawOfficer[AbilityID],RawOfficer[AbilityShowPercentage])</f>
        <v>1</v>
      </c>
      <c r="AK325" s="429">
        <f t="array" ref="AK325">XLOOKUP(LCARS_Off[AbilityID],RawOfficer[AbilityID],RawOfficer[OfficerArt])</f>
        <v>201</v>
      </c>
      <c r="AL325" s="430">
        <v>1.761806598E9</v>
      </c>
      <c r="AM325" s="430">
        <f t="array" ref="AM325">XLOOKUP(LCARS_Off[AbilityID],RawOfficer[AbilityID],RawOfficer[Default Order])</f>
        <v>322</v>
      </c>
    </row>
    <row r="326">
      <c r="A326" s="429" t="str">
        <f t="array" ref="A326">LEFT(XLOOKUP(LCARS_Off[AbilityID],RawOfficer[AbilityID],RawOfficer[OfficerRarity]), 1)</f>
        <v>R</v>
      </c>
      <c r="B326" s="429"/>
      <c r="C326" s="514" t="str">
        <f t="array" ref="C326">HYPERLINK("https://stfc.space/officers/" &amp; XLOOKUP(LCARS_Off[AbilityID],RawOfficer[AbilityID],RawOfficer[OfficerId]), XLOOKUP(LCARS_Off[AbilityID],RawOfficer[AbilityID],RawOfficer[OfficerName]))</f>
        <v>SNW SPOCK</v>
      </c>
      <c r="D326" s="515" t="str">
        <f t="array" ref="D326">XLOOKUP(LCARS_Off[AbilityID],RawOfficer[AbilityID],RawOfficer[AbilityType])</f>
        <v>CM</v>
      </c>
      <c r="E326" s="516" t="str">
        <f t="array" ref="E326">XLOOKUP(LCARS_Off[AbilityID],RawOfficer[AbilityID],RawOfficer[Tag_PvPinSpace])</f>
        <v>➖</v>
      </c>
      <c r="F326" s="516" t="str">
        <f t="array" ref="F326">XLOOKUP(LCARS_Off[AbilityID],RawOfficer[AbilityID],RawOfficer[Tag_PvPStation])</f>
        <v>➖</v>
      </c>
      <c r="G326" s="516" t="str">
        <f t="array" ref="G326">XLOOKUP(LCARS_Off[AbilityID],RawOfficer[AbilityID],RawOfficer[Tag_NonArmadaHostiles])</f>
        <v>✅</v>
      </c>
      <c r="H326" s="516" t="str">
        <f t="array" ref="H326">XLOOKUP(LCARS_Off[AbilityID],RawOfficer[AbilityID],RawOfficer[Tag_WaveDefense])</f>
        <v>✅</v>
      </c>
      <c r="I326" s="516" t="str">
        <f t="array" ref="I326">XLOOKUP(LCARS_Off[AbilityID],RawOfficer[AbilityID],RawOfficer[Tag_QTrial])</f>
        <v>✅</v>
      </c>
      <c r="J326" s="516" t="str">
        <f t="array" ref="J326">XLOOKUP(LCARS_Off[AbilityID],RawOfficer[AbilityID],RawOfficer[Tag_MissionBosses])</f>
        <v>➖</v>
      </c>
      <c r="K326" s="516" t="str">
        <f t="array" ref="K326">XLOOKUP(LCARS_Off[AbilityID],RawOfficer[AbilityID],RawOfficer[Tag_GroupArmadas])</f>
        <v>➖</v>
      </c>
      <c r="L326" s="516" t="str">
        <f t="array" ref="L326">XLOOKUP(LCARS_Off[AbilityID],RawOfficer[AbilityID],RawOfficer[Tag_SoloArmadas])</f>
        <v>➖</v>
      </c>
      <c r="M326" s="516" t="str">
        <f t="array" ref="M326">XLOOKUP(LCARS_Off[AbilityID],RawOfficer[AbilityID],RawOfficer[Tag_InvadingEntities])</f>
        <v>➖</v>
      </c>
      <c r="N326" s="516" t="str">
        <f t="array" ref="N326">XLOOKUP(LCARS_Off[AbilityID],RawOfficer[AbilityID],RawOfficer[Tag_Assaults])</f>
        <v>➖</v>
      </c>
      <c r="O326" s="516" t="str">
        <f t="array" ref="O326">XLOOKUP(LCARS_Off[AbilityID],RawOfficer[AbilityID],RawOfficer[Tag_OutpostArmadas])</f>
        <v>➖</v>
      </c>
      <c r="P326" s="516" t="str">
        <f t="array" ref="P326">XLOOKUP(LCARS_Off[AbilityID],RawOfficer[AbilityID],RawOfficer[Tag_OutpostRetaliators])</f>
        <v>➖</v>
      </c>
      <c r="Q326" s="517" t="str">
        <f t="array" ref="Q326">XLOOKUP(LCARS_Off[AbilityID],RawOfficer[AbilityID],RawOfficer[Conditional_Reason])</f>
        <v/>
      </c>
      <c r="R326" s="518" t="str">
        <f t="array" ref="R326">XLOOKUP(LCARS_Off[AbilityID],RawOfficer[AbilityID],RawOfficer[Tag_Loot])</f>
        <v>➖</v>
      </c>
      <c r="S326" s="516" t="str">
        <f t="array" ref="S326">XLOOKUP(LCARS_Off[AbilityID],RawOfficer[AbilityID],RawOfficer[Tag_Utility])</f>
        <v>➖</v>
      </c>
      <c r="T326" s="429" t="str">
        <f t="array" ref="T326">XLOOKUP(LCARS_Off[AbilityID],RawOfficer[AbilityID],RawOfficer[OfficerSynergy])</f>
        <v>STRANGE NEW WORLDS</v>
      </c>
      <c r="U326" s="519" t="str">
        <f t="array" ref="U326">XLOOKUP(LCARS_Off[AbilityID],RawOfficer[AbilityID],RawOfficer[AbilityModifier])</f>
        <v>CritChance</v>
      </c>
      <c r="V326" s="519" t="str">
        <f t="array" ref="V326">XLOOKUP(LCARS_Off[AbilityID],RawOfficer[AbilityID],RawOfficer[AbilityAttributes])</f>
        <v/>
      </c>
      <c r="W326" s="520" t="str">
        <f t="array" ref="W326">XLOOKUP(LCARS_Off[AbilityID],RawOfficer[AbilityID],RawOfficer[AbilityConditions])</f>
        <v>EnemyHostile, TargetNotArmada</v>
      </c>
      <c r="X326" s="519" t="str">
        <f t="array" ref="X326">XLOOKUP(LCARS_Off[AbilityID],RawOfficer[AbilityID],RawOfficer[AbilityTrigger])</f>
        <v>CombatStart</v>
      </c>
      <c r="Y326" s="519" t="str">
        <f t="array" ref="Y326">XLOOKUP(LCARS_Off[AbilityID],RawOfficer[AbilityID],RawOfficer[AbilityTarget])</f>
        <v>EnemyShip</v>
      </c>
      <c r="Z326" s="519" t="str">
        <f t="array" ref="Z326">XLOOKUP(LCARS_Off[AbilityID],RawOfficer[AbilityID],RawOfficer[AbilityOperation])</f>
        <v>Sub</v>
      </c>
      <c r="AA326" s="521" t="str">
        <f t="array" ref="AA326">XLOOKUP(LCARS_Off[AbilityID],RawOfficer[AbilityID],RawOfficer[AbilityDescription])</f>
        <v>When fighting hostiles, SNW Spock decreases hostile critical hit chance by X.</v>
      </c>
      <c r="AB326" s="429" t="b">
        <v>0</v>
      </c>
      <c r="AC326" s="522" t="str">
        <f t="array" ref="AC326">XLOOKUP(LCARS_Off[AbilityID],RawOfficer[AbilityID],RawOfficer[AbilityDescriptionShort])</f>
        <v>Decrease critical hit chance of hostiles by X.</v>
      </c>
      <c r="AD326" s="523"/>
      <c r="AE326" s="524"/>
      <c r="AF326" s="524"/>
      <c r="AG326" s="525" t="str">
        <f t="array" ref="AG326">XLOOKUP(LCARS_Off[AbilityID],RawOfficer[AbilityID],RawOfficer[AbilityChances])</f>
        <v>1.0, 1.0, 1.0</v>
      </c>
      <c r="AH326" s="525" t="str">
        <f t="array" ref="AH326">XLOOKUP(LCARS_Off[AbilityID],RawOfficer[AbilityID],RawOfficer[AbilityValues])</f>
        <v>0.15, 0.05, 0.1</v>
      </c>
      <c r="AI326" s="428" t="b">
        <f t="array" ref="AI326">XLOOKUP(LCARS_Off[AbilityID],RawOfficer[AbilityID],RawOfficer[AbilityHasChance])</f>
        <v>0</v>
      </c>
      <c r="AJ326" s="428" t="b">
        <f t="array" ref="AJ326">XLOOKUP(LCARS_Off[AbilityID],RawOfficer[AbilityID],RawOfficer[AbilityShowPercentage])</f>
        <v>1</v>
      </c>
      <c r="AK326" s="429">
        <f t="array" ref="AK326">XLOOKUP(LCARS_Off[AbilityID],RawOfficer[AbilityID],RawOfficer[OfficerArt])</f>
        <v>202</v>
      </c>
      <c r="AL326" s="430">
        <v>2.24647769E9</v>
      </c>
      <c r="AM326" s="430">
        <f t="array" ref="AM326">XLOOKUP(LCARS_Off[AbilityID],RawOfficer[AbilityID],RawOfficer[Default Order])</f>
        <v>323</v>
      </c>
    </row>
    <row r="327">
      <c r="A327" s="429" t="str">
        <f t="array" ref="A327">LEFT(XLOOKUP(LCARS_Off[AbilityID],RawOfficer[AbilityID],RawOfficer[OfficerRarity]), 1)</f>
        <v>R</v>
      </c>
      <c r="B327" s="429"/>
      <c r="C327" s="514" t="str">
        <f t="array" ref="C327">HYPERLINK("https://stfc.space/officers/" &amp; XLOOKUP(LCARS_Off[AbilityID],RawOfficer[AbilityID],RawOfficer[OfficerId]), XLOOKUP(LCARS_Off[AbilityID],RawOfficer[AbilityID],RawOfficer[OfficerName]))</f>
        <v>SNW SPOCK</v>
      </c>
      <c r="D327" s="515" t="str">
        <f t="array" ref="D327">XLOOKUP(LCARS_Off[AbilityID],RawOfficer[AbilityID],RawOfficer[AbilityType])</f>
        <v>OA</v>
      </c>
      <c r="E327" s="516" t="str">
        <f t="array" ref="E327">XLOOKUP(LCARS_Off[AbilityID],RawOfficer[AbilityID],RawOfficer[Tag_PvPinSpace])</f>
        <v>➖</v>
      </c>
      <c r="F327" s="516" t="str">
        <f t="array" ref="F327">XLOOKUP(LCARS_Off[AbilityID],RawOfficer[AbilityID],RawOfficer[Tag_PvPStation])</f>
        <v>➖</v>
      </c>
      <c r="G327" s="516" t="str">
        <f t="array" ref="G327">XLOOKUP(LCARS_Off[AbilityID],RawOfficer[AbilityID],RawOfficer[Tag_NonArmadaHostiles])</f>
        <v>✴️</v>
      </c>
      <c r="H327" s="516" t="str">
        <f t="array" ref="H327">XLOOKUP(LCARS_Off[AbilityID],RawOfficer[AbilityID],RawOfficer[Tag_WaveDefense])</f>
        <v>✴️</v>
      </c>
      <c r="I327" s="516" t="str">
        <f t="array" ref="I327">XLOOKUP(LCARS_Off[AbilityID],RawOfficer[AbilityID],RawOfficer[Tag_QTrial])</f>
        <v>✴️</v>
      </c>
      <c r="J327" s="516" t="str">
        <f t="array" ref="J327">XLOOKUP(LCARS_Off[AbilityID],RawOfficer[AbilityID],RawOfficer[Tag_MissionBosses])</f>
        <v>➖</v>
      </c>
      <c r="K327" s="516" t="str">
        <f t="array" ref="K327">XLOOKUP(LCARS_Off[AbilityID],RawOfficer[AbilityID],RawOfficer[Tag_GroupArmadas])</f>
        <v>➖</v>
      </c>
      <c r="L327" s="516" t="str">
        <f t="array" ref="L327">XLOOKUP(LCARS_Off[AbilityID],RawOfficer[AbilityID],RawOfficer[Tag_SoloArmadas])</f>
        <v>➖</v>
      </c>
      <c r="M327" s="516" t="str">
        <f t="array" ref="M327">XLOOKUP(LCARS_Off[AbilityID],RawOfficer[AbilityID],RawOfficer[Tag_InvadingEntities])</f>
        <v>➖</v>
      </c>
      <c r="N327" s="516" t="str">
        <f t="array" ref="N327">XLOOKUP(LCARS_Off[AbilityID],RawOfficer[AbilityID],RawOfficer[Tag_Assaults])</f>
        <v>➖</v>
      </c>
      <c r="O327" s="516" t="str">
        <f t="array" ref="O327">XLOOKUP(LCARS_Off[AbilityID],RawOfficer[AbilityID],RawOfficer[Tag_OutpostArmadas])</f>
        <v>➖</v>
      </c>
      <c r="P327" s="516" t="str">
        <f t="array" ref="P327">XLOOKUP(LCARS_Off[AbilityID],RawOfficer[AbilityID],RawOfficer[Tag_OutpostRetaliators])</f>
        <v>➖</v>
      </c>
      <c r="Q327" s="517" t="str">
        <f t="array" ref="Q327">XLOOKUP(LCARS_Off[AbilityID],RawOfficer[AbilityID],RawOfficer[Conditional_Reason])</f>
        <v>SelfExplorer, EnemyInterceptor</v>
      </c>
      <c r="R327" s="518" t="str">
        <f t="array" ref="R327">XLOOKUP(LCARS_Off[AbilityID],RawOfficer[AbilityID],RawOfficer[Tag_Loot])</f>
        <v>➖</v>
      </c>
      <c r="S327" s="516" t="str">
        <f t="array" ref="S327">XLOOKUP(LCARS_Off[AbilityID],RawOfficer[AbilityID],RawOfficer[Tag_Utility])</f>
        <v>➖</v>
      </c>
      <c r="T327" s="429" t="str">
        <f t="array" ref="T327">XLOOKUP(LCARS_Off[AbilityID],RawOfficer[AbilityID],RawOfficer[OfficerSynergy])</f>
        <v>STRANGE NEW WORLDS</v>
      </c>
      <c r="U327" s="519" t="str">
        <f t="array" ref="U327">XLOOKUP(LCARS_Off[AbilityID],RawOfficer[AbilityID],RawOfficer[AbilityModifier])</f>
        <v>AllDefenses</v>
      </c>
      <c r="V327" s="519" t="str">
        <f t="array" ref="V327">XLOOKUP(LCARS_Off[AbilityID],RawOfficer[AbilityID],RawOfficer[AbilityAttributes])</f>
        <v>officer_stat=2</v>
      </c>
      <c r="W327" s="520" t="str">
        <f t="array" ref="W327">XLOOKUP(LCARS_Off[AbilityID],RawOfficer[AbilityID],RawOfficer[AbilityConditions])</f>
        <v>SelfExplorer, EnemyHostile, TargetNotArmada, EnemyInterceptor</v>
      </c>
      <c r="X327" s="519" t="str">
        <f t="array" ref="X327">XLOOKUP(LCARS_Off[AbilityID],RawOfficer[AbilityID],RawOfficer[AbilityTrigger])</f>
        <v>CombatStart</v>
      </c>
      <c r="Y327" s="519" t="str">
        <f t="array" ref="Y327">XLOOKUP(LCARS_Off[AbilityID],RawOfficer[AbilityID],RawOfficer[AbilityTarget])</f>
        <v>SelfShip</v>
      </c>
      <c r="Z327" s="519" t="str">
        <f t="array" ref="Z327">XLOOKUP(LCARS_Off[AbilityID],RawOfficer[AbilityID],RawOfficer[AbilityOperation])</f>
        <v>MultiplyBaseAdd</v>
      </c>
      <c r="AA327" s="521" t="str">
        <f t="array" ref="AA327">XLOOKUP(LCARS_Off[AbilityID],RawOfficer[AbilityID],RawOfficer[AbilityDescription])</f>
        <v>SNW Spock increases Armor, Shield Deflection, and Dodge by X of total Defense when attacking hostile Interceptors from an Explorer.</v>
      </c>
      <c r="AB327" s="429" t="b">
        <v>0</v>
      </c>
      <c r="AC327" s="522" t="str">
        <f t="array" ref="AC327">XLOOKUP(LCARS_Off[AbilityID],RawOfficer[AbilityID],RawOfficer[AbilityDescriptionShort])</f>
        <v>Increase Armor, Shield Deflection, and Dodge by X of total Defense.</v>
      </c>
      <c r="AD327" s="523"/>
      <c r="AE327" s="524"/>
      <c r="AF327" s="524"/>
      <c r="AG327" s="525" t="str">
        <f t="array" ref="AG327">XLOOKUP(LCARS_Off[AbilityID],RawOfficer[AbilityID],RawOfficer[AbilityChances])</f>
        <v>1.0, 1.0, 1.0, 1.0, 1.0</v>
      </c>
      <c r="AH327" s="525" t="str">
        <f t="array" ref="AH327">XLOOKUP(LCARS_Off[AbilityID],RawOfficer[AbilityID],RawOfficer[AbilityValues])</f>
        <v>5.0, 8.0, 11.0, 14.0, 18.0</v>
      </c>
      <c r="AI327" s="428" t="b">
        <f t="array" ref="AI327">XLOOKUP(LCARS_Off[AbilityID],RawOfficer[AbilityID],RawOfficer[AbilityHasChance])</f>
        <v>0</v>
      </c>
      <c r="AJ327" s="428" t="b">
        <f t="array" ref="AJ327">XLOOKUP(LCARS_Off[AbilityID],RawOfficer[AbilityID],RawOfficer[AbilityShowPercentage])</f>
        <v>1</v>
      </c>
      <c r="AK327" s="429">
        <f t="array" ref="AK327">XLOOKUP(LCARS_Off[AbilityID],RawOfficer[AbilityID],RawOfficer[OfficerArt])</f>
        <v>202</v>
      </c>
      <c r="AL327" s="430">
        <v>1.101292289E9</v>
      </c>
      <c r="AM327" s="430">
        <f t="array" ref="AM327">XLOOKUP(LCARS_Off[AbilityID],RawOfficer[AbilityID],RawOfficer[Default Order])</f>
        <v>324</v>
      </c>
    </row>
    <row r="328">
      <c r="A328" s="429" t="str">
        <f t="array" ref="A328">LEFT(XLOOKUP(LCARS_Off[AbilityID],RawOfficer[AbilityID],RawOfficer[OfficerRarity]), 1)</f>
        <v>R</v>
      </c>
      <c r="B328" s="429"/>
      <c r="C328" s="514" t="str">
        <f t="array" ref="C328">HYPERLINK("https://stfc.space/officers/" &amp; XLOOKUP(LCARS_Off[AbilityID],RawOfficer[AbilityID],RawOfficer[OfficerId]), XLOOKUP(LCARS_Off[AbilityID],RawOfficer[AbilityID],RawOfficer[OfficerName]))</f>
        <v>SNW LA'AN</v>
      </c>
      <c r="D328" s="515" t="str">
        <f t="array" ref="D328">XLOOKUP(LCARS_Off[AbilityID],RawOfficer[AbilityID],RawOfficer[AbilityType])</f>
        <v>OA</v>
      </c>
      <c r="E328" s="516" t="str">
        <f t="array" ref="E328">XLOOKUP(LCARS_Off[AbilityID],RawOfficer[AbilityID],RawOfficer[Tag_PvPinSpace])</f>
        <v>➖</v>
      </c>
      <c r="F328" s="516" t="str">
        <f t="array" ref="F328">XLOOKUP(LCARS_Off[AbilityID],RawOfficer[AbilityID],RawOfficer[Tag_PvPStation])</f>
        <v>➖</v>
      </c>
      <c r="G328" s="516" t="str">
        <f t="array" ref="G328">XLOOKUP(LCARS_Off[AbilityID],RawOfficer[AbilityID],RawOfficer[Tag_NonArmadaHostiles])</f>
        <v>➖</v>
      </c>
      <c r="H328" s="516" t="str">
        <f t="array" ref="H328">XLOOKUP(LCARS_Off[AbilityID],RawOfficer[AbilityID],RawOfficer[Tag_WaveDefense])</f>
        <v>➖</v>
      </c>
      <c r="I328" s="516" t="str">
        <f t="array" ref="I328">XLOOKUP(LCARS_Off[AbilityID],RawOfficer[AbilityID],RawOfficer[Tag_QTrial])</f>
        <v>➖</v>
      </c>
      <c r="J328" s="516" t="str">
        <f t="array" ref="J328">XLOOKUP(LCARS_Off[AbilityID],RawOfficer[AbilityID],RawOfficer[Tag_MissionBosses])</f>
        <v>➖</v>
      </c>
      <c r="K328" s="516" t="str">
        <f t="array" ref="K328">XLOOKUP(LCARS_Off[AbilityID],RawOfficer[AbilityID],RawOfficer[Tag_GroupArmadas])</f>
        <v>➖</v>
      </c>
      <c r="L328" s="516" t="str">
        <f t="array" ref="L328">XLOOKUP(LCARS_Off[AbilityID],RawOfficer[AbilityID],RawOfficer[Tag_SoloArmadas])</f>
        <v>➖</v>
      </c>
      <c r="M328" s="516" t="str">
        <f t="array" ref="M328">XLOOKUP(LCARS_Off[AbilityID],RawOfficer[AbilityID],RawOfficer[Tag_InvadingEntities])</f>
        <v>➖</v>
      </c>
      <c r="N328" s="516" t="str">
        <f t="array" ref="N328">XLOOKUP(LCARS_Off[AbilityID],RawOfficer[AbilityID],RawOfficer[Tag_Assaults])</f>
        <v>➖</v>
      </c>
      <c r="O328" s="516" t="str">
        <f t="array" ref="O328">XLOOKUP(LCARS_Off[AbilityID],RawOfficer[AbilityID],RawOfficer[Tag_OutpostArmadas])</f>
        <v>➖</v>
      </c>
      <c r="P328" s="516" t="str">
        <f t="array" ref="P328">XLOOKUP(LCARS_Off[AbilityID],RawOfficer[AbilityID],RawOfficer[Tag_OutpostRetaliators])</f>
        <v>➖</v>
      </c>
      <c r="Q328" s="517" t="str">
        <f t="array" ref="Q328">XLOOKUP(LCARS_Off[AbilityID],RawOfficer[AbilityID],RawOfficer[Conditional_Reason])</f>
        <v/>
      </c>
      <c r="R328" s="518" t="str">
        <f t="array" ref="R328">XLOOKUP(LCARS_Off[AbilityID],RawOfficer[AbilityID],RawOfficer[Tag_Loot])</f>
        <v>➖</v>
      </c>
      <c r="S328" s="516" t="str">
        <f t="array" ref="S328">XLOOKUP(LCARS_Off[AbilityID],RawOfficer[AbilityID],RawOfficer[Tag_Utility])</f>
        <v>✅</v>
      </c>
      <c r="T328" s="429" t="str">
        <f t="array" ref="T328">XLOOKUP(LCARS_Off[AbilityID],RawOfficer[AbilityID],RawOfficer[OfficerSynergy])</f>
        <v>STRANGE NEW WORLDS</v>
      </c>
      <c r="U328" s="519" t="str">
        <f t="array" ref="U328">XLOOKUP(LCARS_Off[AbilityID],RawOfficer[AbilityID],RawOfficer[AbilityModifier])</f>
        <v>WarpSpeed</v>
      </c>
      <c r="V328" s="519" t="str">
        <f t="array" ref="V328">XLOOKUP(LCARS_Off[AbilityID],RawOfficer[AbilityID],RawOfficer[AbilityAttributes])</f>
        <v/>
      </c>
      <c r="W328" s="520" t="str">
        <f t="array" ref="W328">XLOOKUP(LCARS_Off[AbilityID],RawOfficer[AbilityID],RawOfficer[AbilityConditions])</f>
        <v/>
      </c>
      <c r="X328" s="519" t="str">
        <f t="array" ref="X328">XLOOKUP(LCARS_Off[AbilityID],RawOfficer[AbilityID],RawOfficer[AbilityTrigger])</f>
        <v>ShipLaunched</v>
      </c>
      <c r="Y328" s="519" t="str">
        <f t="array" ref="Y328">XLOOKUP(LCARS_Off[AbilityID],RawOfficer[AbilityID],RawOfficer[AbilityTarget])</f>
        <v>SelfShip</v>
      </c>
      <c r="Z328" s="519" t="str">
        <f t="array" ref="Z328">XLOOKUP(LCARS_Off[AbilityID],RawOfficer[AbilityID],RawOfficer[AbilityOperation])</f>
        <v>MultiplyAdd</v>
      </c>
      <c r="AA328" s="521" t="str">
        <f t="array" ref="AA328">XLOOKUP(LCARS_Off[AbilityID],RawOfficer[AbilityID],RawOfficer[AbilityDescription])</f>
        <v>SNW La'an increases base Warp Speed by X.</v>
      </c>
      <c r="AB328" s="429" t="b">
        <v>0</v>
      </c>
      <c r="AC328" s="522" t="str">
        <f t="array" ref="AC328">XLOOKUP(LCARS_Off[AbilityID],RawOfficer[AbilityID],RawOfficer[AbilityDescriptionShort])</f>
        <v>Increase base Warp Speed by X.</v>
      </c>
      <c r="AD328" s="523"/>
      <c r="AE328" s="524"/>
      <c r="AF328" s="524"/>
      <c r="AG328" s="525" t="str">
        <f t="array" ref="AG328">XLOOKUP(LCARS_Off[AbilityID],RawOfficer[AbilityID],RawOfficer[AbilityChances])</f>
        <v>1.0, 1.0, 1.0, 1.0, 1.0</v>
      </c>
      <c r="AH328" s="525" t="str">
        <f t="array" ref="AH328">XLOOKUP(LCARS_Off[AbilityID],RawOfficer[AbilityID],RawOfficer[AbilityValues])</f>
        <v>0.5, 0.7, 0.95, 1.25, 1.5</v>
      </c>
      <c r="AI328" s="428" t="b">
        <f t="array" ref="AI328">XLOOKUP(LCARS_Off[AbilityID],RawOfficer[AbilityID],RawOfficer[AbilityHasChance])</f>
        <v>0</v>
      </c>
      <c r="AJ328" s="428" t="b">
        <f t="array" ref="AJ328">XLOOKUP(LCARS_Off[AbilityID],RawOfficer[AbilityID],RawOfficer[AbilityShowPercentage])</f>
        <v>1</v>
      </c>
      <c r="AK328" s="429">
        <f t="array" ref="AK328">XLOOKUP(LCARS_Off[AbilityID],RawOfficer[AbilityID],RawOfficer[OfficerArt])</f>
        <v>203</v>
      </c>
      <c r="AL328" s="430">
        <v>2.282961192E9</v>
      </c>
      <c r="AM328" s="430">
        <f t="array" ref="AM328">XLOOKUP(LCARS_Off[AbilityID],RawOfficer[AbilityID],RawOfficer[Default Order])</f>
        <v>325</v>
      </c>
    </row>
    <row r="329">
      <c r="A329" s="429" t="str">
        <f t="array" ref="A329">LEFT(XLOOKUP(LCARS_Off[AbilityID],RawOfficer[AbilityID],RawOfficer[OfficerRarity]), 1)</f>
        <v>R</v>
      </c>
      <c r="B329" s="429"/>
      <c r="C329" s="514" t="str">
        <f t="array" ref="C329">HYPERLINK("https://stfc.space/officers/" &amp; XLOOKUP(LCARS_Off[AbilityID],RawOfficer[AbilityID],RawOfficer[OfficerId]), XLOOKUP(LCARS_Off[AbilityID],RawOfficer[AbilityID],RawOfficer[OfficerName]))</f>
        <v>SNW LA'AN</v>
      </c>
      <c r="D329" s="515" t="str">
        <f t="array" ref="D329">XLOOKUP(LCARS_Off[AbilityID],RawOfficer[AbilityID],RawOfficer[AbilityType])</f>
        <v>BDA</v>
      </c>
      <c r="E329" s="516" t="str">
        <f t="array" ref="E329">XLOOKUP(LCARS_Off[AbilityID],RawOfficer[AbilityID],RawOfficer[Tag_PvPinSpace])</f>
        <v>➖</v>
      </c>
      <c r="F329" s="516" t="str">
        <f t="array" ref="F329">XLOOKUP(LCARS_Off[AbilityID],RawOfficer[AbilityID],RawOfficer[Tag_PvPStation])</f>
        <v>➖</v>
      </c>
      <c r="G329" s="516" t="str">
        <f t="array" ref="G329">XLOOKUP(LCARS_Off[AbilityID],RawOfficer[AbilityID],RawOfficer[Tag_NonArmadaHostiles])</f>
        <v>➖</v>
      </c>
      <c r="H329" s="516" t="str">
        <f t="array" ref="H329">XLOOKUP(LCARS_Off[AbilityID],RawOfficer[AbilityID],RawOfficer[Tag_WaveDefense])</f>
        <v>➖</v>
      </c>
      <c r="I329" s="516" t="str">
        <f t="array" ref="I329">XLOOKUP(LCARS_Off[AbilityID],RawOfficer[AbilityID],RawOfficer[Tag_QTrial])</f>
        <v>➖</v>
      </c>
      <c r="J329" s="516" t="str">
        <f t="array" ref="J329">XLOOKUP(LCARS_Off[AbilityID],RawOfficer[AbilityID],RawOfficer[Tag_MissionBosses])</f>
        <v>➖</v>
      </c>
      <c r="K329" s="516" t="str">
        <f t="array" ref="K329">XLOOKUP(LCARS_Off[AbilityID],RawOfficer[AbilityID],RawOfficer[Tag_GroupArmadas])</f>
        <v>➖</v>
      </c>
      <c r="L329" s="516" t="str">
        <f t="array" ref="L329">XLOOKUP(LCARS_Off[AbilityID],RawOfficer[AbilityID],RawOfficer[Tag_SoloArmadas])</f>
        <v>➖</v>
      </c>
      <c r="M329" s="516" t="str">
        <f t="array" ref="M329">XLOOKUP(LCARS_Off[AbilityID],RawOfficer[AbilityID],RawOfficer[Tag_InvadingEntities])</f>
        <v>➖</v>
      </c>
      <c r="N329" s="516" t="str">
        <f t="array" ref="N329">XLOOKUP(LCARS_Off[AbilityID],RawOfficer[AbilityID],RawOfficer[Tag_Assaults])</f>
        <v>➖</v>
      </c>
      <c r="O329" s="516" t="str">
        <f t="array" ref="O329">XLOOKUP(LCARS_Off[AbilityID],RawOfficer[AbilityID],RawOfficer[Tag_OutpostArmadas])</f>
        <v>➖</v>
      </c>
      <c r="P329" s="516" t="str">
        <f t="array" ref="P329">XLOOKUP(LCARS_Off[AbilityID],RawOfficer[AbilityID],RawOfficer[Tag_OutpostRetaliators])</f>
        <v>➖</v>
      </c>
      <c r="Q329" s="517" t="str">
        <f t="array" ref="Q329">XLOOKUP(LCARS_Off[AbilityID],RawOfficer[AbilityID],RawOfficer[Conditional_Reason])</f>
        <v/>
      </c>
      <c r="R329" s="518" t="str">
        <f t="array" ref="R329">XLOOKUP(LCARS_Off[AbilityID],RawOfficer[AbilityID],RawOfficer[Tag_Loot])</f>
        <v>➖</v>
      </c>
      <c r="S329" s="516" t="str">
        <f t="array" ref="S329">XLOOKUP(LCARS_Off[AbilityID],RawOfficer[AbilityID],RawOfficer[Tag_Utility])</f>
        <v>✅</v>
      </c>
      <c r="T329" s="429" t="str">
        <f t="array" ref="T329">XLOOKUP(LCARS_Off[AbilityID],RawOfficer[AbilityID],RawOfficer[OfficerSynergy])</f>
        <v>STRANGE NEW WORLDS</v>
      </c>
      <c r="U329" s="519" t="str">
        <f t="array" ref="U329">XLOOKUP(LCARS_Off[AbilityID],RawOfficer[AbilityID],RawOfficer[AbilityModifier])</f>
        <v>CargoCapacity</v>
      </c>
      <c r="V329" s="519" t="str">
        <f t="array" ref="V329">XLOOKUP(LCARS_Off[AbilityID],RawOfficer[AbilityID],RawOfficer[AbilityAttributes])</f>
        <v/>
      </c>
      <c r="W329" s="520" t="str">
        <f t="array" ref="W329">XLOOKUP(LCARS_Off[AbilityID],RawOfficer[AbilityID],RawOfficer[AbilityConditions])</f>
        <v/>
      </c>
      <c r="X329" s="519" t="str">
        <f t="array" ref="X329">XLOOKUP(LCARS_Off[AbilityID],RawOfficer[AbilityID],RawOfficer[AbilityTrigger])</f>
        <v>ShipLaunched</v>
      </c>
      <c r="Y329" s="519" t="str">
        <f t="array" ref="Y329">XLOOKUP(LCARS_Off[AbilityID],RawOfficer[AbilityID],RawOfficer[AbilityTarget])</f>
        <v>SelfShip</v>
      </c>
      <c r="Z329" s="519" t="str">
        <f t="array" ref="Z329">XLOOKUP(LCARS_Off[AbilityID],RawOfficer[AbilityID],RawOfficer[AbilityOperation])</f>
        <v>MultiplyAdd</v>
      </c>
      <c r="AA329" s="521" t="str">
        <f t="array" ref="AA329">XLOOKUP(LCARS_Off[AbilityID],RawOfficer[AbilityID],RawOfficer[AbilityDescription])</f>
        <v>SNW La'an increases the ship's base Max Cargo by X.</v>
      </c>
      <c r="AB329" s="429" t="b">
        <v>0</v>
      </c>
      <c r="AC329" s="522" t="str">
        <f t="array" ref="AC329">XLOOKUP(LCARS_Off[AbilityID],RawOfficer[AbilityID],RawOfficer[AbilityDescriptionShort])</f>
        <v>Increase base Max Cargo by X.</v>
      </c>
      <c r="AD329" s="523"/>
      <c r="AE329" s="524"/>
      <c r="AF329" s="524"/>
      <c r="AG329" s="525" t="str">
        <f t="array" ref="AG329">XLOOKUP(LCARS_Off[AbilityID],RawOfficer[AbilityID],RawOfficer[AbilityChances])</f>
        <v>1.0, 1.0, 1.0, 1.0, 1.0</v>
      </c>
      <c r="AH329" s="525" t="str">
        <f t="array" ref="AH329">XLOOKUP(LCARS_Off[AbilityID],RawOfficer[AbilityID],RawOfficer[AbilityValues])</f>
        <v>0.25, 0.3, 0.35, 0.4, 0.5</v>
      </c>
      <c r="AI329" s="428" t="b">
        <f t="array" ref="AI329">XLOOKUP(LCARS_Off[AbilityID],RawOfficer[AbilityID],RawOfficer[AbilityHasChance])</f>
        <v>0</v>
      </c>
      <c r="AJ329" s="428" t="b">
        <f t="array" ref="AJ329">XLOOKUP(LCARS_Off[AbilityID],RawOfficer[AbilityID],RawOfficer[AbilityShowPercentage])</f>
        <v>1</v>
      </c>
      <c r="AK329" s="429">
        <f t="array" ref="AK329">XLOOKUP(LCARS_Off[AbilityID],RawOfficer[AbilityID],RawOfficer[OfficerArt])</f>
        <v>203</v>
      </c>
      <c r="AL329" s="430">
        <v>7.865047E8</v>
      </c>
      <c r="AM329" s="430">
        <f t="array" ref="AM329">XLOOKUP(LCARS_Off[AbilityID],RawOfficer[AbilityID],RawOfficer[Default Order])</f>
        <v>326</v>
      </c>
    </row>
    <row r="330">
      <c r="A330" s="429" t="str">
        <f t="array" ref="A330">LEFT(XLOOKUP(LCARS_Off[AbilityID],RawOfficer[AbilityID],RawOfficer[OfficerRarity]), 1)</f>
        <v>E</v>
      </c>
      <c r="B330" s="429"/>
      <c r="C330" s="514" t="str">
        <f t="array" ref="C330">HYPERLINK("https://stfc.space/officers/" &amp; XLOOKUP(LCARS_Off[AbilityID],RawOfficer[AbilityID],RawOfficer[OfficerId]), XLOOKUP(LCARS_Off[AbilityID],RawOfficer[AbilityID],RawOfficer[OfficerName]))</f>
        <v>REGINALD BARCLAY</v>
      </c>
      <c r="D330" s="515" t="str">
        <f t="array" ref="D330">XLOOKUP(LCARS_Off[AbilityID],RawOfficer[AbilityID],RawOfficer[AbilityType])</f>
        <v>OA</v>
      </c>
      <c r="E330" s="516" t="str">
        <f t="array" ref="E330">XLOOKUP(LCARS_Off[AbilityID],RawOfficer[AbilityID],RawOfficer[Tag_PvPinSpace])</f>
        <v>✅</v>
      </c>
      <c r="F330" s="516" t="str">
        <f t="array" ref="F330">XLOOKUP(LCARS_Off[AbilityID],RawOfficer[AbilityID],RawOfficer[Tag_PvPStation])</f>
        <v>✅</v>
      </c>
      <c r="G330" s="516" t="str">
        <f t="array" ref="G330">XLOOKUP(LCARS_Off[AbilityID],RawOfficer[AbilityID],RawOfficer[Tag_NonArmadaHostiles])</f>
        <v>✅</v>
      </c>
      <c r="H330" s="516" t="str">
        <f t="array" ref="H330">XLOOKUP(LCARS_Off[AbilityID],RawOfficer[AbilityID],RawOfficer[Tag_WaveDefense])</f>
        <v>✅</v>
      </c>
      <c r="I330" s="516" t="str">
        <f t="array" ref="I330">XLOOKUP(LCARS_Off[AbilityID],RawOfficer[AbilityID],RawOfficer[Tag_QTrial])</f>
        <v>✅</v>
      </c>
      <c r="J330" s="516" t="str">
        <f t="array" ref="J330">XLOOKUP(LCARS_Off[AbilityID],RawOfficer[AbilityID],RawOfficer[Tag_MissionBosses])</f>
        <v>✅</v>
      </c>
      <c r="K330" s="516" t="str">
        <f t="array" ref="K330">XLOOKUP(LCARS_Off[AbilityID],RawOfficer[AbilityID],RawOfficer[Tag_GroupArmadas])</f>
        <v>✅</v>
      </c>
      <c r="L330" s="516" t="str">
        <f t="array" ref="L330">XLOOKUP(LCARS_Off[AbilityID],RawOfficer[AbilityID],RawOfficer[Tag_SoloArmadas])</f>
        <v>✅</v>
      </c>
      <c r="M330" s="516" t="str">
        <f t="array" ref="M330">XLOOKUP(LCARS_Off[AbilityID],RawOfficer[AbilityID],RawOfficer[Tag_InvadingEntities])</f>
        <v>✅</v>
      </c>
      <c r="N330" s="516" t="str">
        <f t="array" ref="N330">XLOOKUP(LCARS_Off[AbilityID],RawOfficer[AbilityID],RawOfficer[Tag_Assaults])</f>
        <v>✅</v>
      </c>
      <c r="O330" s="516" t="str">
        <f t="array" ref="O330">XLOOKUP(LCARS_Off[AbilityID],RawOfficer[AbilityID],RawOfficer[Tag_OutpostArmadas])</f>
        <v>✅</v>
      </c>
      <c r="P330" s="516" t="str">
        <f t="array" ref="P330">XLOOKUP(LCARS_Off[AbilityID],RawOfficer[AbilityID],RawOfficer[Tag_OutpostRetaliators])</f>
        <v>✅</v>
      </c>
      <c r="Q330" s="517" t="str">
        <f t="array" ref="Q330">XLOOKUP(LCARS_Off[AbilityID],RawOfficer[AbilityID],RawOfficer[Conditional_Reason])</f>
        <v/>
      </c>
      <c r="R330" s="518" t="str">
        <f t="array" ref="R330">XLOOKUP(LCARS_Off[AbilityID],RawOfficer[AbilityID],RawOfficer[Tag_Loot])</f>
        <v>➖</v>
      </c>
      <c r="S330" s="516" t="str">
        <f t="array" ref="S330">XLOOKUP(LCARS_Off[AbilityID],RawOfficer[AbilityID],RawOfficer[Tag_Utility])</f>
        <v>➖</v>
      </c>
      <c r="T330" s="429" t="str">
        <f t="array" ref="T330">XLOOKUP(LCARS_Off[AbilityID],RawOfficer[AbilityID],RawOfficer[OfficerSynergy])</f>
        <v>HOLODECK</v>
      </c>
      <c r="U330" s="519" t="str">
        <f t="array" ref="U330">XLOOKUP(LCARS_Off[AbilityID],RawOfficer[AbilityID],RawOfficer[AbilityModifier])</f>
        <v>OfficerStatDefense</v>
      </c>
      <c r="V330" s="519" t="str">
        <f t="array" ref="V330">XLOOKUP(LCARS_Off[AbilityID],RawOfficer[AbilityID],RawOfficer[AbilityAttributes])</f>
        <v/>
      </c>
      <c r="W330" s="520" t="str">
        <f t="array" ref="W330">XLOOKUP(LCARS_Off[AbilityID],RawOfficer[AbilityID],RawOfficer[AbilityConditions])</f>
        <v/>
      </c>
      <c r="X330" s="519" t="str">
        <f t="array" ref="X330">XLOOKUP(LCARS_Off[AbilityID],RawOfficer[AbilityID],RawOfficer[AbilityTrigger])</f>
        <v>ShipLaunched</v>
      </c>
      <c r="Y330" s="519" t="str">
        <f t="array" ref="Y330">XLOOKUP(LCARS_Off[AbilityID],RawOfficer[AbilityID],RawOfficer[AbilityTarget])</f>
        <v>SelfAll</v>
      </c>
      <c r="Z330" s="519" t="str">
        <f t="array" ref="Z330">XLOOKUP(LCARS_Off[AbilityID],RawOfficer[AbilityID],RawOfficer[AbilityOperation])</f>
        <v>MultiplyAdd</v>
      </c>
      <c r="AA330" s="521" t="str">
        <f t="array" ref="AA330">XLOOKUP(LCARS_Off[AbilityID],RawOfficer[AbilityID],RawOfficer[AbilityDescription])</f>
        <v>Reginald Barclay increases the base Defense of all Officers by X.</v>
      </c>
      <c r="AB330" s="429" t="b">
        <v>0</v>
      </c>
      <c r="AC330" s="522" t="str">
        <f t="array" ref="AC330">XLOOKUP(LCARS_Off[AbilityID],RawOfficer[AbilityID],RawOfficer[AbilityDescriptionShort])</f>
        <v>+X to all Officer's base Defense.</v>
      </c>
      <c r="AD330" s="523"/>
      <c r="AE330" s="524"/>
      <c r="AF330" s="524"/>
      <c r="AG330" s="525" t="str">
        <f t="array" ref="AG330">XLOOKUP(LCARS_Off[AbilityID],RawOfficer[AbilityID],RawOfficer[AbilityChances])</f>
        <v>1.0, 1.0, 1.0, 1.0, 1.0</v>
      </c>
      <c r="AH330" s="525" t="str">
        <f t="array" ref="AH330">XLOOKUP(LCARS_Off[AbilityID],RawOfficer[AbilityID],RawOfficer[AbilityValues])</f>
        <v>0.05, 0.1, 0.15, 0.25, 0.3</v>
      </c>
      <c r="AI330" s="428" t="b">
        <f t="array" ref="AI330">XLOOKUP(LCARS_Off[AbilityID],RawOfficer[AbilityID],RawOfficer[AbilityHasChance])</f>
        <v>0</v>
      </c>
      <c r="AJ330" s="428" t="b">
        <f t="array" ref="AJ330">XLOOKUP(LCARS_Off[AbilityID],RawOfficer[AbilityID],RawOfficer[AbilityShowPercentage])</f>
        <v>1</v>
      </c>
      <c r="AK330" s="429">
        <f t="array" ref="AK330">XLOOKUP(LCARS_Off[AbilityID],RawOfficer[AbilityID],RawOfficer[OfficerArt])</f>
        <v>205</v>
      </c>
      <c r="AL330" s="430">
        <v>3.136273375E9</v>
      </c>
      <c r="AM330" s="430">
        <f t="array" ref="AM330">XLOOKUP(LCARS_Off[AbilityID],RawOfficer[AbilityID],RawOfficer[Default Order])</f>
        <v>327</v>
      </c>
    </row>
    <row r="331">
      <c r="A331" s="429" t="str">
        <f t="array" ref="A331">LEFT(XLOOKUP(LCARS_Off[AbilityID],RawOfficer[AbilityID],RawOfficer[OfficerRarity]), 1)</f>
        <v>E</v>
      </c>
      <c r="B331" s="429"/>
      <c r="C331" s="514" t="str">
        <f t="array" ref="C331">HYPERLINK("https://stfc.space/officers/" &amp; XLOOKUP(LCARS_Off[AbilityID],RawOfficer[AbilityID],RawOfficer[OfficerId]), XLOOKUP(LCARS_Off[AbilityID],RawOfficer[AbilityID],RawOfficer[OfficerName]))</f>
        <v>REGINALD BARCLAY</v>
      </c>
      <c r="D331" s="515" t="str">
        <f t="array" ref="D331">XLOOKUP(LCARS_Off[AbilityID],RawOfficer[AbilityID],RawOfficer[AbilityType])</f>
        <v>BDA</v>
      </c>
      <c r="E331" s="516" t="str">
        <f t="array" ref="E331">XLOOKUP(LCARS_Off[AbilityID],RawOfficer[AbilityID],RawOfficer[Tag_PvPinSpace])</f>
        <v>➖</v>
      </c>
      <c r="F331" s="516" t="str">
        <f t="array" ref="F331">XLOOKUP(LCARS_Off[AbilityID],RawOfficer[AbilityID],RawOfficer[Tag_PvPStation])</f>
        <v>➖</v>
      </c>
      <c r="G331" s="516" t="str">
        <f t="array" ref="G331">XLOOKUP(LCARS_Off[AbilityID],RawOfficer[AbilityID],RawOfficer[Tag_NonArmadaHostiles])</f>
        <v>➖</v>
      </c>
      <c r="H331" s="516" t="str">
        <f t="array" ref="H331">XLOOKUP(LCARS_Off[AbilityID],RawOfficer[AbilityID],RawOfficer[Tag_WaveDefense])</f>
        <v>➖</v>
      </c>
      <c r="I331" s="516" t="str">
        <f t="array" ref="I331">XLOOKUP(LCARS_Off[AbilityID],RawOfficer[AbilityID],RawOfficer[Tag_QTrial])</f>
        <v>➖</v>
      </c>
      <c r="J331" s="516" t="str">
        <f t="array" ref="J331">XLOOKUP(LCARS_Off[AbilityID],RawOfficer[AbilityID],RawOfficer[Tag_MissionBosses])</f>
        <v>➖</v>
      </c>
      <c r="K331" s="516" t="str">
        <f t="array" ref="K331">XLOOKUP(LCARS_Off[AbilityID],RawOfficer[AbilityID],RawOfficer[Tag_GroupArmadas])</f>
        <v>➖</v>
      </c>
      <c r="L331" s="516" t="str">
        <f t="array" ref="L331">XLOOKUP(LCARS_Off[AbilityID],RawOfficer[AbilityID],RawOfficer[Tag_SoloArmadas])</f>
        <v>➖</v>
      </c>
      <c r="M331" s="516" t="str">
        <f t="array" ref="M331">XLOOKUP(LCARS_Off[AbilityID],RawOfficer[AbilityID],RawOfficer[Tag_InvadingEntities])</f>
        <v>➖</v>
      </c>
      <c r="N331" s="516" t="str">
        <f t="array" ref="N331">XLOOKUP(LCARS_Off[AbilityID],RawOfficer[AbilityID],RawOfficer[Tag_Assaults])</f>
        <v>➖</v>
      </c>
      <c r="O331" s="516" t="str">
        <f t="array" ref="O331">XLOOKUP(LCARS_Off[AbilityID],RawOfficer[AbilityID],RawOfficer[Tag_OutpostArmadas])</f>
        <v>➖</v>
      </c>
      <c r="P331" s="516" t="str">
        <f t="array" ref="P331">XLOOKUP(LCARS_Off[AbilityID],RawOfficer[AbilityID],RawOfficer[Tag_OutpostRetaliators])</f>
        <v>➖</v>
      </c>
      <c r="Q331" s="517" t="str">
        <f t="array" ref="Q331">XLOOKUP(LCARS_Off[AbilityID],RawOfficer[AbilityID],RawOfficer[Conditional_Reason])</f>
        <v/>
      </c>
      <c r="R331" s="518" t="str">
        <f t="array" ref="R331">XLOOKUP(LCARS_Off[AbilityID],RawOfficer[AbilityID],RawOfficer[Tag_Loot])</f>
        <v>➖</v>
      </c>
      <c r="S331" s="516" t="str">
        <f t="array" ref="S331">XLOOKUP(LCARS_Off[AbilityID],RawOfficer[AbilityID],RawOfficer[Tag_Utility])</f>
        <v>✅</v>
      </c>
      <c r="T331" s="429" t="str">
        <f t="array" ref="T331">XLOOKUP(LCARS_Off[AbilityID],RawOfficer[AbilityID],RawOfficer[OfficerSynergy])</f>
        <v>HOLODECK</v>
      </c>
      <c r="U331" s="519" t="str">
        <f t="array" ref="U331">XLOOKUP(LCARS_Off[AbilityID],RawOfficer[AbilityID],RawOfficer[AbilityModifier])</f>
        <v>CargoProtection</v>
      </c>
      <c r="V331" s="519" t="str">
        <f t="array" ref="V331">XLOOKUP(LCARS_Off[AbilityID],RawOfficer[AbilityID],RawOfficer[AbilityAttributes])</f>
        <v/>
      </c>
      <c r="W331" s="520" t="str">
        <f t="array" ref="W331">XLOOKUP(LCARS_Off[AbilityID],RawOfficer[AbilityID],RawOfficer[AbilityConditions])</f>
        <v/>
      </c>
      <c r="X331" s="519" t="str">
        <f t="array" ref="X331">XLOOKUP(LCARS_Off[AbilityID],RawOfficer[AbilityID],RawOfficer[AbilityTrigger])</f>
        <v>ShipLaunched</v>
      </c>
      <c r="Y331" s="519" t="str">
        <f t="array" ref="Y331">XLOOKUP(LCARS_Off[AbilityID],RawOfficer[AbilityID],RawOfficer[AbilityTarget])</f>
        <v>SelfShip</v>
      </c>
      <c r="Z331" s="519" t="str">
        <f t="array" ref="Z331">XLOOKUP(LCARS_Off[AbilityID],RawOfficer[AbilityID],RawOfficer[AbilityOperation])</f>
        <v>MultiplyAdd</v>
      </c>
      <c r="AA331" s="521" t="str">
        <f t="array" ref="AA331">XLOOKUP(LCARS_Off[AbilityID],RawOfficer[AbilityID],RawOfficer[AbilityDescription])</f>
        <v>Reginald Barclay increases the ship's base Protected Cargo by X.</v>
      </c>
      <c r="AB331" s="429" t="b">
        <v>0</v>
      </c>
      <c r="AC331" s="522" t="str">
        <f t="array" ref="AC331">XLOOKUP(LCARS_Off[AbilityID],RawOfficer[AbilityID],RawOfficer[AbilityDescriptionShort])</f>
        <v>Increase base Protected Cargo by X.</v>
      </c>
      <c r="AD331" s="523"/>
      <c r="AE331" s="524"/>
      <c r="AF331" s="524"/>
      <c r="AG331" s="525" t="str">
        <f t="array" ref="AG331">XLOOKUP(LCARS_Off[AbilityID],RawOfficer[AbilityID],RawOfficer[AbilityChances])</f>
        <v>1.0, 1.0, 1.0, 1.0, 1.0</v>
      </c>
      <c r="AH331" s="525" t="str">
        <f t="array" ref="AH331">XLOOKUP(LCARS_Off[AbilityID],RawOfficer[AbilityID],RawOfficer[AbilityValues])</f>
        <v>0.3, 0.45, 0.6, 0.8, 1.0</v>
      </c>
      <c r="AI331" s="428" t="b">
        <f t="array" ref="AI331">XLOOKUP(LCARS_Off[AbilityID],RawOfficer[AbilityID],RawOfficer[AbilityHasChance])</f>
        <v>0</v>
      </c>
      <c r="AJ331" s="428" t="b">
        <f t="array" ref="AJ331">XLOOKUP(LCARS_Off[AbilityID],RawOfficer[AbilityID],RawOfficer[AbilityShowPercentage])</f>
        <v>1</v>
      </c>
      <c r="AK331" s="429">
        <f t="array" ref="AK331">XLOOKUP(LCARS_Off[AbilityID],RawOfficer[AbilityID],RawOfficer[OfficerArt])</f>
        <v>205</v>
      </c>
      <c r="AL331" s="430">
        <v>3.37243133E8</v>
      </c>
      <c r="AM331" s="430">
        <f t="array" ref="AM331">XLOOKUP(LCARS_Off[AbilityID],RawOfficer[AbilityID],RawOfficer[Default Order])</f>
        <v>328</v>
      </c>
    </row>
    <row r="332">
      <c r="A332" s="429" t="str">
        <f t="array" ref="A332">LEFT(XLOOKUP(LCARS_Off[AbilityID],RawOfficer[AbilityID],RawOfficer[OfficerRarity]), 1)</f>
        <v>E</v>
      </c>
      <c r="B332" s="429"/>
      <c r="C332" s="514" t="str">
        <f t="array" ref="C332">HYPERLINK("https://stfc.space/officers/" &amp; XLOOKUP(LCARS_Off[AbilityID],RawOfficer[AbilityID],RawOfficer[OfficerId]), XLOOKUP(LCARS_Off[AbilityID],RawOfficer[AbilityID],RawOfficer[OfficerName]))</f>
        <v>SNW UNA</v>
      </c>
      <c r="D332" s="515" t="str">
        <f t="array" ref="D332">XLOOKUP(LCARS_Off[AbilityID],RawOfficer[AbilityID],RawOfficer[AbilityType])</f>
        <v>CM</v>
      </c>
      <c r="E332" s="516" t="str">
        <f t="array" ref="E332">XLOOKUP(LCARS_Off[AbilityID],RawOfficer[AbilityID],RawOfficer[Tag_PvPinSpace])</f>
        <v>➖</v>
      </c>
      <c r="F332" s="516" t="str">
        <f t="array" ref="F332">XLOOKUP(LCARS_Off[AbilityID],RawOfficer[AbilityID],RawOfficer[Tag_PvPStation])</f>
        <v>➖</v>
      </c>
      <c r="G332" s="516" t="str">
        <f t="array" ref="G332">XLOOKUP(LCARS_Off[AbilityID],RawOfficer[AbilityID],RawOfficer[Tag_NonArmadaHostiles])</f>
        <v>✅</v>
      </c>
      <c r="H332" s="516" t="str">
        <f t="array" ref="H332">XLOOKUP(LCARS_Off[AbilityID],RawOfficer[AbilityID],RawOfficer[Tag_WaveDefense])</f>
        <v>✅</v>
      </c>
      <c r="I332" s="516" t="str">
        <f t="array" ref="I332">XLOOKUP(LCARS_Off[AbilityID],RawOfficer[AbilityID],RawOfficer[Tag_QTrial])</f>
        <v>✅</v>
      </c>
      <c r="J332" s="516" t="str">
        <f t="array" ref="J332">XLOOKUP(LCARS_Off[AbilityID],RawOfficer[AbilityID],RawOfficer[Tag_MissionBosses])</f>
        <v>➖</v>
      </c>
      <c r="K332" s="516" t="str">
        <f t="array" ref="K332">XLOOKUP(LCARS_Off[AbilityID],RawOfficer[AbilityID],RawOfficer[Tag_GroupArmadas])</f>
        <v>➖</v>
      </c>
      <c r="L332" s="516" t="str">
        <f t="array" ref="L332">XLOOKUP(LCARS_Off[AbilityID],RawOfficer[AbilityID],RawOfficer[Tag_SoloArmadas])</f>
        <v>➖</v>
      </c>
      <c r="M332" s="516" t="str">
        <f t="array" ref="M332">XLOOKUP(LCARS_Off[AbilityID],RawOfficer[AbilityID],RawOfficer[Tag_InvadingEntities])</f>
        <v>➖</v>
      </c>
      <c r="N332" s="516" t="str">
        <f t="array" ref="N332">XLOOKUP(LCARS_Off[AbilityID],RawOfficer[AbilityID],RawOfficer[Tag_Assaults])</f>
        <v>➖</v>
      </c>
      <c r="O332" s="516" t="str">
        <f t="array" ref="O332">XLOOKUP(LCARS_Off[AbilityID],RawOfficer[AbilityID],RawOfficer[Tag_OutpostArmadas])</f>
        <v>➖</v>
      </c>
      <c r="P332" s="516" t="str">
        <f t="array" ref="P332">XLOOKUP(LCARS_Off[AbilityID],RawOfficer[AbilityID],RawOfficer[Tag_OutpostRetaliators])</f>
        <v>➖</v>
      </c>
      <c r="Q332" s="517" t="str">
        <f t="array" ref="Q332">XLOOKUP(LCARS_Off[AbilityID],RawOfficer[AbilityID],RawOfficer[Conditional_Reason])</f>
        <v/>
      </c>
      <c r="R332" s="518" t="str">
        <f t="array" ref="R332">XLOOKUP(LCARS_Off[AbilityID],RawOfficer[AbilityID],RawOfficer[Tag_Loot])</f>
        <v>➖</v>
      </c>
      <c r="S332" s="516" t="str">
        <f t="array" ref="S332">XLOOKUP(LCARS_Off[AbilityID],RawOfficer[AbilityID],RawOfficer[Tag_Utility])</f>
        <v>➖</v>
      </c>
      <c r="T332" s="429" t="str">
        <f t="array" ref="T332">XLOOKUP(LCARS_Off[AbilityID],RawOfficer[AbilityID],RawOfficer[OfficerSynergy])</f>
        <v>STRANGE NEW WORLDS</v>
      </c>
      <c r="U332" s="519" t="str">
        <f t="array" ref="U332">XLOOKUP(LCARS_Off[AbilityID],RawOfficer[AbilityID],RawOfficer[AbilityModifier])</f>
        <v>AllDamage</v>
      </c>
      <c r="V332" s="519" t="str">
        <f t="array" ref="V332">XLOOKUP(LCARS_Off[AbilityID],RawOfficer[AbilityID],RawOfficer[AbilityAttributes])</f>
        <v/>
      </c>
      <c r="W332" s="520" t="str">
        <f t="array" ref="W332">XLOOKUP(LCARS_Off[AbilityID],RawOfficer[AbilityID],RawOfficer[AbilityConditions])</f>
        <v>EnemyHostile, TargetNotArmada</v>
      </c>
      <c r="X332" s="519" t="str">
        <f t="array" ref="X332">XLOOKUP(LCARS_Off[AbilityID],RawOfficer[AbilityID],RawOfficer[AbilityTrigger])</f>
        <v>CombatStart</v>
      </c>
      <c r="Y332" s="519" t="str">
        <f t="array" ref="Y332">XLOOKUP(LCARS_Off[AbilityID],RawOfficer[AbilityID],RawOfficer[AbilityTarget])</f>
        <v>SelfShip</v>
      </c>
      <c r="Z332" s="519" t="str">
        <f t="array" ref="Z332">XLOOKUP(LCARS_Off[AbilityID],RawOfficer[AbilityID],RawOfficer[AbilityOperation])</f>
        <v>MultiplyAdd</v>
      </c>
      <c r="AA332" s="521" t="str">
        <f t="array" ref="AA332">XLOOKUP(LCARS_Off[AbilityID],RawOfficer[AbilityID],RawOfficer[AbilityDescription])</f>
        <v>When fighting hostiles, SNW Una increases base Weapon Damage by X.</v>
      </c>
      <c r="AB332" s="429" t="b">
        <v>0</v>
      </c>
      <c r="AC332" s="522" t="str">
        <f t="array" ref="AC332">XLOOKUP(LCARS_Off[AbilityID],RawOfficer[AbilityID],RawOfficer[AbilityDescriptionShort])</f>
        <v>Increase base Weapon Damage by X.</v>
      </c>
      <c r="AD332" s="523"/>
      <c r="AE332" s="524"/>
      <c r="AF332" s="524"/>
      <c r="AG332" s="525" t="str">
        <f t="array" ref="AG332">XLOOKUP(LCARS_Off[AbilityID],RawOfficer[AbilityID],RawOfficer[AbilityChances])</f>
        <v>1.0, 1.0, 1.0</v>
      </c>
      <c r="AH332" s="525" t="str">
        <f t="array" ref="AH332">XLOOKUP(LCARS_Off[AbilityID],RawOfficer[AbilityID],RawOfficer[AbilityValues])</f>
        <v>1.0, 0.75, 1.0</v>
      </c>
      <c r="AI332" s="428" t="b">
        <f t="array" ref="AI332">XLOOKUP(LCARS_Off[AbilityID],RawOfficer[AbilityID],RawOfficer[AbilityHasChance])</f>
        <v>0</v>
      </c>
      <c r="AJ332" s="428" t="b">
        <f t="array" ref="AJ332">XLOOKUP(LCARS_Off[AbilityID],RawOfficer[AbilityID],RawOfficer[AbilityShowPercentage])</f>
        <v>1</v>
      </c>
      <c r="AK332" s="429">
        <f t="array" ref="AK332">XLOOKUP(LCARS_Off[AbilityID],RawOfficer[AbilityID],RawOfficer[OfficerArt])</f>
        <v>204</v>
      </c>
      <c r="AL332" s="430">
        <v>2.08396594E8</v>
      </c>
      <c r="AM332" s="430">
        <f t="array" ref="AM332">XLOOKUP(LCARS_Off[AbilityID],RawOfficer[AbilityID],RawOfficer[Default Order])</f>
        <v>329</v>
      </c>
    </row>
    <row r="333">
      <c r="A333" s="429" t="str">
        <f t="array" ref="A333">LEFT(XLOOKUP(LCARS_Off[AbilityID],RawOfficer[AbilityID],RawOfficer[OfficerRarity]), 1)</f>
        <v>E</v>
      </c>
      <c r="B333" s="429"/>
      <c r="C333" s="514" t="str">
        <f t="array" ref="C333">HYPERLINK("https://stfc.space/officers/" &amp; XLOOKUP(LCARS_Off[AbilityID],RawOfficer[AbilityID],RawOfficer[OfficerId]), XLOOKUP(LCARS_Off[AbilityID],RawOfficer[AbilityID],RawOfficer[OfficerName]))</f>
        <v>SNW UNA</v>
      </c>
      <c r="D333" s="515" t="str">
        <f t="array" ref="D333">XLOOKUP(LCARS_Off[AbilityID],RawOfficer[AbilityID],RawOfficer[AbilityType])</f>
        <v>OA</v>
      </c>
      <c r="E333" s="516" t="str">
        <f t="array" ref="E333">XLOOKUP(LCARS_Off[AbilityID],RawOfficer[AbilityID],RawOfficer[Tag_PvPinSpace])</f>
        <v>➖</v>
      </c>
      <c r="F333" s="516" t="str">
        <f t="array" ref="F333">XLOOKUP(LCARS_Off[AbilityID],RawOfficer[AbilityID],RawOfficer[Tag_PvPStation])</f>
        <v>➖</v>
      </c>
      <c r="G333" s="516" t="str">
        <f t="array" ref="G333">XLOOKUP(LCARS_Off[AbilityID],RawOfficer[AbilityID],RawOfficer[Tag_NonArmadaHostiles])</f>
        <v>➖</v>
      </c>
      <c r="H333" s="516" t="str">
        <f t="array" ref="H333">XLOOKUP(LCARS_Off[AbilityID],RawOfficer[AbilityID],RawOfficer[Tag_WaveDefense])</f>
        <v>➖</v>
      </c>
      <c r="I333" s="516" t="str">
        <f t="array" ref="I333">XLOOKUP(LCARS_Off[AbilityID],RawOfficer[AbilityID],RawOfficer[Tag_QTrial])</f>
        <v>➖</v>
      </c>
      <c r="J333" s="516" t="str">
        <f t="array" ref="J333">XLOOKUP(LCARS_Off[AbilityID],RawOfficer[AbilityID],RawOfficer[Tag_MissionBosses])</f>
        <v>➖</v>
      </c>
      <c r="K333" s="516" t="str">
        <f t="array" ref="K333">XLOOKUP(LCARS_Off[AbilityID],RawOfficer[AbilityID],RawOfficer[Tag_GroupArmadas])</f>
        <v>➖</v>
      </c>
      <c r="L333" s="516" t="str">
        <f t="array" ref="L333">XLOOKUP(LCARS_Off[AbilityID],RawOfficer[AbilityID],RawOfficer[Tag_SoloArmadas])</f>
        <v>➖</v>
      </c>
      <c r="M333" s="516" t="str">
        <f t="array" ref="M333">XLOOKUP(LCARS_Off[AbilityID],RawOfficer[AbilityID],RawOfficer[Tag_InvadingEntities])</f>
        <v>➖</v>
      </c>
      <c r="N333" s="516" t="str">
        <f t="array" ref="N333">XLOOKUP(LCARS_Off[AbilityID],RawOfficer[AbilityID],RawOfficer[Tag_Assaults])</f>
        <v>➖</v>
      </c>
      <c r="O333" s="516" t="str">
        <f t="array" ref="O333">XLOOKUP(LCARS_Off[AbilityID],RawOfficer[AbilityID],RawOfficer[Tag_OutpostArmadas])</f>
        <v>➖</v>
      </c>
      <c r="P333" s="516" t="str">
        <f t="array" ref="P333">XLOOKUP(LCARS_Off[AbilityID],RawOfficer[AbilityID],RawOfficer[Tag_OutpostRetaliators])</f>
        <v>➖</v>
      </c>
      <c r="Q333" s="517" t="str">
        <f t="array" ref="Q333">XLOOKUP(LCARS_Off[AbilityID],RawOfficer[AbilityID],RawOfficer[Conditional_Reason])</f>
        <v/>
      </c>
      <c r="R333" s="518" t="str">
        <f t="array" ref="R333">XLOOKUP(LCARS_Off[AbilityID],RawOfficer[AbilityID],RawOfficer[Tag_Loot])</f>
        <v>➖</v>
      </c>
      <c r="S333" s="516" t="str">
        <f t="array" ref="S333">XLOOKUP(LCARS_Off[AbilityID],RawOfficer[AbilityID],RawOfficer[Tag_Utility])</f>
        <v>✅</v>
      </c>
      <c r="T333" s="429" t="str">
        <f t="array" ref="T333">XLOOKUP(LCARS_Off[AbilityID],RawOfficer[AbilityID],RawOfficer[OfficerSynergy])</f>
        <v>STRANGE NEW WORLDS</v>
      </c>
      <c r="U333" s="519" t="str">
        <f t="array" ref="U333">XLOOKUP(LCARS_Off[AbilityID],RawOfficer[AbilityID],RawOfficer[AbilityModifier])</f>
        <v>ImpulseSpeed</v>
      </c>
      <c r="V333" s="519" t="str">
        <f t="array" ref="V333">XLOOKUP(LCARS_Off[AbilityID],RawOfficer[AbilityID],RawOfficer[AbilityAttributes])</f>
        <v/>
      </c>
      <c r="W333" s="520" t="str">
        <f t="array" ref="W333">XLOOKUP(LCARS_Off[AbilityID],RawOfficer[AbilityID],RawOfficer[AbilityConditions])</f>
        <v/>
      </c>
      <c r="X333" s="519" t="str">
        <f t="array" ref="X333">XLOOKUP(LCARS_Off[AbilityID],RawOfficer[AbilityID],RawOfficer[AbilityTrigger])</f>
        <v>ShipLaunched</v>
      </c>
      <c r="Y333" s="519" t="str">
        <f t="array" ref="Y333">XLOOKUP(LCARS_Off[AbilityID],RawOfficer[AbilityID],RawOfficer[AbilityTarget])</f>
        <v>SelfShip</v>
      </c>
      <c r="Z333" s="519" t="str">
        <f t="array" ref="Z333">XLOOKUP(LCARS_Off[AbilityID],RawOfficer[AbilityID],RawOfficer[AbilityOperation])</f>
        <v>Add</v>
      </c>
      <c r="AA333" s="521" t="str">
        <f t="array" ref="AA333">XLOOKUP(LCARS_Off[AbilityID],RawOfficer[AbilityID],RawOfficer[AbilityDescription])</f>
        <v>SNW Una increases Impulse Speed by X.</v>
      </c>
      <c r="AB333" s="429" t="b">
        <v>0</v>
      </c>
      <c r="AC333" s="522" t="str">
        <f t="array" ref="AC333">XLOOKUP(LCARS_Off[AbilityID],RawOfficer[AbilityID],RawOfficer[AbilityDescriptionShort])</f>
        <v>Increase Impulse Speed by X.</v>
      </c>
      <c r="AD333" s="523"/>
      <c r="AE333" s="524"/>
      <c r="AF333" s="524"/>
      <c r="AG333" s="525" t="str">
        <f t="array" ref="AG333">XLOOKUP(LCARS_Off[AbilityID],RawOfficer[AbilityID],RawOfficer[AbilityChances])</f>
        <v>1.0, 1.0, 1.0, 1.0, 1.0</v>
      </c>
      <c r="AH333" s="525" t="str">
        <f t="array" ref="AH333">XLOOKUP(LCARS_Off[AbilityID],RawOfficer[AbilityID],RawOfficer[AbilityValues])</f>
        <v>15.0, 20.0, 30.0, 40.0, 50.0</v>
      </c>
      <c r="AI333" s="428" t="b">
        <f t="array" ref="AI333">XLOOKUP(LCARS_Off[AbilityID],RawOfficer[AbilityID],RawOfficer[AbilityHasChance])</f>
        <v>0</v>
      </c>
      <c r="AJ333" s="428" t="b">
        <f t="array" ref="AJ333">XLOOKUP(LCARS_Off[AbilityID],RawOfficer[AbilityID],RawOfficer[AbilityShowPercentage])</f>
        <v>0</v>
      </c>
      <c r="AK333" s="429">
        <f t="array" ref="AK333">XLOOKUP(LCARS_Off[AbilityID],RawOfficer[AbilityID],RawOfficer[OfficerArt])</f>
        <v>204</v>
      </c>
      <c r="AL333" s="430">
        <v>3.288424435E9</v>
      </c>
      <c r="AM333" s="430">
        <f t="array" ref="AM333">XLOOKUP(LCARS_Off[AbilityID],RawOfficer[AbilityID],RawOfficer[Default Order])</f>
        <v>330</v>
      </c>
    </row>
    <row r="334">
      <c r="A334" s="429" t="str">
        <f t="array" ref="A334">LEFT(XLOOKUP(LCARS_Off[AbilityID],RawOfficer[AbilityID],RawOfficer[OfficerRarity]), 1)</f>
        <v>R</v>
      </c>
      <c r="B334" s="429"/>
      <c r="C334" s="514" t="str">
        <f t="array" ref="C334">HYPERLINK("https://stfc.space/officers/" &amp; XLOOKUP(LCARS_Off[AbilityID],RawOfficer[AbilityID],RawOfficer[OfficerId]), XLOOKUP(LCARS_Off[AbilityID],RawOfficer[AbilityID],RawOfficer[OfficerName]))</f>
        <v>SNW UHURA</v>
      </c>
      <c r="D334" s="515" t="str">
        <f t="array" ref="D334">XLOOKUP(LCARS_Off[AbilityID],RawOfficer[AbilityID],RawOfficer[AbilityType])</f>
        <v>CM</v>
      </c>
      <c r="E334" s="516" t="str">
        <f t="array" ref="E334">XLOOKUP(LCARS_Off[AbilityID],RawOfficer[AbilityID],RawOfficer[Tag_PvPinSpace])</f>
        <v>➖</v>
      </c>
      <c r="F334" s="516" t="str">
        <f t="array" ref="F334">XLOOKUP(LCARS_Off[AbilityID],RawOfficer[AbilityID],RawOfficer[Tag_PvPStation])</f>
        <v>➖</v>
      </c>
      <c r="G334" s="516" t="str">
        <f t="array" ref="G334">XLOOKUP(LCARS_Off[AbilityID],RawOfficer[AbilityID],RawOfficer[Tag_NonArmadaHostiles])</f>
        <v>✅</v>
      </c>
      <c r="H334" s="516" t="str">
        <f t="array" ref="H334">XLOOKUP(LCARS_Off[AbilityID],RawOfficer[AbilityID],RawOfficer[Tag_WaveDefense])</f>
        <v>✅</v>
      </c>
      <c r="I334" s="516" t="str">
        <f t="array" ref="I334">XLOOKUP(LCARS_Off[AbilityID],RawOfficer[AbilityID],RawOfficer[Tag_QTrial])</f>
        <v>✅</v>
      </c>
      <c r="J334" s="516" t="str">
        <f t="array" ref="J334">XLOOKUP(LCARS_Off[AbilityID],RawOfficer[AbilityID],RawOfficer[Tag_MissionBosses])</f>
        <v>➖</v>
      </c>
      <c r="K334" s="516" t="str">
        <f t="array" ref="K334">XLOOKUP(LCARS_Off[AbilityID],RawOfficer[AbilityID],RawOfficer[Tag_GroupArmadas])</f>
        <v>➖</v>
      </c>
      <c r="L334" s="516" t="str">
        <f t="array" ref="L334">XLOOKUP(LCARS_Off[AbilityID],RawOfficer[AbilityID],RawOfficer[Tag_SoloArmadas])</f>
        <v>➖</v>
      </c>
      <c r="M334" s="516" t="str">
        <f t="array" ref="M334">XLOOKUP(LCARS_Off[AbilityID],RawOfficer[AbilityID],RawOfficer[Tag_InvadingEntities])</f>
        <v>➖</v>
      </c>
      <c r="N334" s="516" t="str">
        <f t="array" ref="N334">XLOOKUP(LCARS_Off[AbilityID],RawOfficer[AbilityID],RawOfficer[Tag_Assaults])</f>
        <v>➖</v>
      </c>
      <c r="O334" s="516" t="str">
        <f t="array" ref="O334">XLOOKUP(LCARS_Off[AbilityID],RawOfficer[AbilityID],RawOfficer[Tag_OutpostArmadas])</f>
        <v>➖</v>
      </c>
      <c r="P334" s="516" t="str">
        <f t="array" ref="P334">XLOOKUP(LCARS_Off[AbilityID],RawOfficer[AbilityID],RawOfficer[Tag_OutpostRetaliators])</f>
        <v>➖</v>
      </c>
      <c r="Q334" s="517" t="str">
        <f t="array" ref="Q334">XLOOKUP(LCARS_Off[AbilityID],RawOfficer[AbilityID],RawOfficer[Conditional_Reason])</f>
        <v/>
      </c>
      <c r="R334" s="518" t="str">
        <f t="array" ref="R334">XLOOKUP(LCARS_Off[AbilityID],RawOfficer[AbilityID],RawOfficer[Tag_Loot])</f>
        <v>➖</v>
      </c>
      <c r="S334" s="516" t="str">
        <f t="array" ref="S334">XLOOKUP(LCARS_Off[AbilityID],RawOfficer[AbilityID],RawOfficer[Tag_Utility])</f>
        <v>➖</v>
      </c>
      <c r="T334" s="429" t="str">
        <f t="array" ref="T334">XLOOKUP(LCARS_Off[AbilityID],RawOfficer[AbilityID],RawOfficer[OfficerSynergy])</f>
        <v>STRANGE NEW WORLDS</v>
      </c>
      <c r="U334" s="519" t="str">
        <f t="array" ref="U334">XLOOKUP(LCARS_Off[AbilityID],RawOfficer[AbilityID],RawOfficer[AbilityModifier])</f>
        <v>CritDamage</v>
      </c>
      <c r="V334" s="519" t="str">
        <f t="array" ref="V334">XLOOKUP(LCARS_Off[AbilityID],RawOfficer[AbilityID],RawOfficer[AbilityAttributes])</f>
        <v/>
      </c>
      <c r="W334" s="520" t="str">
        <f t="array" ref="W334">XLOOKUP(LCARS_Off[AbilityID],RawOfficer[AbilityID],RawOfficer[AbilityConditions])</f>
        <v>EnemyHostile, TargetNotArmada</v>
      </c>
      <c r="X334" s="519" t="str">
        <f t="array" ref="X334">XLOOKUP(LCARS_Off[AbilityID],RawOfficer[AbilityID],RawOfficer[AbilityTrigger])</f>
        <v>CombatStart</v>
      </c>
      <c r="Y334" s="519" t="str">
        <f t="array" ref="Y334">XLOOKUP(LCARS_Off[AbilityID],RawOfficer[AbilityID],RawOfficer[AbilityTarget])</f>
        <v>SelfShip</v>
      </c>
      <c r="Z334" s="519" t="str">
        <f t="array" ref="Z334">XLOOKUP(LCARS_Off[AbilityID],RawOfficer[AbilityID],RawOfficer[AbilityOperation])</f>
        <v>Add</v>
      </c>
      <c r="AA334" s="521" t="str">
        <f t="array" ref="AA334">XLOOKUP(LCARS_Off[AbilityID],RawOfficer[AbilityID],RawOfficer[AbilityDescription])</f>
        <v>When fighting hostiles, SNW Uhura increases critical hit damage against hostiles by X.</v>
      </c>
      <c r="AB334" s="429" t="b">
        <v>0</v>
      </c>
      <c r="AC334" s="522" t="str">
        <f t="array" ref="AC334">XLOOKUP(LCARS_Off[AbilityID],RawOfficer[AbilityID],RawOfficer[AbilityDescriptionShort])</f>
        <v>Increase critical hit damage against hostiles by X.</v>
      </c>
      <c r="AD334" s="523"/>
      <c r="AE334" s="524"/>
      <c r="AF334" s="524"/>
      <c r="AG334" s="525" t="str">
        <f t="array" ref="AG334">XLOOKUP(LCARS_Off[AbilityID],RawOfficer[AbilityID],RawOfficer[AbilityChances])</f>
        <v>1.0, 1.0, 1.0</v>
      </c>
      <c r="AH334" s="525" t="str">
        <f t="array" ref="AH334">XLOOKUP(LCARS_Off[AbilityID],RawOfficer[AbilityID],RawOfficer[AbilityValues])</f>
        <v>0.15, 0.05, 0.1</v>
      </c>
      <c r="AI334" s="428" t="b">
        <f t="array" ref="AI334">XLOOKUP(LCARS_Off[AbilityID],RawOfficer[AbilityID],RawOfficer[AbilityHasChance])</f>
        <v>0</v>
      </c>
      <c r="AJ334" s="428" t="b">
        <f t="array" ref="AJ334">XLOOKUP(LCARS_Off[AbilityID],RawOfficer[AbilityID],RawOfficer[AbilityShowPercentage])</f>
        <v>1</v>
      </c>
      <c r="AK334" s="429">
        <f t="array" ref="AK334">XLOOKUP(LCARS_Off[AbilityID],RawOfficer[AbilityID],RawOfficer[OfficerArt])</f>
        <v>206</v>
      </c>
      <c r="AL334" s="430">
        <v>2.975835149E9</v>
      </c>
      <c r="AM334" s="430">
        <f t="array" ref="AM334">XLOOKUP(LCARS_Off[AbilityID],RawOfficer[AbilityID],RawOfficer[Default Order])</f>
        <v>331</v>
      </c>
    </row>
    <row r="335">
      <c r="A335" s="429" t="str">
        <f t="array" ref="A335">LEFT(XLOOKUP(LCARS_Off[AbilityID],RawOfficer[AbilityID],RawOfficer[OfficerRarity]), 1)</f>
        <v>R</v>
      </c>
      <c r="B335" s="429"/>
      <c r="C335" s="514" t="str">
        <f t="array" ref="C335">HYPERLINK("https://stfc.space/officers/" &amp; XLOOKUP(LCARS_Off[AbilityID],RawOfficer[AbilityID],RawOfficer[OfficerId]), XLOOKUP(LCARS_Off[AbilityID],RawOfficer[AbilityID],RawOfficer[OfficerName]))</f>
        <v>SNW UHURA</v>
      </c>
      <c r="D335" s="515" t="str">
        <f t="array" ref="D335">XLOOKUP(LCARS_Off[AbilityID],RawOfficer[AbilityID],RawOfficer[AbilityType])</f>
        <v>OA</v>
      </c>
      <c r="E335" s="516" t="str">
        <f t="array" ref="E335">XLOOKUP(LCARS_Off[AbilityID],RawOfficer[AbilityID],RawOfficer[Tag_PvPinSpace])</f>
        <v>➖</v>
      </c>
      <c r="F335" s="516" t="str">
        <f t="array" ref="F335">XLOOKUP(LCARS_Off[AbilityID],RawOfficer[AbilityID],RawOfficer[Tag_PvPStation])</f>
        <v>➖</v>
      </c>
      <c r="G335" s="516" t="str">
        <f t="array" ref="G335">XLOOKUP(LCARS_Off[AbilityID],RawOfficer[AbilityID],RawOfficer[Tag_NonArmadaHostiles])</f>
        <v>✴️</v>
      </c>
      <c r="H335" s="516" t="str">
        <f t="array" ref="H335">XLOOKUP(LCARS_Off[AbilityID],RawOfficer[AbilityID],RawOfficer[Tag_WaveDefense])</f>
        <v>✴️</v>
      </c>
      <c r="I335" s="516" t="str">
        <f t="array" ref="I335">XLOOKUP(LCARS_Off[AbilityID],RawOfficer[AbilityID],RawOfficer[Tag_QTrial])</f>
        <v>✴️</v>
      </c>
      <c r="J335" s="516" t="str">
        <f t="array" ref="J335">XLOOKUP(LCARS_Off[AbilityID],RawOfficer[AbilityID],RawOfficer[Tag_MissionBosses])</f>
        <v>➖</v>
      </c>
      <c r="K335" s="516" t="str">
        <f t="array" ref="K335">XLOOKUP(LCARS_Off[AbilityID],RawOfficer[AbilityID],RawOfficer[Tag_GroupArmadas])</f>
        <v>➖</v>
      </c>
      <c r="L335" s="516" t="str">
        <f t="array" ref="L335">XLOOKUP(LCARS_Off[AbilityID],RawOfficer[AbilityID],RawOfficer[Tag_SoloArmadas])</f>
        <v>➖</v>
      </c>
      <c r="M335" s="516" t="str">
        <f t="array" ref="M335">XLOOKUP(LCARS_Off[AbilityID],RawOfficer[AbilityID],RawOfficer[Tag_InvadingEntities])</f>
        <v>➖</v>
      </c>
      <c r="N335" s="516" t="str">
        <f t="array" ref="N335">XLOOKUP(LCARS_Off[AbilityID],RawOfficer[AbilityID],RawOfficer[Tag_Assaults])</f>
        <v>➖</v>
      </c>
      <c r="O335" s="516" t="str">
        <f t="array" ref="O335">XLOOKUP(LCARS_Off[AbilityID],RawOfficer[AbilityID],RawOfficer[Tag_OutpostArmadas])</f>
        <v>➖</v>
      </c>
      <c r="P335" s="516" t="str">
        <f t="array" ref="P335">XLOOKUP(LCARS_Off[AbilityID],RawOfficer[AbilityID],RawOfficer[Tag_OutpostRetaliators])</f>
        <v>➖</v>
      </c>
      <c r="Q335" s="517" t="str">
        <f t="array" ref="Q335">XLOOKUP(LCARS_Off[AbilityID],RawOfficer[AbilityID],RawOfficer[Conditional_Reason])</f>
        <v>SelfInterceptor, EnemyBattleship</v>
      </c>
      <c r="R335" s="518" t="str">
        <f t="array" ref="R335">XLOOKUP(LCARS_Off[AbilityID],RawOfficer[AbilityID],RawOfficer[Tag_Loot])</f>
        <v>➖</v>
      </c>
      <c r="S335" s="516" t="str">
        <f t="array" ref="S335">XLOOKUP(LCARS_Off[AbilityID],RawOfficer[AbilityID],RawOfficer[Tag_Utility])</f>
        <v>➖</v>
      </c>
      <c r="T335" s="429" t="str">
        <f t="array" ref="T335">XLOOKUP(LCARS_Off[AbilityID],RawOfficer[AbilityID],RawOfficer[OfficerSynergy])</f>
        <v>STRANGE NEW WORLDS</v>
      </c>
      <c r="U335" s="519" t="str">
        <f t="array" ref="U335">XLOOKUP(LCARS_Off[AbilityID],RawOfficer[AbilityID],RawOfficer[AbilityModifier])</f>
        <v>AllDefenses</v>
      </c>
      <c r="V335" s="519" t="str">
        <f t="array" ref="V335">XLOOKUP(LCARS_Off[AbilityID],RawOfficer[AbilityID],RawOfficer[AbilityAttributes])</f>
        <v>officer_stat=1</v>
      </c>
      <c r="W335" s="520" t="str">
        <f t="array" ref="W335">XLOOKUP(LCARS_Off[AbilityID],RawOfficer[AbilityID],RawOfficer[AbilityConditions])</f>
        <v>SelfInterceptor, EnemyHostile, TargetNotArmada, EnemyBattleship</v>
      </c>
      <c r="X335" s="519" t="str">
        <f t="array" ref="X335">XLOOKUP(LCARS_Off[AbilityID],RawOfficer[AbilityID],RawOfficer[AbilityTrigger])</f>
        <v>CombatStart</v>
      </c>
      <c r="Y335" s="519" t="str">
        <f t="array" ref="Y335">XLOOKUP(LCARS_Off[AbilityID],RawOfficer[AbilityID],RawOfficer[AbilityTarget])</f>
        <v>SelfShip</v>
      </c>
      <c r="Z335" s="519" t="str">
        <f t="array" ref="Z335">XLOOKUP(LCARS_Off[AbilityID],RawOfficer[AbilityID],RawOfficer[AbilityOperation])</f>
        <v>MultiplyBaseAdd</v>
      </c>
      <c r="AA335" s="521" t="str">
        <f t="array" ref="AA335">XLOOKUP(LCARS_Off[AbilityID],RawOfficer[AbilityID],RawOfficer[AbilityDescription])</f>
        <v>SNW Uhura increases Armor, Shield Deflection, and Dodge by X of total Attack when attacking hostile Battleships from an Interceptor.</v>
      </c>
      <c r="AB335" s="429" t="b">
        <v>0</v>
      </c>
      <c r="AC335" s="522" t="str">
        <f t="array" ref="AC335">XLOOKUP(LCARS_Off[AbilityID],RawOfficer[AbilityID],RawOfficer[AbilityDescriptionShort])</f>
        <v>Increase Armor, Shield Deflection, and Dodge by X of total Attack.</v>
      </c>
      <c r="AD335" s="523"/>
      <c r="AE335" s="524"/>
      <c r="AF335" s="524"/>
      <c r="AG335" s="525" t="str">
        <f t="array" ref="AG335">XLOOKUP(LCARS_Off[AbilityID],RawOfficer[AbilityID],RawOfficer[AbilityChances])</f>
        <v>1.0, 1.0, 1.0, 1.0, 1.0</v>
      </c>
      <c r="AH335" s="525" t="str">
        <f t="array" ref="AH335">XLOOKUP(LCARS_Off[AbilityID],RawOfficer[AbilityID],RawOfficer[AbilityValues])</f>
        <v>5.0, 8.0, 11.0, 14.0, 18.0</v>
      </c>
      <c r="AI335" s="428" t="b">
        <f t="array" ref="AI335">XLOOKUP(LCARS_Off[AbilityID],RawOfficer[AbilityID],RawOfficer[AbilityHasChance])</f>
        <v>0</v>
      </c>
      <c r="AJ335" s="428" t="b">
        <f t="array" ref="AJ335">XLOOKUP(LCARS_Off[AbilityID],RawOfficer[AbilityID],RawOfficer[AbilityShowPercentage])</f>
        <v>1</v>
      </c>
      <c r="AK335" s="429">
        <f t="array" ref="AK335">XLOOKUP(LCARS_Off[AbilityID],RawOfficer[AbilityID],RawOfficer[OfficerArt])</f>
        <v>206</v>
      </c>
      <c r="AL335" s="430">
        <v>3.878448065E9</v>
      </c>
      <c r="AM335" s="430">
        <f t="array" ref="AM335">XLOOKUP(LCARS_Off[AbilityID],RawOfficer[AbilityID],RawOfficer[Default Order])</f>
        <v>332</v>
      </c>
    </row>
    <row r="336">
      <c r="A336" s="429" t="str">
        <f t="array" ref="A336">LEFT(XLOOKUP(LCARS_Off[AbilityID],RawOfficer[AbilityID],RawOfficer[OfficerRarity]), 1)</f>
        <v>R</v>
      </c>
      <c r="B336" s="429"/>
      <c r="C336" s="514" t="str">
        <f t="array" ref="C336">HYPERLINK("https://stfc.space/officers/" &amp; XLOOKUP(LCARS_Off[AbilityID],RawOfficer[AbilityID],RawOfficer[OfficerId]), XLOOKUP(LCARS_Off[AbilityID],RawOfficer[AbilityID],RawOfficer[OfficerName]))</f>
        <v>SNW ORTEGAS</v>
      </c>
      <c r="D336" s="515" t="str">
        <f t="array" ref="D336">XLOOKUP(LCARS_Off[AbilityID],RawOfficer[AbilityID],RawOfficer[AbilityType])</f>
        <v>CM</v>
      </c>
      <c r="E336" s="516" t="str">
        <f t="array" ref="E336">XLOOKUP(LCARS_Off[AbilityID],RawOfficer[AbilityID],RawOfficer[Tag_PvPinSpace])</f>
        <v>➖</v>
      </c>
      <c r="F336" s="516" t="str">
        <f t="array" ref="F336">XLOOKUP(LCARS_Off[AbilityID],RawOfficer[AbilityID],RawOfficer[Tag_PvPStation])</f>
        <v>➖</v>
      </c>
      <c r="G336" s="516" t="str">
        <f t="array" ref="G336">XLOOKUP(LCARS_Off[AbilityID],RawOfficer[AbilityID],RawOfficer[Tag_NonArmadaHostiles])</f>
        <v>✅</v>
      </c>
      <c r="H336" s="516" t="str">
        <f t="array" ref="H336">XLOOKUP(LCARS_Off[AbilityID],RawOfficer[AbilityID],RawOfficer[Tag_WaveDefense])</f>
        <v>✅</v>
      </c>
      <c r="I336" s="516" t="str">
        <f t="array" ref="I336">XLOOKUP(LCARS_Off[AbilityID],RawOfficer[AbilityID],RawOfficer[Tag_QTrial])</f>
        <v>✅</v>
      </c>
      <c r="J336" s="516" t="str">
        <f t="array" ref="J336">XLOOKUP(LCARS_Off[AbilityID],RawOfficer[AbilityID],RawOfficer[Tag_MissionBosses])</f>
        <v>➖</v>
      </c>
      <c r="K336" s="516" t="str">
        <f t="array" ref="K336">XLOOKUP(LCARS_Off[AbilityID],RawOfficer[AbilityID],RawOfficer[Tag_GroupArmadas])</f>
        <v>➖</v>
      </c>
      <c r="L336" s="516" t="str">
        <f t="array" ref="L336">XLOOKUP(LCARS_Off[AbilityID],RawOfficer[AbilityID],RawOfficer[Tag_SoloArmadas])</f>
        <v>➖</v>
      </c>
      <c r="M336" s="516" t="str">
        <f t="array" ref="M336">XLOOKUP(LCARS_Off[AbilityID],RawOfficer[AbilityID],RawOfficer[Tag_InvadingEntities])</f>
        <v>➖</v>
      </c>
      <c r="N336" s="516" t="str">
        <f t="array" ref="N336">XLOOKUP(LCARS_Off[AbilityID],RawOfficer[AbilityID],RawOfficer[Tag_Assaults])</f>
        <v>➖</v>
      </c>
      <c r="O336" s="516" t="str">
        <f t="array" ref="O336">XLOOKUP(LCARS_Off[AbilityID],RawOfficer[AbilityID],RawOfficer[Tag_OutpostArmadas])</f>
        <v>➖</v>
      </c>
      <c r="P336" s="516" t="str">
        <f t="array" ref="P336">XLOOKUP(LCARS_Off[AbilityID],RawOfficer[AbilityID],RawOfficer[Tag_OutpostRetaliators])</f>
        <v>➖</v>
      </c>
      <c r="Q336" s="517" t="str">
        <f t="array" ref="Q336">XLOOKUP(LCARS_Off[AbilityID],RawOfficer[AbilityID],RawOfficer[Conditional_Reason])</f>
        <v/>
      </c>
      <c r="R336" s="518" t="str">
        <f t="array" ref="R336">XLOOKUP(LCARS_Off[AbilityID],RawOfficer[AbilityID],RawOfficer[Tag_Loot])</f>
        <v>➖</v>
      </c>
      <c r="S336" s="516" t="str">
        <f t="array" ref="S336">XLOOKUP(LCARS_Off[AbilityID],RawOfficer[AbilityID],RawOfficer[Tag_Utility])</f>
        <v>➖</v>
      </c>
      <c r="T336" s="429" t="str">
        <f t="array" ref="T336">XLOOKUP(LCARS_Off[AbilityID],RawOfficer[AbilityID],RawOfficer[OfficerSynergy])</f>
        <v>STRANGE NEW WORLDS</v>
      </c>
      <c r="U336" s="519" t="str">
        <f t="array" ref="U336">XLOOKUP(LCARS_Off[AbilityID],RawOfficer[AbilityID],RawOfficer[AbilityModifier])</f>
        <v>CritChance</v>
      </c>
      <c r="V336" s="519" t="str">
        <f t="array" ref="V336">XLOOKUP(LCARS_Off[AbilityID],RawOfficer[AbilityID],RawOfficer[AbilityAttributes])</f>
        <v/>
      </c>
      <c r="W336" s="520" t="str">
        <f t="array" ref="W336">XLOOKUP(LCARS_Off[AbilityID],RawOfficer[AbilityID],RawOfficer[AbilityConditions])</f>
        <v>EnemyHostile, TargetNotArmada</v>
      </c>
      <c r="X336" s="519" t="str">
        <f t="array" ref="X336">XLOOKUP(LCARS_Off[AbilityID],RawOfficer[AbilityID],RawOfficer[AbilityTrigger])</f>
        <v>CombatStart</v>
      </c>
      <c r="Y336" s="519" t="str">
        <f t="array" ref="Y336">XLOOKUP(LCARS_Off[AbilityID],RawOfficer[AbilityID],RawOfficer[AbilityTarget])</f>
        <v>SelfShip</v>
      </c>
      <c r="Z336" s="519" t="str">
        <f t="array" ref="Z336">XLOOKUP(LCARS_Off[AbilityID],RawOfficer[AbilityID],RawOfficer[AbilityOperation])</f>
        <v>Add</v>
      </c>
      <c r="AA336" s="521" t="str">
        <f t="array" ref="AA336">XLOOKUP(LCARS_Off[AbilityID],RawOfficer[AbilityID],RawOfficer[AbilityDescription])</f>
        <v>When fighting hostiles, SNW Ortegas increases critical hit chance against hostiles by X.</v>
      </c>
      <c r="AB336" s="429" t="b">
        <v>0</v>
      </c>
      <c r="AC336" s="522" t="str">
        <f t="array" ref="AC336">XLOOKUP(LCARS_Off[AbilityID],RawOfficer[AbilityID],RawOfficer[AbilityDescriptionShort])</f>
        <v>Increase critical hit chance against hostiles by X.</v>
      </c>
      <c r="AD336" s="523"/>
      <c r="AE336" s="524"/>
      <c r="AF336" s="524"/>
      <c r="AG336" s="525" t="str">
        <f t="array" ref="AG336">XLOOKUP(LCARS_Off[AbilityID],RawOfficer[AbilityID],RawOfficer[AbilityChances])</f>
        <v>1.0, 1.0, 1.0</v>
      </c>
      <c r="AH336" s="525" t="str">
        <f t="array" ref="AH336">XLOOKUP(LCARS_Off[AbilityID],RawOfficer[AbilityID],RawOfficer[AbilityValues])</f>
        <v>0.15, 0.05, 0.1</v>
      </c>
      <c r="AI336" s="428" t="b">
        <f t="array" ref="AI336">XLOOKUP(LCARS_Off[AbilityID],RawOfficer[AbilityID],RawOfficer[AbilityHasChance])</f>
        <v>0</v>
      </c>
      <c r="AJ336" s="428" t="b">
        <f t="array" ref="AJ336">XLOOKUP(LCARS_Off[AbilityID],RawOfficer[AbilityID],RawOfficer[AbilityShowPercentage])</f>
        <v>1</v>
      </c>
      <c r="AK336" s="429">
        <f t="array" ref="AK336">XLOOKUP(LCARS_Off[AbilityID],RawOfficer[AbilityID],RawOfficer[OfficerArt])</f>
        <v>207</v>
      </c>
      <c r="AL336" s="430">
        <v>2.272956905E9</v>
      </c>
      <c r="AM336" s="430">
        <f t="array" ref="AM336">XLOOKUP(LCARS_Off[AbilityID],RawOfficer[AbilityID],RawOfficer[Default Order])</f>
        <v>333</v>
      </c>
    </row>
    <row r="337">
      <c r="A337" s="429" t="str">
        <f t="array" ref="A337">LEFT(XLOOKUP(LCARS_Off[AbilityID],RawOfficer[AbilityID],RawOfficer[OfficerRarity]), 1)</f>
        <v>R</v>
      </c>
      <c r="B337" s="429"/>
      <c r="C337" s="514" t="str">
        <f t="array" ref="C337">HYPERLINK("https://stfc.space/officers/" &amp; XLOOKUP(LCARS_Off[AbilityID],RawOfficer[AbilityID],RawOfficer[OfficerId]), XLOOKUP(LCARS_Off[AbilityID],RawOfficer[AbilityID],RawOfficer[OfficerName]))</f>
        <v>SNW ORTEGAS</v>
      </c>
      <c r="D337" s="515" t="str">
        <f t="array" ref="D337">XLOOKUP(LCARS_Off[AbilityID],RawOfficer[AbilityID],RawOfficer[AbilityType])</f>
        <v>OA</v>
      </c>
      <c r="E337" s="516" t="str">
        <f t="array" ref="E337">XLOOKUP(LCARS_Off[AbilityID],RawOfficer[AbilityID],RawOfficer[Tag_PvPinSpace])</f>
        <v>➖</v>
      </c>
      <c r="F337" s="516" t="str">
        <f t="array" ref="F337">XLOOKUP(LCARS_Off[AbilityID],RawOfficer[AbilityID],RawOfficer[Tag_PvPStation])</f>
        <v>➖</v>
      </c>
      <c r="G337" s="516" t="str">
        <f t="array" ref="G337">XLOOKUP(LCARS_Off[AbilityID],RawOfficer[AbilityID],RawOfficer[Tag_NonArmadaHostiles])</f>
        <v>✴️</v>
      </c>
      <c r="H337" s="516" t="str">
        <f t="array" ref="H337">XLOOKUP(LCARS_Off[AbilityID],RawOfficer[AbilityID],RawOfficer[Tag_WaveDefense])</f>
        <v>✴️</v>
      </c>
      <c r="I337" s="516" t="str">
        <f t="array" ref="I337">XLOOKUP(LCARS_Off[AbilityID],RawOfficer[AbilityID],RawOfficer[Tag_QTrial])</f>
        <v>✴️</v>
      </c>
      <c r="J337" s="516" t="str">
        <f t="array" ref="J337">XLOOKUP(LCARS_Off[AbilityID],RawOfficer[AbilityID],RawOfficer[Tag_MissionBosses])</f>
        <v>➖</v>
      </c>
      <c r="K337" s="516" t="str">
        <f t="array" ref="K337">XLOOKUP(LCARS_Off[AbilityID],RawOfficer[AbilityID],RawOfficer[Tag_GroupArmadas])</f>
        <v>➖</v>
      </c>
      <c r="L337" s="516" t="str">
        <f t="array" ref="L337">XLOOKUP(LCARS_Off[AbilityID],RawOfficer[AbilityID],RawOfficer[Tag_SoloArmadas])</f>
        <v>➖</v>
      </c>
      <c r="M337" s="516" t="str">
        <f t="array" ref="M337">XLOOKUP(LCARS_Off[AbilityID],RawOfficer[AbilityID],RawOfficer[Tag_InvadingEntities])</f>
        <v>➖</v>
      </c>
      <c r="N337" s="516" t="str">
        <f t="array" ref="N337">XLOOKUP(LCARS_Off[AbilityID],RawOfficer[AbilityID],RawOfficer[Tag_Assaults])</f>
        <v>➖</v>
      </c>
      <c r="O337" s="516" t="str">
        <f t="array" ref="O337">XLOOKUP(LCARS_Off[AbilityID],RawOfficer[AbilityID],RawOfficer[Tag_OutpostArmadas])</f>
        <v>➖</v>
      </c>
      <c r="P337" s="516" t="str">
        <f t="array" ref="P337">XLOOKUP(LCARS_Off[AbilityID],RawOfficer[AbilityID],RawOfficer[Tag_OutpostRetaliators])</f>
        <v>➖</v>
      </c>
      <c r="Q337" s="517" t="str">
        <f t="array" ref="Q337">XLOOKUP(LCARS_Off[AbilityID],RawOfficer[AbilityID],RawOfficer[Conditional_Reason])</f>
        <v>SelfBattleship, EnemyExplorer</v>
      </c>
      <c r="R337" s="518" t="str">
        <f t="array" ref="R337">XLOOKUP(LCARS_Off[AbilityID],RawOfficer[AbilityID],RawOfficer[Tag_Loot])</f>
        <v>➖</v>
      </c>
      <c r="S337" s="516" t="str">
        <f t="array" ref="S337">XLOOKUP(LCARS_Off[AbilityID],RawOfficer[AbilityID],RawOfficer[Tag_Utility])</f>
        <v>➖</v>
      </c>
      <c r="T337" s="429" t="str">
        <f t="array" ref="T337">XLOOKUP(LCARS_Off[AbilityID],RawOfficer[AbilityID],RawOfficer[OfficerSynergy])</f>
        <v>STRANGE NEW WORLDS</v>
      </c>
      <c r="U337" s="519" t="str">
        <f t="array" ref="U337">XLOOKUP(LCARS_Off[AbilityID],RawOfficer[AbilityID],RawOfficer[AbilityModifier])</f>
        <v>AllDefenses</v>
      </c>
      <c r="V337" s="519" t="str">
        <f t="array" ref="V337">XLOOKUP(LCARS_Off[AbilityID],RawOfficer[AbilityID],RawOfficer[AbilityAttributes])</f>
        <v>officer_stat=3</v>
      </c>
      <c r="W337" s="520" t="str">
        <f t="array" ref="W337">XLOOKUP(LCARS_Off[AbilityID],RawOfficer[AbilityID],RawOfficer[AbilityConditions])</f>
        <v>SelfBattleship, EnemyHostile, EnemyExplorer, TargetNotArmada</v>
      </c>
      <c r="X337" s="519" t="str">
        <f t="array" ref="X337">XLOOKUP(LCARS_Off[AbilityID],RawOfficer[AbilityID],RawOfficer[AbilityTrigger])</f>
        <v>CombatStart</v>
      </c>
      <c r="Y337" s="519" t="str">
        <f t="array" ref="Y337">XLOOKUP(LCARS_Off[AbilityID],RawOfficer[AbilityID],RawOfficer[AbilityTarget])</f>
        <v>SelfShip</v>
      </c>
      <c r="Z337" s="519" t="str">
        <f t="array" ref="Z337">XLOOKUP(LCARS_Off[AbilityID],RawOfficer[AbilityID],RawOfficer[AbilityOperation])</f>
        <v>MultiplyBaseAdd</v>
      </c>
      <c r="AA337" s="521" t="str">
        <f t="array" ref="AA337">XLOOKUP(LCARS_Off[AbilityID],RawOfficer[AbilityID],RawOfficer[AbilityDescription])</f>
        <v>SNW Ortegas increases Armor, Shield Deflection, and Dodge by X of total Health when attacking hostile Explorers from a Battleship.</v>
      </c>
      <c r="AB337" s="429" t="b">
        <v>0</v>
      </c>
      <c r="AC337" s="522" t="str">
        <f t="array" ref="AC337">XLOOKUP(LCARS_Off[AbilityID],RawOfficer[AbilityID],RawOfficer[AbilityDescriptionShort])</f>
        <v>Increase Armor, Shield Deflection, and Dodge by X of total Health.</v>
      </c>
      <c r="AD337" s="523"/>
      <c r="AE337" s="524"/>
      <c r="AF337" s="524"/>
      <c r="AG337" s="525" t="str">
        <f t="array" ref="AG337">XLOOKUP(LCARS_Off[AbilityID],RawOfficer[AbilityID],RawOfficer[AbilityChances])</f>
        <v>1.0, 1.0, 1.0, 1.0, 1.0</v>
      </c>
      <c r="AH337" s="525" t="str">
        <f t="array" ref="AH337">XLOOKUP(LCARS_Off[AbilityID],RawOfficer[AbilityID],RawOfficer[AbilityValues])</f>
        <v>5.0, 8.0, 11.0, 14.0, 18.0</v>
      </c>
      <c r="AI337" s="428" t="b">
        <f t="array" ref="AI337">XLOOKUP(LCARS_Off[AbilityID],RawOfficer[AbilityID],RawOfficer[AbilityHasChance])</f>
        <v>0</v>
      </c>
      <c r="AJ337" s="428" t="b">
        <f t="array" ref="AJ337">XLOOKUP(LCARS_Off[AbilityID],RawOfficer[AbilityID],RawOfficer[AbilityShowPercentage])</f>
        <v>1</v>
      </c>
      <c r="AK337" s="429">
        <f t="array" ref="AK337">XLOOKUP(LCARS_Off[AbilityID],RawOfficer[AbilityID],RawOfficer[OfficerArt])</f>
        <v>207</v>
      </c>
      <c r="AL337" s="430">
        <v>2.416006584E9</v>
      </c>
      <c r="AM337" s="430">
        <f t="array" ref="AM337">XLOOKUP(LCARS_Off[AbilityID],RawOfficer[AbilityID],RawOfficer[Default Order])</f>
        <v>334</v>
      </c>
    </row>
    <row r="338">
      <c r="A338" s="429" t="str">
        <f t="array" ref="A338">LEFT(XLOOKUP(LCARS_Off[AbilityID],RawOfficer[AbilityID],RawOfficer[OfficerRarity]), 1)</f>
        <v>E</v>
      </c>
      <c r="B338" s="429"/>
      <c r="C338" s="514" t="str">
        <f t="array" ref="C338">HYPERLINK("https://stfc.space/officers/" &amp; XLOOKUP(LCARS_Off[AbilityID],RawOfficer[AbilityID],RawOfficer[OfficerId]), XLOOKUP(LCARS_Off[AbilityID],RawOfficer[AbilityID],RawOfficer[OfficerName]))</f>
        <v>SNW HEMMER</v>
      </c>
      <c r="D338" s="515" t="str">
        <f t="array" ref="D338">XLOOKUP(LCARS_Off[AbilityID],RawOfficer[AbilityID],RawOfficer[AbilityType])</f>
        <v>OA</v>
      </c>
      <c r="E338" s="516" t="str">
        <f t="array" ref="E338">XLOOKUP(LCARS_Off[AbilityID],RawOfficer[AbilityID],RawOfficer[Tag_PvPinSpace])</f>
        <v>➖</v>
      </c>
      <c r="F338" s="516" t="str">
        <f t="array" ref="F338">XLOOKUP(LCARS_Off[AbilityID],RawOfficer[AbilityID],RawOfficer[Tag_PvPStation])</f>
        <v>➖</v>
      </c>
      <c r="G338" s="516" t="str">
        <f t="array" ref="G338">XLOOKUP(LCARS_Off[AbilityID],RawOfficer[AbilityID],RawOfficer[Tag_NonArmadaHostiles])</f>
        <v>✴️</v>
      </c>
      <c r="H338" s="516" t="str">
        <f t="array" ref="H338">XLOOKUP(LCARS_Off[AbilityID],RawOfficer[AbilityID],RawOfficer[Tag_WaveDefense])</f>
        <v>✴️</v>
      </c>
      <c r="I338" s="516" t="str">
        <f t="array" ref="I338">XLOOKUP(LCARS_Off[AbilityID],RawOfficer[AbilityID],RawOfficer[Tag_QTrial])</f>
        <v>✴️</v>
      </c>
      <c r="J338" s="516" t="str">
        <f t="array" ref="J338">XLOOKUP(LCARS_Off[AbilityID],RawOfficer[AbilityID],RawOfficer[Tag_MissionBosses])</f>
        <v>➖</v>
      </c>
      <c r="K338" s="516" t="str">
        <f t="array" ref="K338">XLOOKUP(LCARS_Off[AbilityID],RawOfficer[AbilityID],RawOfficer[Tag_GroupArmadas])</f>
        <v>➖</v>
      </c>
      <c r="L338" s="516" t="str">
        <f t="array" ref="L338">XLOOKUP(LCARS_Off[AbilityID],RawOfficer[AbilityID],RawOfficer[Tag_SoloArmadas])</f>
        <v>➖</v>
      </c>
      <c r="M338" s="516" t="str">
        <f t="array" ref="M338">XLOOKUP(LCARS_Off[AbilityID],RawOfficer[AbilityID],RawOfficer[Tag_InvadingEntities])</f>
        <v>➖</v>
      </c>
      <c r="N338" s="516" t="str">
        <f t="array" ref="N338">XLOOKUP(LCARS_Off[AbilityID],RawOfficer[AbilityID],RawOfficer[Tag_Assaults])</f>
        <v>➖</v>
      </c>
      <c r="O338" s="516" t="str">
        <f t="array" ref="O338">XLOOKUP(LCARS_Off[AbilityID],RawOfficer[AbilityID],RawOfficer[Tag_OutpostArmadas])</f>
        <v>➖</v>
      </c>
      <c r="P338" s="516" t="str">
        <f t="array" ref="P338">XLOOKUP(LCARS_Off[AbilityID],RawOfficer[AbilityID],RawOfficer[Tag_OutpostRetaliators])</f>
        <v>➖</v>
      </c>
      <c r="Q338" s="517" t="str">
        <f t="array" ref="Q338">XLOOKUP(LCARS_Off[AbilityID],RawOfficer[AbilityID],RawOfficer[Conditional_Reason])</f>
        <v>EnemySurvey</v>
      </c>
      <c r="R338" s="518" t="str">
        <f t="array" ref="R338">XLOOKUP(LCARS_Off[AbilityID],RawOfficer[AbilityID],RawOfficer[Tag_Loot])</f>
        <v>➖</v>
      </c>
      <c r="S338" s="516" t="str">
        <f t="array" ref="S338">XLOOKUP(LCARS_Off[AbilityID],RawOfficer[AbilityID],RawOfficer[Tag_Utility])</f>
        <v>➖</v>
      </c>
      <c r="T338" s="429" t="str">
        <f t="array" ref="T338">XLOOKUP(LCARS_Off[AbilityID],RawOfficer[AbilityID],RawOfficer[OfficerSynergy])</f>
        <v>STRANGE NEW WORLDS</v>
      </c>
      <c r="U338" s="519" t="str">
        <f t="array" ref="U338">XLOOKUP(LCARS_Off[AbilityID],RawOfficer[AbilityID],RawOfficer[AbilityModifier])</f>
        <v>AllDefenses</v>
      </c>
      <c r="V338" s="519" t="str">
        <f t="array" ref="V338">XLOOKUP(LCARS_Off[AbilityID],RawOfficer[AbilityID],RawOfficer[AbilityAttributes])</f>
        <v>officer_stat=3</v>
      </c>
      <c r="W338" s="520" t="str">
        <f t="array" ref="W338">XLOOKUP(LCARS_Off[AbilityID],RawOfficer[AbilityID],RawOfficer[AbilityConditions])</f>
        <v>EnemyHostile, TargetNotArmada, EnemySurvey</v>
      </c>
      <c r="X338" s="519" t="str">
        <f t="array" ref="X338">XLOOKUP(LCARS_Off[AbilityID],RawOfficer[AbilityID],RawOfficer[AbilityTrigger])</f>
        <v>CombatStart</v>
      </c>
      <c r="Y338" s="519" t="str">
        <f t="array" ref="Y338">XLOOKUP(LCARS_Off[AbilityID],RawOfficer[AbilityID],RawOfficer[AbilityTarget])</f>
        <v>SelfShip</v>
      </c>
      <c r="Z338" s="519" t="str">
        <f t="array" ref="Z338">XLOOKUP(LCARS_Off[AbilityID],RawOfficer[AbilityID],RawOfficer[AbilityOperation])</f>
        <v>MultiplyBaseAdd</v>
      </c>
      <c r="AA338" s="521" t="str">
        <f t="array" ref="AA338">XLOOKUP(LCARS_Off[AbilityID],RawOfficer[AbilityID],RawOfficer[AbilityDescription])</f>
        <v>SNW Hemmer increases Armor, Shield Deflection, and Dodge by X of total Health when in combat with hostile Survey ships.</v>
      </c>
      <c r="AB338" s="429" t="b">
        <v>0</v>
      </c>
      <c r="AC338" s="522" t="str">
        <f t="array" ref="AC338">XLOOKUP(LCARS_Off[AbilityID],RawOfficer[AbilityID],RawOfficer[AbilityDescriptionShort])</f>
        <v>Increase Armor, Shield Deflection, and Dodge by X of total Health.</v>
      </c>
      <c r="AD338" s="523"/>
      <c r="AE338" s="524"/>
      <c r="AF338" s="524"/>
      <c r="AG338" s="525" t="str">
        <f t="array" ref="AG338">XLOOKUP(LCARS_Off[AbilityID],RawOfficer[AbilityID],RawOfficer[AbilityChances])</f>
        <v>1.0, 1.0, 1.0, 1.0, 1.0</v>
      </c>
      <c r="AH338" s="525" t="str">
        <f t="array" ref="AH338">XLOOKUP(LCARS_Off[AbilityID],RawOfficer[AbilityID],RawOfficer[AbilityValues])</f>
        <v>8.0, 10.0, 14.0, 19.0, 25.0</v>
      </c>
      <c r="AI338" s="428" t="b">
        <f t="array" ref="AI338">XLOOKUP(LCARS_Off[AbilityID],RawOfficer[AbilityID],RawOfficer[AbilityHasChance])</f>
        <v>0</v>
      </c>
      <c r="AJ338" s="428" t="b">
        <f t="array" ref="AJ338">XLOOKUP(LCARS_Off[AbilityID],RawOfficer[AbilityID],RawOfficer[AbilityShowPercentage])</f>
        <v>1</v>
      </c>
      <c r="AK338" s="429">
        <f t="array" ref="AK338">XLOOKUP(LCARS_Off[AbilityID],RawOfficer[AbilityID],RawOfficer[OfficerArt])</f>
        <v>208</v>
      </c>
      <c r="AL338" s="430">
        <v>3.879504116E9</v>
      </c>
      <c r="AM338" s="430">
        <f t="array" ref="AM338">XLOOKUP(LCARS_Off[AbilityID],RawOfficer[AbilityID],RawOfficer[Default Order])</f>
        <v>335</v>
      </c>
    </row>
    <row r="339">
      <c r="A339" s="429" t="str">
        <f t="array" ref="A339">LEFT(XLOOKUP(LCARS_Off[AbilityID],RawOfficer[AbilityID],RawOfficer[OfficerRarity]), 1)</f>
        <v>E</v>
      </c>
      <c r="B339" s="429"/>
      <c r="C339" s="514" t="str">
        <f t="array" ref="C339">HYPERLINK("https://stfc.space/officers/" &amp; XLOOKUP(LCARS_Off[AbilityID],RawOfficer[AbilityID],RawOfficer[OfficerId]), XLOOKUP(LCARS_Off[AbilityID],RawOfficer[AbilityID],RawOfficer[OfficerName]))</f>
        <v>SNW HEMMER</v>
      </c>
      <c r="D339" s="515" t="str">
        <f t="array" ref="D339">XLOOKUP(LCARS_Off[AbilityID],RawOfficer[AbilityID],RawOfficer[AbilityType])</f>
        <v>BDA</v>
      </c>
      <c r="E339" s="516" t="str">
        <f t="array" ref="E339">XLOOKUP(LCARS_Off[AbilityID],RawOfficer[AbilityID],RawOfficer[Tag_PvPinSpace])</f>
        <v>✅</v>
      </c>
      <c r="F339" s="516" t="str">
        <f t="array" ref="F339">XLOOKUP(LCARS_Off[AbilityID],RawOfficer[AbilityID],RawOfficer[Tag_PvPStation])</f>
        <v>✅</v>
      </c>
      <c r="G339" s="516" t="str">
        <f t="array" ref="G339">XLOOKUP(LCARS_Off[AbilityID],RawOfficer[AbilityID],RawOfficer[Tag_NonArmadaHostiles])</f>
        <v>✅</v>
      </c>
      <c r="H339" s="516" t="str">
        <f t="array" ref="H339">XLOOKUP(LCARS_Off[AbilityID],RawOfficer[AbilityID],RawOfficer[Tag_WaveDefense])</f>
        <v>✅</v>
      </c>
      <c r="I339" s="516" t="str">
        <f t="array" ref="I339">XLOOKUP(LCARS_Off[AbilityID],RawOfficer[AbilityID],RawOfficer[Tag_QTrial])</f>
        <v>✅</v>
      </c>
      <c r="J339" s="516" t="str">
        <f t="array" ref="J339">XLOOKUP(LCARS_Off[AbilityID],RawOfficer[AbilityID],RawOfficer[Tag_MissionBosses])</f>
        <v>✅</v>
      </c>
      <c r="K339" s="516" t="str">
        <f t="array" ref="K339">XLOOKUP(LCARS_Off[AbilityID],RawOfficer[AbilityID],RawOfficer[Tag_GroupArmadas])</f>
        <v>✅</v>
      </c>
      <c r="L339" s="516" t="str">
        <f t="array" ref="L339">XLOOKUP(LCARS_Off[AbilityID],RawOfficer[AbilityID],RawOfficer[Tag_SoloArmadas])</f>
        <v>✅</v>
      </c>
      <c r="M339" s="516" t="str">
        <f t="array" ref="M339">XLOOKUP(LCARS_Off[AbilityID],RawOfficer[AbilityID],RawOfficer[Tag_InvadingEntities])</f>
        <v>✅</v>
      </c>
      <c r="N339" s="516" t="str">
        <f t="array" ref="N339">XLOOKUP(LCARS_Off[AbilityID],RawOfficer[AbilityID],RawOfficer[Tag_Assaults])</f>
        <v>✅</v>
      </c>
      <c r="O339" s="516" t="str">
        <f t="array" ref="O339">XLOOKUP(LCARS_Off[AbilityID],RawOfficer[AbilityID],RawOfficer[Tag_OutpostArmadas])</f>
        <v>✅</v>
      </c>
      <c r="P339" s="516" t="str">
        <f t="array" ref="P339">XLOOKUP(LCARS_Off[AbilityID],RawOfficer[AbilityID],RawOfficer[Tag_OutpostRetaliators])</f>
        <v>✅</v>
      </c>
      <c r="Q339" s="517" t="str">
        <f t="array" ref="Q339">XLOOKUP(LCARS_Off[AbilityID],RawOfficer[AbilityID],RawOfficer[Conditional_Reason])</f>
        <v/>
      </c>
      <c r="R339" s="518" t="str">
        <f t="array" ref="R339">XLOOKUP(LCARS_Off[AbilityID],RawOfficer[AbilityID],RawOfficer[Tag_Loot])</f>
        <v>➖</v>
      </c>
      <c r="S339" s="516" t="str">
        <f t="array" ref="S339">XLOOKUP(LCARS_Off[AbilityID],RawOfficer[AbilityID],RawOfficer[Tag_Utility])</f>
        <v>➖</v>
      </c>
      <c r="T339" s="429" t="str">
        <f t="array" ref="T339">XLOOKUP(LCARS_Off[AbilityID],RawOfficer[AbilityID],RawOfficer[OfficerSynergy])</f>
        <v>STRANGE NEW WORLDS</v>
      </c>
      <c r="U339" s="519" t="str">
        <f t="array" ref="U339">XLOOKUP(LCARS_Off[AbilityID],RawOfficer[AbilityID],RawOfficer[AbilityModifier])</f>
        <v>OfficerStatHealth</v>
      </c>
      <c r="V339" s="519" t="str">
        <f t="array" ref="V339">XLOOKUP(LCARS_Off[AbilityID],RawOfficer[AbilityID],RawOfficer[AbilityAttributes])</f>
        <v/>
      </c>
      <c r="W339" s="520" t="str">
        <f t="array" ref="W339">XLOOKUP(LCARS_Off[AbilityID],RawOfficer[AbilityID],RawOfficer[AbilityConditions])</f>
        <v/>
      </c>
      <c r="X339" s="519" t="str">
        <f t="array" ref="X339">XLOOKUP(LCARS_Off[AbilityID],RawOfficer[AbilityID],RawOfficer[AbilityTrigger])</f>
        <v>ShipLaunched</v>
      </c>
      <c r="Y339" s="519" t="str">
        <f t="array" ref="Y339">XLOOKUP(LCARS_Off[AbilityID],RawOfficer[AbilityID],RawOfficer[AbilityTarget])</f>
        <v>SelfAll</v>
      </c>
      <c r="Z339" s="519" t="str">
        <f t="array" ref="Z339">XLOOKUP(LCARS_Off[AbilityID],RawOfficer[AbilityID],RawOfficer[AbilityOperation])</f>
        <v>MultiplyAdd</v>
      </c>
      <c r="AA339" s="521" t="str">
        <f t="array" ref="AA339">XLOOKUP(LCARS_Off[AbilityID],RawOfficer[AbilityID],RawOfficer[AbilityDescription])</f>
        <v>SNW Hemmer increases the Health of all Officers on the ship by X of their base value.</v>
      </c>
      <c r="AB339" s="429" t="b">
        <v>0</v>
      </c>
      <c r="AC339" s="522" t="str">
        <f t="array" ref="AC339">XLOOKUP(LCARS_Off[AbilityID],RawOfficer[AbilityID],RawOfficer[AbilityDescriptionShort])</f>
        <v>Increase Health of all Officers on the ship by X of their base value.</v>
      </c>
      <c r="AD339" s="523"/>
      <c r="AE339" s="524"/>
      <c r="AF339" s="524"/>
      <c r="AG339" s="525" t="str">
        <f t="array" ref="AG339">XLOOKUP(LCARS_Off[AbilityID],RawOfficer[AbilityID],RawOfficer[AbilityChances])</f>
        <v>1.0, 1.0, 1.0, 1.0, 1.0</v>
      </c>
      <c r="AH339" s="525" t="str">
        <f t="array" ref="AH339">XLOOKUP(LCARS_Off[AbilityID],RawOfficer[AbilityID],RawOfficer[AbilityValues])</f>
        <v>0.7, 0.8, 1.0, 1.2, 1.5</v>
      </c>
      <c r="AI339" s="428" t="b">
        <f t="array" ref="AI339">XLOOKUP(LCARS_Off[AbilityID],RawOfficer[AbilityID],RawOfficer[AbilityHasChance])</f>
        <v>0</v>
      </c>
      <c r="AJ339" s="428" t="b">
        <f t="array" ref="AJ339">XLOOKUP(LCARS_Off[AbilityID],RawOfficer[AbilityID],RawOfficer[AbilityShowPercentage])</f>
        <v>1</v>
      </c>
      <c r="AK339" s="429">
        <f t="array" ref="AK339">XLOOKUP(LCARS_Off[AbilityID],RawOfficer[AbilityID],RawOfficer[OfficerArt])</f>
        <v>208</v>
      </c>
      <c r="AL339" s="430">
        <v>3.078181122E9</v>
      </c>
      <c r="AM339" s="430">
        <f t="array" ref="AM339">XLOOKUP(LCARS_Off[AbilityID],RawOfficer[AbilityID],RawOfficer[Default Order])</f>
        <v>336</v>
      </c>
    </row>
    <row r="340">
      <c r="A340" s="429" t="str">
        <f t="array" ref="A340">LEFT(XLOOKUP(LCARS_Off[AbilityID],RawOfficer[AbilityID],RawOfficer[OfficerRarity]), 1)</f>
        <v>E</v>
      </c>
      <c r="B340" s="429"/>
      <c r="C340" s="514" t="str">
        <f t="array" ref="C340">HYPERLINK("https://stfc.space/officers/" &amp; XLOOKUP(LCARS_Off[AbilityID],RawOfficer[AbilityID],RawOfficer[OfficerId]), XLOOKUP(LCARS_Off[AbilityID],RawOfficer[AbilityID],RawOfficer[OfficerName]))</f>
        <v>STRIKE TEAM LA'AN</v>
      </c>
      <c r="D340" s="515" t="str">
        <f t="array" ref="D340">XLOOKUP(LCARS_Off[AbilityID],RawOfficer[AbilityID],RawOfficer[AbilityType])</f>
        <v>CM</v>
      </c>
      <c r="E340" s="516" t="str">
        <f t="array" ref="E340">XLOOKUP(LCARS_Off[AbilityID],RawOfficer[AbilityID],RawOfficer[Tag_PvPinSpace])</f>
        <v>✴️</v>
      </c>
      <c r="F340" s="516" t="str">
        <f t="array" ref="F340">XLOOKUP(LCARS_Off[AbilityID],RawOfficer[AbilityID],RawOfficer[Tag_PvPStation])</f>
        <v>✴️</v>
      </c>
      <c r="G340" s="516" t="str">
        <f t="array" ref="G340">XLOOKUP(LCARS_Off[AbilityID],RawOfficer[AbilityID],RawOfficer[Tag_NonArmadaHostiles])</f>
        <v>➖</v>
      </c>
      <c r="H340" s="516" t="str">
        <f t="array" ref="H340">XLOOKUP(LCARS_Off[AbilityID],RawOfficer[AbilityID],RawOfficer[Tag_WaveDefense])</f>
        <v>➖</v>
      </c>
      <c r="I340" s="516" t="str">
        <f t="array" ref="I340">XLOOKUP(LCARS_Off[AbilityID],RawOfficer[AbilityID],RawOfficer[Tag_QTrial])</f>
        <v>➖</v>
      </c>
      <c r="J340" s="516" t="str">
        <f t="array" ref="J340">XLOOKUP(LCARS_Off[AbilityID],RawOfficer[AbilityID],RawOfficer[Tag_MissionBosses])</f>
        <v>➖</v>
      </c>
      <c r="K340" s="516" t="str">
        <f t="array" ref="K340">XLOOKUP(LCARS_Off[AbilityID],RawOfficer[AbilityID],RawOfficer[Tag_GroupArmadas])</f>
        <v>➖</v>
      </c>
      <c r="L340" s="516" t="str">
        <f t="array" ref="L340">XLOOKUP(LCARS_Off[AbilityID],RawOfficer[AbilityID],RawOfficer[Tag_SoloArmadas])</f>
        <v>➖</v>
      </c>
      <c r="M340" s="516" t="str">
        <f t="array" ref="M340">XLOOKUP(LCARS_Off[AbilityID],RawOfficer[AbilityID],RawOfficer[Tag_InvadingEntities])</f>
        <v>➖</v>
      </c>
      <c r="N340" s="516" t="str">
        <f t="array" ref="N340">XLOOKUP(LCARS_Off[AbilityID],RawOfficer[AbilityID],RawOfficer[Tag_Assaults])</f>
        <v>➖</v>
      </c>
      <c r="O340" s="516" t="str">
        <f t="array" ref="O340">XLOOKUP(LCARS_Off[AbilityID],RawOfficer[AbilityID],RawOfficer[Tag_OutpostArmadas])</f>
        <v>➖</v>
      </c>
      <c r="P340" s="516" t="str">
        <f t="array" ref="P340">XLOOKUP(LCARS_Off[AbilityID],RawOfficer[AbilityID],RawOfficer[Tag_OutpostRetaliators])</f>
        <v>➖</v>
      </c>
      <c r="Q340" s="517" t="str">
        <f t="array" ref="Q340">XLOOKUP(LCARS_Off[AbilityID],RawOfficer[AbilityID],RawOfficer[Conditional_Reason])</f>
        <v>SelfBattleship, TargetHasBurning</v>
      </c>
      <c r="R340" s="518" t="str">
        <f t="array" ref="R340">XLOOKUP(LCARS_Off[AbilityID],RawOfficer[AbilityID],RawOfficer[Tag_Loot])</f>
        <v>➖</v>
      </c>
      <c r="S340" s="516" t="str">
        <f t="array" ref="S340">XLOOKUP(LCARS_Off[AbilityID],RawOfficer[AbilityID],RawOfficer[Tag_Utility])</f>
        <v>➖</v>
      </c>
      <c r="T340" s="429" t="str">
        <f t="array" ref="T340">XLOOKUP(LCARS_Off[AbilityID],RawOfficer[AbilityID],RawOfficer[OfficerSynergy])</f>
        <v>BATTLESHIP STRIKE TEAM</v>
      </c>
      <c r="U340" s="519" t="str">
        <f t="array" ref="U340">XLOOKUP(LCARS_Off[AbilityID],RawOfficer[AbilityID],RawOfficer[AbilityModifier])</f>
        <v>ShotsPerAttack</v>
      </c>
      <c r="V340" s="519" t="str">
        <f t="array" ref="V340">XLOOKUP(LCARS_Off[AbilityID],RawOfficer[AbilityID],RawOfficer[AbilityAttributes])</f>
        <v/>
      </c>
      <c r="W340" s="520" t="str">
        <f t="array" ref="W340">XLOOKUP(LCARS_Off[AbilityID],RawOfficer[AbilityID],RawOfficer[AbilityConditions])</f>
        <v>SelfBattleship, EnemyPlayer, TargetHasBurning</v>
      </c>
      <c r="X340" s="519" t="str">
        <f t="array" ref="X340">XLOOKUP(LCARS_Off[AbilityID],RawOfficer[AbilityID],RawOfficer[AbilityTrigger])</f>
        <v>RoundStart</v>
      </c>
      <c r="Y340" s="519" t="str">
        <f t="array" ref="Y340">XLOOKUP(LCARS_Off[AbilityID],RawOfficer[AbilityID],RawOfficer[AbilityTarget])</f>
        <v>SelfShip</v>
      </c>
      <c r="Z340" s="519" t="str">
        <f t="array" ref="Z340">XLOOKUP(LCARS_Off[AbilityID],RawOfficer[AbilityID],RawOfficer[AbilityOperation])</f>
        <v>MultiplyAdd</v>
      </c>
      <c r="AA340" s="521" t="str">
        <f t="array" ref="AA340">XLOOKUP(LCARS_Off[AbilityID],RawOfficer[AbilityID],RawOfficer[AbilityDescription])</f>
        <v>While on a Battleship fighting a Burning player ship, at the start of each round Strike Team SNW La'an increases the number of shots per Weapon by X.</v>
      </c>
      <c r="AB340" s="429" t="b">
        <v>0</v>
      </c>
      <c r="AC340" s="522" t="str">
        <f t="array" ref="AC340">XLOOKUP(LCARS_Off[AbilityID],RawOfficer[AbilityID],RawOfficer[AbilityDescriptionShort])</f>
        <v>+X to Weapon Shots on round start if on a Battleship fighting Burning player ships.</v>
      </c>
      <c r="AD340" s="523"/>
      <c r="AE340" s="524"/>
      <c r="AF340" s="524"/>
      <c r="AG340" s="525" t="str">
        <f t="array" ref="AG340">XLOOKUP(LCARS_Off[AbilityID],RawOfficer[AbilityID],RawOfficer[AbilityChances])</f>
        <v>1.0, 1.0, 1.0</v>
      </c>
      <c r="AH340" s="525" t="str">
        <f t="array" ref="AH340">XLOOKUP(LCARS_Off[AbilityID],RawOfficer[AbilityID],RawOfficer[AbilityValues])</f>
        <v>0.1, 0.25, 0.65</v>
      </c>
      <c r="AI340" s="428" t="b">
        <f t="array" ref="AI340">XLOOKUP(LCARS_Off[AbilityID],RawOfficer[AbilityID],RawOfficer[AbilityHasChance])</f>
        <v>0</v>
      </c>
      <c r="AJ340" s="428" t="b">
        <f t="array" ref="AJ340">XLOOKUP(LCARS_Off[AbilityID],RawOfficer[AbilityID],RawOfficer[AbilityShowPercentage])</f>
        <v>1</v>
      </c>
      <c r="AK340" s="429">
        <f t="array" ref="AK340">XLOOKUP(LCARS_Off[AbilityID],RawOfficer[AbilityID],RawOfficer[OfficerArt])</f>
        <v>209</v>
      </c>
      <c r="AL340" s="430">
        <v>3.065338757E9</v>
      </c>
      <c r="AM340" s="430">
        <f t="array" ref="AM340">XLOOKUP(LCARS_Off[AbilityID],RawOfficer[AbilityID],RawOfficer[Default Order])</f>
        <v>337</v>
      </c>
    </row>
    <row r="341">
      <c r="A341" s="429" t="str">
        <f t="array" ref="A341">LEFT(XLOOKUP(LCARS_Off[AbilityID],RawOfficer[AbilityID],RawOfficer[OfficerRarity]), 1)</f>
        <v>E</v>
      </c>
      <c r="B341" s="429"/>
      <c r="C341" s="514" t="str">
        <f t="array" ref="C341">HYPERLINK("https://stfc.space/officers/" &amp; XLOOKUP(LCARS_Off[AbilityID],RawOfficer[AbilityID],RawOfficer[OfficerId]), XLOOKUP(LCARS_Off[AbilityID],RawOfficer[AbilityID],RawOfficer[OfficerName]))</f>
        <v>STRIKE TEAM LA'AN</v>
      </c>
      <c r="D341" s="515" t="str">
        <f t="array" ref="D341">XLOOKUP(LCARS_Off[AbilityID],RawOfficer[AbilityID],RawOfficer[AbilityType])</f>
        <v>OA</v>
      </c>
      <c r="E341" s="516" t="str">
        <f t="array" ref="E341">XLOOKUP(LCARS_Off[AbilityID],RawOfficer[AbilityID],RawOfficer[Tag_PvPinSpace])</f>
        <v>✴️</v>
      </c>
      <c r="F341" s="516" t="str">
        <f t="array" ref="F341">XLOOKUP(LCARS_Off[AbilityID],RawOfficer[AbilityID],RawOfficer[Tag_PvPStation])</f>
        <v>✴️</v>
      </c>
      <c r="G341" s="516" t="str">
        <f t="array" ref="G341">XLOOKUP(LCARS_Off[AbilityID],RawOfficer[AbilityID],RawOfficer[Tag_NonArmadaHostiles])</f>
        <v>➖</v>
      </c>
      <c r="H341" s="516" t="str">
        <f t="array" ref="H341">XLOOKUP(LCARS_Off[AbilityID],RawOfficer[AbilityID],RawOfficer[Tag_WaveDefense])</f>
        <v>➖</v>
      </c>
      <c r="I341" s="516" t="str">
        <f t="array" ref="I341">XLOOKUP(LCARS_Off[AbilityID],RawOfficer[AbilityID],RawOfficer[Tag_QTrial])</f>
        <v>➖</v>
      </c>
      <c r="J341" s="516" t="str">
        <f t="array" ref="J341">XLOOKUP(LCARS_Off[AbilityID],RawOfficer[AbilityID],RawOfficer[Tag_MissionBosses])</f>
        <v>➖</v>
      </c>
      <c r="K341" s="516" t="str">
        <f t="array" ref="K341">XLOOKUP(LCARS_Off[AbilityID],RawOfficer[AbilityID],RawOfficer[Tag_GroupArmadas])</f>
        <v>➖</v>
      </c>
      <c r="L341" s="516" t="str">
        <f t="array" ref="L341">XLOOKUP(LCARS_Off[AbilityID],RawOfficer[AbilityID],RawOfficer[Tag_SoloArmadas])</f>
        <v>➖</v>
      </c>
      <c r="M341" s="516" t="str">
        <f t="array" ref="M341">XLOOKUP(LCARS_Off[AbilityID],RawOfficer[AbilityID],RawOfficer[Tag_InvadingEntities])</f>
        <v>➖</v>
      </c>
      <c r="N341" s="516" t="str">
        <f t="array" ref="N341">XLOOKUP(LCARS_Off[AbilityID],RawOfficer[AbilityID],RawOfficer[Tag_Assaults])</f>
        <v>➖</v>
      </c>
      <c r="O341" s="516" t="str">
        <f t="array" ref="O341">XLOOKUP(LCARS_Off[AbilityID],RawOfficer[AbilityID],RawOfficer[Tag_OutpostArmadas])</f>
        <v>➖</v>
      </c>
      <c r="P341" s="516" t="str">
        <f t="array" ref="P341">XLOOKUP(LCARS_Off[AbilityID],RawOfficer[AbilityID],RawOfficer[Tag_OutpostRetaliators])</f>
        <v>➖</v>
      </c>
      <c r="Q341" s="517" t="str">
        <f t="array" ref="Q341">XLOOKUP(LCARS_Off[AbilityID],RawOfficer[AbilityID],RawOfficer[Conditional_Reason])</f>
        <v>SelfBattleship</v>
      </c>
      <c r="R341" s="518" t="str">
        <f t="array" ref="R341">XLOOKUP(LCARS_Off[AbilityID],RawOfficer[AbilityID],RawOfficer[Tag_Loot])</f>
        <v>➖</v>
      </c>
      <c r="S341" s="516" t="str">
        <f t="array" ref="S341">XLOOKUP(LCARS_Off[AbilityID],RawOfficer[AbilityID],RawOfficer[Tag_Utility])</f>
        <v>➖</v>
      </c>
      <c r="T341" s="429" t="str">
        <f t="array" ref="T341">XLOOKUP(LCARS_Off[AbilityID],RawOfficer[AbilityID],RawOfficer[OfficerSynergy])</f>
        <v>BATTLESHIP STRIKE TEAM</v>
      </c>
      <c r="U341" s="519" t="str">
        <f t="array" ref="U341">XLOOKUP(LCARS_Off[AbilityID],RawOfficer[AbilityID],RawOfficer[AbilityModifier])</f>
        <v>AddState</v>
      </c>
      <c r="V341" s="519" t="str">
        <f t="array" ref="V341">XLOOKUP(LCARS_Off[AbilityID],RawOfficer[AbilityID],RawOfficer[AbilityAttributes])</f>
        <v>num_rounds=3, state=2</v>
      </c>
      <c r="W341" s="520" t="str">
        <f t="array" ref="W341">XLOOKUP(LCARS_Off[AbilityID],RawOfficer[AbilityID],RawOfficer[AbilityConditions])</f>
        <v>SelfBattleship, EnemyPlayer</v>
      </c>
      <c r="X341" s="519" t="str">
        <f t="array" ref="X341">XLOOKUP(LCARS_Off[AbilityID],RawOfficer[AbilityID],RawOfficer[AbilityTrigger])</f>
        <v>EnemyTakesHit</v>
      </c>
      <c r="Y341" s="519" t="str">
        <f t="array" ref="Y341">XLOOKUP(LCARS_Off[AbilityID],RawOfficer[AbilityID],RawOfficer[AbilityTarget])</f>
        <v>EnemyShip</v>
      </c>
      <c r="Z341" s="519" t="str">
        <f t="array" ref="Z341">XLOOKUP(LCARS_Off[AbilityID],RawOfficer[AbilityID],RawOfficer[AbilityOperation])</f>
        <v>MultiplyAdd</v>
      </c>
      <c r="AA341" s="521" t="str">
        <f t="array" ref="AA341">XLOOKUP(LCARS_Off[AbilityID],RawOfficer[AbilityID],RawOfficer[AbilityDescription])</f>
        <v>While on a Battleship fighting a player ship, each time your ship hits with a weapon, Strike Team SNW La'an has a X chance of Burning it for 3 rounds.</v>
      </c>
      <c r="AB341" s="429" t="b">
        <v>0</v>
      </c>
      <c r="AC341" s="522" t="str">
        <f t="array" ref="AC341">XLOOKUP(LCARS_Off[AbilityID],RawOfficer[AbilityID],RawOfficer[AbilityDescriptionShort])</f>
        <v>X chance of Burning player ships for 3 rounds per hit if on a Battleship.</v>
      </c>
      <c r="AD341" s="523"/>
      <c r="AE341" s="524"/>
      <c r="AF341" s="524"/>
      <c r="AG341" s="525" t="str">
        <f t="array" ref="AG341">XLOOKUP(LCARS_Off[AbilityID],RawOfficer[AbilityID],RawOfficer[AbilityChances])</f>
        <v>0.6, 0.65, 0.72, 0.8, 0.9</v>
      </c>
      <c r="AH341" s="525" t="str">
        <f t="array" ref="AH341">XLOOKUP(LCARS_Off[AbilityID],RawOfficer[AbilityID],RawOfficer[AbilityValues])</f>
        <v>1.0, 1.0, 1.0, 1.0, 1.0</v>
      </c>
      <c r="AI341" s="428" t="b">
        <f t="array" ref="AI341">XLOOKUP(LCARS_Off[AbilityID],RawOfficer[AbilityID],RawOfficer[AbilityHasChance])</f>
        <v>1</v>
      </c>
      <c r="AJ341" s="428" t="b">
        <f t="array" ref="AJ341">XLOOKUP(LCARS_Off[AbilityID],RawOfficer[AbilityID],RawOfficer[AbilityShowPercentage])</f>
        <v>1</v>
      </c>
      <c r="AK341" s="429">
        <f t="array" ref="AK341">XLOOKUP(LCARS_Off[AbilityID],RawOfficer[AbilityID],RawOfficer[OfficerArt])</f>
        <v>209</v>
      </c>
      <c r="AL341" s="430">
        <v>3.785159004E9</v>
      </c>
      <c r="AM341" s="430">
        <f t="array" ref="AM341">XLOOKUP(LCARS_Off[AbilityID],RawOfficer[AbilityID],RawOfficer[Default Order])</f>
        <v>338</v>
      </c>
    </row>
    <row r="342">
      <c r="A342" s="429" t="str">
        <f t="array" ref="A342">LEFT(XLOOKUP(LCARS_Off[AbilityID],RawOfficer[AbilityID],RawOfficer[OfficerRarity]), 1)</f>
        <v>R</v>
      </c>
      <c r="B342" s="429"/>
      <c r="C342" s="514" t="str">
        <f t="array" ref="C342">HYPERLINK("https://stfc.space/officers/" &amp; XLOOKUP(LCARS_Off[AbilityID],RawOfficer[AbilityID],RawOfficer[OfficerId]), XLOOKUP(LCARS_Off[AbilityID],RawOfficer[AbilityID],RawOfficer[OfficerName]))</f>
        <v>STRIKE TEAM UNA</v>
      </c>
      <c r="D342" s="515" t="str">
        <f t="array" ref="D342">XLOOKUP(LCARS_Off[AbilityID],RawOfficer[AbilityID],RawOfficer[AbilityType])</f>
        <v>CM</v>
      </c>
      <c r="E342" s="516" t="str">
        <f t="array" ref="E342">XLOOKUP(LCARS_Off[AbilityID],RawOfficer[AbilityID],RawOfficer[Tag_PvPinSpace])</f>
        <v>✴️</v>
      </c>
      <c r="F342" s="516" t="str">
        <f t="array" ref="F342">XLOOKUP(LCARS_Off[AbilityID],RawOfficer[AbilityID],RawOfficer[Tag_PvPStation])</f>
        <v>✴️</v>
      </c>
      <c r="G342" s="516" t="str">
        <f t="array" ref="G342">XLOOKUP(LCARS_Off[AbilityID],RawOfficer[AbilityID],RawOfficer[Tag_NonArmadaHostiles])</f>
        <v>➖</v>
      </c>
      <c r="H342" s="516" t="str">
        <f t="array" ref="H342">XLOOKUP(LCARS_Off[AbilityID],RawOfficer[AbilityID],RawOfficer[Tag_WaveDefense])</f>
        <v>➖</v>
      </c>
      <c r="I342" s="516" t="str">
        <f t="array" ref="I342">XLOOKUP(LCARS_Off[AbilityID],RawOfficer[AbilityID],RawOfficer[Tag_QTrial])</f>
        <v>➖</v>
      </c>
      <c r="J342" s="516" t="str">
        <f t="array" ref="J342">XLOOKUP(LCARS_Off[AbilityID],RawOfficer[AbilityID],RawOfficer[Tag_MissionBosses])</f>
        <v>➖</v>
      </c>
      <c r="K342" s="516" t="str">
        <f t="array" ref="K342">XLOOKUP(LCARS_Off[AbilityID],RawOfficer[AbilityID],RawOfficer[Tag_GroupArmadas])</f>
        <v>➖</v>
      </c>
      <c r="L342" s="516" t="str">
        <f t="array" ref="L342">XLOOKUP(LCARS_Off[AbilityID],RawOfficer[AbilityID],RawOfficer[Tag_SoloArmadas])</f>
        <v>➖</v>
      </c>
      <c r="M342" s="516" t="str">
        <f t="array" ref="M342">XLOOKUP(LCARS_Off[AbilityID],RawOfficer[AbilityID],RawOfficer[Tag_InvadingEntities])</f>
        <v>➖</v>
      </c>
      <c r="N342" s="516" t="str">
        <f t="array" ref="N342">XLOOKUP(LCARS_Off[AbilityID],RawOfficer[AbilityID],RawOfficer[Tag_Assaults])</f>
        <v>➖</v>
      </c>
      <c r="O342" s="516" t="str">
        <f t="array" ref="O342">XLOOKUP(LCARS_Off[AbilityID],RawOfficer[AbilityID],RawOfficer[Tag_OutpostArmadas])</f>
        <v>➖</v>
      </c>
      <c r="P342" s="516" t="str">
        <f t="array" ref="P342">XLOOKUP(LCARS_Off[AbilityID],RawOfficer[AbilityID],RawOfficer[Tag_OutpostRetaliators])</f>
        <v>➖</v>
      </c>
      <c r="Q342" s="517" t="str">
        <f t="array" ref="Q342">XLOOKUP(LCARS_Off[AbilityID],RawOfficer[AbilityID],RawOfficer[Conditional_Reason])</f>
        <v>EnemyExplorer</v>
      </c>
      <c r="R342" s="518" t="str">
        <f t="array" ref="R342">XLOOKUP(LCARS_Off[AbilityID],RawOfficer[AbilityID],RawOfficer[Tag_Loot])</f>
        <v>➖</v>
      </c>
      <c r="S342" s="516" t="str">
        <f t="array" ref="S342">XLOOKUP(LCARS_Off[AbilityID],RawOfficer[AbilityID],RawOfficer[Tag_Utility])</f>
        <v>➖</v>
      </c>
      <c r="T342" s="429" t="str">
        <f t="array" ref="T342">XLOOKUP(LCARS_Off[AbilityID],RawOfficer[AbilityID],RawOfficer[OfficerSynergy])</f>
        <v>BATTLESHIP STRIKE TEAM</v>
      </c>
      <c r="U342" s="519" t="str">
        <f t="array" ref="U342">XLOOKUP(LCARS_Off[AbilityID],RawOfficer[AbilityID],RawOfficer[AbilityModifier])</f>
        <v>OfficerStatAll</v>
      </c>
      <c r="V342" s="519" t="str">
        <f t="array" ref="V342">XLOOKUP(LCARS_Off[AbilityID],RawOfficer[AbilityID],RawOfficer[AbilityAttributes])</f>
        <v/>
      </c>
      <c r="W342" s="520" t="str">
        <f t="array" ref="W342">XLOOKUP(LCARS_Off[AbilityID],RawOfficer[AbilityID],RawOfficer[AbilityConditions])</f>
        <v>EnemyExplorer, EnemyPlayer</v>
      </c>
      <c r="X342" s="519" t="str">
        <f t="array" ref="X342">XLOOKUP(LCARS_Off[AbilityID],RawOfficer[AbilityID],RawOfficer[AbilityTrigger])</f>
        <v>RoundStart</v>
      </c>
      <c r="Y342" s="519" t="str">
        <f t="array" ref="Y342">XLOOKUP(LCARS_Off[AbilityID],RawOfficer[AbilityID],RawOfficer[AbilityTarget])</f>
        <v>SelfAll</v>
      </c>
      <c r="Z342" s="519" t="str">
        <f t="array" ref="Z342">XLOOKUP(LCARS_Off[AbilityID],RawOfficer[AbilityID],RawOfficer[AbilityOperation])</f>
        <v>MultiplyAdd</v>
      </c>
      <c r="AA342" s="521" t="str">
        <f t="array" ref="AA342">XLOOKUP(LCARS_Off[AbilityID],RawOfficer[AbilityID],RawOfficer[AbilityDescription])</f>
        <v>While in combat against a player Explorer, Strike Team SNW Una increases all Officer stats by X each round.</v>
      </c>
      <c r="AB342" s="429" t="b">
        <v>0</v>
      </c>
      <c r="AC342" s="522" t="str">
        <f t="array" ref="AC342">XLOOKUP(LCARS_Off[AbilityID],RawOfficer[AbilityID],RawOfficer[AbilityDescriptionShort])</f>
        <v>+X to Officer stats each round against player Explorers.</v>
      </c>
      <c r="AD342" s="523"/>
      <c r="AE342" s="524"/>
      <c r="AF342" s="524"/>
      <c r="AG342" s="525" t="str">
        <f t="array" ref="AG342">XLOOKUP(LCARS_Off[AbilityID],RawOfficer[AbilityID],RawOfficer[AbilityChances])</f>
        <v>1.0, 1.0, 1.0</v>
      </c>
      <c r="AH342" s="525" t="str">
        <f t="array" ref="AH342">XLOOKUP(LCARS_Off[AbilityID],RawOfficer[AbilityID],RawOfficer[AbilityValues])</f>
        <v>1.3, 0.05, 0.1</v>
      </c>
      <c r="AI342" s="428" t="b">
        <f t="array" ref="AI342">XLOOKUP(LCARS_Off[AbilityID],RawOfficer[AbilityID],RawOfficer[AbilityHasChance])</f>
        <v>0</v>
      </c>
      <c r="AJ342" s="428" t="b">
        <f t="array" ref="AJ342">XLOOKUP(LCARS_Off[AbilityID],RawOfficer[AbilityID],RawOfficer[AbilityShowPercentage])</f>
        <v>1</v>
      </c>
      <c r="AK342" s="429">
        <f t="array" ref="AK342">XLOOKUP(LCARS_Off[AbilityID],RawOfficer[AbilityID],RawOfficer[OfficerArt])</f>
        <v>210</v>
      </c>
      <c r="AL342" s="430">
        <v>1.85131547E8</v>
      </c>
      <c r="AM342" s="430">
        <f t="array" ref="AM342">XLOOKUP(LCARS_Off[AbilityID],RawOfficer[AbilityID],RawOfficer[Default Order])</f>
        <v>339</v>
      </c>
    </row>
    <row r="343">
      <c r="A343" s="429" t="str">
        <f t="array" ref="A343">LEFT(XLOOKUP(LCARS_Off[AbilityID],RawOfficer[AbilityID],RawOfficer[OfficerRarity]), 1)</f>
        <v>R</v>
      </c>
      <c r="B343" s="429"/>
      <c r="C343" s="514" t="str">
        <f t="array" ref="C343">HYPERLINK("https://stfc.space/officers/" &amp; XLOOKUP(LCARS_Off[AbilityID],RawOfficer[AbilityID],RawOfficer[OfficerId]), XLOOKUP(LCARS_Off[AbilityID],RawOfficer[AbilityID],RawOfficer[OfficerName]))</f>
        <v>STRIKE TEAM UNA</v>
      </c>
      <c r="D343" s="515" t="str">
        <f t="array" ref="D343">XLOOKUP(LCARS_Off[AbilityID],RawOfficer[AbilityID],RawOfficer[AbilityType])</f>
        <v>OA</v>
      </c>
      <c r="E343" s="516" t="str">
        <f t="array" ref="E343">XLOOKUP(LCARS_Off[AbilityID],RawOfficer[AbilityID],RawOfficer[Tag_PvPinSpace])</f>
        <v>✴️</v>
      </c>
      <c r="F343" s="516" t="str">
        <f t="array" ref="F343">XLOOKUP(LCARS_Off[AbilityID],RawOfficer[AbilityID],RawOfficer[Tag_PvPStation])</f>
        <v>✴️</v>
      </c>
      <c r="G343" s="516" t="str">
        <f t="array" ref="G343">XLOOKUP(LCARS_Off[AbilityID],RawOfficer[AbilityID],RawOfficer[Tag_NonArmadaHostiles])</f>
        <v>➖</v>
      </c>
      <c r="H343" s="516" t="str">
        <f t="array" ref="H343">XLOOKUP(LCARS_Off[AbilityID],RawOfficer[AbilityID],RawOfficer[Tag_WaveDefense])</f>
        <v>➖</v>
      </c>
      <c r="I343" s="516" t="str">
        <f t="array" ref="I343">XLOOKUP(LCARS_Off[AbilityID],RawOfficer[AbilityID],RawOfficer[Tag_QTrial])</f>
        <v>➖</v>
      </c>
      <c r="J343" s="516" t="str">
        <f t="array" ref="J343">XLOOKUP(LCARS_Off[AbilityID],RawOfficer[AbilityID],RawOfficer[Tag_MissionBosses])</f>
        <v>➖</v>
      </c>
      <c r="K343" s="516" t="str">
        <f t="array" ref="K343">XLOOKUP(LCARS_Off[AbilityID],RawOfficer[AbilityID],RawOfficer[Tag_GroupArmadas])</f>
        <v>➖</v>
      </c>
      <c r="L343" s="516" t="str">
        <f t="array" ref="L343">XLOOKUP(LCARS_Off[AbilityID],RawOfficer[AbilityID],RawOfficer[Tag_SoloArmadas])</f>
        <v>➖</v>
      </c>
      <c r="M343" s="516" t="str">
        <f t="array" ref="M343">XLOOKUP(LCARS_Off[AbilityID],RawOfficer[AbilityID],RawOfficer[Tag_InvadingEntities])</f>
        <v>➖</v>
      </c>
      <c r="N343" s="516" t="str">
        <f t="array" ref="N343">XLOOKUP(LCARS_Off[AbilityID],RawOfficer[AbilityID],RawOfficer[Tag_Assaults])</f>
        <v>➖</v>
      </c>
      <c r="O343" s="516" t="str">
        <f t="array" ref="O343">XLOOKUP(LCARS_Off[AbilityID],RawOfficer[AbilityID],RawOfficer[Tag_OutpostArmadas])</f>
        <v>➖</v>
      </c>
      <c r="P343" s="516" t="str">
        <f t="array" ref="P343">XLOOKUP(LCARS_Off[AbilityID],RawOfficer[AbilityID],RawOfficer[Tag_OutpostRetaliators])</f>
        <v>➖</v>
      </c>
      <c r="Q343" s="517" t="str">
        <f t="array" ref="Q343">XLOOKUP(LCARS_Off[AbilityID],RawOfficer[AbilityID],RawOfficer[Conditional_Reason])</f>
        <v>SelfBattleship</v>
      </c>
      <c r="R343" s="518" t="str">
        <f t="array" ref="R343">XLOOKUP(LCARS_Off[AbilityID],RawOfficer[AbilityID],RawOfficer[Tag_Loot])</f>
        <v>➖</v>
      </c>
      <c r="S343" s="516" t="str">
        <f t="array" ref="S343">XLOOKUP(LCARS_Off[AbilityID],RawOfficer[AbilityID],RawOfficer[Tag_Utility])</f>
        <v>➖</v>
      </c>
      <c r="T343" s="429" t="str">
        <f t="array" ref="T343">XLOOKUP(LCARS_Off[AbilityID],RawOfficer[AbilityID],RawOfficer[OfficerSynergy])</f>
        <v>BATTLESHIP STRIKE TEAM</v>
      </c>
      <c r="U343" s="519" t="str">
        <f t="array" ref="U343">XLOOKUP(LCARS_Off[AbilityID],RawOfficer[AbilityID],RawOfficer[AbilityModifier])</f>
        <v>ShieldMitigation</v>
      </c>
      <c r="V343" s="519" t="str">
        <f t="array" ref="V343">XLOOKUP(LCARS_Off[AbilityID],RawOfficer[AbilityID],RawOfficer[AbilityAttributes])</f>
        <v/>
      </c>
      <c r="W343" s="520" t="str">
        <f t="array" ref="W343">XLOOKUP(LCARS_Off[AbilityID],RawOfficer[AbilityID],RawOfficer[AbilityConditions])</f>
        <v>SelfBattleship, EnemyPlayer</v>
      </c>
      <c r="X343" s="519" t="str">
        <f t="array" ref="X343">XLOOKUP(LCARS_Off[AbilityID],RawOfficer[AbilityID],RawOfficer[AbilityTrigger])</f>
        <v>RoundStart</v>
      </c>
      <c r="Y343" s="519" t="str">
        <f t="array" ref="Y343">XLOOKUP(LCARS_Off[AbilityID],RawOfficer[AbilityID],RawOfficer[AbilityTarget])</f>
        <v>EnemyShip</v>
      </c>
      <c r="Z343" s="519" t="str">
        <f t="array" ref="Z343">XLOOKUP(LCARS_Off[AbilityID],RawOfficer[AbilityID],RawOfficer[AbilityOperation])</f>
        <v>MultiplySub</v>
      </c>
      <c r="AA343" s="521" t="str">
        <f t="array" ref="AA343">XLOOKUP(LCARS_Off[AbilityID],RawOfficer[AbilityID],RawOfficer[AbilityDescription])</f>
        <v>While on a Battleship fighting a player ship, Strike Team SNW Una decreases their Shield Mitigation by X each round.</v>
      </c>
      <c r="AB343" s="429" t="b">
        <v>0</v>
      </c>
      <c r="AC343" s="522" t="str">
        <f t="array" ref="AC343">XLOOKUP(LCARS_Off[AbilityID],RawOfficer[AbilityID],RawOfficer[AbilityDescriptionShort])</f>
        <v>-X enemy Shield Mitigation per round against players when in a Battleship.</v>
      </c>
      <c r="AD343" s="523"/>
      <c r="AE343" s="524"/>
      <c r="AF343" s="524"/>
      <c r="AG343" s="525" t="str">
        <f t="array" ref="AG343">XLOOKUP(LCARS_Off[AbilityID],RawOfficer[AbilityID],RawOfficer[AbilityChances])</f>
        <v>1.0, 1.0, 1.0, 1.0, 1.0</v>
      </c>
      <c r="AH343" s="525" t="str">
        <f t="array" ref="AH343">XLOOKUP(LCARS_Off[AbilityID],RawOfficer[AbilityID],RawOfficer[AbilityValues])</f>
        <v>0.25, 0.27, 0.3, 0.34, 0.4</v>
      </c>
      <c r="AI343" s="428" t="b">
        <f t="array" ref="AI343">XLOOKUP(LCARS_Off[AbilityID],RawOfficer[AbilityID],RawOfficer[AbilityHasChance])</f>
        <v>0</v>
      </c>
      <c r="AJ343" s="428" t="b">
        <f t="array" ref="AJ343">XLOOKUP(LCARS_Off[AbilityID],RawOfficer[AbilityID],RawOfficer[AbilityShowPercentage])</f>
        <v>1</v>
      </c>
      <c r="AK343" s="429">
        <f t="array" ref="AK343">XLOOKUP(LCARS_Off[AbilityID],RawOfficer[AbilityID],RawOfficer[OfficerArt])</f>
        <v>210</v>
      </c>
      <c r="AL343" s="430">
        <v>3.519202949E9</v>
      </c>
      <c r="AM343" s="430">
        <f t="array" ref="AM343">XLOOKUP(LCARS_Off[AbilityID],RawOfficer[AbilityID],RawOfficer[Default Order])</f>
        <v>340</v>
      </c>
    </row>
    <row r="344">
      <c r="A344" s="429" t="str">
        <f t="array" ref="A344">LEFT(XLOOKUP(LCARS_Off[AbilityID],RawOfficer[AbilityID],RawOfficer[OfficerRarity]), 1)</f>
        <v>R</v>
      </c>
      <c r="B344" s="429"/>
      <c r="C344" s="514" t="str">
        <f t="array" ref="C344">HYPERLINK("https://stfc.space/officers/" &amp; XLOOKUP(LCARS_Off[AbilityID],RawOfficer[AbilityID],RawOfficer[OfficerId]), XLOOKUP(LCARS_Off[AbilityID],RawOfficer[AbilityID],RawOfficer[OfficerName]))</f>
        <v>STRIKE TEAM ORTEGAS</v>
      </c>
      <c r="D344" s="515" t="str">
        <f t="array" ref="D344">XLOOKUP(LCARS_Off[AbilityID],RawOfficer[AbilityID],RawOfficer[AbilityType])</f>
        <v>CM</v>
      </c>
      <c r="E344" s="516" t="str">
        <f t="array" ref="E344">XLOOKUP(LCARS_Off[AbilityID],RawOfficer[AbilityID],RawOfficer[Tag_PvPinSpace])</f>
        <v>✴️</v>
      </c>
      <c r="F344" s="516" t="str">
        <f t="array" ref="F344">XLOOKUP(LCARS_Off[AbilityID],RawOfficer[AbilityID],RawOfficer[Tag_PvPStation])</f>
        <v>✴️</v>
      </c>
      <c r="G344" s="516" t="str">
        <f t="array" ref="G344">XLOOKUP(LCARS_Off[AbilityID],RawOfficer[AbilityID],RawOfficer[Tag_NonArmadaHostiles])</f>
        <v>➖</v>
      </c>
      <c r="H344" s="516" t="str">
        <f t="array" ref="H344">XLOOKUP(LCARS_Off[AbilityID],RawOfficer[AbilityID],RawOfficer[Tag_WaveDefense])</f>
        <v>➖</v>
      </c>
      <c r="I344" s="516" t="str">
        <f t="array" ref="I344">XLOOKUP(LCARS_Off[AbilityID],RawOfficer[AbilityID],RawOfficer[Tag_QTrial])</f>
        <v>➖</v>
      </c>
      <c r="J344" s="516" t="str">
        <f t="array" ref="J344">XLOOKUP(LCARS_Off[AbilityID],RawOfficer[AbilityID],RawOfficer[Tag_MissionBosses])</f>
        <v>➖</v>
      </c>
      <c r="K344" s="516" t="str">
        <f t="array" ref="K344">XLOOKUP(LCARS_Off[AbilityID],RawOfficer[AbilityID],RawOfficer[Tag_GroupArmadas])</f>
        <v>➖</v>
      </c>
      <c r="L344" s="516" t="str">
        <f t="array" ref="L344">XLOOKUP(LCARS_Off[AbilityID],RawOfficer[AbilityID],RawOfficer[Tag_SoloArmadas])</f>
        <v>➖</v>
      </c>
      <c r="M344" s="516" t="str">
        <f t="array" ref="M344">XLOOKUP(LCARS_Off[AbilityID],RawOfficer[AbilityID],RawOfficer[Tag_InvadingEntities])</f>
        <v>➖</v>
      </c>
      <c r="N344" s="516" t="str">
        <f t="array" ref="N344">XLOOKUP(LCARS_Off[AbilityID],RawOfficer[AbilityID],RawOfficer[Tag_Assaults])</f>
        <v>➖</v>
      </c>
      <c r="O344" s="516" t="str">
        <f t="array" ref="O344">XLOOKUP(LCARS_Off[AbilityID],RawOfficer[AbilityID],RawOfficer[Tag_OutpostArmadas])</f>
        <v>➖</v>
      </c>
      <c r="P344" s="516" t="str">
        <f t="array" ref="P344">XLOOKUP(LCARS_Off[AbilityID],RawOfficer[AbilityID],RawOfficer[Tag_OutpostRetaliators])</f>
        <v>➖</v>
      </c>
      <c r="Q344" s="517" t="str">
        <f t="array" ref="Q344">XLOOKUP(LCARS_Off[AbilityID],RawOfficer[AbilityID],RawOfficer[Conditional_Reason])</f>
        <v>EnemyExplorer</v>
      </c>
      <c r="R344" s="518" t="str">
        <f t="array" ref="R344">XLOOKUP(LCARS_Off[AbilityID],RawOfficer[AbilityID],RawOfficer[Tag_Loot])</f>
        <v>➖</v>
      </c>
      <c r="S344" s="516" t="str">
        <f t="array" ref="S344">XLOOKUP(LCARS_Off[AbilityID],RawOfficer[AbilityID],RawOfficer[Tag_Utility])</f>
        <v>➖</v>
      </c>
      <c r="T344" s="429" t="str">
        <f t="array" ref="T344">XLOOKUP(LCARS_Off[AbilityID],RawOfficer[AbilityID],RawOfficer[OfficerSynergy])</f>
        <v>BATTLESHIP STRIKE TEAM</v>
      </c>
      <c r="U344" s="519" t="str">
        <f t="array" ref="U344">XLOOKUP(LCARS_Off[AbilityID],RawOfficer[AbilityID],RawOfficer[AbilityModifier])</f>
        <v>AddState</v>
      </c>
      <c r="V344" s="519" t="str">
        <f t="array" ref="V344">XLOOKUP(LCARS_Off[AbilityID],RawOfficer[AbilityID],RawOfficer[AbilityAttributes])</f>
        <v>num_rounds=3, state=2</v>
      </c>
      <c r="W344" s="520" t="str">
        <f t="array" ref="W344">XLOOKUP(LCARS_Off[AbilityID],RawOfficer[AbilityID],RawOfficer[AbilityConditions])</f>
        <v>EnemyPlayer, EnemyExplorer</v>
      </c>
      <c r="X344" s="519" t="str">
        <f t="array" ref="X344">XLOOKUP(LCARS_Off[AbilityID],RawOfficer[AbilityID],RawOfficer[AbilityTrigger])</f>
        <v>HitTaken</v>
      </c>
      <c r="Y344" s="519" t="str">
        <f t="array" ref="Y344">XLOOKUP(LCARS_Off[AbilityID],RawOfficer[AbilityID],RawOfficer[AbilityTarget])</f>
        <v>EnemyShip</v>
      </c>
      <c r="Z344" s="519" t="str">
        <f t="array" ref="Z344">XLOOKUP(LCARS_Off[AbilityID],RawOfficer[AbilityID],RawOfficer[AbilityOperation])</f>
        <v>MultiplyAdd</v>
      </c>
      <c r="AA344" s="521" t="str">
        <f t="array" ref="AA344">XLOOKUP(LCARS_Off[AbilityID],RawOfficer[AbilityID],RawOfficer[AbilityDescription])</f>
        <v>When shot by a player Explorer, Strike Team SNW Ortegas has X chance of Burning them for 3 rounds.</v>
      </c>
      <c r="AB344" s="429" t="b">
        <v>0</v>
      </c>
      <c r="AC344" s="522" t="str">
        <f t="array" ref="AC344">XLOOKUP(LCARS_Off[AbilityID],RawOfficer[AbilityID],RawOfficer[AbilityDescriptionShort])</f>
        <v>X chance to inflict Burning for 3 rounds on player Explorers when hit by them.</v>
      </c>
      <c r="AD344" s="523"/>
      <c r="AE344" s="524"/>
      <c r="AF344" s="524"/>
      <c r="AG344" s="525" t="str">
        <f t="array" ref="AG344">XLOOKUP(LCARS_Off[AbilityID],RawOfficer[AbilityID],RawOfficer[AbilityChances])</f>
        <v>0.05, 0.1, 0.2</v>
      </c>
      <c r="AH344" s="525" t="str">
        <f t="array" ref="AH344">XLOOKUP(LCARS_Off[AbilityID],RawOfficer[AbilityID],RawOfficer[AbilityValues])</f>
        <v>1.0, 1.0, 1.0</v>
      </c>
      <c r="AI344" s="428" t="b">
        <f t="array" ref="AI344">XLOOKUP(LCARS_Off[AbilityID],RawOfficer[AbilityID],RawOfficer[AbilityHasChance])</f>
        <v>1</v>
      </c>
      <c r="AJ344" s="428" t="b">
        <f t="array" ref="AJ344">XLOOKUP(LCARS_Off[AbilityID],RawOfficer[AbilityID],RawOfficer[AbilityShowPercentage])</f>
        <v>1</v>
      </c>
      <c r="AK344" s="429">
        <f t="array" ref="AK344">XLOOKUP(LCARS_Off[AbilityID],RawOfficer[AbilityID],RawOfficer[OfficerArt])</f>
        <v>211</v>
      </c>
      <c r="AL344" s="430">
        <v>4.241392103E9</v>
      </c>
      <c r="AM344" s="430">
        <f t="array" ref="AM344">XLOOKUP(LCARS_Off[AbilityID],RawOfficer[AbilityID],RawOfficer[Default Order])</f>
        <v>341</v>
      </c>
    </row>
    <row r="345">
      <c r="A345" s="429" t="str">
        <f t="array" ref="A345">LEFT(XLOOKUP(LCARS_Off[AbilityID],RawOfficer[AbilityID],RawOfficer[OfficerRarity]), 1)</f>
        <v>R</v>
      </c>
      <c r="B345" s="429"/>
      <c r="C345" s="514" t="str">
        <f t="array" ref="C345">HYPERLINK("https://stfc.space/officers/" &amp; XLOOKUP(LCARS_Off[AbilityID],RawOfficer[AbilityID],RawOfficer[OfficerId]), XLOOKUP(LCARS_Off[AbilityID],RawOfficer[AbilityID],RawOfficer[OfficerName]))</f>
        <v>STRIKE TEAM ORTEGAS</v>
      </c>
      <c r="D345" s="515" t="str">
        <f t="array" ref="D345">XLOOKUP(LCARS_Off[AbilityID],RawOfficer[AbilityID],RawOfficer[AbilityType])</f>
        <v>OA</v>
      </c>
      <c r="E345" s="516" t="str">
        <f t="array" ref="E345">XLOOKUP(LCARS_Off[AbilityID],RawOfficer[AbilityID],RawOfficer[Tag_PvPinSpace])</f>
        <v>✴️</v>
      </c>
      <c r="F345" s="516" t="str">
        <f t="array" ref="F345">XLOOKUP(LCARS_Off[AbilityID],RawOfficer[AbilityID],RawOfficer[Tag_PvPStation])</f>
        <v>✴️</v>
      </c>
      <c r="G345" s="516" t="str">
        <f t="array" ref="G345">XLOOKUP(LCARS_Off[AbilityID],RawOfficer[AbilityID],RawOfficer[Tag_NonArmadaHostiles])</f>
        <v>➖</v>
      </c>
      <c r="H345" s="516" t="str">
        <f t="array" ref="H345">XLOOKUP(LCARS_Off[AbilityID],RawOfficer[AbilityID],RawOfficer[Tag_WaveDefense])</f>
        <v>➖</v>
      </c>
      <c r="I345" s="516" t="str">
        <f t="array" ref="I345">XLOOKUP(LCARS_Off[AbilityID],RawOfficer[AbilityID],RawOfficer[Tag_QTrial])</f>
        <v>➖</v>
      </c>
      <c r="J345" s="516" t="str">
        <f t="array" ref="J345">XLOOKUP(LCARS_Off[AbilityID],RawOfficer[AbilityID],RawOfficer[Tag_MissionBosses])</f>
        <v>➖</v>
      </c>
      <c r="K345" s="516" t="str">
        <f t="array" ref="K345">XLOOKUP(LCARS_Off[AbilityID],RawOfficer[AbilityID],RawOfficer[Tag_GroupArmadas])</f>
        <v>➖</v>
      </c>
      <c r="L345" s="516" t="str">
        <f t="array" ref="L345">XLOOKUP(LCARS_Off[AbilityID],RawOfficer[AbilityID],RawOfficer[Tag_SoloArmadas])</f>
        <v>➖</v>
      </c>
      <c r="M345" s="516" t="str">
        <f t="array" ref="M345">XLOOKUP(LCARS_Off[AbilityID],RawOfficer[AbilityID],RawOfficer[Tag_InvadingEntities])</f>
        <v>➖</v>
      </c>
      <c r="N345" s="516" t="str">
        <f t="array" ref="N345">XLOOKUP(LCARS_Off[AbilityID],RawOfficer[AbilityID],RawOfficer[Tag_Assaults])</f>
        <v>➖</v>
      </c>
      <c r="O345" s="516" t="str">
        <f t="array" ref="O345">XLOOKUP(LCARS_Off[AbilityID],RawOfficer[AbilityID],RawOfficer[Tag_OutpostArmadas])</f>
        <v>➖</v>
      </c>
      <c r="P345" s="516" t="str">
        <f t="array" ref="P345">XLOOKUP(LCARS_Off[AbilityID],RawOfficer[AbilityID],RawOfficer[Tag_OutpostRetaliators])</f>
        <v>➖</v>
      </c>
      <c r="Q345" s="517" t="str">
        <f t="array" ref="Q345">XLOOKUP(LCARS_Off[AbilityID],RawOfficer[AbilityID],RawOfficer[Conditional_Reason])</f>
        <v>SelfBattleship</v>
      </c>
      <c r="R345" s="518" t="str">
        <f t="array" ref="R345">XLOOKUP(LCARS_Off[AbilityID],RawOfficer[AbilityID],RawOfficer[Tag_Loot])</f>
        <v>➖</v>
      </c>
      <c r="S345" s="516" t="str">
        <f t="array" ref="S345">XLOOKUP(LCARS_Off[AbilityID],RawOfficer[AbilityID],RawOfficer[Tag_Utility])</f>
        <v>➖</v>
      </c>
      <c r="T345" s="429" t="str">
        <f t="array" ref="T345">XLOOKUP(LCARS_Off[AbilityID],RawOfficer[AbilityID],RawOfficer[OfficerSynergy])</f>
        <v>BATTLESHIP STRIKE TEAM</v>
      </c>
      <c r="U345" s="519" t="str">
        <f t="array" ref="U345">XLOOKUP(LCARS_Off[AbilityID],RawOfficer[AbilityID],RawOfficer[AbilityModifier])</f>
        <v>AllReloadSpeed</v>
      </c>
      <c r="V345" s="519" t="str">
        <f t="array" ref="V345">XLOOKUP(LCARS_Off[AbilityID],RawOfficer[AbilityID],RawOfficer[AbilityAttributes])</f>
        <v>num_rounds=1</v>
      </c>
      <c r="W345" s="520" t="str">
        <f t="array" ref="W345">XLOOKUP(LCARS_Off[AbilityID],RawOfficer[AbilityID],RawOfficer[AbilityConditions])</f>
        <v>SelfBattleship, EnemyPlayer</v>
      </c>
      <c r="X345" s="519" t="str">
        <f t="array" ref="X345">XLOOKUP(LCARS_Off[AbilityID],RawOfficer[AbilityID],RawOfficer[AbilityTrigger])</f>
        <v>RoundStart</v>
      </c>
      <c r="Y345" s="519" t="str">
        <f t="array" ref="Y345">XLOOKUP(LCARS_Off[AbilityID],RawOfficer[AbilityID],RawOfficer[AbilityTarget])</f>
        <v>EnemyShip</v>
      </c>
      <c r="Z345" s="519" t="str">
        <f t="array" ref="Z345">XLOOKUP(LCARS_Off[AbilityID],RawOfficer[AbilityID],RawOfficer[AbilityOperation])</f>
        <v>Add</v>
      </c>
      <c r="AA345" s="521" t="str">
        <f t="array" ref="AA345">XLOOKUP(LCARS_Off[AbilityID],RawOfficer[AbilityID],RawOfficer[AbilityDescription])</f>
        <v>While on a Battleship fighting a player ship, Strike Team SNW Ortegas causes weapons shot by them to have a X chance of having their next attack delayed by 1 round.</v>
      </c>
      <c r="AB345" s="429" t="b">
        <v>0</v>
      </c>
      <c r="AC345" s="522" t="str">
        <f t="array" ref="AC345">XLOOKUP(LCARS_Off[AbilityID],RawOfficer[AbilityID],RawOfficer[AbilityDescriptionShort])</f>
        <v>X chance to delay enemy player weapons by 1 round when in a Battleship.</v>
      </c>
      <c r="AD345" s="523"/>
      <c r="AE345" s="524"/>
      <c r="AF345" s="524"/>
      <c r="AG345" s="525" t="str">
        <f t="array" ref="AG345">XLOOKUP(LCARS_Off[AbilityID],RawOfficer[AbilityID],RawOfficer[AbilityChances])</f>
        <v>0.4, 0.45, 0.52, 0.6, 0.7</v>
      </c>
      <c r="AH345" s="525" t="str">
        <f t="array" ref="AH345">XLOOKUP(LCARS_Off[AbilityID],RawOfficer[AbilityID],RawOfficer[AbilityValues])</f>
        <v>1.0, 1.0, 1.0, 1.0, 1.0</v>
      </c>
      <c r="AI345" s="428" t="b">
        <f t="array" ref="AI345">XLOOKUP(LCARS_Off[AbilityID],RawOfficer[AbilityID],RawOfficer[AbilityHasChance])</f>
        <v>1</v>
      </c>
      <c r="AJ345" s="428" t="b">
        <f t="array" ref="AJ345">XLOOKUP(LCARS_Off[AbilityID],RawOfficer[AbilityID],RawOfficer[AbilityShowPercentage])</f>
        <v>1</v>
      </c>
      <c r="AK345" s="429">
        <f t="array" ref="AK345">XLOOKUP(LCARS_Off[AbilityID],RawOfficer[AbilityID],RawOfficer[OfficerArt])</f>
        <v>211</v>
      </c>
      <c r="AL345" s="430">
        <v>1.842949267E9</v>
      </c>
      <c r="AM345" s="430">
        <f t="array" ref="AM345">XLOOKUP(LCARS_Off[AbilityID],RawOfficer[AbilityID],RawOfficer[Default Order])</f>
        <v>342</v>
      </c>
    </row>
    <row r="346">
      <c r="A346" s="429" t="str">
        <f t="array" ref="A346">LEFT(XLOOKUP(LCARS_Off[AbilityID],RawOfficer[AbilityID],RawOfficer[OfficerRarity]), 1)</f>
        <v>E</v>
      </c>
      <c r="B346" s="429"/>
      <c r="C346" s="514" t="str">
        <f t="array" ref="C346">HYPERLINK("https://stfc.space/officers/" &amp; XLOOKUP(LCARS_Off[AbilityID],RawOfficer[AbilityID],RawOfficer[OfficerId]), XLOOKUP(LCARS_Off[AbilityID],RawOfficer[AbilityID],RawOfficer[OfficerName]))</f>
        <v>MAVERY</v>
      </c>
      <c r="D346" s="515" t="str">
        <f t="array" ref="D346">XLOOKUP(LCARS_Off[AbilityID],RawOfficer[AbilityID],RawOfficer[AbilityType])</f>
        <v>CM</v>
      </c>
      <c r="E346" s="516" t="str">
        <f t="array" ref="E346">XLOOKUP(LCARS_Off[AbilityID],RawOfficer[AbilityID],RawOfficer[Tag_PvPinSpace])</f>
        <v>➖</v>
      </c>
      <c r="F346" s="516" t="str">
        <f t="array" ref="F346">XLOOKUP(LCARS_Off[AbilityID],RawOfficer[AbilityID],RawOfficer[Tag_PvPStation])</f>
        <v>➖</v>
      </c>
      <c r="G346" s="516" t="str">
        <f t="array" ref="G346">XLOOKUP(LCARS_Off[AbilityID],RawOfficer[AbilityID],RawOfficer[Tag_NonArmadaHostiles])</f>
        <v>➖</v>
      </c>
      <c r="H346" s="516" t="str">
        <f t="array" ref="H346">XLOOKUP(LCARS_Off[AbilityID],RawOfficer[AbilityID],RawOfficer[Tag_WaveDefense])</f>
        <v>➖</v>
      </c>
      <c r="I346" s="516" t="str">
        <f t="array" ref="I346">XLOOKUP(LCARS_Off[AbilityID],RawOfficer[AbilityID],RawOfficer[Tag_QTrial])</f>
        <v>➖</v>
      </c>
      <c r="J346" s="516" t="str">
        <f t="array" ref="J346">XLOOKUP(LCARS_Off[AbilityID],RawOfficer[AbilityID],RawOfficer[Tag_MissionBosses])</f>
        <v>➖</v>
      </c>
      <c r="K346" s="516" t="str">
        <f t="array" ref="K346">XLOOKUP(LCARS_Off[AbilityID],RawOfficer[AbilityID],RawOfficer[Tag_GroupArmadas])</f>
        <v>➖</v>
      </c>
      <c r="L346" s="516" t="str">
        <f t="array" ref="L346">XLOOKUP(LCARS_Off[AbilityID],RawOfficer[AbilityID],RawOfficer[Tag_SoloArmadas])</f>
        <v>➖</v>
      </c>
      <c r="M346" s="516" t="str">
        <f t="array" ref="M346">XLOOKUP(LCARS_Off[AbilityID],RawOfficer[AbilityID],RawOfficer[Tag_InvadingEntities])</f>
        <v>➖</v>
      </c>
      <c r="N346" s="516" t="str">
        <f t="array" ref="N346">XLOOKUP(LCARS_Off[AbilityID],RawOfficer[AbilityID],RawOfficer[Tag_Assaults])</f>
        <v>➖</v>
      </c>
      <c r="O346" s="516" t="str">
        <f t="array" ref="O346">XLOOKUP(LCARS_Off[AbilityID],RawOfficer[AbilityID],RawOfficer[Tag_OutpostArmadas])</f>
        <v>➖</v>
      </c>
      <c r="P346" s="516" t="str">
        <f t="array" ref="P346">XLOOKUP(LCARS_Off[AbilityID],RawOfficer[AbilityID],RawOfficer[Tag_OutpostRetaliators])</f>
        <v>➖</v>
      </c>
      <c r="Q346" s="517" t="str">
        <f t="array" ref="Q346">XLOOKUP(LCARS_Off[AbilityID],RawOfficer[AbilityID],RawOfficer[Conditional_Reason])</f>
        <v/>
      </c>
      <c r="R346" s="518" t="str">
        <f t="array" ref="R346">XLOOKUP(LCARS_Off[AbilityID],RawOfficer[AbilityID],RawOfficer[Tag_Loot])</f>
        <v>➖</v>
      </c>
      <c r="S346" s="516" t="str">
        <f t="array" ref="S346">XLOOKUP(LCARS_Off[AbilityID],RawOfficer[AbilityID],RawOfficer[Tag_Utility])</f>
        <v>✅</v>
      </c>
      <c r="T346" s="429" t="str">
        <f t="array" ref="T346">XLOOKUP(LCARS_Off[AbilityID],RawOfficer[AbilityID],RawOfficer[OfficerSynergy])</f>
        <v>Syndicate</v>
      </c>
      <c r="U346" s="519" t="str">
        <f t="array" ref="U346">XLOOKUP(LCARS_Off[AbilityID],RawOfficer[AbilityID],RawOfficer[AbilityModifier])</f>
        <v>CargoCapacity</v>
      </c>
      <c r="V346" s="519" t="str">
        <f t="array" ref="V346">XLOOKUP(LCARS_Off[AbilityID],RawOfficer[AbilityID],RawOfficer[AbilityAttributes])</f>
        <v/>
      </c>
      <c r="W346" s="520" t="str">
        <f t="array" ref="W346">XLOOKUP(LCARS_Off[AbilityID],RawOfficer[AbilityID],RawOfficer[AbilityConditions])</f>
        <v/>
      </c>
      <c r="X346" s="519" t="str">
        <f t="array" ref="X346">XLOOKUP(LCARS_Off[AbilityID],RawOfficer[AbilityID],RawOfficer[AbilityTrigger])</f>
        <v>ShipLaunched</v>
      </c>
      <c r="Y346" s="519" t="str">
        <f t="array" ref="Y346">XLOOKUP(LCARS_Off[AbilityID],RawOfficer[AbilityID],RawOfficer[AbilityTarget])</f>
        <v>SelfShip</v>
      </c>
      <c r="Z346" s="519" t="str">
        <f t="array" ref="Z346">XLOOKUP(LCARS_Off[AbilityID],RawOfficer[AbilityID],RawOfficer[AbilityOperation])</f>
        <v>MultiplyAdd</v>
      </c>
      <c r="AA346" s="521" t="str">
        <f t="array" ref="AA346">XLOOKUP(LCARS_Off[AbilityID],RawOfficer[AbilityID],RawOfficer[AbilityDescription])</f>
        <v>Increase Max Cargo by X.</v>
      </c>
      <c r="AB346" s="429" t="b">
        <v>0</v>
      </c>
      <c r="AC346" s="522" t="str">
        <f t="array" ref="AC346">XLOOKUP(LCARS_Off[AbilityID],RawOfficer[AbilityID],RawOfficer[AbilityDescriptionShort])</f>
        <v>Increase Max Cargo by X</v>
      </c>
      <c r="AD346" s="523"/>
      <c r="AE346" s="524"/>
      <c r="AF346" s="524"/>
      <c r="AG346" s="525" t="str">
        <f t="array" ref="AG346">XLOOKUP(LCARS_Off[AbilityID],RawOfficer[AbilityID],RawOfficer[AbilityChances])</f>
        <v>1.0, 1.0, 1.0</v>
      </c>
      <c r="AH346" s="525" t="str">
        <f t="array" ref="AH346">XLOOKUP(LCARS_Off[AbilityID],RawOfficer[AbilityID],RawOfficer[AbilityValues])</f>
        <v>0.4, 0.1, 0.2</v>
      </c>
      <c r="AI346" s="428" t="b">
        <f t="array" ref="AI346">XLOOKUP(LCARS_Off[AbilityID],RawOfficer[AbilityID],RawOfficer[AbilityHasChance])</f>
        <v>0</v>
      </c>
      <c r="AJ346" s="428" t="b">
        <f t="array" ref="AJ346">XLOOKUP(LCARS_Off[AbilityID],RawOfficer[AbilityID],RawOfficer[AbilityShowPercentage])</f>
        <v>1</v>
      </c>
      <c r="AK346" s="429">
        <f t="array" ref="AK346">XLOOKUP(LCARS_Off[AbilityID],RawOfficer[AbilityID],RawOfficer[OfficerArt])</f>
        <v>212</v>
      </c>
      <c r="AL346" s="430">
        <v>1.07512332E8</v>
      </c>
      <c r="AM346" s="430">
        <f t="array" ref="AM346">XLOOKUP(LCARS_Off[AbilityID],RawOfficer[AbilityID],RawOfficer[Default Order])</f>
        <v>343</v>
      </c>
    </row>
    <row r="347">
      <c r="A347" s="429" t="str">
        <f t="array" ref="A347">LEFT(XLOOKUP(LCARS_Off[AbilityID],RawOfficer[AbilityID],RawOfficer[OfficerRarity]), 1)</f>
        <v>E</v>
      </c>
      <c r="B347" s="429"/>
      <c r="C347" s="514" t="str">
        <f t="array" ref="C347">HYPERLINK("https://stfc.space/officers/" &amp; XLOOKUP(LCARS_Off[AbilityID],RawOfficer[AbilityID],RawOfficer[OfficerId]), XLOOKUP(LCARS_Off[AbilityID],RawOfficer[AbilityID],RawOfficer[OfficerName]))</f>
        <v>MAVERY</v>
      </c>
      <c r="D347" s="515" t="str">
        <f t="array" ref="D347">XLOOKUP(LCARS_Off[AbilityID],RawOfficer[AbilityID],RawOfficer[AbilityType])</f>
        <v>OA</v>
      </c>
      <c r="E347" s="516" t="str">
        <f t="array" ref="E347">XLOOKUP(LCARS_Off[AbilityID],RawOfficer[AbilityID],RawOfficer[Tag_PvPinSpace])</f>
        <v>➖</v>
      </c>
      <c r="F347" s="516" t="str">
        <f t="array" ref="F347">XLOOKUP(LCARS_Off[AbilityID],RawOfficer[AbilityID],RawOfficer[Tag_PvPStation])</f>
        <v>➖</v>
      </c>
      <c r="G347" s="516" t="str">
        <f t="array" ref="G347">XLOOKUP(LCARS_Off[AbilityID],RawOfficer[AbilityID],RawOfficer[Tag_NonArmadaHostiles])</f>
        <v>➖</v>
      </c>
      <c r="H347" s="516" t="str">
        <f t="array" ref="H347">XLOOKUP(LCARS_Off[AbilityID],RawOfficer[AbilityID],RawOfficer[Tag_WaveDefense])</f>
        <v>➖</v>
      </c>
      <c r="I347" s="516" t="str">
        <f t="array" ref="I347">XLOOKUP(LCARS_Off[AbilityID],RawOfficer[AbilityID],RawOfficer[Tag_QTrial])</f>
        <v>➖</v>
      </c>
      <c r="J347" s="516" t="str">
        <f t="array" ref="J347">XLOOKUP(LCARS_Off[AbilityID],RawOfficer[AbilityID],RawOfficer[Tag_MissionBosses])</f>
        <v>➖</v>
      </c>
      <c r="K347" s="516" t="str">
        <f t="array" ref="K347">XLOOKUP(LCARS_Off[AbilityID],RawOfficer[AbilityID],RawOfficer[Tag_GroupArmadas])</f>
        <v>➖</v>
      </c>
      <c r="L347" s="516" t="str">
        <f t="array" ref="L347">XLOOKUP(LCARS_Off[AbilityID],RawOfficer[AbilityID],RawOfficer[Tag_SoloArmadas])</f>
        <v>➖</v>
      </c>
      <c r="M347" s="516" t="str">
        <f t="array" ref="M347">XLOOKUP(LCARS_Off[AbilityID],RawOfficer[AbilityID],RawOfficer[Tag_InvadingEntities])</f>
        <v>➖</v>
      </c>
      <c r="N347" s="516" t="str">
        <f t="array" ref="N347">XLOOKUP(LCARS_Off[AbilityID],RawOfficer[AbilityID],RawOfficer[Tag_Assaults])</f>
        <v>➖</v>
      </c>
      <c r="O347" s="516" t="str">
        <f t="array" ref="O347">XLOOKUP(LCARS_Off[AbilityID],RawOfficer[AbilityID],RawOfficer[Tag_OutpostArmadas])</f>
        <v>➖</v>
      </c>
      <c r="P347" s="516" t="str">
        <f t="array" ref="P347">XLOOKUP(LCARS_Off[AbilityID],RawOfficer[AbilityID],RawOfficer[Tag_OutpostRetaliators])</f>
        <v>➖</v>
      </c>
      <c r="Q347" s="517" t="str">
        <f t="array" ref="Q347">XLOOKUP(LCARS_Off[AbilityID],RawOfficer[AbilityID],RawOfficer[Conditional_Reason])</f>
        <v/>
      </c>
      <c r="R347" s="518" t="str">
        <f t="array" ref="R347">XLOOKUP(LCARS_Off[AbilityID],RawOfficer[AbilityID],RawOfficer[Tag_Loot])</f>
        <v>➖</v>
      </c>
      <c r="S347" s="516" t="str">
        <f t="array" ref="S347">XLOOKUP(LCARS_Off[AbilityID],RawOfficer[AbilityID],RawOfficer[Tag_Utility])</f>
        <v>✅</v>
      </c>
      <c r="T347" s="429" t="str">
        <f t="array" ref="T347">XLOOKUP(LCARS_Off[AbilityID],RawOfficer[AbilityID],RawOfficer[OfficerSynergy])</f>
        <v>Syndicate</v>
      </c>
      <c r="U347" s="519" t="str">
        <f t="array" ref="U347">XLOOKUP(LCARS_Off[AbilityID],RawOfficer[AbilityID],RawOfficer[AbilityModifier])</f>
        <v>MiningRate</v>
      </c>
      <c r="V347" s="519" t="str">
        <f t="array" ref="V347">XLOOKUP(LCARS_Off[AbilityID],RawOfficer[AbilityID],RawOfficer[AbilityAttributes])</f>
        <v>resources=[1371898528, 96209859, 1908242242, 680796905, 1779416627, 84292608, 3735331456, 2964093937, 802509572, 3598797204, 1349464922, 2905009151, 3842158911, 2002611017, 3739531165, 1586478890, 296474010, 2285412015]</v>
      </c>
      <c r="W347" s="520" t="str">
        <f t="array" ref="W347">XLOOKUP(LCARS_Off[AbilityID],RawOfficer[AbilityID],RawOfficer[AbilityConditions])</f>
        <v/>
      </c>
      <c r="X347" s="519" t="str">
        <f t="array" ref="X347">XLOOKUP(LCARS_Off[AbilityID],RawOfficer[AbilityID],RawOfficer[AbilityTrigger])</f>
        <v>ShipLaunched</v>
      </c>
      <c r="Y347" s="519" t="str">
        <f t="array" ref="Y347">XLOOKUP(LCARS_Off[AbilityID],RawOfficer[AbilityID],RawOfficer[AbilityTarget])</f>
        <v>SelfShip</v>
      </c>
      <c r="Z347" s="519" t="str">
        <f t="array" ref="Z347">XLOOKUP(LCARS_Off[AbilityID],RawOfficer[AbilityID],RawOfficer[AbilityOperation])</f>
        <v>MultiplyAdd</v>
      </c>
      <c r="AA347" s="521" t="str">
        <f t="array" ref="AA347">XLOOKUP(LCARS_Off[AbilityID],RawOfficer[AbilityID],RawOfficer[AbilityDescription])</f>
        <v>Increase Crystal, Gas and Ore Mining speed by X.</v>
      </c>
      <c r="AB347" s="429" t="b">
        <v>0</v>
      </c>
      <c r="AC347" s="522" t="str">
        <f t="array" ref="AC347">XLOOKUP(LCARS_Off[AbilityID],RawOfficer[AbilityID],RawOfficer[AbilityDescriptionShort])</f>
        <v>Increase Crystal,Gas and Ore Mining speed by X</v>
      </c>
      <c r="AD347" s="523"/>
      <c r="AE347" s="524"/>
      <c r="AF347" s="524"/>
      <c r="AG347" s="525" t="str">
        <f t="array" ref="AG347">XLOOKUP(LCARS_Off[AbilityID],RawOfficer[AbilityID],RawOfficer[AbilityChances])</f>
        <v>1.0, 1.0, 1.0, 1.0, 1.0</v>
      </c>
      <c r="AH347" s="525" t="str">
        <f t="array" ref="AH347">XLOOKUP(LCARS_Off[AbilityID],RawOfficer[AbilityID],RawOfficer[AbilityValues])</f>
        <v>1.0, 1.25, 1.5, 1.75, 2.0</v>
      </c>
      <c r="AI347" s="428" t="b">
        <f t="array" ref="AI347">XLOOKUP(LCARS_Off[AbilityID],RawOfficer[AbilityID],RawOfficer[AbilityHasChance])</f>
        <v>0</v>
      </c>
      <c r="AJ347" s="428" t="b">
        <f t="array" ref="AJ347">XLOOKUP(LCARS_Off[AbilityID],RawOfficer[AbilityID],RawOfficer[AbilityShowPercentage])</f>
        <v>1</v>
      </c>
      <c r="AK347" s="429">
        <f t="array" ref="AK347">XLOOKUP(LCARS_Off[AbilityID],RawOfficer[AbilityID],RawOfficer[OfficerArt])</f>
        <v>212</v>
      </c>
      <c r="AL347" s="430">
        <v>3.295255917E9</v>
      </c>
      <c r="AM347" s="430">
        <f t="array" ref="AM347">XLOOKUP(LCARS_Off[AbilityID],RawOfficer[AbilityID],RawOfficer[Default Order])</f>
        <v>344</v>
      </c>
    </row>
    <row r="348">
      <c r="A348" s="429" t="str">
        <f t="array" ref="A348">LEFT(XLOOKUP(LCARS_Off[AbilityID],RawOfficer[AbilityID],RawOfficer[OfficerRarity]), 1)</f>
        <v>E</v>
      </c>
      <c r="B348" s="429"/>
      <c r="C348" s="514" t="str">
        <f t="array" ref="C348">HYPERLINK("https://stfc.space/officers/" &amp; XLOOKUP(LCARS_Off[AbilityID],RawOfficer[AbilityID],RawOfficer[OfficerId]), XLOOKUP(LCARS_Off[AbilityID],RawOfficer[AbilityID],RawOfficer[OfficerName]))</f>
        <v>GUL DUKAT</v>
      </c>
      <c r="D348" s="515" t="str">
        <f t="array" ref="D348">XLOOKUP(LCARS_Off[AbilityID],RawOfficer[AbilityID],RawOfficer[AbilityType])</f>
        <v>CM</v>
      </c>
      <c r="E348" s="516" t="str">
        <f t="array" ref="E348">XLOOKUP(LCARS_Off[AbilityID],RawOfficer[AbilityID],RawOfficer[Tag_PvPinSpace])</f>
        <v>✴️</v>
      </c>
      <c r="F348" s="516" t="str">
        <f t="array" ref="F348">XLOOKUP(LCARS_Off[AbilityID],RawOfficer[AbilityID],RawOfficer[Tag_PvPStation])</f>
        <v>✴️</v>
      </c>
      <c r="G348" s="516" t="str">
        <f t="array" ref="G348">XLOOKUP(LCARS_Off[AbilityID],RawOfficer[AbilityID],RawOfficer[Tag_NonArmadaHostiles])</f>
        <v>➖</v>
      </c>
      <c r="H348" s="516" t="str">
        <f t="array" ref="H348">XLOOKUP(LCARS_Off[AbilityID],RawOfficer[AbilityID],RawOfficer[Tag_WaveDefense])</f>
        <v>➖</v>
      </c>
      <c r="I348" s="516" t="str">
        <f t="array" ref="I348">XLOOKUP(LCARS_Off[AbilityID],RawOfficer[AbilityID],RawOfficer[Tag_QTrial])</f>
        <v>➖</v>
      </c>
      <c r="J348" s="516" t="str">
        <f t="array" ref="J348">XLOOKUP(LCARS_Off[AbilityID],RawOfficer[AbilityID],RawOfficer[Tag_MissionBosses])</f>
        <v>➖</v>
      </c>
      <c r="K348" s="516" t="str">
        <f t="array" ref="K348">XLOOKUP(LCARS_Off[AbilityID],RawOfficer[AbilityID],RawOfficer[Tag_GroupArmadas])</f>
        <v>➖</v>
      </c>
      <c r="L348" s="516" t="str">
        <f t="array" ref="L348">XLOOKUP(LCARS_Off[AbilityID],RawOfficer[AbilityID],RawOfficer[Tag_SoloArmadas])</f>
        <v>➖</v>
      </c>
      <c r="M348" s="516" t="str">
        <f t="array" ref="M348">XLOOKUP(LCARS_Off[AbilityID],RawOfficer[AbilityID],RawOfficer[Tag_InvadingEntities])</f>
        <v>➖</v>
      </c>
      <c r="N348" s="516" t="str">
        <f t="array" ref="N348">XLOOKUP(LCARS_Off[AbilityID],RawOfficer[AbilityID],RawOfficer[Tag_Assaults])</f>
        <v>➖</v>
      </c>
      <c r="O348" s="516" t="str">
        <f t="array" ref="O348">XLOOKUP(LCARS_Off[AbilityID],RawOfficer[AbilityID],RawOfficer[Tag_OutpostArmadas])</f>
        <v>➖</v>
      </c>
      <c r="P348" s="516" t="str">
        <f t="array" ref="P348">XLOOKUP(LCARS_Off[AbilityID],RawOfficer[AbilityID],RawOfficer[Tag_OutpostRetaliators])</f>
        <v>➖</v>
      </c>
      <c r="Q348" s="517" t="str">
        <f t="array" ref="Q348">XLOOKUP(LCARS_Off[AbilityID],RawOfficer[AbilityID],RawOfficer[Conditional_Reason])</f>
        <v>SelfInterceptor</v>
      </c>
      <c r="R348" s="518" t="str">
        <f t="array" ref="R348">XLOOKUP(LCARS_Off[AbilityID],RawOfficer[AbilityID],RawOfficer[Tag_Loot])</f>
        <v>➖</v>
      </c>
      <c r="S348" s="516" t="str">
        <f t="array" ref="S348">XLOOKUP(LCARS_Off[AbilityID],RawOfficer[AbilityID],RawOfficer[Tag_Utility])</f>
        <v>➖</v>
      </c>
      <c r="T348" s="429" t="str">
        <f t="array" ref="T348">XLOOKUP(LCARS_Off[AbilityID],RawOfficer[AbilityID],RawOfficer[OfficerSynergy])</f>
        <v>INTERCEPTOR STRIKE TEAM</v>
      </c>
      <c r="U348" s="519" t="str">
        <f t="array" ref="U348">XLOOKUP(LCARS_Off[AbilityID],RawOfficer[AbilityID],RawOfficer[AbilityModifier])</f>
        <v>AddState</v>
      </c>
      <c r="V348" s="519" t="str">
        <f t="array" ref="V348">XLOOKUP(LCARS_Off[AbilityID],RawOfficer[AbilityID],RawOfficer[AbilityAttributes])</f>
        <v>num_rounds=3, state=4</v>
      </c>
      <c r="W348" s="520" t="str">
        <f t="array" ref="W348">XLOOKUP(LCARS_Off[AbilityID],RawOfficer[AbilityID],RawOfficer[AbilityConditions])</f>
        <v>SelfInterceptor, EnemyPlayer</v>
      </c>
      <c r="X348" s="519" t="str">
        <f t="array" ref="X348">XLOOKUP(LCARS_Off[AbilityID],RawOfficer[AbilityID],RawOfficer[AbilityTrigger])</f>
        <v>RoundStart</v>
      </c>
      <c r="Y348" s="519" t="str">
        <f t="array" ref="Y348">XLOOKUP(LCARS_Off[AbilityID],RawOfficer[AbilityID],RawOfficer[AbilityTarget])</f>
        <v>EnemyShip</v>
      </c>
      <c r="Z348" s="519" t="str">
        <f t="array" ref="Z348">XLOOKUP(LCARS_Off[AbilityID],RawOfficer[AbilityID],RawOfficer[AbilityOperation])</f>
        <v>MultiplyAdd</v>
      </c>
      <c r="AA348" s="521" t="str">
        <f t="array" ref="AA348">XLOOKUP(LCARS_Off[AbilityID],RawOfficer[AbilityID],RawOfficer[AbilityDescription])</f>
        <v>While on an Interceptor fighting a player ship, at the start of a round Gul Dukat has X chance to apply Hull Breach to it for 3 rounds.</v>
      </c>
      <c r="AB348" s="429" t="b">
        <v>0</v>
      </c>
      <c r="AC348" s="522" t="str">
        <f t="array" ref="AC348">XLOOKUP(LCARS_Off[AbilityID],RawOfficer[AbilityID],RawOfficer[AbilityDescriptionShort])</f>
        <v>Each round, X chance of applying Hull Breach to player ships for 3 rounds if on an Interceptor.</v>
      </c>
      <c r="AD348" s="523"/>
      <c r="AE348" s="524"/>
      <c r="AF348" s="524"/>
      <c r="AG348" s="525" t="str">
        <f t="array" ref="AG348">XLOOKUP(LCARS_Off[AbilityID],RawOfficer[AbilityID],RawOfficer[AbilityChances])</f>
        <v>0.2, 0.2, 0.4</v>
      </c>
      <c r="AH348" s="525" t="str">
        <f t="array" ref="AH348">XLOOKUP(LCARS_Off[AbilityID],RawOfficer[AbilityID],RawOfficer[AbilityValues])</f>
        <v>1.0, 1.0, 1.0</v>
      </c>
      <c r="AI348" s="428" t="b">
        <f t="array" ref="AI348">XLOOKUP(LCARS_Off[AbilityID],RawOfficer[AbilityID],RawOfficer[AbilityHasChance])</f>
        <v>1</v>
      </c>
      <c r="AJ348" s="428" t="b">
        <f t="array" ref="AJ348">XLOOKUP(LCARS_Off[AbilityID],RawOfficer[AbilityID],RawOfficer[AbilityShowPercentage])</f>
        <v>1</v>
      </c>
      <c r="AK348" s="429">
        <f t="array" ref="AK348">XLOOKUP(LCARS_Off[AbilityID],RawOfficer[AbilityID],RawOfficer[OfficerArt])</f>
        <v>220</v>
      </c>
      <c r="AL348" s="430">
        <v>1.381531883E9</v>
      </c>
      <c r="AM348" s="430">
        <f t="array" ref="AM348">XLOOKUP(LCARS_Off[AbilityID],RawOfficer[AbilityID],RawOfficer[Default Order])</f>
        <v>345</v>
      </c>
    </row>
    <row r="349">
      <c r="A349" s="429" t="str">
        <f t="array" ref="A349">LEFT(XLOOKUP(LCARS_Off[AbilityID],RawOfficer[AbilityID],RawOfficer[OfficerRarity]), 1)</f>
        <v>E</v>
      </c>
      <c r="B349" s="429"/>
      <c r="C349" s="514" t="str">
        <f t="array" ref="C349">HYPERLINK("https://stfc.space/officers/" &amp; XLOOKUP(LCARS_Off[AbilityID],RawOfficer[AbilityID],RawOfficer[OfficerId]), XLOOKUP(LCARS_Off[AbilityID],RawOfficer[AbilityID],RawOfficer[OfficerName]))</f>
        <v>GUL DUKAT</v>
      </c>
      <c r="D349" s="515" t="str">
        <f t="array" ref="D349">XLOOKUP(LCARS_Off[AbilityID],RawOfficer[AbilityID],RawOfficer[AbilityType])</f>
        <v>OA</v>
      </c>
      <c r="E349" s="516" t="str">
        <f t="array" ref="E349">XLOOKUP(LCARS_Off[AbilityID],RawOfficer[AbilityID],RawOfficer[Tag_PvPinSpace])</f>
        <v>✴️</v>
      </c>
      <c r="F349" s="516" t="str">
        <f t="array" ref="F349">XLOOKUP(LCARS_Off[AbilityID],RawOfficer[AbilityID],RawOfficer[Tag_PvPStation])</f>
        <v>✴️</v>
      </c>
      <c r="G349" s="516" t="str">
        <f t="array" ref="G349">XLOOKUP(LCARS_Off[AbilityID],RawOfficer[AbilityID],RawOfficer[Tag_NonArmadaHostiles])</f>
        <v>➖</v>
      </c>
      <c r="H349" s="516" t="str">
        <f t="array" ref="H349">XLOOKUP(LCARS_Off[AbilityID],RawOfficer[AbilityID],RawOfficer[Tag_WaveDefense])</f>
        <v>➖</v>
      </c>
      <c r="I349" s="516" t="str">
        <f t="array" ref="I349">XLOOKUP(LCARS_Off[AbilityID],RawOfficer[AbilityID],RawOfficer[Tag_QTrial])</f>
        <v>➖</v>
      </c>
      <c r="J349" s="516" t="str">
        <f t="array" ref="J349">XLOOKUP(LCARS_Off[AbilityID],RawOfficer[AbilityID],RawOfficer[Tag_MissionBosses])</f>
        <v>➖</v>
      </c>
      <c r="K349" s="516" t="str">
        <f t="array" ref="K349">XLOOKUP(LCARS_Off[AbilityID],RawOfficer[AbilityID],RawOfficer[Tag_GroupArmadas])</f>
        <v>➖</v>
      </c>
      <c r="L349" s="516" t="str">
        <f t="array" ref="L349">XLOOKUP(LCARS_Off[AbilityID],RawOfficer[AbilityID],RawOfficer[Tag_SoloArmadas])</f>
        <v>➖</v>
      </c>
      <c r="M349" s="516" t="str">
        <f t="array" ref="M349">XLOOKUP(LCARS_Off[AbilityID],RawOfficer[AbilityID],RawOfficer[Tag_InvadingEntities])</f>
        <v>➖</v>
      </c>
      <c r="N349" s="516" t="str">
        <f t="array" ref="N349">XLOOKUP(LCARS_Off[AbilityID],RawOfficer[AbilityID],RawOfficer[Tag_Assaults])</f>
        <v>➖</v>
      </c>
      <c r="O349" s="516" t="str">
        <f t="array" ref="O349">XLOOKUP(LCARS_Off[AbilityID],RawOfficer[AbilityID],RawOfficer[Tag_OutpostArmadas])</f>
        <v>➖</v>
      </c>
      <c r="P349" s="516" t="str">
        <f t="array" ref="P349">XLOOKUP(LCARS_Off[AbilityID],RawOfficer[AbilityID],RawOfficer[Tag_OutpostRetaliators])</f>
        <v>➖</v>
      </c>
      <c r="Q349" s="517" t="str">
        <f t="array" ref="Q349">XLOOKUP(LCARS_Off[AbilityID],RawOfficer[AbilityID],RawOfficer[Conditional_Reason])</f>
        <v>SelfInterceptor, TargetHasHullBreach</v>
      </c>
      <c r="R349" s="518" t="str">
        <f t="array" ref="R349">XLOOKUP(LCARS_Off[AbilityID],RawOfficer[AbilityID],RawOfficer[Tag_Loot])</f>
        <v>➖</v>
      </c>
      <c r="S349" s="516" t="str">
        <f t="array" ref="S349">XLOOKUP(LCARS_Off[AbilityID],RawOfficer[AbilityID],RawOfficer[Tag_Utility])</f>
        <v>➖</v>
      </c>
      <c r="T349" s="429" t="str">
        <f t="array" ref="T349">XLOOKUP(LCARS_Off[AbilityID],RawOfficer[AbilityID],RawOfficer[OfficerSynergy])</f>
        <v>INTERCEPTOR STRIKE TEAM</v>
      </c>
      <c r="U349" s="519" t="str">
        <f t="array" ref="U349">XLOOKUP(LCARS_Off[AbilityID],RawOfficer[AbilityID],RawOfficer[AbilityModifier])</f>
        <v>ShotsPerAttack</v>
      </c>
      <c r="V349" s="519" t="str">
        <f t="array" ref="V349">XLOOKUP(LCARS_Off[AbilityID],RawOfficer[AbilityID],RawOfficer[AbilityAttributes])</f>
        <v>num_rounds=5</v>
      </c>
      <c r="W349" s="520" t="str">
        <f t="array" ref="W349">XLOOKUP(LCARS_Off[AbilityID],RawOfficer[AbilityID],RawOfficer[AbilityConditions])</f>
        <v>SelfInterceptor, EnemyPlayer, TargetHasHullBreach</v>
      </c>
      <c r="X349" s="519" t="str">
        <f t="array" ref="X349">XLOOKUP(LCARS_Off[AbilityID],RawOfficer[AbilityID],RawOfficer[AbilityTrigger])</f>
        <v>HitTaken</v>
      </c>
      <c r="Y349" s="519" t="str">
        <f t="array" ref="Y349">XLOOKUP(LCARS_Off[AbilityID],RawOfficer[AbilityID],RawOfficer[AbilityTarget])</f>
        <v>SelfShip</v>
      </c>
      <c r="Z349" s="519" t="str">
        <f t="array" ref="Z349">XLOOKUP(LCARS_Off[AbilityID],RawOfficer[AbilityID],RawOfficer[AbilityOperation])</f>
        <v>MultiplyAdd</v>
      </c>
      <c r="AA349" s="521" t="str">
        <f t="array" ref="AA349">XLOOKUP(LCARS_Off[AbilityID],RawOfficer[AbilityID],RawOfficer[AbilityDescription])</f>
        <v>When shot while on an Interceptor fighting a player ship with Hull Breach, Gul Dukat increases the number of shots by X once per Weapon for 5 rounds.</v>
      </c>
      <c r="AB349" s="429" t="b">
        <v>0</v>
      </c>
      <c r="AC349" s="522" t="str">
        <f t="array" ref="AC349">XLOOKUP(LCARS_Off[AbilityID],RawOfficer[AbilityID],RawOfficer[AbilityDescriptionShort])</f>
        <v>+X Shot Count for 5 rounds if hit by a player with Hull Breach as a Interceptor.</v>
      </c>
      <c r="AD349" s="523"/>
      <c r="AE349" s="524"/>
      <c r="AF349" s="524"/>
      <c r="AG349" s="525" t="str">
        <f t="array" ref="AG349">XLOOKUP(LCARS_Off[AbilityID],RawOfficer[AbilityID],RawOfficer[AbilityChances])</f>
        <v>1.0, 1.0, 1.0, 1.0, 1.0</v>
      </c>
      <c r="AH349" s="525" t="str">
        <f t="array" ref="AH349">XLOOKUP(LCARS_Off[AbilityID],RawOfficer[AbilityID],RawOfficer[AbilityValues])</f>
        <v>0.25, 0.29, 0.35, 0.42, 0.5</v>
      </c>
      <c r="AI349" s="428" t="b">
        <f t="array" ref="AI349">XLOOKUP(LCARS_Off[AbilityID],RawOfficer[AbilityID],RawOfficer[AbilityHasChance])</f>
        <v>0</v>
      </c>
      <c r="AJ349" s="428" t="b">
        <f t="array" ref="AJ349">XLOOKUP(LCARS_Off[AbilityID],RawOfficer[AbilityID],RawOfficer[AbilityShowPercentage])</f>
        <v>1</v>
      </c>
      <c r="AK349" s="429">
        <f t="array" ref="AK349">XLOOKUP(LCARS_Off[AbilityID],RawOfficer[AbilityID],RawOfficer[OfficerArt])</f>
        <v>220</v>
      </c>
      <c r="AL349" s="430">
        <v>2.187582501E9</v>
      </c>
      <c r="AM349" s="430">
        <f t="array" ref="AM349">XLOOKUP(LCARS_Off[AbilityID],RawOfficer[AbilityID],RawOfficer[Default Order])</f>
        <v>346</v>
      </c>
    </row>
    <row r="350">
      <c r="A350" s="429" t="str">
        <f t="array" ref="A350">LEFT(XLOOKUP(LCARS_Off[AbilityID],RawOfficer[AbilityID],RawOfficer[OfficerRarity]), 1)</f>
        <v>R</v>
      </c>
      <c r="B350" s="429"/>
      <c r="C350" s="514" t="str">
        <f t="array" ref="C350">HYPERLINK("https://stfc.space/officers/" &amp; XLOOKUP(LCARS_Off[AbilityID],RawOfficer[AbilityID],RawOfficer[OfficerId]), XLOOKUP(LCARS_Off[AbilityID],RawOfficer[AbilityID],RawOfficer[OfficerName]))</f>
        <v>GARAK</v>
      </c>
      <c r="D350" s="515" t="str">
        <f t="array" ref="D350">XLOOKUP(LCARS_Off[AbilityID],RawOfficer[AbilityID],RawOfficer[AbilityType])</f>
        <v>CM</v>
      </c>
      <c r="E350" s="516" t="str">
        <f t="array" ref="E350">XLOOKUP(LCARS_Off[AbilityID],RawOfficer[AbilityID],RawOfficer[Tag_PvPinSpace])</f>
        <v>✴️</v>
      </c>
      <c r="F350" s="516" t="str">
        <f t="array" ref="F350">XLOOKUP(LCARS_Off[AbilityID],RawOfficer[AbilityID],RawOfficer[Tag_PvPStation])</f>
        <v>✴️</v>
      </c>
      <c r="G350" s="516" t="str">
        <f t="array" ref="G350">XLOOKUP(LCARS_Off[AbilityID],RawOfficer[AbilityID],RawOfficer[Tag_NonArmadaHostiles])</f>
        <v>➖</v>
      </c>
      <c r="H350" s="516" t="str">
        <f t="array" ref="H350">XLOOKUP(LCARS_Off[AbilityID],RawOfficer[AbilityID],RawOfficer[Tag_WaveDefense])</f>
        <v>➖</v>
      </c>
      <c r="I350" s="516" t="str">
        <f t="array" ref="I350">XLOOKUP(LCARS_Off[AbilityID],RawOfficer[AbilityID],RawOfficer[Tag_QTrial])</f>
        <v>➖</v>
      </c>
      <c r="J350" s="516" t="str">
        <f t="array" ref="J350">XLOOKUP(LCARS_Off[AbilityID],RawOfficer[AbilityID],RawOfficer[Tag_MissionBosses])</f>
        <v>➖</v>
      </c>
      <c r="K350" s="516" t="str">
        <f t="array" ref="K350">XLOOKUP(LCARS_Off[AbilityID],RawOfficer[AbilityID],RawOfficer[Tag_GroupArmadas])</f>
        <v>➖</v>
      </c>
      <c r="L350" s="516" t="str">
        <f t="array" ref="L350">XLOOKUP(LCARS_Off[AbilityID],RawOfficer[AbilityID],RawOfficer[Tag_SoloArmadas])</f>
        <v>➖</v>
      </c>
      <c r="M350" s="516" t="str">
        <f t="array" ref="M350">XLOOKUP(LCARS_Off[AbilityID],RawOfficer[AbilityID],RawOfficer[Tag_InvadingEntities])</f>
        <v>➖</v>
      </c>
      <c r="N350" s="516" t="str">
        <f t="array" ref="N350">XLOOKUP(LCARS_Off[AbilityID],RawOfficer[AbilityID],RawOfficer[Tag_Assaults])</f>
        <v>➖</v>
      </c>
      <c r="O350" s="516" t="str">
        <f t="array" ref="O350">XLOOKUP(LCARS_Off[AbilityID],RawOfficer[AbilityID],RawOfficer[Tag_OutpostArmadas])</f>
        <v>➖</v>
      </c>
      <c r="P350" s="516" t="str">
        <f t="array" ref="P350">XLOOKUP(LCARS_Off[AbilityID],RawOfficer[AbilityID],RawOfficer[Tag_OutpostRetaliators])</f>
        <v>➖</v>
      </c>
      <c r="Q350" s="517" t="str">
        <f t="array" ref="Q350">XLOOKUP(LCARS_Off[AbilityID],RawOfficer[AbilityID],RawOfficer[Conditional_Reason])</f>
        <v>ModuleKinetic, SelfInterceptor, TargetHasHullBreach</v>
      </c>
      <c r="R350" s="518" t="str">
        <f t="array" ref="R350">XLOOKUP(LCARS_Off[AbilityID],RawOfficer[AbilityID],RawOfficer[Tag_Loot])</f>
        <v>➖</v>
      </c>
      <c r="S350" s="516" t="str">
        <f t="array" ref="S350">XLOOKUP(LCARS_Off[AbilityID],RawOfficer[AbilityID],RawOfficer[Tag_Utility])</f>
        <v>➖</v>
      </c>
      <c r="T350" s="429" t="str">
        <f t="array" ref="T350">XLOOKUP(LCARS_Off[AbilityID],RawOfficer[AbilityID],RawOfficer[OfficerSynergy])</f>
        <v>INTERCEPTOR STRIKE TEAM</v>
      </c>
      <c r="U350" s="519" t="str">
        <f t="array" ref="U350">XLOOKUP(LCARS_Off[AbilityID],RawOfficer[AbilityID],RawOfficer[AbilityModifier])</f>
        <v>AllDamage</v>
      </c>
      <c r="V350" s="519" t="str">
        <f t="array" ref="V350">XLOOKUP(LCARS_Off[AbilityID],RawOfficer[AbilityID],RawOfficer[AbilityAttributes])</f>
        <v/>
      </c>
      <c r="W350" s="520" t="str">
        <f t="array" ref="W350">XLOOKUP(LCARS_Off[AbilityID],RawOfficer[AbilityID],RawOfficer[AbilityConditions])</f>
        <v>ModuleKinetic, SelfInterceptor, EnemyPlayer, TargetHasHullBreach</v>
      </c>
      <c r="X350" s="519" t="str">
        <f t="array" ref="X350">XLOOKUP(LCARS_Off[AbilityID],RawOfficer[AbilityID],RawOfficer[AbilityTrigger])</f>
        <v>RoundStart</v>
      </c>
      <c r="Y350" s="519" t="str">
        <f t="array" ref="Y350">XLOOKUP(LCARS_Off[AbilityID],RawOfficer[AbilityID],RawOfficer[AbilityTarget])</f>
        <v>EnemyShip</v>
      </c>
      <c r="Z350" s="519" t="str">
        <f t="array" ref="Z350">XLOOKUP(LCARS_Off[AbilityID],RawOfficer[AbilityID],RawOfficer[AbilityOperation])</f>
        <v>MultiplySub</v>
      </c>
      <c r="AA350" s="521" t="str">
        <f t="array" ref="AA350">XLOOKUP(LCARS_Off[AbilityID],RawOfficer[AbilityID],RawOfficer[AbilityDescription])</f>
        <v>While on an Interceptor fighting a player ship with Hull Breach, Garak reduces opponent Kinetic Weapon Damage by X each round.</v>
      </c>
      <c r="AB350" s="429" t="b">
        <v>0</v>
      </c>
      <c r="AC350" s="522" t="str">
        <f t="array" ref="AC350">XLOOKUP(LCARS_Off[AbilityID],RawOfficer[AbilityID],RawOfficer[AbilityDescriptionShort])</f>
        <v>-X to Kinetic Weapon Damage each Round when fighting player ships with Hull Breach, while on an Interceptor.</v>
      </c>
      <c r="AD350" s="523"/>
      <c r="AE350" s="524"/>
      <c r="AF350" s="524"/>
      <c r="AG350" s="525" t="str">
        <f t="array" ref="AG350">XLOOKUP(LCARS_Off[AbilityID],RawOfficer[AbilityID],RawOfficer[AbilityChances])</f>
        <v>1.0, 1.0, 1.0</v>
      </c>
      <c r="AH350" s="525" t="str">
        <f t="array" ref="AH350">XLOOKUP(LCARS_Off[AbilityID],RawOfficer[AbilityID],RawOfficer[AbilityValues])</f>
        <v>0.05, 0.05, 0.1</v>
      </c>
      <c r="AI350" s="428" t="b">
        <f t="array" ref="AI350">XLOOKUP(LCARS_Off[AbilityID],RawOfficer[AbilityID],RawOfficer[AbilityHasChance])</f>
        <v>0</v>
      </c>
      <c r="AJ350" s="428" t="b">
        <f t="array" ref="AJ350">XLOOKUP(LCARS_Off[AbilityID],RawOfficer[AbilityID],RawOfficer[AbilityShowPercentage])</f>
        <v>1</v>
      </c>
      <c r="AK350" s="429">
        <f t="array" ref="AK350">XLOOKUP(LCARS_Off[AbilityID],RawOfficer[AbilityID],RawOfficer[OfficerArt])</f>
        <v>221</v>
      </c>
      <c r="AL350" s="430">
        <v>2.779404384E9</v>
      </c>
      <c r="AM350" s="430">
        <f t="array" ref="AM350">XLOOKUP(LCARS_Off[AbilityID],RawOfficer[AbilityID],RawOfficer[Default Order])</f>
        <v>347</v>
      </c>
    </row>
    <row r="351">
      <c r="A351" s="429" t="str">
        <f t="array" ref="A351">LEFT(XLOOKUP(LCARS_Off[AbilityID],RawOfficer[AbilityID],RawOfficer[OfficerRarity]), 1)</f>
        <v>R</v>
      </c>
      <c r="B351" s="429"/>
      <c r="C351" s="514" t="str">
        <f t="array" ref="C351">HYPERLINK("https://stfc.space/officers/" &amp; XLOOKUP(LCARS_Off[AbilityID],RawOfficer[AbilityID],RawOfficer[OfficerId]), XLOOKUP(LCARS_Off[AbilityID],RawOfficer[AbilityID],RawOfficer[OfficerName]))</f>
        <v>GARAK</v>
      </c>
      <c r="D351" s="515" t="str">
        <f t="array" ref="D351">XLOOKUP(LCARS_Off[AbilityID],RawOfficer[AbilityID],RawOfficer[AbilityType])</f>
        <v>OA</v>
      </c>
      <c r="E351" s="516" t="str">
        <f t="array" ref="E351">XLOOKUP(LCARS_Off[AbilityID],RawOfficer[AbilityID],RawOfficer[Tag_PvPinSpace])</f>
        <v>✴️</v>
      </c>
      <c r="F351" s="516" t="str">
        <f t="array" ref="F351">XLOOKUP(LCARS_Off[AbilityID],RawOfficer[AbilityID],RawOfficer[Tag_PvPStation])</f>
        <v>✴️</v>
      </c>
      <c r="G351" s="516" t="str">
        <f t="array" ref="G351">XLOOKUP(LCARS_Off[AbilityID],RawOfficer[AbilityID],RawOfficer[Tag_NonArmadaHostiles])</f>
        <v>➖</v>
      </c>
      <c r="H351" s="516" t="str">
        <f t="array" ref="H351">XLOOKUP(LCARS_Off[AbilityID],RawOfficer[AbilityID],RawOfficer[Tag_WaveDefense])</f>
        <v>➖</v>
      </c>
      <c r="I351" s="516" t="str">
        <f t="array" ref="I351">XLOOKUP(LCARS_Off[AbilityID],RawOfficer[AbilityID],RawOfficer[Tag_QTrial])</f>
        <v>➖</v>
      </c>
      <c r="J351" s="516" t="str">
        <f t="array" ref="J351">XLOOKUP(LCARS_Off[AbilityID],RawOfficer[AbilityID],RawOfficer[Tag_MissionBosses])</f>
        <v>➖</v>
      </c>
      <c r="K351" s="516" t="str">
        <f t="array" ref="K351">XLOOKUP(LCARS_Off[AbilityID],RawOfficer[AbilityID],RawOfficer[Tag_GroupArmadas])</f>
        <v>➖</v>
      </c>
      <c r="L351" s="516" t="str">
        <f t="array" ref="L351">XLOOKUP(LCARS_Off[AbilityID],RawOfficer[AbilityID],RawOfficer[Tag_SoloArmadas])</f>
        <v>➖</v>
      </c>
      <c r="M351" s="516" t="str">
        <f t="array" ref="M351">XLOOKUP(LCARS_Off[AbilityID],RawOfficer[AbilityID],RawOfficer[Tag_InvadingEntities])</f>
        <v>➖</v>
      </c>
      <c r="N351" s="516" t="str">
        <f t="array" ref="N351">XLOOKUP(LCARS_Off[AbilityID],RawOfficer[AbilityID],RawOfficer[Tag_Assaults])</f>
        <v>➖</v>
      </c>
      <c r="O351" s="516" t="str">
        <f t="array" ref="O351">XLOOKUP(LCARS_Off[AbilityID],RawOfficer[AbilityID],RawOfficer[Tag_OutpostArmadas])</f>
        <v>➖</v>
      </c>
      <c r="P351" s="516" t="str">
        <f t="array" ref="P351">XLOOKUP(LCARS_Off[AbilityID],RawOfficer[AbilityID],RawOfficer[Tag_OutpostRetaliators])</f>
        <v>➖</v>
      </c>
      <c r="Q351" s="517" t="str">
        <f t="array" ref="Q351">XLOOKUP(LCARS_Off[AbilityID],RawOfficer[AbilityID],RawOfficer[Conditional_Reason])</f>
        <v>SelfInterceptor, TargetHasHullBreach</v>
      </c>
      <c r="R351" s="518" t="str">
        <f t="array" ref="R351">XLOOKUP(LCARS_Off[AbilityID],RawOfficer[AbilityID],RawOfficer[Tag_Loot])</f>
        <v>➖</v>
      </c>
      <c r="S351" s="516" t="str">
        <f t="array" ref="S351">XLOOKUP(LCARS_Off[AbilityID],RawOfficer[AbilityID],RawOfficer[Tag_Utility])</f>
        <v>➖</v>
      </c>
      <c r="T351" s="429" t="str">
        <f t="array" ref="T351">XLOOKUP(LCARS_Off[AbilityID],RawOfficer[AbilityID],RawOfficer[OfficerSynergy])</f>
        <v>INTERCEPTOR STRIKE TEAM</v>
      </c>
      <c r="U351" s="519" t="str">
        <f t="array" ref="U351">XLOOKUP(LCARS_Off[AbilityID],RawOfficer[AbilityID],RawOfficer[AbilityModifier])</f>
        <v>CritChance</v>
      </c>
      <c r="V351" s="519" t="str">
        <f t="array" ref="V351">XLOOKUP(LCARS_Off[AbilityID],RawOfficer[AbilityID],RawOfficer[AbilityAttributes])</f>
        <v/>
      </c>
      <c r="W351" s="520" t="str">
        <f t="array" ref="W351">XLOOKUP(LCARS_Off[AbilityID],RawOfficer[AbilityID],RawOfficer[AbilityConditions])</f>
        <v>SelfInterceptor, EnemyPlayer, TargetHasHullBreach</v>
      </c>
      <c r="X351" s="519" t="str">
        <f t="array" ref="X351">XLOOKUP(LCARS_Off[AbilityID],RawOfficer[AbilityID],RawOfficer[AbilityTrigger])</f>
        <v>RoundStart</v>
      </c>
      <c r="Y351" s="519" t="str">
        <f t="array" ref="Y351">XLOOKUP(LCARS_Off[AbilityID],RawOfficer[AbilityID],RawOfficer[AbilityTarget])</f>
        <v>SelfShip</v>
      </c>
      <c r="Z351" s="519" t="str">
        <f t="array" ref="Z351">XLOOKUP(LCARS_Off[AbilityID],RawOfficer[AbilityID],RawOfficer[AbilityOperation])</f>
        <v>Add</v>
      </c>
      <c r="AA351" s="521" t="str">
        <f t="array" ref="AA351">XLOOKUP(LCARS_Off[AbilityID],RawOfficer[AbilityID],RawOfficer[AbilityDescription])</f>
        <v>While on an Interceptor fighting a player ship with Hull Breach, Garak increases Critical Hit Chance by X each round.</v>
      </c>
      <c r="AB351" s="429" t="b">
        <v>0</v>
      </c>
      <c r="AC351" s="522" t="str">
        <f t="array" ref="AC351">XLOOKUP(LCARS_Off[AbilityID],RawOfficer[AbilityID],RawOfficer[AbilityDescriptionShort])</f>
        <v>+X Critical Hit Chance per round against players with Hull Breach.</v>
      </c>
      <c r="AD351" s="523"/>
      <c r="AE351" s="524"/>
      <c r="AF351" s="524"/>
      <c r="AG351" s="525" t="str">
        <f t="array" ref="AG351">XLOOKUP(LCARS_Off[AbilityID],RawOfficer[AbilityID],RawOfficer[AbilityChances])</f>
        <v>1.0, 1.0, 1.0, 1.0, 1.0</v>
      </c>
      <c r="AH351" s="525" t="str">
        <f t="array" ref="AH351">XLOOKUP(LCARS_Off[AbilityID],RawOfficer[AbilityID],RawOfficer[AbilityValues])</f>
        <v>0.3, 0.35, 0.42, 0.5, 0.6</v>
      </c>
      <c r="AI351" s="428" t="b">
        <f t="array" ref="AI351">XLOOKUP(LCARS_Off[AbilityID],RawOfficer[AbilityID],RawOfficer[AbilityHasChance])</f>
        <v>0</v>
      </c>
      <c r="AJ351" s="428" t="b">
        <f t="array" ref="AJ351">XLOOKUP(LCARS_Off[AbilityID],RawOfficer[AbilityID],RawOfficer[AbilityShowPercentage])</f>
        <v>1</v>
      </c>
      <c r="AK351" s="429">
        <f t="array" ref="AK351">XLOOKUP(LCARS_Off[AbilityID],RawOfficer[AbilityID],RawOfficer[OfficerArt])</f>
        <v>221</v>
      </c>
      <c r="AL351" s="430">
        <v>9.88061493E8</v>
      </c>
      <c r="AM351" s="430">
        <f t="array" ref="AM351">XLOOKUP(LCARS_Off[AbilityID],RawOfficer[AbilityID],RawOfficer[Default Order])</f>
        <v>348</v>
      </c>
    </row>
    <row r="352">
      <c r="A352" s="429" t="str">
        <f t="array" ref="A352">LEFT(XLOOKUP(LCARS_Off[AbilityID],RawOfficer[AbilityID],RawOfficer[OfficerRarity]), 1)</f>
        <v>R</v>
      </c>
      <c r="B352" s="429"/>
      <c r="C352" s="514" t="str">
        <f t="array" ref="C352">HYPERLINK("https://stfc.space/officers/" &amp; XLOOKUP(LCARS_Off[AbilityID],RawOfficer[AbilityID],RawOfficer[OfficerId]), XLOOKUP(LCARS_Off[AbilityID],RawOfficer[AbilityID],RawOfficer[OfficerName]))</f>
        <v>DAMAR</v>
      </c>
      <c r="D352" s="515" t="str">
        <f t="array" ref="D352">XLOOKUP(LCARS_Off[AbilityID],RawOfficer[AbilityID],RawOfficer[AbilityType])</f>
        <v>CM</v>
      </c>
      <c r="E352" s="516" t="str">
        <f t="array" ref="E352">XLOOKUP(LCARS_Off[AbilityID],RawOfficer[AbilityID],RawOfficer[Tag_PvPinSpace])</f>
        <v>✴️</v>
      </c>
      <c r="F352" s="516" t="str">
        <f t="array" ref="F352">XLOOKUP(LCARS_Off[AbilityID],RawOfficer[AbilityID],RawOfficer[Tag_PvPStation])</f>
        <v>✴️</v>
      </c>
      <c r="G352" s="516" t="str">
        <f t="array" ref="G352">XLOOKUP(LCARS_Off[AbilityID],RawOfficer[AbilityID],RawOfficer[Tag_NonArmadaHostiles])</f>
        <v>➖</v>
      </c>
      <c r="H352" s="516" t="str">
        <f t="array" ref="H352">XLOOKUP(LCARS_Off[AbilityID],RawOfficer[AbilityID],RawOfficer[Tag_WaveDefense])</f>
        <v>➖</v>
      </c>
      <c r="I352" s="516" t="str">
        <f t="array" ref="I352">XLOOKUP(LCARS_Off[AbilityID],RawOfficer[AbilityID],RawOfficer[Tag_QTrial])</f>
        <v>➖</v>
      </c>
      <c r="J352" s="516" t="str">
        <f t="array" ref="J352">XLOOKUP(LCARS_Off[AbilityID],RawOfficer[AbilityID],RawOfficer[Tag_MissionBosses])</f>
        <v>➖</v>
      </c>
      <c r="K352" s="516" t="str">
        <f t="array" ref="K352">XLOOKUP(LCARS_Off[AbilityID],RawOfficer[AbilityID],RawOfficer[Tag_GroupArmadas])</f>
        <v>➖</v>
      </c>
      <c r="L352" s="516" t="str">
        <f t="array" ref="L352">XLOOKUP(LCARS_Off[AbilityID],RawOfficer[AbilityID],RawOfficer[Tag_SoloArmadas])</f>
        <v>➖</v>
      </c>
      <c r="M352" s="516" t="str">
        <f t="array" ref="M352">XLOOKUP(LCARS_Off[AbilityID],RawOfficer[AbilityID],RawOfficer[Tag_InvadingEntities])</f>
        <v>➖</v>
      </c>
      <c r="N352" s="516" t="str">
        <f t="array" ref="N352">XLOOKUP(LCARS_Off[AbilityID],RawOfficer[AbilityID],RawOfficer[Tag_Assaults])</f>
        <v>➖</v>
      </c>
      <c r="O352" s="516" t="str">
        <f t="array" ref="O352">XLOOKUP(LCARS_Off[AbilityID],RawOfficer[AbilityID],RawOfficer[Tag_OutpostArmadas])</f>
        <v>➖</v>
      </c>
      <c r="P352" s="516" t="str">
        <f t="array" ref="P352">XLOOKUP(LCARS_Off[AbilityID],RawOfficer[AbilityID],RawOfficer[Tag_OutpostRetaliators])</f>
        <v>➖</v>
      </c>
      <c r="Q352" s="517" t="str">
        <f t="array" ref="Q352">XLOOKUP(LCARS_Off[AbilityID],RawOfficer[AbilityID],RawOfficer[Conditional_Reason])</f>
        <v>SelfInterceptor, TargetHasHullBreach</v>
      </c>
      <c r="R352" s="518" t="str">
        <f t="array" ref="R352">XLOOKUP(LCARS_Off[AbilityID],RawOfficer[AbilityID],RawOfficer[Tag_Loot])</f>
        <v>➖</v>
      </c>
      <c r="S352" s="516" t="str">
        <f t="array" ref="S352">XLOOKUP(LCARS_Off[AbilityID],RawOfficer[AbilityID],RawOfficer[Tag_Utility])</f>
        <v>➖</v>
      </c>
      <c r="T352" s="429" t="str">
        <f t="array" ref="T352">XLOOKUP(LCARS_Off[AbilityID],RawOfficer[AbilityID],RawOfficer[OfficerSynergy])</f>
        <v>INTERCEPTOR STRIKE TEAM</v>
      </c>
      <c r="U352" s="519" t="str">
        <f t="array" ref="U352">XLOOKUP(LCARS_Off[AbilityID],RawOfficer[AbilityID],RawOfficer[AbilityModifier])</f>
        <v>CritChance</v>
      </c>
      <c r="V352" s="519" t="str">
        <f t="array" ref="V352">XLOOKUP(LCARS_Off[AbilityID],RawOfficer[AbilityID],RawOfficer[AbilityAttributes])</f>
        <v/>
      </c>
      <c r="W352" s="520" t="str">
        <f t="array" ref="W352">XLOOKUP(LCARS_Off[AbilityID],RawOfficer[AbilityID],RawOfficer[AbilityConditions])</f>
        <v>SelfInterceptor, EnemyPlayer, TargetHasHullBreach</v>
      </c>
      <c r="X352" s="519" t="str">
        <f t="array" ref="X352">XLOOKUP(LCARS_Off[AbilityID],RawOfficer[AbilityID],RawOfficer[AbilityTrigger])</f>
        <v>CriticalShotFired</v>
      </c>
      <c r="Y352" s="519" t="str">
        <f t="array" ref="Y352">XLOOKUP(LCARS_Off[AbilityID],RawOfficer[AbilityID],RawOfficer[AbilityTarget])</f>
        <v>SelfShip</v>
      </c>
      <c r="Z352" s="519" t="str">
        <f t="array" ref="Z352">XLOOKUP(LCARS_Off[AbilityID],RawOfficer[AbilityID],RawOfficer[AbilityOperation])</f>
        <v>Add</v>
      </c>
      <c r="AA352" s="521" t="str">
        <f t="array" ref="AA352">XLOOKUP(LCARS_Off[AbilityID],RawOfficer[AbilityID],RawOfficer[AbilityDescription])</f>
        <v>While on an Interceptor fighting a player ship with Hull Breach, if Damar scores a Critical Hit, increase Critical Hit Chance by X once per Weapon for the remainder of battle.</v>
      </c>
      <c r="AB352" s="429" t="b">
        <v>0</v>
      </c>
      <c r="AC352" s="522" t="str">
        <f t="array" ref="AC352">XLOOKUP(LCARS_Off[AbilityID],RawOfficer[AbilityID],RawOfficer[AbilityDescriptionShort])</f>
        <v>Damar's Interceptor gets +X to Crit Chance for each Crit made on player ships with Hull Breach.</v>
      </c>
      <c r="AD352" s="523"/>
      <c r="AE352" s="524"/>
      <c r="AF352" s="524"/>
      <c r="AG352" s="525" t="str">
        <f t="array" ref="AG352">XLOOKUP(LCARS_Off[AbilityID],RawOfficer[AbilityID],RawOfficer[AbilityChances])</f>
        <v>1.0, 1.0, 1.0</v>
      </c>
      <c r="AH352" s="525" t="str">
        <f t="array" ref="AH352">XLOOKUP(LCARS_Off[AbilityID],RawOfficer[AbilityID],RawOfficer[AbilityValues])</f>
        <v>0.02, 0.02, 0.03</v>
      </c>
      <c r="AI352" s="428" t="b">
        <f t="array" ref="AI352">XLOOKUP(LCARS_Off[AbilityID],RawOfficer[AbilityID],RawOfficer[AbilityHasChance])</f>
        <v>0</v>
      </c>
      <c r="AJ352" s="428" t="b">
        <f t="array" ref="AJ352">XLOOKUP(LCARS_Off[AbilityID],RawOfficer[AbilityID],RawOfficer[AbilityShowPercentage])</f>
        <v>1</v>
      </c>
      <c r="AK352" s="429">
        <f t="array" ref="AK352">XLOOKUP(LCARS_Off[AbilityID],RawOfficer[AbilityID],RawOfficer[OfficerArt])</f>
        <v>222</v>
      </c>
      <c r="AL352" s="430">
        <v>2.54323065E9</v>
      </c>
      <c r="AM352" s="430">
        <f t="array" ref="AM352">XLOOKUP(LCARS_Off[AbilityID],RawOfficer[AbilityID],RawOfficer[Default Order])</f>
        <v>349</v>
      </c>
    </row>
    <row r="353">
      <c r="A353" s="429" t="str">
        <f t="array" ref="A353">LEFT(XLOOKUP(LCARS_Off[AbilityID],RawOfficer[AbilityID],RawOfficer[OfficerRarity]), 1)</f>
        <v>R</v>
      </c>
      <c r="B353" s="429"/>
      <c r="C353" s="514" t="str">
        <f t="array" ref="C353">HYPERLINK("https://stfc.space/officers/" &amp; XLOOKUP(LCARS_Off[AbilityID],RawOfficer[AbilityID],RawOfficer[OfficerId]), XLOOKUP(LCARS_Off[AbilityID],RawOfficer[AbilityID],RawOfficer[OfficerName]))</f>
        <v>DAMAR</v>
      </c>
      <c r="D353" s="515" t="str">
        <f t="array" ref="D353">XLOOKUP(LCARS_Off[AbilityID],RawOfficer[AbilityID],RawOfficer[AbilityType])</f>
        <v>OA</v>
      </c>
      <c r="E353" s="516" t="str">
        <f t="array" ref="E353">XLOOKUP(LCARS_Off[AbilityID],RawOfficer[AbilityID],RawOfficer[Tag_PvPinSpace])</f>
        <v>✴️</v>
      </c>
      <c r="F353" s="516" t="str">
        <f t="array" ref="F353">XLOOKUP(LCARS_Off[AbilityID],RawOfficer[AbilityID],RawOfficer[Tag_PvPStation])</f>
        <v>✴️</v>
      </c>
      <c r="G353" s="516" t="str">
        <f t="array" ref="G353">XLOOKUP(LCARS_Off[AbilityID],RawOfficer[AbilityID],RawOfficer[Tag_NonArmadaHostiles])</f>
        <v>➖</v>
      </c>
      <c r="H353" s="516" t="str">
        <f t="array" ref="H353">XLOOKUP(LCARS_Off[AbilityID],RawOfficer[AbilityID],RawOfficer[Tag_WaveDefense])</f>
        <v>➖</v>
      </c>
      <c r="I353" s="516" t="str">
        <f t="array" ref="I353">XLOOKUP(LCARS_Off[AbilityID],RawOfficer[AbilityID],RawOfficer[Tag_QTrial])</f>
        <v>➖</v>
      </c>
      <c r="J353" s="516" t="str">
        <f t="array" ref="J353">XLOOKUP(LCARS_Off[AbilityID],RawOfficer[AbilityID],RawOfficer[Tag_MissionBosses])</f>
        <v>➖</v>
      </c>
      <c r="K353" s="516" t="str">
        <f t="array" ref="K353">XLOOKUP(LCARS_Off[AbilityID],RawOfficer[AbilityID],RawOfficer[Tag_GroupArmadas])</f>
        <v>➖</v>
      </c>
      <c r="L353" s="516" t="str">
        <f t="array" ref="L353">XLOOKUP(LCARS_Off[AbilityID],RawOfficer[AbilityID],RawOfficer[Tag_SoloArmadas])</f>
        <v>➖</v>
      </c>
      <c r="M353" s="516" t="str">
        <f t="array" ref="M353">XLOOKUP(LCARS_Off[AbilityID],RawOfficer[AbilityID],RawOfficer[Tag_InvadingEntities])</f>
        <v>➖</v>
      </c>
      <c r="N353" s="516" t="str">
        <f t="array" ref="N353">XLOOKUP(LCARS_Off[AbilityID],RawOfficer[AbilityID],RawOfficer[Tag_Assaults])</f>
        <v>➖</v>
      </c>
      <c r="O353" s="516" t="str">
        <f t="array" ref="O353">XLOOKUP(LCARS_Off[AbilityID],RawOfficer[AbilityID],RawOfficer[Tag_OutpostArmadas])</f>
        <v>➖</v>
      </c>
      <c r="P353" s="516" t="str">
        <f t="array" ref="P353">XLOOKUP(LCARS_Off[AbilityID],RawOfficer[AbilityID],RawOfficer[Tag_OutpostRetaliators])</f>
        <v>➖</v>
      </c>
      <c r="Q353" s="517" t="str">
        <f t="array" ref="Q353">XLOOKUP(LCARS_Off[AbilityID],RawOfficer[AbilityID],RawOfficer[Conditional_Reason])</f>
        <v>SelfInterceptor, TargetHasHullBreach</v>
      </c>
      <c r="R353" s="518" t="str">
        <f t="array" ref="R353">XLOOKUP(LCARS_Off[AbilityID],RawOfficer[AbilityID],RawOfficer[Tag_Loot])</f>
        <v>➖</v>
      </c>
      <c r="S353" s="516" t="str">
        <f t="array" ref="S353">XLOOKUP(LCARS_Off[AbilityID],RawOfficer[AbilityID],RawOfficer[Tag_Utility])</f>
        <v>➖</v>
      </c>
      <c r="T353" s="429" t="str">
        <f t="array" ref="T353">XLOOKUP(LCARS_Off[AbilityID],RawOfficer[AbilityID],RawOfficer[OfficerSynergy])</f>
        <v>INTERCEPTOR STRIKE TEAM</v>
      </c>
      <c r="U353" s="519" t="str">
        <f t="array" ref="U353">XLOOKUP(LCARS_Off[AbilityID],RawOfficer[AbilityID],RawOfficer[AbilityModifier])</f>
        <v>CritDamage</v>
      </c>
      <c r="V353" s="519" t="str">
        <f t="array" ref="V353">XLOOKUP(LCARS_Off[AbilityID],RawOfficer[AbilityID],RawOfficer[AbilityAttributes])</f>
        <v>num_rounds=3</v>
      </c>
      <c r="W353" s="520" t="str">
        <f t="array" ref="W353">XLOOKUP(LCARS_Off[AbilityID],RawOfficer[AbilityID],RawOfficer[AbilityConditions])</f>
        <v>SelfInterceptor, EnemyPlayer, TargetHasHullBreach</v>
      </c>
      <c r="X353" s="519" t="str">
        <f t="array" ref="X353">XLOOKUP(LCARS_Off[AbilityID],RawOfficer[AbilityID],RawOfficer[AbilityTrigger])</f>
        <v>CriticalShotFired</v>
      </c>
      <c r="Y353" s="519" t="str">
        <f t="array" ref="Y353">XLOOKUP(LCARS_Off[AbilityID],RawOfficer[AbilityID],RawOfficer[AbilityTarget])</f>
        <v>EnemyShip</v>
      </c>
      <c r="Z353" s="519" t="str">
        <f t="array" ref="Z353">XLOOKUP(LCARS_Off[AbilityID],RawOfficer[AbilityID],RawOfficer[AbilityOperation])</f>
        <v>Sub</v>
      </c>
      <c r="AA353" s="521" t="str">
        <f t="array" ref="AA353">XLOOKUP(LCARS_Off[AbilityID],RawOfficer[AbilityID],RawOfficer[AbilityDescription])</f>
        <v>While on an Interceptor fighting a player ship with Hull Breach, if Damar scores a Critical Hit, decrease opponent Critical Hit Damage by X once per Weapon for 3 rounds.</v>
      </c>
      <c r="AB353" s="429" t="b">
        <v>0</v>
      </c>
      <c r="AC353" s="522" t="str">
        <f t="array" ref="AC353">XLOOKUP(LCARS_Off[AbilityID],RawOfficer[AbilityID],RawOfficer[AbilityDescriptionShort])</f>
        <v>Opponent player with Hull Breach does -X Crit Damage for 3 rounds after being Crit.</v>
      </c>
      <c r="AD353" s="523"/>
      <c r="AE353" s="524"/>
      <c r="AF353" s="524"/>
      <c r="AG353" s="525" t="str">
        <f t="array" ref="AG353">XLOOKUP(LCARS_Off[AbilityID],RawOfficer[AbilityID],RawOfficer[AbilityChances])</f>
        <v>1.0, 1.0, 1.0, 1.0, 1.0</v>
      </c>
      <c r="AH353" s="525" t="str">
        <f t="array" ref="AH353">XLOOKUP(LCARS_Off[AbilityID],RawOfficer[AbilityID],RawOfficer[AbilityValues])</f>
        <v>0.25, 0.29, 0.35, 0.42, 0.5</v>
      </c>
      <c r="AI353" s="428" t="b">
        <f t="array" ref="AI353">XLOOKUP(LCARS_Off[AbilityID],RawOfficer[AbilityID],RawOfficer[AbilityHasChance])</f>
        <v>0</v>
      </c>
      <c r="AJ353" s="428" t="b">
        <f t="array" ref="AJ353">XLOOKUP(LCARS_Off[AbilityID],RawOfficer[AbilityID],RawOfficer[AbilityShowPercentage])</f>
        <v>1</v>
      </c>
      <c r="AK353" s="429">
        <f t="array" ref="AK353">XLOOKUP(LCARS_Off[AbilityID],RawOfficer[AbilityID],RawOfficer[OfficerArt])</f>
        <v>222</v>
      </c>
      <c r="AL353" s="430">
        <v>1.272288893E9</v>
      </c>
      <c r="AM353" s="430">
        <f t="array" ref="AM353">XLOOKUP(LCARS_Off[AbilityID],RawOfficer[AbilityID],RawOfficer[Default Order])</f>
        <v>350</v>
      </c>
    </row>
    <row r="354">
      <c r="A354" s="429" t="str">
        <f t="array" ref="A354">LEFT(XLOOKUP(LCARS_Off[AbilityID],RawOfficer[AbilityID],RawOfficer[OfficerRarity]), 1)</f>
        <v>E</v>
      </c>
      <c r="B354" s="429"/>
      <c r="C354" s="514" t="str">
        <f t="array" ref="C354">HYPERLINK("https://stfc.space/officers/" &amp; XLOOKUP(LCARS_Off[AbilityID],RawOfficer[AbilityID],RawOfficer[OfficerId]), XLOOKUP(LCARS_Off[AbilityID],RawOfficer[AbilityID],RawOfficer[OfficerName]))</f>
        <v>BENJAMIN SISKO</v>
      </c>
      <c r="D354" s="515" t="str">
        <f t="array" ref="D354">XLOOKUP(LCARS_Off[AbilityID],RawOfficer[AbilityID],RawOfficer[AbilityType])</f>
        <v>CM</v>
      </c>
      <c r="E354" s="516" t="str">
        <f t="array" ref="E354">XLOOKUP(LCARS_Off[AbilityID],RawOfficer[AbilityID],RawOfficer[Tag_PvPinSpace])</f>
        <v>➖</v>
      </c>
      <c r="F354" s="516" t="str">
        <f t="array" ref="F354">XLOOKUP(LCARS_Off[AbilityID],RawOfficer[AbilityID],RawOfficer[Tag_PvPStation])</f>
        <v>➖</v>
      </c>
      <c r="G354" s="516" t="str">
        <f t="array" ref="G354">XLOOKUP(LCARS_Off[AbilityID],RawOfficer[AbilityID],RawOfficer[Tag_NonArmadaHostiles])</f>
        <v>➖</v>
      </c>
      <c r="H354" s="516" t="str">
        <f t="array" ref="H354">XLOOKUP(LCARS_Off[AbilityID],RawOfficer[AbilityID],RawOfficer[Tag_WaveDefense])</f>
        <v>➖</v>
      </c>
      <c r="I354" s="516" t="str">
        <f t="array" ref="I354">XLOOKUP(LCARS_Off[AbilityID],RawOfficer[AbilityID],RawOfficer[Tag_QTrial])</f>
        <v>➖</v>
      </c>
      <c r="J354" s="516" t="str">
        <f t="array" ref="J354">XLOOKUP(LCARS_Off[AbilityID],RawOfficer[AbilityID],RawOfficer[Tag_MissionBosses])</f>
        <v>➖</v>
      </c>
      <c r="K354" s="516" t="str">
        <f t="array" ref="K354">XLOOKUP(LCARS_Off[AbilityID],RawOfficer[AbilityID],RawOfficer[Tag_GroupArmadas])</f>
        <v>✅</v>
      </c>
      <c r="L354" s="516" t="str">
        <f t="array" ref="L354">XLOOKUP(LCARS_Off[AbilityID],RawOfficer[AbilityID],RawOfficer[Tag_SoloArmadas])</f>
        <v>✅</v>
      </c>
      <c r="M354" s="516" t="str">
        <f t="array" ref="M354">XLOOKUP(LCARS_Off[AbilityID],RawOfficer[AbilityID],RawOfficer[Tag_InvadingEntities])</f>
        <v>➖</v>
      </c>
      <c r="N354" s="516" t="str">
        <f t="array" ref="N354">XLOOKUP(LCARS_Off[AbilityID],RawOfficer[AbilityID],RawOfficer[Tag_Assaults])</f>
        <v>➖</v>
      </c>
      <c r="O354" s="516" t="str">
        <f t="array" ref="O354">XLOOKUP(LCARS_Off[AbilityID],RawOfficer[AbilityID],RawOfficer[Tag_OutpostArmadas])</f>
        <v>➖</v>
      </c>
      <c r="P354" s="516" t="str">
        <f t="array" ref="P354">XLOOKUP(LCARS_Off[AbilityID],RawOfficer[AbilityID],RawOfficer[Tag_OutpostRetaliators])</f>
        <v>➖</v>
      </c>
      <c r="Q354" s="517" t="str">
        <f t="array" ref="Q354">XLOOKUP(LCARS_Off[AbilityID],RawOfficer[AbilityID],RawOfficer[Conditional_Reason])</f>
        <v/>
      </c>
      <c r="R354" s="518" t="str">
        <f t="array" ref="R354">XLOOKUP(LCARS_Off[AbilityID],RawOfficer[AbilityID],RawOfficer[Tag_Loot])</f>
        <v>➖</v>
      </c>
      <c r="S354" s="516" t="str">
        <f t="array" ref="S354">XLOOKUP(LCARS_Off[AbilityID],RawOfficer[AbilityID],RawOfficer[Tag_Utility])</f>
        <v>➖</v>
      </c>
      <c r="T354" s="429" t="str">
        <f t="array" ref="T354">XLOOKUP(LCARS_Off[AbilityID],RawOfficer[AbilityID],RawOfficer[OfficerSynergy])</f>
        <v>DEEP SPACE NINE</v>
      </c>
      <c r="U354" s="519" t="str">
        <f t="array" ref="U354">XLOOKUP(LCARS_Off[AbilityID],RawOfficer[AbilityID],RawOfficer[AbilityModifier])</f>
        <v>AllDefenses</v>
      </c>
      <c r="V354" s="519" t="str">
        <f t="array" ref="V354">XLOOKUP(LCARS_Off[AbilityID],RawOfficer[AbilityID],RawOfficer[AbilityAttributes])</f>
        <v>officer_stat=3</v>
      </c>
      <c r="W354" s="520" t="str">
        <f t="array" ref="W354">XLOOKUP(LCARS_Off[AbilityID],RawOfficer[AbilityID],RawOfficer[AbilityConditions])</f>
        <v>TargetIsArmada</v>
      </c>
      <c r="X354" s="519" t="str">
        <f t="array" ref="X354">XLOOKUP(LCARS_Off[AbilityID],RawOfficer[AbilityID],RawOfficer[AbilityTrigger])</f>
        <v>CombatStart</v>
      </c>
      <c r="Y354" s="519" t="str">
        <f t="array" ref="Y354">XLOOKUP(LCARS_Off[AbilityID],RawOfficer[AbilityID],RawOfficer[AbilityTarget])</f>
        <v>SelfShip</v>
      </c>
      <c r="Z354" s="519" t="str">
        <f t="array" ref="Z354">XLOOKUP(LCARS_Off[AbilityID],RawOfficer[AbilityID],RawOfficer[AbilityOperation])</f>
        <v>MultiplyBaseAdd</v>
      </c>
      <c r="AA354" s="521" t="str">
        <f t="array" ref="AA354">XLOOKUP(LCARS_Off[AbilityID],RawOfficer[AbilityID],RawOfficer[AbilityDescription])</f>
        <v>Benjamin Sisko increases Armor, Shield Deflection, and Dodge by X of total Health when fighting Armadas.</v>
      </c>
      <c r="AB354" s="429" t="b">
        <v>0</v>
      </c>
      <c r="AC354" s="522" t="str">
        <f t="array" ref="AC354">XLOOKUP(LCARS_Off[AbilityID],RawOfficer[AbilityID],RawOfficer[AbilityDescriptionShort])</f>
        <v>Increase Armor, Shield Deflection, and Dodge by X of total Health when fighting Armadas.</v>
      </c>
      <c r="AD354" s="523"/>
      <c r="AE354" s="524"/>
      <c r="AF354" s="524"/>
      <c r="AG354" s="525" t="str">
        <f t="array" ref="AG354">XLOOKUP(LCARS_Off[AbilityID],RawOfficer[AbilityID],RawOfficer[AbilityChances])</f>
        <v>1.0, 1.0, 1.0</v>
      </c>
      <c r="AH354" s="525" t="str">
        <f t="array" ref="AH354">XLOOKUP(LCARS_Off[AbilityID],RawOfficer[AbilityID],RawOfficer[AbilityValues])</f>
        <v>4.0, 1.0, 5.0</v>
      </c>
      <c r="AI354" s="428" t="b">
        <f t="array" ref="AI354">XLOOKUP(LCARS_Off[AbilityID],RawOfficer[AbilityID],RawOfficer[AbilityHasChance])</f>
        <v>0</v>
      </c>
      <c r="AJ354" s="428" t="b">
        <f t="array" ref="AJ354">XLOOKUP(LCARS_Off[AbilityID],RawOfficer[AbilityID],RawOfficer[AbilityShowPercentage])</f>
        <v>1</v>
      </c>
      <c r="AK354" s="429">
        <f t="array" ref="AK354">XLOOKUP(LCARS_Off[AbilityID],RawOfficer[AbilityID],RawOfficer[OfficerArt])</f>
        <v>213</v>
      </c>
      <c r="AL354" s="430">
        <v>3.663862053E9</v>
      </c>
      <c r="AM354" s="430">
        <f t="array" ref="AM354">XLOOKUP(LCARS_Off[AbilityID],RawOfficer[AbilityID],RawOfficer[Default Order])</f>
        <v>351</v>
      </c>
    </row>
    <row r="355">
      <c r="A355" s="429" t="str">
        <f t="array" ref="A355">LEFT(XLOOKUP(LCARS_Off[AbilityID],RawOfficer[AbilityID],RawOfficer[OfficerRarity]), 1)</f>
        <v>E</v>
      </c>
      <c r="B355" s="429"/>
      <c r="C355" s="514" t="str">
        <f t="array" ref="C355">HYPERLINK("https://stfc.space/officers/" &amp; XLOOKUP(LCARS_Off[AbilityID],RawOfficer[AbilityID],RawOfficer[OfficerId]), XLOOKUP(LCARS_Off[AbilityID],RawOfficer[AbilityID],RawOfficer[OfficerName]))</f>
        <v>BENJAMIN SISKO</v>
      </c>
      <c r="D355" s="515" t="str">
        <f t="array" ref="D355">XLOOKUP(LCARS_Off[AbilityID],RawOfficer[AbilityID],RawOfficer[AbilityType])</f>
        <v>OA</v>
      </c>
      <c r="E355" s="516" t="str">
        <f t="array" ref="E355">XLOOKUP(LCARS_Off[AbilityID],RawOfficer[AbilityID],RawOfficer[Tag_PvPinSpace])</f>
        <v>➖</v>
      </c>
      <c r="F355" s="516" t="str">
        <f t="array" ref="F355">XLOOKUP(LCARS_Off[AbilityID],RawOfficer[AbilityID],RawOfficer[Tag_PvPStation])</f>
        <v>➖</v>
      </c>
      <c r="G355" s="516" t="str">
        <f t="array" ref="G355">XLOOKUP(LCARS_Off[AbilityID],RawOfficer[AbilityID],RawOfficer[Tag_NonArmadaHostiles])</f>
        <v>➖</v>
      </c>
      <c r="H355" s="516" t="str">
        <f t="array" ref="H355">XLOOKUP(LCARS_Off[AbilityID],RawOfficer[AbilityID],RawOfficer[Tag_WaveDefense])</f>
        <v>➖</v>
      </c>
      <c r="I355" s="516" t="str">
        <f t="array" ref="I355">XLOOKUP(LCARS_Off[AbilityID],RawOfficer[AbilityID],RawOfficer[Tag_QTrial])</f>
        <v>➖</v>
      </c>
      <c r="J355" s="516" t="str">
        <f t="array" ref="J355">XLOOKUP(LCARS_Off[AbilityID],RawOfficer[AbilityID],RawOfficer[Tag_MissionBosses])</f>
        <v>➖</v>
      </c>
      <c r="K355" s="516" t="str">
        <f t="array" ref="K355">XLOOKUP(LCARS_Off[AbilityID],RawOfficer[AbilityID],RawOfficer[Tag_GroupArmadas])</f>
        <v>✅</v>
      </c>
      <c r="L355" s="516" t="str">
        <f t="array" ref="L355">XLOOKUP(LCARS_Off[AbilityID],RawOfficer[AbilityID],RawOfficer[Tag_SoloArmadas])</f>
        <v>✅</v>
      </c>
      <c r="M355" s="516" t="str">
        <f t="array" ref="M355">XLOOKUP(LCARS_Off[AbilityID],RawOfficer[AbilityID],RawOfficer[Tag_InvadingEntities])</f>
        <v>➖</v>
      </c>
      <c r="N355" s="516" t="str">
        <f t="array" ref="N355">XLOOKUP(LCARS_Off[AbilityID],RawOfficer[AbilityID],RawOfficer[Tag_Assaults])</f>
        <v>➖</v>
      </c>
      <c r="O355" s="516" t="str">
        <f t="array" ref="O355">XLOOKUP(LCARS_Off[AbilityID],RawOfficer[AbilityID],RawOfficer[Tag_OutpostArmadas])</f>
        <v>➖</v>
      </c>
      <c r="P355" s="516" t="str">
        <f t="array" ref="P355">XLOOKUP(LCARS_Off[AbilityID],RawOfficer[AbilityID],RawOfficer[Tag_OutpostRetaliators])</f>
        <v>➖</v>
      </c>
      <c r="Q355" s="517" t="str">
        <f t="array" ref="Q355">XLOOKUP(LCARS_Off[AbilityID],RawOfficer[AbilityID],RawOfficer[Conditional_Reason])</f>
        <v/>
      </c>
      <c r="R355" s="518" t="str">
        <f t="array" ref="R355">XLOOKUP(LCARS_Off[AbilityID],RawOfficer[AbilityID],RawOfficer[Tag_Loot])</f>
        <v>➖</v>
      </c>
      <c r="S355" s="516" t="str">
        <f t="array" ref="S355">XLOOKUP(LCARS_Off[AbilityID],RawOfficer[AbilityID],RawOfficer[Tag_Utility])</f>
        <v>➖</v>
      </c>
      <c r="T355" s="429" t="str">
        <f t="array" ref="T355">XLOOKUP(LCARS_Off[AbilityID],RawOfficer[AbilityID],RawOfficer[OfficerSynergy])</f>
        <v>DEEP SPACE NINE</v>
      </c>
      <c r="U355" s="519" t="str">
        <f t="array" ref="U355">XLOOKUP(LCARS_Off[AbilityID],RawOfficer[AbilityID],RawOfficer[AbilityModifier])</f>
        <v>CritChance</v>
      </c>
      <c r="V355" s="519" t="str">
        <f t="array" ref="V355">XLOOKUP(LCARS_Off[AbilityID],RawOfficer[AbilityID],RawOfficer[AbilityAttributes])</f>
        <v/>
      </c>
      <c r="W355" s="520" t="str">
        <f t="array" ref="W355">XLOOKUP(LCARS_Off[AbilityID],RawOfficer[AbilityID],RawOfficer[AbilityConditions])</f>
        <v>TargetIsArmada</v>
      </c>
      <c r="X355" s="519" t="str">
        <f t="array" ref="X355">XLOOKUP(LCARS_Off[AbilityID],RawOfficer[AbilityID],RawOfficer[AbilityTrigger])</f>
        <v>RoundStart</v>
      </c>
      <c r="Y355" s="519" t="str">
        <f t="array" ref="Y355">XLOOKUP(LCARS_Off[AbilityID],RawOfficer[AbilityID],RawOfficer[AbilityTarget])</f>
        <v>SelfShip</v>
      </c>
      <c r="Z355" s="519" t="str">
        <f t="array" ref="Z355">XLOOKUP(LCARS_Off[AbilityID],RawOfficer[AbilityID],RawOfficer[AbilityOperation])</f>
        <v>Add</v>
      </c>
      <c r="AA355" s="521" t="str">
        <f t="array" ref="AA355">XLOOKUP(LCARS_Off[AbilityID],RawOfficer[AbilityID],RawOfficer[AbilityDescription])</f>
        <v>Benjamin Sisko increases critical hit chance against Armadas by X every round (Cumulative).</v>
      </c>
      <c r="AB355" s="429" t="b">
        <v>0</v>
      </c>
      <c r="AC355" s="522" t="str">
        <f t="array" ref="AC355">XLOOKUP(LCARS_Off[AbilityID],RawOfficer[AbilityID],RawOfficer[AbilityDescriptionShort])</f>
        <v>Increase critical hit chance against Armadas by X every round (Cumulative).</v>
      </c>
      <c r="AD355" s="523"/>
      <c r="AE355" s="524"/>
      <c r="AF355" s="524"/>
      <c r="AG355" s="525" t="str">
        <f t="array" ref="AG355">XLOOKUP(LCARS_Off[AbilityID],RawOfficer[AbilityID],RawOfficer[AbilityChances])</f>
        <v>1.0, 1.0, 1.0, 1.0, 1.0</v>
      </c>
      <c r="AH355" s="525" t="str">
        <f t="array" ref="AH355">XLOOKUP(LCARS_Off[AbilityID],RawOfficer[AbilityID],RawOfficer[AbilityValues])</f>
        <v>0.03, 0.04, 0.06, 0.08, 0.12</v>
      </c>
      <c r="AI355" s="428" t="b">
        <f t="array" ref="AI355">XLOOKUP(LCARS_Off[AbilityID],RawOfficer[AbilityID],RawOfficer[AbilityHasChance])</f>
        <v>0</v>
      </c>
      <c r="AJ355" s="428" t="b">
        <f t="array" ref="AJ355">XLOOKUP(LCARS_Off[AbilityID],RawOfficer[AbilityID],RawOfficer[AbilityShowPercentage])</f>
        <v>1</v>
      </c>
      <c r="AK355" s="429">
        <f t="array" ref="AK355">XLOOKUP(LCARS_Off[AbilityID],RawOfficer[AbilityID],RawOfficer[OfficerArt])</f>
        <v>213</v>
      </c>
      <c r="AL355" s="430">
        <v>2.210405629E9</v>
      </c>
      <c r="AM355" s="430">
        <f t="array" ref="AM355">XLOOKUP(LCARS_Off[AbilityID],RawOfficer[AbilityID],RawOfficer[Default Order])</f>
        <v>352</v>
      </c>
    </row>
    <row r="356">
      <c r="A356" s="429" t="str">
        <f t="array" ref="A356">LEFT(XLOOKUP(LCARS_Off[AbilityID],RawOfficer[AbilityID],RawOfficer[OfficerRarity]), 1)</f>
        <v>R</v>
      </c>
      <c r="B356" s="429"/>
      <c r="C356" s="514" t="str">
        <f t="array" ref="C356">HYPERLINK("https://stfc.space/officers/" &amp; XLOOKUP(LCARS_Off[AbilityID],RawOfficer[AbilityID],RawOfficer[OfficerId]), XLOOKUP(LCARS_Off[AbilityID],RawOfficer[AbilityID],RawOfficer[OfficerName]))</f>
        <v>CHANGELING KIRA</v>
      </c>
      <c r="D356" s="515" t="str">
        <f t="array" ref="D356">XLOOKUP(LCARS_Off[AbilityID],RawOfficer[AbilityID],RawOfficer[AbilityType])</f>
        <v>CM</v>
      </c>
      <c r="E356" s="516" t="str">
        <f t="array" ref="E356">XLOOKUP(LCARS_Off[AbilityID],RawOfficer[AbilityID],RawOfficer[Tag_PvPinSpace])</f>
        <v>➖</v>
      </c>
      <c r="F356" s="516" t="str">
        <f t="array" ref="F356">XLOOKUP(LCARS_Off[AbilityID],RawOfficer[AbilityID],RawOfficer[Tag_PvPStation])</f>
        <v>➖</v>
      </c>
      <c r="G356" s="516" t="str">
        <f t="array" ref="G356">XLOOKUP(LCARS_Off[AbilityID],RawOfficer[AbilityID],RawOfficer[Tag_NonArmadaHostiles])</f>
        <v>➖</v>
      </c>
      <c r="H356" s="516" t="str">
        <f t="array" ref="H356">XLOOKUP(LCARS_Off[AbilityID],RawOfficer[AbilityID],RawOfficer[Tag_WaveDefense])</f>
        <v>➖</v>
      </c>
      <c r="I356" s="516" t="str">
        <f t="array" ref="I356">XLOOKUP(LCARS_Off[AbilityID],RawOfficer[AbilityID],RawOfficer[Tag_QTrial])</f>
        <v>➖</v>
      </c>
      <c r="J356" s="516" t="str">
        <f t="array" ref="J356">XLOOKUP(LCARS_Off[AbilityID],RawOfficer[AbilityID],RawOfficer[Tag_MissionBosses])</f>
        <v>➖</v>
      </c>
      <c r="K356" s="516" t="str">
        <f t="array" ref="K356">XLOOKUP(LCARS_Off[AbilityID],RawOfficer[AbilityID],RawOfficer[Tag_GroupArmadas])</f>
        <v>✴️</v>
      </c>
      <c r="L356" s="516" t="str">
        <f t="array" ref="L356">XLOOKUP(LCARS_Off[AbilityID],RawOfficer[AbilityID],RawOfficer[Tag_SoloArmadas])</f>
        <v>✴️</v>
      </c>
      <c r="M356" s="516" t="str">
        <f t="array" ref="M356">XLOOKUP(LCARS_Off[AbilityID],RawOfficer[AbilityID],RawOfficer[Tag_InvadingEntities])</f>
        <v>➖</v>
      </c>
      <c r="N356" s="516" t="str">
        <f t="array" ref="N356">XLOOKUP(LCARS_Off[AbilityID],RawOfficer[AbilityID],RawOfficer[Tag_Assaults])</f>
        <v>➖</v>
      </c>
      <c r="O356" s="516" t="str">
        <f t="array" ref="O356">XLOOKUP(LCARS_Off[AbilityID],RawOfficer[AbilityID],RawOfficer[Tag_OutpostArmadas])</f>
        <v>➖</v>
      </c>
      <c r="P356" s="516" t="str">
        <f t="array" ref="P356">XLOOKUP(LCARS_Off[AbilityID],RawOfficer[AbilityID],RawOfficer[Tag_OutpostRetaliators])</f>
        <v>➖</v>
      </c>
      <c r="Q356" s="517" t="str">
        <f t="array" ref="Q356">XLOOKUP(LCARS_Off[AbilityID],RawOfficer[AbilityID],RawOfficer[Conditional_Reason])</f>
        <v>Cardassian</v>
      </c>
      <c r="R356" s="518" t="str">
        <f t="array" ref="R356">XLOOKUP(LCARS_Off[AbilityID],RawOfficer[AbilityID],RawOfficer[Tag_Loot])</f>
        <v>➖</v>
      </c>
      <c r="S356" s="516" t="str">
        <f t="array" ref="S356">XLOOKUP(LCARS_Off[AbilityID],RawOfficer[AbilityID],RawOfficer[Tag_Utility])</f>
        <v>➖</v>
      </c>
      <c r="T356" s="429" t="str">
        <f t="array" ref="T356">XLOOKUP(LCARS_Off[AbilityID],RawOfficer[AbilityID],RawOfficer[OfficerSynergy])</f>
        <v>DEEP SPACE NINE</v>
      </c>
      <c r="U356" s="519" t="str">
        <f t="array" ref="U356">XLOOKUP(LCARS_Off[AbilityID],RawOfficer[AbilityID],RawOfficer[AbilityModifier])</f>
        <v>CritChance</v>
      </c>
      <c r="V356" s="519" t="str">
        <f t="array" ref="V356">XLOOKUP(LCARS_Off[AbilityID],RawOfficer[AbilityID],RawOfficer[AbilityAttributes])</f>
        <v>faction_id=3536012672</v>
      </c>
      <c r="W356" s="520" t="str">
        <f t="array" ref="W356">XLOOKUP(LCARS_Off[AbilityID],RawOfficer[AbilityID],RawOfficer[AbilityConditions])</f>
        <v>TargetIsArmada, EnemyHullFaction</v>
      </c>
      <c r="X356" s="519" t="str">
        <f t="array" ref="X356">XLOOKUP(LCARS_Off[AbilityID],RawOfficer[AbilityID],RawOfficer[AbilityTrigger])</f>
        <v>RoundStart</v>
      </c>
      <c r="Y356" s="519" t="str">
        <f t="array" ref="Y356">XLOOKUP(LCARS_Off[AbilityID],RawOfficer[AbilityID],RawOfficer[AbilityTarget])</f>
        <v>EnemyShip</v>
      </c>
      <c r="Z356" s="519" t="str">
        <f t="array" ref="Z356">XLOOKUP(LCARS_Off[AbilityID],RawOfficer[AbilityID],RawOfficer[AbilityOperation])</f>
        <v>Sub</v>
      </c>
      <c r="AA356" s="521" t="str">
        <f t="array" ref="AA356">XLOOKUP(LCARS_Off[AbilityID],RawOfficer[AbilityID],RawOfficer[AbilityDescription])</f>
        <v>Changeling Kira decreases critical hit chance of Cardassian Armadas by X every round (Cumulative).</v>
      </c>
      <c r="AB356" s="429" t="b">
        <v>0</v>
      </c>
      <c r="AC356" s="522" t="str">
        <f t="array" ref="AC356">XLOOKUP(LCARS_Off[AbilityID],RawOfficer[AbilityID],RawOfficer[AbilityDescriptionShort])</f>
        <v>Decrease critical hit chance of Cardassian Armadas by X every round (Cumulative).</v>
      </c>
      <c r="AD356" s="523"/>
      <c r="AE356" s="524"/>
      <c r="AF356" s="524"/>
      <c r="AG356" s="525" t="str">
        <f t="array" ref="AG356">XLOOKUP(LCARS_Off[AbilityID],RawOfficer[AbilityID],RawOfficer[AbilityChances])</f>
        <v>1.0, 1.0, 1.0</v>
      </c>
      <c r="AH356" s="525" t="str">
        <f t="array" ref="AH356">XLOOKUP(LCARS_Off[AbilityID],RawOfficer[AbilityID],RawOfficer[AbilityValues])</f>
        <v>0.02, 0.01, 0.02</v>
      </c>
      <c r="AI356" s="428" t="b">
        <f t="array" ref="AI356">XLOOKUP(LCARS_Off[AbilityID],RawOfficer[AbilityID],RawOfficer[AbilityHasChance])</f>
        <v>0</v>
      </c>
      <c r="AJ356" s="428" t="b">
        <f t="array" ref="AJ356">XLOOKUP(LCARS_Off[AbilityID],RawOfficer[AbilityID],RawOfficer[AbilityShowPercentage])</f>
        <v>1</v>
      </c>
      <c r="AK356" s="429">
        <f t="array" ref="AK356">XLOOKUP(LCARS_Off[AbilityID],RawOfficer[AbilityID],RawOfficer[OfficerArt])</f>
        <v>216</v>
      </c>
      <c r="AL356" s="430">
        <v>3.15263807E9</v>
      </c>
      <c r="AM356" s="430">
        <f t="array" ref="AM356">XLOOKUP(LCARS_Off[AbilityID],RawOfficer[AbilityID],RawOfficer[Default Order])</f>
        <v>353</v>
      </c>
    </row>
    <row r="357">
      <c r="A357" s="429" t="str">
        <f t="array" ref="A357">LEFT(XLOOKUP(LCARS_Off[AbilityID],RawOfficer[AbilityID],RawOfficer[OfficerRarity]), 1)</f>
        <v>R</v>
      </c>
      <c r="B357" s="429"/>
      <c r="C357" s="514" t="str">
        <f t="array" ref="C357">HYPERLINK("https://stfc.space/officers/" &amp; XLOOKUP(LCARS_Off[AbilityID],RawOfficer[AbilityID],RawOfficer[OfficerId]), XLOOKUP(LCARS_Off[AbilityID],RawOfficer[AbilityID],RawOfficer[OfficerName]))</f>
        <v>CHANGELING KIRA</v>
      </c>
      <c r="D357" s="515" t="str">
        <f t="array" ref="D357">XLOOKUP(LCARS_Off[AbilityID],RawOfficer[AbilityID],RawOfficer[AbilityType])</f>
        <v>OA</v>
      </c>
      <c r="E357" s="516" t="str">
        <f t="array" ref="E357">XLOOKUP(LCARS_Off[AbilityID],RawOfficer[AbilityID],RawOfficer[Tag_PvPinSpace])</f>
        <v>➖</v>
      </c>
      <c r="F357" s="516" t="str">
        <f t="array" ref="F357">XLOOKUP(LCARS_Off[AbilityID],RawOfficer[AbilityID],RawOfficer[Tag_PvPStation])</f>
        <v>➖</v>
      </c>
      <c r="G357" s="516" t="str">
        <f t="array" ref="G357">XLOOKUP(LCARS_Off[AbilityID],RawOfficer[AbilityID],RawOfficer[Tag_NonArmadaHostiles])</f>
        <v>➖</v>
      </c>
      <c r="H357" s="516" t="str">
        <f t="array" ref="H357">XLOOKUP(LCARS_Off[AbilityID],RawOfficer[AbilityID],RawOfficer[Tag_WaveDefense])</f>
        <v>➖</v>
      </c>
      <c r="I357" s="516" t="str">
        <f t="array" ref="I357">XLOOKUP(LCARS_Off[AbilityID],RawOfficer[AbilityID],RawOfficer[Tag_QTrial])</f>
        <v>➖</v>
      </c>
      <c r="J357" s="516" t="str">
        <f t="array" ref="J357">XLOOKUP(LCARS_Off[AbilityID],RawOfficer[AbilityID],RawOfficer[Tag_MissionBosses])</f>
        <v>➖</v>
      </c>
      <c r="K357" s="516" t="str">
        <f t="array" ref="K357">XLOOKUP(LCARS_Off[AbilityID],RawOfficer[AbilityID],RawOfficer[Tag_GroupArmadas])</f>
        <v>✅</v>
      </c>
      <c r="L357" s="516" t="str">
        <f t="array" ref="L357">XLOOKUP(LCARS_Off[AbilityID],RawOfficer[AbilityID],RawOfficer[Tag_SoloArmadas])</f>
        <v>✅</v>
      </c>
      <c r="M357" s="516" t="str">
        <f t="array" ref="M357">XLOOKUP(LCARS_Off[AbilityID],RawOfficer[AbilityID],RawOfficer[Tag_InvadingEntities])</f>
        <v>➖</v>
      </c>
      <c r="N357" s="516" t="str">
        <f t="array" ref="N357">XLOOKUP(LCARS_Off[AbilityID],RawOfficer[AbilityID],RawOfficer[Tag_Assaults])</f>
        <v>➖</v>
      </c>
      <c r="O357" s="516" t="str">
        <f t="array" ref="O357">XLOOKUP(LCARS_Off[AbilityID],RawOfficer[AbilityID],RawOfficer[Tag_OutpostArmadas])</f>
        <v>➖</v>
      </c>
      <c r="P357" s="516" t="str">
        <f t="array" ref="P357">XLOOKUP(LCARS_Off[AbilityID],RawOfficer[AbilityID],RawOfficer[Tag_OutpostRetaliators])</f>
        <v>➖</v>
      </c>
      <c r="Q357" s="517" t="str">
        <f t="array" ref="Q357">XLOOKUP(LCARS_Off[AbilityID],RawOfficer[AbilityID],RawOfficer[Conditional_Reason])</f>
        <v/>
      </c>
      <c r="R357" s="518" t="str">
        <f t="array" ref="R357">XLOOKUP(LCARS_Off[AbilityID],RawOfficer[AbilityID],RawOfficer[Tag_Loot])</f>
        <v>➖</v>
      </c>
      <c r="S357" s="516" t="str">
        <f t="array" ref="S357">XLOOKUP(LCARS_Off[AbilityID],RawOfficer[AbilityID],RawOfficer[Tag_Utility])</f>
        <v>➖</v>
      </c>
      <c r="T357" s="429" t="str">
        <f t="array" ref="T357">XLOOKUP(LCARS_Off[AbilityID],RawOfficer[AbilityID],RawOfficer[OfficerSynergy])</f>
        <v>DEEP SPACE NINE</v>
      </c>
      <c r="U357" s="519" t="str">
        <f t="array" ref="U357">XLOOKUP(LCARS_Off[AbilityID],RawOfficer[AbilityID],RawOfficer[AbilityModifier])</f>
        <v>AllDefenses</v>
      </c>
      <c r="V357" s="519" t="str">
        <f t="array" ref="V357">XLOOKUP(LCARS_Off[AbilityID],RawOfficer[AbilityID],RawOfficer[AbilityAttributes])</f>
        <v>officer_stat=1</v>
      </c>
      <c r="W357" s="520" t="str">
        <f t="array" ref="W357">XLOOKUP(LCARS_Off[AbilityID],RawOfficer[AbilityID],RawOfficer[AbilityConditions])</f>
        <v>TargetIsArmada</v>
      </c>
      <c r="X357" s="519" t="str">
        <f t="array" ref="X357">XLOOKUP(LCARS_Off[AbilityID],RawOfficer[AbilityID],RawOfficer[AbilityTrigger])</f>
        <v>EnemyTakesHit</v>
      </c>
      <c r="Y357" s="519" t="str">
        <f t="array" ref="Y357">XLOOKUP(LCARS_Off[AbilityID],RawOfficer[AbilityID],RawOfficer[AbilityTarget])</f>
        <v>EnemyShip</v>
      </c>
      <c r="Z357" s="519" t="str">
        <f t="array" ref="Z357">XLOOKUP(LCARS_Off[AbilityID],RawOfficer[AbilityID],RawOfficer[AbilityOperation])</f>
        <v>MultiplyBaseSub</v>
      </c>
      <c r="AA357" s="521" t="str">
        <f t="array" ref="AA357">XLOOKUP(LCARS_Off[AbilityID],RawOfficer[AbilityID],RawOfficer[AbilityDescription])</f>
        <v>Changeling Kira decreases Armor, Shield Deflection, and Dodge of Armadas by X of Attack every time you hit it with a weapon.</v>
      </c>
      <c r="AB357" s="429" t="b">
        <v>1</v>
      </c>
      <c r="AC357" s="522" t="str">
        <f t="array" ref="AC357">XLOOKUP(LCARS_Off[AbilityID],RawOfficer[AbilityID],RawOfficer[AbilityDescriptionShort])</f>
        <v>Decrease Armor, Shield Deflection, and Dodge of Armadas by X of Attack every time you hit it with a weapon.</v>
      </c>
      <c r="AD357" s="523"/>
      <c r="AE357" s="521" t="s">
        <v>572</v>
      </c>
      <c r="AF357" s="524"/>
      <c r="AG357" s="525" t="str">
        <f t="array" ref="AG357">XLOOKUP(LCARS_Off[AbilityID],RawOfficer[AbilityID],RawOfficer[AbilityChances])</f>
        <v>1.0, 1.0, 1.0, 1.0, 1.0</v>
      </c>
      <c r="AH357" s="525" t="str">
        <f t="array" ref="AH357">XLOOKUP(LCARS_Off[AbilityID],RawOfficer[AbilityID],RawOfficer[AbilityValues])</f>
        <v>0.1, 0.13, 0.18, 0.25, 0.35</v>
      </c>
      <c r="AI357" s="428" t="b">
        <f t="array" ref="AI357">XLOOKUP(LCARS_Off[AbilityID],RawOfficer[AbilityID],RawOfficer[AbilityHasChance])</f>
        <v>0</v>
      </c>
      <c r="AJ357" s="428" t="b">
        <f t="array" ref="AJ357">XLOOKUP(LCARS_Off[AbilityID],RawOfficer[AbilityID],RawOfficer[AbilityShowPercentage])</f>
        <v>1</v>
      </c>
      <c r="AK357" s="429">
        <f t="array" ref="AK357">XLOOKUP(LCARS_Off[AbilityID],RawOfficer[AbilityID],RawOfficer[OfficerArt])</f>
        <v>216</v>
      </c>
      <c r="AL357" s="430">
        <v>2.108234991E9</v>
      </c>
      <c r="AM357" s="430">
        <f t="array" ref="AM357">XLOOKUP(LCARS_Off[AbilityID],RawOfficer[AbilityID],RawOfficer[Default Order])</f>
        <v>354</v>
      </c>
    </row>
    <row r="358">
      <c r="A358" s="429" t="str">
        <f t="array" ref="A358">LEFT(XLOOKUP(LCARS_Off[AbilityID],RawOfficer[AbilityID],RawOfficer[OfficerRarity]), 1)</f>
        <v>R</v>
      </c>
      <c r="B358" s="429"/>
      <c r="C358" s="514" t="str">
        <f t="array" ref="C358">HYPERLINK("https://stfc.space/officers/" &amp; XLOOKUP(LCARS_Off[AbilityID],RawOfficer[AbilityID],RawOfficer[OfficerId]), XLOOKUP(LCARS_Off[AbilityID],RawOfficer[AbilityID],RawOfficer[OfficerName]))</f>
        <v>MILES O'BRIEN</v>
      </c>
      <c r="D358" s="515" t="str">
        <f t="array" ref="D358">XLOOKUP(LCARS_Off[AbilityID],RawOfficer[AbilityID],RawOfficer[AbilityType])</f>
        <v>OA</v>
      </c>
      <c r="E358" s="516" t="str">
        <f t="array" ref="E358">XLOOKUP(LCARS_Off[AbilityID],RawOfficer[AbilityID],RawOfficer[Tag_PvPinSpace])</f>
        <v>➖</v>
      </c>
      <c r="F358" s="516" t="str">
        <f t="array" ref="F358">XLOOKUP(LCARS_Off[AbilityID],RawOfficer[AbilityID],RawOfficer[Tag_PvPStation])</f>
        <v>➖</v>
      </c>
      <c r="G358" s="516" t="str">
        <f t="array" ref="G358">XLOOKUP(LCARS_Off[AbilityID],RawOfficer[AbilityID],RawOfficer[Tag_NonArmadaHostiles])</f>
        <v>➖</v>
      </c>
      <c r="H358" s="516" t="str">
        <f t="array" ref="H358">XLOOKUP(LCARS_Off[AbilityID],RawOfficer[AbilityID],RawOfficer[Tag_WaveDefense])</f>
        <v>➖</v>
      </c>
      <c r="I358" s="516" t="str">
        <f t="array" ref="I358">XLOOKUP(LCARS_Off[AbilityID],RawOfficer[AbilityID],RawOfficer[Tag_QTrial])</f>
        <v>➖</v>
      </c>
      <c r="J358" s="516" t="str">
        <f t="array" ref="J358">XLOOKUP(LCARS_Off[AbilityID],RawOfficer[AbilityID],RawOfficer[Tag_MissionBosses])</f>
        <v>➖</v>
      </c>
      <c r="K358" s="516" t="str">
        <f t="array" ref="K358">XLOOKUP(LCARS_Off[AbilityID],RawOfficer[AbilityID],RawOfficer[Tag_GroupArmadas])</f>
        <v>✅</v>
      </c>
      <c r="L358" s="516" t="str">
        <f t="array" ref="L358">XLOOKUP(LCARS_Off[AbilityID],RawOfficer[AbilityID],RawOfficer[Tag_SoloArmadas])</f>
        <v>✅</v>
      </c>
      <c r="M358" s="516" t="str">
        <f t="array" ref="M358">XLOOKUP(LCARS_Off[AbilityID],RawOfficer[AbilityID],RawOfficer[Tag_InvadingEntities])</f>
        <v>➖</v>
      </c>
      <c r="N358" s="516" t="str">
        <f t="array" ref="N358">XLOOKUP(LCARS_Off[AbilityID],RawOfficer[AbilityID],RawOfficer[Tag_Assaults])</f>
        <v>➖</v>
      </c>
      <c r="O358" s="516" t="str">
        <f t="array" ref="O358">XLOOKUP(LCARS_Off[AbilityID],RawOfficer[AbilityID],RawOfficer[Tag_OutpostArmadas])</f>
        <v>➖</v>
      </c>
      <c r="P358" s="516" t="str">
        <f t="array" ref="P358">XLOOKUP(LCARS_Off[AbilityID],RawOfficer[AbilityID],RawOfficer[Tag_OutpostRetaliators])</f>
        <v>➖</v>
      </c>
      <c r="Q358" s="517" t="str">
        <f t="array" ref="Q358">XLOOKUP(LCARS_Off[AbilityID],RawOfficer[AbilityID],RawOfficer[Conditional_Reason])</f>
        <v/>
      </c>
      <c r="R358" s="518" t="str">
        <f t="array" ref="R358">XLOOKUP(LCARS_Off[AbilityID],RawOfficer[AbilityID],RawOfficer[Tag_Loot])</f>
        <v>➖</v>
      </c>
      <c r="S358" s="516" t="str">
        <f t="array" ref="S358">XLOOKUP(LCARS_Off[AbilityID],RawOfficer[AbilityID],RawOfficer[Tag_Utility])</f>
        <v>➖</v>
      </c>
      <c r="T358" s="429" t="str">
        <f t="array" ref="T358">XLOOKUP(LCARS_Off[AbilityID],RawOfficer[AbilityID],RawOfficer[OfficerSynergy])</f>
        <v>DEEP SPACE NINE</v>
      </c>
      <c r="U358" s="519" t="str">
        <f t="array" ref="U358">XLOOKUP(LCARS_Off[AbilityID],RawOfficer[AbilityID],RawOfficer[AbilityModifier])</f>
        <v>ShotsPerAttack</v>
      </c>
      <c r="V358" s="519" t="str">
        <f t="array" ref="V358">XLOOKUP(LCARS_Off[AbilityID],RawOfficer[AbilityID],RawOfficer[AbilityAttributes])</f>
        <v>num_rounds=3</v>
      </c>
      <c r="W358" s="520" t="str">
        <f t="array" ref="W358">XLOOKUP(LCARS_Off[AbilityID],RawOfficer[AbilityID],RawOfficer[AbilityConditions])</f>
        <v>TargetIsArmada</v>
      </c>
      <c r="X358" s="519" t="str">
        <f t="array" ref="X358">XLOOKUP(LCARS_Off[AbilityID],RawOfficer[AbilityID],RawOfficer[AbilityTrigger])</f>
        <v>RoundStart</v>
      </c>
      <c r="Y358" s="519" t="str">
        <f t="array" ref="Y358">XLOOKUP(LCARS_Off[AbilityID],RawOfficer[AbilityID],RawOfficer[AbilityTarget])</f>
        <v>SelfShip</v>
      </c>
      <c r="Z358" s="519" t="str">
        <f t="array" ref="Z358">XLOOKUP(LCARS_Off[AbilityID],RawOfficer[AbilityID],RawOfficer[AbilityOperation])</f>
        <v>MultiplyAdd</v>
      </c>
      <c r="AA358" s="521" t="str">
        <f t="array" ref="AA358">XLOOKUP(LCARS_Off[AbilityID],RawOfficer[AbilityID],RawOfficer[AbilityDescription])</f>
        <v>For 3 rounds, Miles O'Brien has a X chance of increasing shots against an Armada by 100%.</v>
      </c>
      <c r="AB358" s="429" t="b">
        <v>0</v>
      </c>
      <c r="AC358" s="522" t="str">
        <f t="array" ref="AC358">XLOOKUP(LCARS_Off[AbilityID],RawOfficer[AbilityID],RawOfficer[AbilityDescriptionShort])</f>
        <v>X chance of increasing shots against an Armada by 100% for 3 rounds.</v>
      </c>
      <c r="AD358" s="523"/>
      <c r="AE358" s="524"/>
      <c r="AF358" s="524"/>
      <c r="AG358" s="525" t="str">
        <f t="array" ref="AG358">XLOOKUP(LCARS_Off[AbilityID],RawOfficer[AbilityID],RawOfficer[AbilityChances])</f>
        <v>0.25, 0.3, 0.35, 0.4, 0.5</v>
      </c>
      <c r="AH358" s="525" t="str">
        <f t="array" ref="AH358">XLOOKUP(LCARS_Off[AbilityID],RawOfficer[AbilityID],RawOfficer[AbilityValues])</f>
        <v>1.0, 1.0, 1.0, 1.0, 1.0</v>
      </c>
      <c r="AI358" s="428" t="b">
        <f t="array" ref="AI358">XLOOKUP(LCARS_Off[AbilityID],RawOfficer[AbilityID],RawOfficer[AbilityHasChance])</f>
        <v>1</v>
      </c>
      <c r="AJ358" s="428" t="b">
        <f t="array" ref="AJ358">XLOOKUP(LCARS_Off[AbilityID],RawOfficer[AbilityID],RawOfficer[AbilityShowPercentage])</f>
        <v>1</v>
      </c>
      <c r="AK358" s="429">
        <f t="array" ref="AK358">XLOOKUP(LCARS_Off[AbilityID],RawOfficer[AbilityID],RawOfficer[OfficerArt])</f>
        <v>215</v>
      </c>
      <c r="AL358" s="430">
        <v>3.396349483E9</v>
      </c>
      <c r="AM358" s="430">
        <f t="array" ref="AM358">XLOOKUP(LCARS_Off[AbilityID],RawOfficer[AbilityID],RawOfficer[Default Order])</f>
        <v>355</v>
      </c>
    </row>
    <row r="359">
      <c r="A359" s="429" t="str">
        <f t="array" ref="A359">LEFT(XLOOKUP(LCARS_Off[AbilityID],RawOfficer[AbilityID],RawOfficer[OfficerRarity]), 1)</f>
        <v>R</v>
      </c>
      <c r="B359" s="429"/>
      <c r="C359" s="514" t="str">
        <f t="array" ref="C359">HYPERLINK("https://stfc.space/officers/" &amp; XLOOKUP(LCARS_Off[AbilityID],RawOfficer[AbilityID],RawOfficer[OfficerId]), XLOOKUP(LCARS_Off[AbilityID],RawOfficer[AbilityID],RawOfficer[OfficerName]))</f>
        <v>MILES O'BRIEN</v>
      </c>
      <c r="D359" s="515" t="str">
        <f t="array" ref="D359">XLOOKUP(LCARS_Off[AbilityID],RawOfficer[AbilityID],RawOfficer[AbilityType])</f>
        <v>BDA</v>
      </c>
      <c r="E359" s="516" t="str">
        <f t="array" ref="E359">XLOOKUP(LCARS_Off[AbilityID],RawOfficer[AbilityID],RawOfficer[Tag_PvPinSpace])</f>
        <v>➖</v>
      </c>
      <c r="F359" s="516" t="str">
        <f t="array" ref="F359">XLOOKUP(LCARS_Off[AbilityID],RawOfficer[AbilityID],RawOfficer[Tag_PvPStation])</f>
        <v>➖</v>
      </c>
      <c r="G359" s="516" t="str">
        <f t="array" ref="G359">XLOOKUP(LCARS_Off[AbilityID],RawOfficer[AbilityID],RawOfficer[Tag_NonArmadaHostiles])</f>
        <v>➖</v>
      </c>
      <c r="H359" s="516" t="str">
        <f t="array" ref="H359">XLOOKUP(LCARS_Off[AbilityID],RawOfficer[AbilityID],RawOfficer[Tag_WaveDefense])</f>
        <v>➖</v>
      </c>
      <c r="I359" s="516" t="str">
        <f t="array" ref="I359">XLOOKUP(LCARS_Off[AbilityID],RawOfficer[AbilityID],RawOfficer[Tag_QTrial])</f>
        <v>➖</v>
      </c>
      <c r="J359" s="516" t="str">
        <f t="array" ref="J359">XLOOKUP(LCARS_Off[AbilityID],RawOfficer[AbilityID],RawOfficer[Tag_MissionBosses])</f>
        <v>➖</v>
      </c>
      <c r="K359" s="516" t="str">
        <f t="array" ref="K359">XLOOKUP(LCARS_Off[AbilityID],RawOfficer[AbilityID],RawOfficer[Tag_GroupArmadas])</f>
        <v>➖</v>
      </c>
      <c r="L359" s="516" t="str">
        <f t="array" ref="L359">XLOOKUP(LCARS_Off[AbilityID],RawOfficer[AbilityID],RawOfficer[Tag_SoloArmadas])</f>
        <v>➖</v>
      </c>
      <c r="M359" s="516" t="str">
        <f t="array" ref="M359">XLOOKUP(LCARS_Off[AbilityID],RawOfficer[AbilityID],RawOfficer[Tag_InvadingEntities])</f>
        <v>➖</v>
      </c>
      <c r="N359" s="516" t="str">
        <f t="array" ref="N359">XLOOKUP(LCARS_Off[AbilityID],RawOfficer[AbilityID],RawOfficer[Tag_Assaults])</f>
        <v>➖</v>
      </c>
      <c r="O359" s="516" t="str">
        <f t="array" ref="O359">XLOOKUP(LCARS_Off[AbilityID],RawOfficer[AbilityID],RawOfficer[Tag_OutpostArmadas])</f>
        <v>➖</v>
      </c>
      <c r="P359" s="516" t="str">
        <f t="array" ref="P359">XLOOKUP(LCARS_Off[AbilityID],RawOfficer[AbilityID],RawOfficer[Tag_OutpostRetaliators])</f>
        <v>➖</v>
      </c>
      <c r="Q359" s="517" t="str">
        <f t="array" ref="Q359">XLOOKUP(LCARS_Off[AbilityID],RawOfficer[AbilityID],RawOfficer[Conditional_Reason])</f>
        <v/>
      </c>
      <c r="R359" s="518" t="str">
        <f t="array" ref="R359">XLOOKUP(LCARS_Off[AbilityID],RawOfficer[AbilityID],RawOfficer[Tag_Loot])</f>
        <v>➖</v>
      </c>
      <c r="S359" s="516" t="str">
        <f t="array" ref="S359">XLOOKUP(LCARS_Off[AbilityID],RawOfficer[AbilityID],RawOfficer[Tag_Utility])</f>
        <v>✅</v>
      </c>
      <c r="T359" s="429" t="str">
        <f t="array" ref="T359">XLOOKUP(LCARS_Off[AbilityID],RawOfficer[AbilityID],RawOfficer[OfficerSynergy])</f>
        <v>DEEP SPACE NINE</v>
      </c>
      <c r="U359" s="519" t="str">
        <f t="array" ref="U359">XLOOKUP(LCARS_Off[AbilityID],RawOfficer[AbilityID],RawOfficer[AbilityModifier])</f>
        <v>WarpSpeed</v>
      </c>
      <c r="V359" s="519" t="str">
        <f t="array" ref="V359">XLOOKUP(LCARS_Off[AbilityID],RawOfficer[AbilityID],RawOfficer[AbilityAttributes])</f>
        <v/>
      </c>
      <c r="W359" s="520" t="str">
        <f t="array" ref="W359">XLOOKUP(LCARS_Off[AbilityID],RawOfficer[AbilityID],RawOfficer[AbilityConditions])</f>
        <v/>
      </c>
      <c r="X359" s="519" t="str">
        <f t="array" ref="X359">XLOOKUP(LCARS_Off[AbilityID],RawOfficer[AbilityID],RawOfficer[AbilityTrigger])</f>
        <v>ShipLaunched</v>
      </c>
      <c r="Y359" s="519" t="str">
        <f t="array" ref="Y359">XLOOKUP(LCARS_Off[AbilityID],RawOfficer[AbilityID],RawOfficer[AbilityTarget])</f>
        <v>SelfShip</v>
      </c>
      <c r="Z359" s="519" t="str">
        <f t="array" ref="Z359">XLOOKUP(LCARS_Off[AbilityID],RawOfficer[AbilityID],RawOfficer[AbilityOperation])</f>
        <v>MultiplyAdd</v>
      </c>
      <c r="AA359" s="521" t="str">
        <f t="array" ref="AA359">XLOOKUP(LCARS_Off[AbilityID],RawOfficer[AbilityID],RawOfficer[AbilityDescription])</f>
        <v>Miles O'Brien increases the ship's base Warp Speed by X.</v>
      </c>
      <c r="AB359" s="429" t="b">
        <v>0</v>
      </c>
      <c r="AC359" s="522" t="str">
        <f t="array" ref="AC359">XLOOKUP(LCARS_Off[AbilityID],RawOfficer[AbilityID],RawOfficer[AbilityDescriptionShort])</f>
        <v>Increase Warp Speed by X.</v>
      </c>
      <c r="AD359" s="523"/>
      <c r="AE359" s="524"/>
      <c r="AF359" s="524"/>
      <c r="AG359" s="525" t="str">
        <f t="array" ref="AG359">XLOOKUP(LCARS_Off[AbilityID],RawOfficer[AbilityID],RawOfficer[AbilityChances])</f>
        <v>1.0, 1.0, 1.0, 1.0, 1.0</v>
      </c>
      <c r="AH359" s="525" t="str">
        <f t="array" ref="AH359">XLOOKUP(LCARS_Off[AbilityID],RawOfficer[AbilityID],RawOfficer[AbilityValues])</f>
        <v>0.7, 0.8, 1.0, 1.2, 1.5</v>
      </c>
      <c r="AI359" s="428" t="b">
        <f t="array" ref="AI359">XLOOKUP(LCARS_Off[AbilityID],RawOfficer[AbilityID],RawOfficer[AbilityHasChance])</f>
        <v>0</v>
      </c>
      <c r="AJ359" s="428" t="b">
        <f t="array" ref="AJ359">XLOOKUP(LCARS_Off[AbilityID],RawOfficer[AbilityID],RawOfficer[AbilityShowPercentage])</f>
        <v>1</v>
      </c>
      <c r="AK359" s="429">
        <f t="array" ref="AK359">XLOOKUP(LCARS_Off[AbilityID],RawOfficer[AbilityID],RawOfficer[OfficerArt])</f>
        <v>215</v>
      </c>
      <c r="AL359" s="430">
        <v>2.665059133E9</v>
      </c>
      <c r="AM359" s="430">
        <f t="array" ref="AM359">XLOOKUP(LCARS_Off[AbilityID],RawOfficer[AbilityID],RawOfficer[Default Order])</f>
        <v>356</v>
      </c>
    </row>
    <row r="360">
      <c r="A360" s="429" t="str">
        <f t="array" ref="A360">LEFT(XLOOKUP(LCARS_Off[AbilityID],RawOfficer[AbilityID],RawOfficer[OfficerRarity]), 1)</f>
        <v>E</v>
      </c>
      <c r="B360" s="429"/>
      <c r="C360" s="514" t="str">
        <f t="array" ref="C360">HYPERLINK("https://stfc.space/officers/" &amp; XLOOKUP(LCARS_Off[AbilityID],RawOfficer[AbilityID],RawOfficer[OfficerId]), XLOOKUP(LCARS_Off[AbilityID],RawOfficer[AbilityID],RawOfficer[OfficerName]))</f>
        <v>WEYOUN</v>
      </c>
      <c r="D360" s="515" t="str">
        <f t="array" ref="D360">XLOOKUP(LCARS_Off[AbilityID],RawOfficer[AbilityID],RawOfficer[AbilityType])</f>
        <v>CM</v>
      </c>
      <c r="E360" s="516" t="str">
        <f t="array" ref="E360">XLOOKUP(LCARS_Off[AbilityID],RawOfficer[AbilityID],RawOfficer[Tag_PvPinSpace])</f>
        <v>✴️</v>
      </c>
      <c r="F360" s="516" t="str">
        <f t="array" ref="F360">XLOOKUP(LCARS_Off[AbilityID],RawOfficer[AbilityID],RawOfficer[Tag_PvPStation])</f>
        <v>✴️</v>
      </c>
      <c r="G360" s="516" t="str">
        <f t="array" ref="G360">XLOOKUP(LCARS_Off[AbilityID],RawOfficer[AbilityID],RawOfficer[Tag_NonArmadaHostiles])</f>
        <v>➖</v>
      </c>
      <c r="H360" s="516" t="str">
        <f t="array" ref="H360">XLOOKUP(LCARS_Off[AbilityID],RawOfficer[AbilityID],RawOfficer[Tag_WaveDefense])</f>
        <v>➖</v>
      </c>
      <c r="I360" s="516" t="str">
        <f t="array" ref="I360">XLOOKUP(LCARS_Off[AbilityID],RawOfficer[AbilityID],RawOfficer[Tag_QTrial])</f>
        <v>➖</v>
      </c>
      <c r="J360" s="516" t="str">
        <f t="array" ref="J360">XLOOKUP(LCARS_Off[AbilityID],RawOfficer[AbilityID],RawOfficer[Tag_MissionBosses])</f>
        <v>➖</v>
      </c>
      <c r="K360" s="516" t="str">
        <f t="array" ref="K360">XLOOKUP(LCARS_Off[AbilityID],RawOfficer[AbilityID],RawOfficer[Tag_GroupArmadas])</f>
        <v>➖</v>
      </c>
      <c r="L360" s="516" t="str">
        <f t="array" ref="L360">XLOOKUP(LCARS_Off[AbilityID],RawOfficer[AbilityID],RawOfficer[Tag_SoloArmadas])</f>
        <v>➖</v>
      </c>
      <c r="M360" s="516" t="str">
        <f t="array" ref="M360">XLOOKUP(LCARS_Off[AbilityID],RawOfficer[AbilityID],RawOfficer[Tag_InvadingEntities])</f>
        <v>➖</v>
      </c>
      <c r="N360" s="516" t="str">
        <f t="array" ref="N360">XLOOKUP(LCARS_Off[AbilityID],RawOfficer[AbilityID],RawOfficer[Tag_Assaults])</f>
        <v>➖</v>
      </c>
      <c r="O360" s="516" t="str">
        <f t="array" ref="O360">XLOOKUP(LCARS_Off[AbilityID],RawOfficer[AbilityID],RawOfficer[Tag_OutpostArmadas])</f>
        <v>➖</v>
      </c>
      <c r="P360" s="516" t="str">
        <f t="array" ref="P360">XLOOKUP(LCARS_Off[AbilityID],RawOfficer[AbilityID],RawOfficer[Tag_OutpostRetaliators])</f>
        <v>➖</v>
      </c>
      <c r="Q360" s="517" t="str">
        <f t="array" ref="Q360">XLOOKUP(LCARS_Off[AbilityID],RawOfficer[AbilityID],RawOfficer[Conditional_Reason])</f>
        <v>SelfExplorer</v>
      </c>
      <c r="R360" s="518" t="str">
        <f t="array" ref="R360">XLOOKUP(LCARS_Off[AbilityID],RawOfficer[AbilityID],RawOfficer[Tag_Loot])</f>
        <v>➖</v>
      </c>
      <c r="S360" s="516" t="str">
        <f t="array" ref="S360">XLOOKUP(LCARS_Off[AbilityID],RawOfficer[AbilityID],RawOfficer[Tag_Utility])</f>
        <v>➖</v>
      </c>
      <c r="T360" s="429" t="str">
        <f t="array" ref="T360">XLOOKUP(LCARS_Off[AbilityID],RawOfficer[AbilityID],RawOfficer[OfficerSynergy])</f>
        <v>EXPLORER STRIKE TEAM</v>
      </c>
      <c r="U360" s="519" t="str">
        <f t="array" ref="U360">XLOOKUP(LCARS_Off[AbilityID],RawOfficer[AbilityID],RawOfficer[AbilityModifier])</f>
        <v>AddState</v>
      </c>
      <c r="V360" s="519" t="str">
        <f t="array" ref="V360">XLOOKUP(LCARS_Off[AbilityID],RawOfficer[AbilityID],RawOfficer[AbilityAttributes])</f>
        <v>num_rounds=3, state=8</v>
      </c>
      <c r="W360" s="520" t="str">
        <f t="array" ref="W360">XLOOKUP(LCARS_Off[AbilityID],RawOfficer[AbilityID],RawOfficer[AbilityConditions])</f>
        <v>SelfExplorer, EnemyPlayer</v>
      </c>
      <c r="X360" s="519" t="str">
        <f t="array" ref="X360">XLOOKUP(LCARS_Off[AbilityID],RawOfficer[AbilityID],RawOfficer[AbilityTrigger])</f>
        <v>RoundStart</v>
      </c>
      <c r="Y360" s="519" t="str">
        <f t="array" ref="Y360">XLOOKUP(LCARS_Off[AbilityID],RawOfficer[AbilityID],RawOfficer[AbilityTarget])</f>
        <v>SelfShip</v>
      </c>
      <c r="Z360" s="519" t="str">
        <f t="array" ref="Z360">XLOOKUP(LCARS_Off[AbilityID],RawOfficer[AbilityID],RawOfficer[AbilityOperation])</f>
        <v>MultiplyAdd</v>
      </c>
      <c r="AA360" s="521" t="str">
        <f t="array" ref="AA360">XLOOKUP(LCARS_Off[AbilityID],RawOfficer[AbilityID],RawOfficer[AbilityDescription])</f>
        <v>On round start, Weyoun has a X chance to apply Morale for 3 rounds when fighting against players, if on an Explorer.</v>
      </c>
      <c r="AB360" s="429" t="b">
        <v>0</v>
      </c>
      <c r="AC360" s="522" t="str">
        <f t="array" ref="AC360">XLOOKUP(LCARS_Off[AbilityID],RawOfficer[AbilityID],RawOfficer[AbilityDescriptionShort])</f>
        <v>On round start, +X chance to apply Morale for 3 rounds when fighting players, if on an Explorer.</v>
      </c>
      <c r="AD360" s="523"/>
      <c r="AE360" s="524"/>
      <c r="AF360" s="524"/>
      <c r="AG360" s="525" t="str">
        <f t="array" ref="AG360">XLOOKUP(LCARS_Off[AbilityID],RawOfficer[AbilityID],RawOfficer[AbilityChances])</f>
        <v>0.2, 0.1, 0.4</v>
      </c>
      <c r="AH360" s="525" t="str">
        <f t="array" ref="AH360">XLOOKUP(LCARS_Off[AbilityID],RawOfficer[AbilityID],RawOfficer[AbilityValues])</f>
        <v>1.0, 1.0, 1.0</v>
      </c>
      <c r="AI360" s="428" t="b">
        <f t="array" ref="AI360">XLOOKUP(LCARS_Off[AbilityID],RawOfficer[AbilityID],RawOfficer[AbilityHasChance])</f>
        <v>1</v>
      </c>
      <c r="AJ360" s="428" t="b">
        <f t="array" ref="AJ360">XLOOKUP(LCARS_Off[AbilityID],RawOfficer[AbilityID],RawOfficer[AbilityShowPercentage])</f>
        <v>1</v>
      </c>
      <c r="AK360" s="429">
        <f t="array" ref="AK360">XLOOKUP(LCARS_Off[AbilityID],RawOfficer[AbilityID],RawOfficer[OfficerArt])</f>
        <v>223</v>
      </c>
      <c r="AL360" s="430">
        <v>3.603567245E9</v>
      </c>
      <c r="AM360" s="430">
        <f t="array" ref="AM360">XLOOKUP(LCARS_Off[AbilityID],RawOfficer[AbilityID],RawOfficer[Default Order])</f>
        <v>357</v>
      </c>
    </row>
    <row r="361">
      <c r="A361" s="429" t="str">
        <f t="array" ref="A361">LEFT(XLOOKUP(LCARS_Off[AbilityID],RawOfficer[AbilityID],RawOfficer[OfficerRarity]), 1)</f>
        <v>E</v>
      </c>
      <c r="B361" s="429"/>
      <c r="C361" s="514" t="str">
        <f t="array" ref="C361">HYPERLINK("https://stfc.space/officers/" &amp; XLOOKUP(LCARS_Off[AbilityID],RawOfficer[AbilityID],RawOfficer[OfficerId]), XLOOKUP(LCARS_Off[AbilityID],RawOfficer[AbilityID],RawOfficer[OfficerName]))</f>
        <v>WEYOUN</v>
      </c>
      <c r="D361" s="515" t="str">
        <f t="array" ref="D361">XLOOKUP(LCARS_Off[AbilityID],RawOfficer[AbilityID],RawOfficer[AbilityType])</f>
        <v>OA</v>
      </c>
      <c r="E361" s="516" t="str">
        <f t="array" ref="E361">XLOOKUP(LCARS_Off[AbilityID],RawOfficer[AbilityID],RawOfficer[Tag_PvPinSpace])</f>
        <v>✴️</v>
      </c>
      <c r="F361" s="516" t="str">
        <f t="array" ref="F361">XLOOKUP(LCARS_Off[AbilityID],RawOfficer[AbilityID],RawOfficer[Tag_PvPStation])</f>
        <v>✴️</v>
      </c>
      <c r="G361" s="516" t="str">
        <f t="array" ref="G361">XLOOKUP(LCARS_Off[AbilityID],RawOfficer[AbilityID],RawOfficer[Tag_NonArmadaHostiles])</f>
        <v>➖</v>
      </c>
      <c r="H361" s="516" t="str">
        <f t="array" ref="H361">XLOOKUP(LCARS_Off[AbilityID],RawOfficer[AbilityID],RawOfficer[Tag_WaveDefense])</f>
        <v>➖</v>
      </c>
      <c r="I361" s="516" t="str">
        <f t="array" ref="I361">XLOOKUP(LCARS_Off[AbilityID],RawOfficer[AbilityID],RawOfficer[Tag_QTrial])</f>
        <v>➖</v>
      </c>
      <c r="J361" s="516" t="str">
        <f t="array" ref="J361">XLOOKUP(LCARS_Off[AbilityID],RawOfficer[AbilityID],RawOfficer[Tag_MissionBosses])</f>
        <v>➖</v>
      </c>
      <c r="K361" s="516" t="str">
        <f t="array" ref="K361">XLOOKUP(LCARS_Off[AbilityID],RawOfficer[AbilityID],RawOfficer[Tag_GroupArmadas])</f>
        <v>➖</v>
      </c>
      <c r="L361" s="516" t="str">
        <f t="array" ref="L361">XLOOKUP(LCARS_Off[AbilityID],RawOfficer[AbilityID],RawOfficer[Tag_SoloArmadas])</f>
        <v>➖</v>
      </c>
      <c r="M361" s="516" t="str">
        <f t="array" ref="M361">XLOOKUP(LCARS_Off[AbilityID],RawOfficer[AbilityID],RawOfficer[Tag_InvadingEntities])</f>
        <v>➖</v>
      </c>
      <c r="N361" s="516" t="str">
        <f t="array" ref="N361">XLOOKUP(LCARS_Off[AbilityID],RawOfficer[AbilityID],RawOfficer[Tag_Assaults])</f>
        <v>➖</v>
      </c>
      <c r="O361" s="516" t="str">
        <f t="array" ref="O361">XLOOKUP(LCARS_Off[AbilityID],RawOfficer[AbilityID],RawOfficer[Tag_OutpostArmadas])</f>
        <v>➖</v>
      </c>
      <c r="P361" s="516" t="str">
        <f t="array" ref="P361">XLOOKUP(LCARS_Off[AbilityID],RawOfficer[AbilityID],RawOfficer[Tag_OutpostRetaliators])</f>
        <v>➖</v>
      </c>
      <c r="Q361" s="517" t="str">
        <f t="array" ref="Q361">XLOOKUP(LCARS_Off[AbilityID],RawOfficer[AbilityID],RawOfficer[Conditional_Reason])</f>
        <v>SelfExplorer, SelfHasMorale</v>
      </c>
      <c r="R361" s="518" t="str">
        <f t="array" ref="R361">XLOOKUP(LCARS_Off[AbilityID],RawOfficer[AbilityID],RawOfficer[Tag_Loot])</f>
        <v>➖</v>
      </c>
      <c r="S361" s="516" t="str">
        <f t="array" ref="S361">XLOOKUP(LCARS_Off[AbilityID],RawOfficer[AbilityID],RawOfficer[Tag_Utility])</f>
        <v>➖</v>
      </c>
      <c r="T361" s="429" t="str">
        <f t="array" ref="T361">XLOOKUP(LCARS_Off[AbilityID],RawOfficer[AbilityID],RawOfficer[OfficerSynergy])</f>
        <v>EXPLORER STRIKE TEAM</v>
      </c>
      <c r="U361" s="519" t="str">
        <f t="array" ref="U361">XLOOKUP(LCARS_Off[AbilityID],RawOfficer[AbilityID],RawOfficer[AbilityModifier])</f>
        <v>ShotsPerAttack</v>
      </c>
      <c r="V361" s="519" t="str">
        <f t="array" ref="V361">XLOOKUP(LCARS_Off[AbilityID],RawOfficer[AbilityID],RawOfficer[AbilityAttributes])</f>
        <v>num_rounds=2</v>
      </c>
      <c r="W361" s="520" t="str">
        <f t="array" ref="W361">XLOOKUP(LCARS_Off[AbilityID],RawOfficer[AbilityID],RawOfficer[AbilityConditions])</f>
        <v>SelfExplorer, SelfHasMorale, EnemyPlayer</v>
      </c>
      <c r="X361" s="519" t="str">
        <f t="array" ref="X361">XLOOKUP(LCARS_Off[AbilityID],RawOfficer[AbilityID],RawOfficer[AbilityTrigger])</f>
        <v>RoundStart</v>
      </c>
      <c r="Y361" s="519" t="str">
        <f t="array" ref="Y361">XLOOKUP(LCARS_Off[AbilityID],RawOfficer[AbilityID],RawOfficer[AbilityTarget])</f>
        <v>SelfShip</v>
      </c>
      <c r="Z361" s="519" t="str">
        <f t="array" ref="Z361">XLOOKUP(LCARS_Off[AbilityID],RawOfficer[AbilityID],RawOfficer[AbilityOperation])</f>
        <v>MultiplyAdd</v>
      </c>
      <c r="AA361" s="521" t="str">
        <f t="array" ref="AA361">XLOOKUP(LCARS_Off[AbilityID],RawOfficer[AbilityID],RawOfficer[AbilityDescription])</f>
        <v>Weyoun increases Weapon Shots by +X at the start of each Round for 2 Rounds when fighting players, if on an Explorer with Morale.</v>
      </c>
      <c r="AB361" s="429" t="b">
        <v>0</v>
      </c>
      <c r="AC361" s="522" t="str">
        <f t="array" ref="AC361">XLOOKUP(LCARS_Off[AbilityID],RawOfficer[AbilityID],RawOfficer[AbilityDescriptionShort])</f>
        <v>+X to Shots for 2 Rounds when fighting players, if on Explorer with Morale.</v>
      </c>
      <c r="AD361" s="523"/>
      <c r="AE361" s="524"/>
      <c r="AF361" s="524"/>
      <c r="AG361" s="525" t="str">
        <f t="array" ref="AG361">XLOOKUP(LCARS_Off[AbilityID],RawOfficer[AbilityID],RawOfficer[AbilityChances])</f>
        <v>1.0, 1.0, 1.0, 1.0, 1.0</v>
      </c>
      <c r="AH361" s="525" t="str">
        <f t="array" ref="AH361">XLOOKUP(LCARS_Off[AbilityID],RawOfficer[AbilityID],RawOfficer[AbilityValues])</f>
        <v>0.76, 0.8, 0.88, 1.0, 1.2</v>
      </c>
      <c r="AI361" s="428" t="b">
        <f t="array" ref="AI361">XLOOKUP(LCARS_Off[AbilityID],RawOfficer[AbilityID],RawOfficer[AbilityHasChance])</f>
        <v>0</v>
      </c>
      <c r="AJ361" s="428" t="b">
        <f t="array" ref="AJ361">XLOOKUP(LCARS_Off[AbilityID],RawOfficer[AbilityID],RawOfficer[AbilityShowPercentage])</f>
        <v>1</v>
      </c>
      <c r="AK361" s="429">
        <f t="array" ref="AK361">XLOOKUP(LCARS_Off[AbilityID],RawOfficer[AbilityID],RawOfficer[OfficerArt])</f>
        <v>223</v>
      </c>
      <c r="AL361" s="430">
        <v>1.777728821E9</v>
      </c>
      <c r="AM361" s="430">
        <f t="array" ref="AM361">XLOOKUP(LCARS_Off[AbilityID],RawOfficer[AbilityID],RawOfficer[Default Order])</f>
        <v>358</v>
      </c>
    </row>
    <row r="362">
      <c r="A362" s="429" t="str">
        <f t="array" ref="A362">LEFT(XLOOKUP(LCARS_Off[AbilityID],RawOfficer[AbilityID],RawOfficer[OfficerRarity]), 1)</f>
        <v>R</v>
      </c>
      <c r="B362" s="429"/>
      <c r="C362" s="514" t="str">
        <f t="array" ref="C362">HYPERLINK("https://stfc.space/officers/" &amp; XLOOKUP(LCARS_Off[AbilityID],RawOfficer[AbilityID],RawOfficer[OfficerId]), XLOOKUP(LCARS_Off[AbilityID],RawOfficer[AbilityID],RawOfficer[OfficerName]))</f>
        <v>IKAT’IKA</v>
      </c>
      <c r="D362" s="515" t="str">
        <f t="array" ref="D362">XLOOKUP(LCARS_Off[AbilityID],RawOfficer[AbilityID],RawOfficer[AbilityType])</f>
        <v>CM</v>
      </c>
      <c r="E362" s="516" t="str">
        <f t="array" ref="E362">XLOOKUP(LCARS_Off[AbilityID],RawOfficer[AbilityID],RawOfficer[Tag_PvPinSpace])</f>
        <v>✴️</v>
      </c>
      <c r="F362" s="516" t="str">
        <f t="array" ref="F362">XLOOKUP(LCARS_Off[AbilityID],RawOfficer[AbilityID],RawOfficer[Tag_PvPStation])</f>
        <v>✴️</v>
      </c>
      <c r="G362" s="516" t="str">
        <f t="array" ref="G362">XLOOKUP(LCARS_Off[AbilityID],RawOfficer[AbilityID],RawOfficer[Tag_NonArmadaHostiles])</f>
        <v>➖</v>
      </c>
      <c r="H362" s="516" t="str">
        <f t="array" ref="H362">XLOOKUP(LCARS_Off[AbilityID],RawOfficer[AbilityID],RawOfficer[Tag_WaveDefense])</f>
        <v>➖</v>
      </c>
      <c r="I362" s="516" t="str">
        <f t="array" ref="I362">XLOOKUP(LCARS_Off[AbilityID],RawOfficer[AbilityID],RawOfficer[Tag_QTrial])</f>
        <v>➖</v>
      </c>
      <c r="J362" s="516" t="str">
        <f t="array" ref="J362">XLOOKUP(LCARS_Off[AbilityID],RawOfficer[AbilityID],RawOfficer[Tag_MissionBosses])</f>
        <v>➖</v>
      </c>
      <c r="K362" s="516" t="str">
        <f t="array" ref="K362">XLOOKUP(LCARS_Off[AbilityID],RawOfficer[AbilityID],RawOfficer[Tag_GroupArmadas])</f>
        <v>➖</v>
      </c>
      <c r="L362" s="516" t="str">
        <f t="array" ref="L362">XLOOKUP(LCARS_Off[AbilityID],RawOfficer[AbilityID],RawOfficer[Tag_SoloArmadas])</f>
        <v>➖</v>
      </c>
      <c r="M362" s="516" t="str">
        <f t="array" ref="M362">XLOOKUP(LCARS_Off[AbilityID],RawOfficer[AbilityID],RawOfficer[Tag_InvadingEntities])</f>
        <v>➖</v>
      </c>
      <c r="N362" s="516" t="str">
        <f t="array" ref="N362">XLOOKUP(LCARS_Off[AbilityID],RawOfficer[AbilityID],RawOfficer[Tag_Assaults])</f>
        <v>➖</v>
      </c>
      <c r="O362" s="516" t="str">
        <f t="array" ref="O362">XLOOKUP(LCARS_Off[AbilityID],RawOfficer[AbilityID],RawOfficer[Tag_OutpostArmadas])</f>
        <v>➖</v>
      </c>
      <c r="P362" s="516" t="str">
        <f t="array" ref="P362">XLOOKUP(LCARS_Off[AbilityID],RawOfficer[AbilityID],RawOfficer[Tag_OutpostRetaliators])</f>
        <v>➖</v>
      </c>
      <c r="Q362" s="517" t="str">
        <f t="array" ref="Q362">XLOOKUP(LCARS_Off[AbilityID],RawOfficer[AbilityID],RawOfficer[Conditional_Reason])</f>
        <v>SelfExplorer</v>
      </c>
      <c r="R362" s="518" t="str">
        <f t="array" ref="R362">XLOOKUP(LCARS_Off[AbilityID],RawOfficer[AbilityID],RawOfficer[Tag_Loot])</f>
        <v>➖</v>
      </c>
      <c r="S362" s="516" t="str">
        <f t="array" ref="S362">XLOOKUP(LCARS_Off[AbilityID],RawOfficer[AbilityID],RawOfficer[Tag_Utility])</f>
        <v>➖</v>
      </c>
      <c r="T362" s="429" t="str">
        <f t="array" ref="T362">XLOOKUP(LCARS_Off[AbilityID],RawOfficer[AbilityID],RawOfficer[OfficerSynergy])</f>
        <v>EXPLORER STRIKE TEAM</v>
      </c>
      <c r="U362" s="519" t="str">
        <f t="array" ref="U362">XLOOKUP(LCARS_Off[AbilityID],RawOfficer[AbilityID],RawOfficer[AbilityModifier])</f>
        <v>AllDefenses</v>
      </c>
      <c r="V362" s="519" t="str">
        <f t="array" ref="V362">XLOOKUP(LCARS_Off[AbilityID],RawOfficer[AbilityID],RawOfficer[AbilityAttributes])</f>
        <v>num_rounds=1</v>
      </c>
      <c r="W362" s="520" t="str">
        <f t="array" ref="W362">XLOOKUP(LCARS_Off[AbilityID],RawOfficer[AbilityID],RawOfficer[AbilityConditions])</f>
        <v>SelfExplorer, EnemyPlayer</v>
      </c>
      <c r="X362" s="519" t="str">
        <f t="array" ref="X362">XLOOKUP(LCARS_Off[AbilityID],RawOfficer[AbilityID],RawOfficer[AbilityTrigger])</f>
        <v>RoundStart</v>
      </c>
      <c r="Y362" s="519" t="str">
        <f t="array" ref="Y362">XLOOKUP(LCARS_Off[AbilityID],RawOfficer[AbilityID],RawOfficer[AbilityTarget])</f>
        <v>SelfShip</v>
      </c>
      <c r="Z362" s="519" t="str">
        <f t="array" ref="Z362">XLOOKUP(LCARS_Off[AbilityID],RawOfficer[AbilityID],RawOfficer[AbilityOperation])</f>
        <v>MultiplyAdd</v>
      </c>
      <c r="AA362" s="521" t="str">
        <f t="array" ref="AA362">XLOOKUP(LCARS_Off[AbilityID],RawOfficer[AbilityID],RawOfficer[AbilityDescription])</f>
        <v>Ikat'ika increases all Mitigation stats by X for 1 Round every Round when when fighting players, if on an Explorer.</v>
      </c>
      <c r="AB362" s="429" t="b">
        <v>0</v>
      </c>
      <c r="AC362" s="522" t="str">
        <f t="array" ref="AC362">XLOOKUP(LCARS_Off[AbilityID],RawOfficer[AbilityID],RawOfficer[AbilityDescriptionShort])</f>
        <v>+X to all Mitigation stats for 1 Round every Round when fighting a players, if on an Explorer.</v>
      </c>
      <c r="AD362" s="523"/>
      <c r="AE362" s="524"/>
      <c r="AF362" s="524"/>
      <c r="AG362" s="525" t="str">
        <f t="array" ref="AG362">XLOOKUP(LCARS_Off[AbilityID],RawOfficer[AbilityID],RawOfficer[AbilityChances])</f>
        <v>1.0, 1.0, 1.0</v>
      </c>
      <c r="AH362" s="525" t="str">
        <f t="array" ref="AH362">XLOOKUP(LCARS_Off[AbilityID],RawOfficer[AbilityID],RawOfficer[AbilityValues])</f>
        <v>0.2, 0.15, 0.25</v>
      </c>
      <c r="AI362" s="428" t="b">
        <f t="array" ref="AI362">XLOOKUP(LCARS_Off[AbilityID],RawOfficer[AbilityID],RawOfficer[AbilityHasChance])</f>
        <v>0</v>
      </c>
      <c r="AJ362" s="428" t="b">
        <f t="array" ref="AJ362">XLOOKUP(LCARS_Off[AbilityID],RawOfficer[AbilityID],RawOfficer[AbilityShowPercentage])</f>
        <v>1</v>
      </c>
      <c r="AK362" s="429">
        <f t="array" ref="AK362">XLOOKUP(LCARS_Off[AbilityID],RawOfficer[AbilityID],RawOfficer[OfficerArt])</f>
        <v>224</v>
      </c>
      <c r="AL362" s="430">
        <v>4.151549753E9</v>
      </c>
      <c r="AM362" s="430">
        <f t="array" ref="AM362">XLOOKUP(LCARS_Off[AbilityID],RawOfficer[AbilityID],RawOfficer[Default Order])</f>
        <v>359</v>
      </c>
    </row>
    <row r="363">
      <c r="A363" s="429" t="str">
        <f t="array" ref="A363">LEFT(XLOOKUP(LCARS_Off[AbilityID],RawOfficer[AbilityID],RawOfficer[OfficerRarity]), 1)</f>
        <v>R</v>
      </c>
      <c r="B363" s="429"/>
      <c r="C363" s="514" t="str">
        <f t="array" ref="C363">HYPERLINK("https://stfc.space/officers/" &amp; XLOOKUP(LCARS_Off[AbilityID],RawOfficer[AbilityID],RawOfficer[OfficerId]), XLOOKUP(LCARS_Off[AbilityID],RawOfficer[AbilityID],RawOfficer[OfficerName]))</f>
        <v>IKAT’IKA</v>
      </c>
      <c r="D363" s="515" t="str">
        <f t="array" ref="D363">XLOOKUP(LCARS_Off[AbilityID],RawOfficer[AbilityID],RawOfficer[AbilityType])</f>
        <v>OA</v>
      </c>
      <c r="E363" s="516" t="str">
        <f t="array" ref="E363">XLOOKUP(LCARS_Off[AbilityID],RawOfficer[AbilityID],RawOfficer[Tag_PvPinSpace])</f>
        <v>✴️</v>
      </c>
      <c r="F363" s="516" t="str">
        <f t="array" ref="F363">XLOOKUP(LCARS_Off[AbilityID],RawOfficer[AbilityID],RawOfficer[Tag_PvPStation])</f>
        <v>✴️</v>
      </c>
      <c r="G363" s="516" t="str">
        <f t="array" ref="G363">XLOOKUP(LCARS_Off[AbilityID],RawOfficer[AbilityID],RawOfficer[Tag_NonArmadaHostiles])</f>
        <v>➖</v>
      </c>
      <c r="H363" s="516" t="str">
        <f t="array" ref="H363">XLOOKUP(LCARS_Off[AbilityID],RawOfficer[AbilityID],RawOfficer[Tag_WaveDefense])</f>
        <v>➖</v>
      </c>
      <c r="I363" s="516" t="str">
        <f t="array" ref="I363">XLOOKUP(LCARS_Off[AbilityID],RawOfficer[AbilityID],RawOfficer[Tag_QTrial])</f>
        <v>➖</v>
      </c>
      <c r="J363" s="516" t="str">
        <f t="array" ref="J363">XLOOKUP(LCARS_Off[AbilityID],RawOfficer[AbilityID],RawOfficer[Tag_MissionBosses])</f>
        <v>➖</v>
      </c>
      <c r="K363" s="516" t="str">
        <f t="array" ref="K363">XLOOKUP(LCARS_Off[AbilityID],RawOfficer[AbilityID],RawOfficer[Tag_GroupArmadas])</f>
        <v>➖</v>
      </c>
      <c r="L363" s="516" t="str">
        <f t="array" ref="L363">XLOOKUP(LCARS_Off[AbilityID],RawOfficer[AbilityID],RawOfficer[Tag_SoloArmadas])</f>
        <v>➖</v>
      </c>
      <c r="M363" s="516" t="str">
        <f t="array" ref="M363">XLOOKUP(LCARS_Off[AbilityID],RawOfficer[AbilityID],RawOfficer[Tag_InvadingEntities])</f>
        <v>➖</v>
      </c>
      <c r="N363" s="516" t="str">
        <f t="array" ref="N363">XLOOKUP(LCARS_Off[AbilityID],RawOfficer[AbilityID],RawOfficer[Tag_Assaults])</f>
        <v>➖</v>
      </c>
      <c r="O363" s="516" t="str">
        <f t="array" ref="O363">XLOOKUP(LCARS_Off[AbilityID],RawOfficer[AbilityID],RawOfficer[Tag_OutpostArmadas])</f>
        <v>➖</v>
      </c>
      <c r="P363" s="516" t="str">
        <f t="array" ref="P363">XLOOKUP(LCARS_Off[AbilityID],RawOfficer[AbilityID],RawOfficer[Tag_OutpostRetaliators])</f>
        <v>➖</v>
      </c>
      <c r="Q363" s="517" t="str">
        <f t="array" ref="Q363">XLOOKUP(LCARS_Off[AbilityID],RawOfficer[AbilityID],RawOfficer[Conditional_Reason])</f>
        <v>SelfExplorer, SelfHasMorale</v>
      </c>
      <c r="R363" s="518" t="str">
        <f t="array" ref="R363">XLOOKUP(LCARS_Off[AbilityID],RawOfficer[AbilityID],RawOfficer[Tag_Loot])</f>
        <v>➖</v>
      </c>
      <c r="S363" s="516" t="str">
        <f t="array" ref="S363">XLOOKUP(LCARS_Off[AbilityID],RawOfficer[AbilityID],RawOfficer[Tag_Utility])</f>
        <v>➖</v>
      </c>
      <c r="T363" s="429" t="str">
        <f t="array" ref="T363">XLOOKUP(LCARS_Off[AbilityID],RawOfficer[AbilityID],RawOfficer[OfficerSynergy])</f>
        <v>EXPLORER STRIKE TEAM</v>
      </c>
      <c r="U363" s="519" t="str">
        <f t="array" ref="U363">XLOOKUP(LCARS_Off[AbilityID],RawOfficer[AbilityID],RawOfficer[AbilityModifier])</f>
        <v>AllDamage</v>
      </c>
      <c r="V363" s="519" t="str">
        <f t="array" ref="V363">XLOOKUP(LCARS_Off[AbilityID],RawOfficer[AbilityID],RawOfficer[AbilityAttributes])</f>
        <v>num_rounds=3</v>
      </c>
      <c r="W363" s="520" t="str">
        <f t="array" ref="W363">XLOOKUP(LCARS_Off[AbilityID],RawOfficer[AbilityID],RawOfficer[AbilityConditions])</f>
        <v>SelfExplorer, SelfHasMorale, EnemyPlayer</v>
      </c>
      <c r="X363" s="519" t="str">
        <f t="array" ref="X363">XLOOKUP(LCARS_Off[AbilityID],RawOfficer[AbilityID],RawOfficer[AbilityTrigger])</f>
        <v>RoundStart</v>
      </c>
      <c r="Y363" s="519" t="str">
        <f t="array" ref="Y363">XLOOKUP(LCARS_Off[AbilityID],RawOfficer[AbilityID],RawOfficer[AbilityTarget])</f>
        <v>SelfShip</v>
      </c>
      <c r="Z363" s="519" t="str">
        <f t="array" ref="Z363">XLOOKUP(LCARS_Off[AbilityID],RawOfficer[AbilityID],RawOfficer[AbilityOperation])</f>
        <v>MultiplyAdd</v>
      </c>
      <c r="AA363" s="521" t="str">
        <f t="array" ref="AA363">XLOOKUP(LCARS_Off[AbilityID],RawOfficer[AbilityID],RawOfficer[AbilityDescription])</f>
        <v>Ikat'ika increases Weapon Damage by X at the start of each Round for 3 Rounds when fighting players, if on an Explorer with Morale.</v>
      </c>
      <c r="AB363" s="429" t="b">
        <v>0</v>
      </c>
      <c r="AC363" s="522" t="str">
        <f t="array" ref="AC363">XLOOKUP(LCARS_Off[AbilityID],RawOfficer[AbilityID],RawOfficer[AbilityDescriptionShort])</f>
        <v>+X to Weapon Damage for 3 Rounds when fighting players, if on an Explorer with Morale.</v>
      </c>
      <c r="AD363" s="523"/>
      <c r="AE363" s="524"/>
      <c r="AF363" s="524"/>
      <c r="AG363" s="525" t="str">
        <f t="array" ref="AG363">XLOOKUP(LCARS_Off[AbilityID],RawOfficer[AbilityID],RawOfficer[AbilityChances])</f>
        <v>1.0, 1.0, 1.0, 1.0, 1.0</v>
      </c>
      <c r="AH363" s="525" t="str">
        <f t="array" ref="AH363">XLOOKUP(LCARS_Off[AbilityID],RawOfficer[AbilityID],RawOfficer[AbilityValues])</f>
        <v>0.53, 0.55, 0.62, 0.7, 0.8</v>
      </c>
      <c r="AI363" s="428" t="b">
        <f t="array" ref="AI363">XLOOKUP(LCARS_Off[AbilityID],RawOfficer[AbilityID],RawOfficer[AbilityHasChance])</f>
        <v>0</v>
      </c>
      <c r="AJ363" s="428" t="b">
        <f t="array" ref="AJ363">XLOOKUP(LCARS_Off[AbilityID],RawOfficer[AbilityID],RawOfficer[AbilityShowPercentage])</f>
        <v>1</v>
      </c>
      <c r="AK363" s="429">
        <f t="array" ref="AK363">XLOOKUP(LCARS_Off[AbilityID],RawOfficer[AbilityID],RawOfficer[OfficerArt])</f>
        <v>224</v>
      </c>
      <c r="AL363" s="430">
        <v>3.744176993E9</v>
      </c>
      <c r="AM363" s="430">
        <f t="array" ref="AM363">XLOOKUP(LCARS_Off[AbilityID],RawOfficer[AbilityID],RawOfficer[Default Order])</f>
        <v>360</v>
      </c>
    </row>
    <row r="364">
      <c r="A364" s="429" t="str">
        <f t="array" ref="A364">LEFT(XLOOKUP(LCARS_Off[AbilityID],RawOfficer[AbilityID],RawOfficer[OfficerRarity]), 1)</f>
        <v>R</v>
      </c>
      <c r="B364" s="429"/>
      <c r="C364" s="514" t="str">
        <f t="array" ref="C364">HYPERLINK("https://stfc.space/officers/" &amp; XLOOKUP(LCARS_Off[AbilityID],RawOfficer[AbilityID],RawOfficer[OfficerId]), XLOOKUP(LCARS_Off[AbilityID],RawOfficer[AbilityID],RawOfficer[OfficerName]))</f>
        <v>PON</v>
      </c>
      <c r="D364" s="515" t="str">
        <f t="array" ref="D364">XLOOKUP(LCARS_Off[AbilityID],RawOfficer[AbilityID],RawOfficer[AbilityType])</f>
        <v>CM</v>
      </c>
      <c r="E364" s="516" t="str">
        <f t="array" ref="E364">XLOOKUP(LCARS_Off[AbilityID],RawOfficer[AbilityID],RawOfficer[Tag_PvPinSpace])</f>
        <v>✴️</v>
      </c>
      <c r="F364" s="516" t="str">
        <f t="array" ref="F364">XLOOKUP(LCARS_Off[AbilityID],RawOfficer[AbilityID],RawOfficer[Tag_PvPStation])</f>
        <v>✴️</v>
      </c>
      <c r="G364" s="516" t="str">
        <f t="array" ref="G364">XLOOKUP(LCARS_Off[AbilityID],RawOfficer[AbilityID],RawOfficer[Tag_NonArmadaHostiles])</f>
        <v>➖</v>
      </c>
      <c r="H364" s="516" t="str">
        <f t="array" ref="H364">XLOOKUP(LCARS_Off[AbilityID],RawOfficer[AbilityID],RawOfficer[Tag_WaveDefense])</f>
        <v>➖</v>
      </c>
      <c r="I364" s="516" t="str">
        <f t="array" ref="I364">XLOOKUP(LCARS_Off[AbilityID],RawOfficer[AbilityID],RawOfficer[Tag_QTrial])</f>
        <v>➖</v>
      </c>
      <c r="J364" s="516" t="str">
        <f t="array" ref="J364">XLOOKUP(LCARS_Off[AbilityID],RawOfficer[AbilityID],RawOfficer[Tag_MissionBosses])</f>
        <v>➖</v>
      </c>
      <c r="K364" s="516" t="str">
        <f t="array" ref="K364">XLOOKUP(LCARS_Off[AbilityID],RawOfficer[AbilityID],RawOfficer[Tag_GroupArmadas])</f>
        <v>➖</v>
      </c>
      <c r="L364" s="516" t="str">
        <f t="array" ref="L364">XLOOKUP(LCARS_Off[AbilityID],RawOfficer[AbilityID],RawOfficer[Tag_SoloArmadas])</f>
        <v>➖</v>
      </c>
      <c r="M364" s="516" t="str">
        <f t="array" ref="M364">XLOOKUP(LCARS_Off[AbilityID],RawOfficer[AbilityID],RawOfficer[Tag_InvadingEntities])</f>
        <v>➖</v>
      </c>
      <c r="N364" s="516" t="str">
        <f t="array" ref="N364">XLOOKUP(LCARS_Off[AbilityID],RawOfficer[AbilityID],RawOfficer[Tag_Assaults])</f>
        <v>➖</v>
      </c>
      <c r="O364" s="516" t="str">
        <f t="array" ref="O364">XLOOKUP(LCARS_Off[AbilityID],RawOfficer[AbilityID],RawOfficer[Tag_OutpostArmadas])</f>
        <v>➖</v>
      </c>
      <c r="P364" s="516" t="str">
        <f t="array" ref="P364">XLOOKUP(LCARS_Off[AbilityID],RawOfficer[AbilityID],RawOfficer[Tag_OutpostRetaliators])</f>
        <v>➖</v>
      </c>
      <c r="Q364" s="517" t="str">
        <f t="array" ref="Q364">XLOOKUP(LCARS_Off[AbilityID],RawOfficer[AbilityID],RawOfficer[Conditional_Reason])</f>
        <v>SelfExplorer</v>
      </c>
      <c r="R364" s="518" t="str">
        <f t="array" ref="R364">XLOOKUP(LCARS_Off[AbilityID],RawOfficer[AbilityID],RawOfficer[Tag_Loot])</f>
        <v>➖</v>
      </c>
      <c r="S364" s="516" t="str">
        <f t="array" ref="S364">XLOOKUP(LCARS_Off[AbilityID],RawOfficer[AbilityID],RawOfficer[Tag_Utility])</f>
        <v>➖</v>
      </c>
      <c r="T364" s="429" t="str">
        <f t="array" ref="T364">XLOOKUP(LCARS_Off[AbilityID],RawOfficer[AbilityID],RawOfficer[OfficerSynergy])</f>
        <v>EXPLORER STRIKE TEAM</v>
      </c>
      <c r="U364" s="519" t="str">
        <f t="array" ref="U364">XLOOKUP(LCARS_Off[AbilityID],RawOfficer[AbilityID],RawOfficer[AbilityModifier])</f>
        <v>AllLoadSpeed</v>
      </c>
      <c r="V364" s="519" t="str">
        <f t="array" ref="V364">XLOOKUP(LCARS_Off[AbilityID],RawOfficer[AbilityID],RawOfficer[AbilityAttributes])</f>
        <v/>
      </c>
      <c r="W364" s="520" t="str">
        <f t="array" ref="W364">XLOOKUP(LCARS_Off[AbilityID],RawOfficer[AbilityID],RawOfficer[AbilityConditions])</f>
        <v>SelfExplorer, EnemyPlayer, SelfDefending</v>
      </c>
      <c r="X364" s="519" t="str">
        <f t="array" ref="X364">XLOOKUP(LCARS_Off[AbilityID],RawOfficer[AbilityID],RawOfficer[AbilityTrigger])</f>
        <v>CombatStart</v>
      </c>
      <c r="Y364" s="519" t="str">
        <f t="array" ref="Y364">XLOOKUP(LCARS_Off[AbilityID],RawOfficer[AbilityID],RawOfficer[AbilityTarget])</f>
        <v>EnemyAllShips</v>
      </c>
      <c r="Z364" s="519" t="str">
        <f t="array" ref="Z364">XLOOKUP(LCARS_Off[AbilityID],RawOfficer[AbilityID],RawOfficer[AbilityOperation])</f>
        <v>Add</v>
      </c>
      <c r="AA364" s="521" t="str">
        <f t="array" ref="AA364">XLOOKUP(LCARS_Off[AbilityID],RawOfficer[AbilityID],RawOfficer[AbilityDescription])</f>
        <v>Pon has a X chance at the start of combat to delay opponent weapons for 3 Rounds when attacked by players, if your ship is an Explorer.</v>
      </c>
      <c r="AB364" s="429" t="b">
        <v>0</v>
      </c>
      <c r="AC364" s="522" t="str">
        <f t="array" ref="AC364">XLOOKUP(LCARS_Off[AbilityID],RawOfficer[AbilityID],RawOfficer[AbilityDescriptionShort])</f>
        <v>+X chance at the start of combat to delay the opponent's Weapons for 3 rounds when attacked by players, if on an Explorer.</v>
      </c>
      <c r="AD364" s="523"/>
      <c r="AE364" s="524"/>
      <c r="AF364" s="524"/>
      <c r="AG364" s="525" t="str">
        <f t="array" ref="AG364">XLOOKUP(LCARS_Off[AbilityID],RawOfficer[AbilityID],RawOfficer[AbilityChances])</f>
        <v>0.1, 0.1, 0.15</v>
      </c>
      <c r="AH364" s="525" t="str">
        <f t="array" ref="AH364">XLOOKUP(LCARS_Off[AbilityID],RawOfficer[AbilityID],RawOfficer[AbilityValues])</f>
        <v>3.0, 0.0, 0.0</v>
      </c>
      <c r="AI364" s="428" t="b">
        <f t="array" ref="AI364">XLOOKUP(LCARS_Off[AbilityID],RawOfficer[AbilityID],RawOfficer[AbilityHasChance])</f>
        <v>1</v>
      </c>
      <c r="AJ364" s="428" t="b">
        <f t="array" ref="AJ364">XLOOKUP(LCARS_Off[AbilityID],RawOfficer[AbilityID],RawOfficer[AbilityShowPercentage])</f>
        <v>1</v>
      </c>
      <c r="AK364" s="429">
        <f t="array" ref="AK364">XLOOKUP(LCARS_Off[AbilityID],RawOfficer[AbilityID],RawOfficer[OfficerArt])</f>
        <v>225</v>
      </c>
      <c r="AL364" s="430">
        <v>2.77564302E9</v>
      </c>
      <c r="AM364" s="430">
        <f t="array" ref="AM364">XLOOKUP(LCARS_Off[AbilityID],RawOfficer[AbilityID],RawOfficer[Default Order])</f>
        <v>361</v>
      </c>
    </row>
    <row r="365">
      <c r="A365" s="429" t="str">
        <f t="array" ref="A365">LEFT(XLOOKUP(LCARS_Off[AbilityID],RawOfficer[AbilityID],RawOfficer[OfficerRarity]), 1)</f>
        <v>R</v>
      </c>
      <c r="B365" s="429"/>
      <c r="C365" s="514" t="str">
        <f t="array" ref="C365">HYPERLINK("https://stfc.space/officers/" &amp; XLOOKUP(LCARS_Off[AbilityID],RawOfficer[AbilityID],RawOfficer[OfficerId]), XLOOKUP(LCARS_Off[AbilityID],RawOfficer[AbilityID],RawOfficer[OfficerName]))</f>
        <v>PON</v>
      </c>
      <c r="D365" s="515" t="str">
        <f t="array" ref="D365">XLOOKUP(LCARS_Off[AbilityID],RawOfficer[AbilityID],RawOfficer[AbilityType])</f>
        <v>OA</v>
      </c>
      <c r="E365" s="516" t="str">
        <f t="array" ref="E365">XLOOKUP(LCARS_Off[AbilityID],RawOfficer[AbilityID],RawOfficer[Tag_PvPinSpace])</f>
        <v>✴️</v>
      </c>
      <c r="F365" s="516" t="str">
        <f t="array" ref="F365">XLOOKUP(LCARS_Off[AbilityID],RawOfficer[AbilityID],RawOfficer[Tag_PvPStation])</f>
        <v>✴️</v>
      </c>
      <c r="G365" s="516" t="str">
        <f t="array" ref="G365">XLOOKUP(LCARS_Off[AbilityID],RawOfficer[AbilityID],RawOfficer[Tag_NonArmadaHostiles])</f>
        <v>➖</v>
      </c>
      <c r="H365" s="516" t="str">
        <f t="array" ref="H365">XLOOKUP(LCARS_Off[AbilityID],RawOfficer[AbilityID],RawOfficer[Tag_WaveDefense])</f>
        <v>➖</v>
      </c>
      <c r="I365" s="516" t="str">
        <f t="array" ref="I365">XLOOKUP(LCARS_Off[AbilityID],RawOfficer[AbilityID],RawOfficer[Tag_QTrial])</f>
        <v>➖</v>
      </c>
      <c r="J365" s="516" t="str">
        <f t="array" ref="J365">XLOOKUP(LCARS_Off[AbilityID],RawOfficer[AbilityID],RawOfficer[Tag_MissionBosses])</f>
        <v>➖</v>
      </c>
      <c r="K365" s="516" t="str">
        <f t="array" ref="K365">XLOOKUP(LCARS_Off[AbilityID],RawOfficer[AbilityID],RawOfficer[Tag_GroupArmadas])</f>
        <v>➖</v>
      </c>
      <c r="L365" s="516" t="str">
        <f t="array" ref="L365">XLOOKUP(LCARS_Off[AbilityID],RawOfficer[AbilityID],RawOfficer[Tag_SoloArmadas])</f>
        <v>➖</v>
      </c>
      <c r="M365" s="516" t="str">
        <f t="array" ref="M365">XLOOKUP(LCARS_Off[AbilityID],RawOfficer[AbilityID],RawOfficer[Tag_InvadingEntities])</f>
        <v>➖</v>
      </c>
      <c r="N365" s="516" t="str">
        <f t="array" ref="N365">XLOOKUP(LCARS_Off[AbilityID],RawOfficer[AbilityID],RawOfficer[Tag_Assaults])</f>
        <v>➖</v>
      </c>
      <c r="O365" s="516" t="str">
        <f t="array" ref="O365">XLOOKUP(LCARS_Off[AbilityID],RawOfficer[AbilityID],RawOfficer[Tag_OutpostArmadas])</f>
        <v>➖</v>
      </c>
      <c r="P365" s="516" t="str">
        <f t="array" ref="P365">XLOOKUP(LCARS_Off[AbilityID],RawOfficer[AbilityID],RawOfficer[Tag_OutpostRetaliators])</f>
        <v>➖</v>
      </c>
      <c r="Q365" s="517" t="str">
        <f t="array" ref="Q365">XLOOKUP(LCARS_Off[AbilityID],RawOfficer[AbilityID],RawOfficer[Conditional_Reason])</f>
        <v>SelfExplorer, SelfHasMorale</v>
      </c>
      <c r="R365" s="518" t="str">
        <f t="array" ref="R365">XLOOKUP(LCARS_Off[AbilityID],RawOfficer[AbilityID],RawOfficer[Tag_Loot])</f>
        <v>➖</v>
      </c>
      <c r="S365" s="516" t="str">
        <f t="array" ref="S365">XLOOKUP(LCARS_Off[AbilityID],RawOfficer[AbilityID],RawOfficer[Tag_Utility])</f>
        <v>➖</v>
      </c>
      <c r="T365" s="429" t="str">
        <f t="array" ref="T365">XLOOKUP(LCARS_Off[AbilityID],RawOfficer[AbilityID],RawOfficer[OfficerSynergy])</f>
        <v>EXPLORER STRIKE TEAM</v>
      </c>
      <c r="U365" s="519" t="str">
        <f t="array" ref="U365">XLOOKUP(LCARS_Off[AbilityID],RawOfficer[AbilityID],RawOfficer[AbilityModifier])</f>
        <v>CritChance</v>
      </c>
      <c r="V365" s="519" t="str">
        <f t="array" ref="V365">XLOOKUP(LCARS_Off[AbilityID],RawOfficer[AbilityID],RawOfficer[AbilityAttributes])</f>
        <v>num_rounds=3</v>
      </c>
      <c r="W365" s="520" t="str">
        <f t="array" ref="W365">XLOOKUP(LCARS_Off[AbilityID],RawOfficer[AbilityID],RawOfficer[AbilityConditions])</f>
        <v>SelfExplorer, SelfHasMorale, EnemyPlayer</v>
      </c>
      <c r="X365" s="519" t="str">
        <f t="array" ref="X365">XLOOKUP(LCARS_Off[AbilityID],RawOfficer[AbilityID],RawOfficer[AbilityTrigger])</f>
        <v>RoundStart</v>
      </c>
      <c r="Y365" s="519" t="str">
        <f t="array" ref="Y365">XLOOKUP(LCARS_Off[AbilityID],RawOfficer[AbilityID],RawOfficer[AbilityTarget])</f>
        <v>EnemyShip</v>
      </c>
      <c r="Z365" s="519" t="str">
        <f t="array" ref="Z365">XLOOKUP(LCARS_Off[AbilityID],RawOfficer[AbilityID],RawOfficer[AbilityOperation])</f>
        <v>Sub</v>
      </c>
      <c r="AA365" s="521" t="str">
        <f t="array" ref="AA365">XLOOKUP(LCARS_Off[AbilityID],RawOfficer[AbilityID],RawOfficer[AbilityDescription])</f>
        <v>Pon decreases opponent player's Critical Chance by X at the start of each Round for 3 Rounds if on an Explorer with Morale.</v>
      </c>
      <c r="AB365" s="429" t="b">
        <v>0</v>
      </c>
      <c r="AC365" s="522" t="str">
        <f t="array" ref="AC365">XLOOKUP(LCARS_Off[AbilityID],RawOfficer[AbilityID],RawOfficer[AbilityDescriptionShort])</f>
        <v>-X to enemy player Crit Chance for 3 Rounds if on an Explorer with Morale.</v>
      </c>
      <c r="AD365" s="523"/>
      <c r="AE365" s="524"/>
      <c r="AF365" s="524"/>
      <c r="AG365" s="525" t="str">
        <f t="array" ref="AG365">XLOOKUP(LCARS_Off[AbilityID],RawOfficer[AbilityID],RawOfficer[AbilityChances])</f>
        <v>1.0, 1.0, 1.0, 1.0, 1.0</v>
      </c>
      <c r="AH365" s="525" t="str">
        <f t="array" ref="AH365">XLOOKUP(LCARS_Off[AbilityID],RawOfficer[AbilityID],RawOfficer[AbilityValues])</f>
        <v>0.52, 0.57, 0.63, 0.7, 0.78</v>
      </c>
      <c r="AI365" s="428" t="b">
        <f t="array" ref="AI365">XLOOKUP(LCARS_Off[AbilityID],RawOfficer[AbilityID],RawOfficer[AbilityHasChance])</f>
        <v>0</v>
      </c>
      <c r="AJ365" s="428" t="b">
        <f t="array" ref="AJ365">XLOOKUP(LCARS_Off[AbilityID],RawOfficer[AbilityID],RawOfficer[AbilityShowPercentage])</f>
        <v>1</v>
      </c>
      <c r="AK365" s="429">
        <f t="array" ref="AK365">XLOOKUP(LCARS_Off[AbilityID],RawOfficer[AbilityID],RawOfficer[OfficerArt])</f>
        <v>225</v>
      </c>
      <c r="AL365" s="430">
        <v>2.006290587E9</v>
      </c>
      <c r="AM365" s="430">
        <f t="array" ref="AM365">XLOOKUP(LCARS_Off[AbilityID],RawOfficer[AbilityID],RawOfficer[Default Order])</f>
        <v>362</v>
      </c>
    </row>
    <row r="366">
      <c r="A366" s="429" t="str">
        <f t="array" ref="A366">LEFT(XLOOKUP(LCARS_Off[AbilityID],RawOfficer[AbilityID],RawOfficer[OfficerRarity]), 1)</f>
        <v>E</v>
      </c>
      <c r="B366" s="429"/>
      <c r="C366" s="514" t="str">
        <f t="array" ref="C366">HYPERLINK("https://stfc.space/officers/" &amp; XLOOKUP(LCARS_Off[AbilityID],RawOfficer[AbilityID],RawOfficer[OfficerId]), XLOOKUP(LCARS_Off[AbilityID],RawOfficer[AbilityID],RawOfficer[OfficerName]))</f>
        <v>JADZIA DAX</v>
      </c>
      <c r="D366" s="515" t="str">
        <f t="array" ref="D366">XLOOKUP(LCARS_Off[AbilityID],RawOfficer[AbilityID],RawOfficer[AbilityType])</f>
        <v>CM</v>
      </c>
      <c r="E366" s="516" t="str">
        <f t="array" ref="E366">XLOOKUP(LCARS_Off[AbilityID],RawOfficer[AbilityID],RawOfficer[Tag_PvPinSpace])</f>
        <v>➖</v>
      </c>
      <c r="F366" s="516" t="str">
        <f t="array" ref="F366">XLOOKUP(LCARS_Off[AbilityID],RawOfficer[AbilityID],RawOfficer[Tag_PvPStation])</f>
        <v>➖</v>
      </c>
      <c r="G366" s="516" t="str">
        <f t="array" ref="G366">XLOOKUP(LCARS_Off[AbilityID],RawOfficer[AbilityID],RawOfficer[Tag_NonArmadaHostiles])</f>
        <v>➖</v>
      </c>
      <c r="H366" s="516" t="str">
        <f t="array" ref="H366">XLOOKUP(LCARS_Off[AbilityID],RawOfficer[AbilityID],RawOfficer[Tag_WaveDefense])</f>
        <v>➖</v>
      </c>
      <c r="I366" s="516" t="str">
        <f t="array" ref="I366">XLOOKUP(LCARS_Off[AbilityID],RawOfficer[AbilityID],RawOfficer[Tag_QTrial])</f>
        <v>➖</v>
      </c>
      <c r="J366" s="516" t="str">
        <f t="array" ref="J366">XLOOKUP(LCARS_Off[AbilityID],RawOfficer[AbilityID],RawOfficer[Tag_MissionBosses])</f>
        <v>➖</v>
      </c>
      <c r="K366" s="516" t="str">
        <f t="array" ref="K366">XLOOKUP(LCARS_Off[AbilityID],RawOfficer[AbilityID],RawOfficer[Tag_GroupArmadas])</f>
        <v>➖</v>
      </c>
      <c r="L366" s="516" t="str">
        <f t="array" ref="L366">XLOOKUP(LCARS_Off[AbilityID],RawOfficer[AbilityID],RawOfficer[Tag_SoloArmadas])</f>
        <v>✅</v>
      </c>
      <c r="M366" s="516" t="str">
        <f t="array" ref="M366">XLOOKUP(LCARS_Off[AbilityID],RawOfficer[AbilityID],RawOfficer[Tag_InvadingEntities])</f>
        <v>➖</v>
      </c>
      <c r="N366" s="516" t="str">
        <f t="array" ref="N366">XLOOKUP(LCARS_Off[AbilityID],RawOfficer[AbilityID],RawOfficer[Tag_Assaults])</f>
        <v>➖</v>
      </c>
      <c r="O366" s="516" t="str">
        <f t="array" ref="O366">XLOOKUP(LCARS_Off[AbilityID],RawOfficer[AbilityID],RawOfficer[Tag_OutpostArmadas])</f>
        <v>➖</v>
      </c>
      <c r="P366" s="516" t="str">
        <f t="array" ref="P366">XLOOKUP(LCARS_Off[AbilityID],RawOfficer[AbilityID],RawOfficer[Tag_OutpostRetaliators])</f>
        <v>➖</v>
      </c>
      <c r="Q366" s="517" t="str">
        <f t="array" ref="Q366">XLOOKUP(LCARS_Off[AbilityID],RawOfficer[AbilityID],RawOfficer[Conditional_Reason])</f>
        <v/>
      </c>
      <c r="R366" s="518" t="str">
        <f t="array" ref="R366">XLOOKUP(LCARS_Off[AbilityID],RawOfficer[AbilityID],RawOfficer[Tag_Loot])</f>
        <v>➖</v>
      </c>
      <c r="S366" s="516" t="str">
        <f t="array" ref="S366">XLOOKUP(LCARS_Off[AbilityID],RawOfficer[AbilityID],RawOfficer[Tag_Utility])</f>
        <v>➖</v>
      </c>
      <c r="T366" s="429" t="str">
        <f t="array" ref="T366">XLOOKUP(LCARS_Off[AbilityID],RawOfficer[AbilityID],RawOfficer[OfficerSynergy])</f>
        <v>DEEP SPACE NINE</v>
      </c>
      <c r="U366" s="519" t="str">
        <f t="array" ref="U366">XLOOKUP(LCARS_Off[AbilityID],RawOfficer[AbilityID],RawOfficer[AbilityModifier])</f>
        <v>AllPiercing</v>
      </c>
      <c r="V366" s="519" t="str">
        <f t="array" ref="V366">XLOOKUP(LCARS_Off[AbilityID],RawOfficer[AbilityID],RawOfficer[AbilityAttributes])</f>
        <v>officer_stat=3</v>
      </c>
      <c r="W366" s="520" t="str">
        <f t="array" ref="W366">XLOOKUP(LCARS_Off[AbilityID],RawOfficer[AbilityID],RawOfficer[AbilityConditions])</f>
        <v>SelfAtSoloArmada</v>
      </c>
      <c r="X366" s="519" t="str">
        <f t="array" ref="X366">XLOOKUP(LCARS_Off[AbilityID],RawOfficer[AbilityID],RawOfficer[AbilityTrigger])</f>
        <v>CombatStart</v>
      </c>
      <c r="Y366" s="519" t="str">
        <f t="array" ref="Y366">XLOOKUP(LCARS_Off[AbilityID],RawOfficer[AbilityID],RawOfficer[AbilityTarget])</f>
        <v>SelfShip</v>
      </c>
      <c r="Z366" s="519" t="str">
        <f t="array" ref="Z366">XLOOKUP(LCARS_Off[AbilityID],RawOfficer[AbilityID],RawOfficer[AbilityOperation])</f>
        <v>MultiplyBaseAdd</v>
      </c>
      <c r="AA366" s="521" t="str">
        <f t="array" ref="AA366">XLOOKUP(LCARS_Off[AbilityID],RawOfficer[AbilityID],RawOfficer[AbilityDescription])</f>
        <v>Jadzia Dax increases Shield Piercing, Armor Piercing and Accuracy by X of Officers Health against Solo Armadas.</v>
      </c>
      <c r="AB366" s="429" t="b">
        <v>0</v>
      </c>
      <c r="AC366" s="522" t="str">
        <f t="array" ref="AC366">XLOOKUP(LCARS_Off[AbilityID],RawOfficer[AbilityID],RawOfficer[AbilityDescriptionShort])</f>
        <v>Jadzia Dax increases Shield Piercing, Armor Piercing and Accuracy by X of Officers Health against Solo Armadas</v>
      </c>
      <c r="AD366" s="523"/>
      <c r="AE366" s="524"/>
      <c r="AF366" s="524"/>
      <c r="AG366" s="525" t="str">
        <f t="array" ref="AG366">XLOOKUP(LCARS_Off[AbilityID],RawOfficer[AbilityID],RawOfficer[AbilityChances])</f>
        <v>1.0, 1.0, 1.0</v>
      </c>
      <c r="AH366" s="525" t="str">
        <f t="array" ref="AH366">XLOOKUP(LCARS_Off[AbilityID],RawOfficer[AbilityID],RawOfficer[AbilityValues])</f>
        <v>7.0, 1.75, 3.5</v>
      </c>
      <c r="AI366" s="428" t="b">
        <f t="array" ref="AI366">XLOOKUP(LCARS_Off[AbilityID],RawOfficer[AbilityID],RawOfficer[AbilityHasChance])</f>
        <v>0</v>
      </c>
      <c r="AJ366" s="428" t="b">
        <f t="array" ref="AJ366">XLOOKUP(LCARS_Off[AbilityID],RawOfficer[AbilityID],RawOfficer[AbilityShowPercentage])</f>
        <v>1</v>
      </c>
      <c r="AK366" s="429">
        <f t="array" ref="AK366">XLOOKUP(LCARS_Off[AbilityID],RawOfficer[AbilityID],RawOfficer[OfficerArt])</f>
        <v>218</v>
      </c>
      <c r="AL366" s="430">
        <v>3.902853214E9</v>
      </c>
      <c r="AM366" s="430">
        <f t="array" ref="AM366">XLOOKUP(LCARS_Off[AbilityID],RawOfficer[AbilityID],RawOfficer[Default Order])</f>
        <v>363</v>
      </c>
    </row>
    <row r="367">
      <c r="A367" s="429" t="str">
        <f t="array" ref="A367">LEFT(XLOOKUP(LCARS_Off[AbilityID],RawOfficer[AbilityID],RawOfficer[OfficerRarity]), 1)</f>
        <v>E</v>
      </c>
      <c r="B367" s="429"/>
      <c r="C367" s="514" t="str">
        <f t="array" ref="C367">HYPERLINK("https://stfc.space/officers/" &amp; XLOOKUP(LCARS_Off[AbilityID],RawOfficer[AbilityID],RawOfficer[OfficerId]), XLOOKUP(LCARS_Off[AbilityID],RawOfficer[AbilityID],RawOfficer[OfficerName]))</f>
        <v>JADZIA DAX</v>
      </c>
      <c r="D367" s="515" t="str">
        <f t="array" ref="D367">XLOOKUP(LCARS_Off[AbilityID],RawOfficer[AbilityID],RawOfficer[AbilityType])</f>
        <v>OA</v>
      </c>
      <c r="E367" s="516" t="str">
        <f t="array" ref="E367">XLOOKUP(LCARS_Off[AbilityID],RawOfficer[AbilityID],RawOfficer[Tag_PvPinSpace])</f>
        <v>➖</v>
      </c>
      <c r="F367" s="516" t="str">
        <f t="array" ref="F367">XLOOKUP(LCARS_Off[AbilityID],RawOfficer[AbilityID],RawOfficer[Tag_PvPStation])</f>
        <v>➖</v>
      </c>
      <c r="G367" s="516" t="str">
        <f t="array" ref="G367">XLOOKUP(LCARS_Off[AbilityID],RawOfficer[AbilityID],RawOfficer[Tag_NonArmadaHostiles])</f>
        <v>➖</v>
      </c>
      <c r="H367" s="516" t="str">
        <f t="array" ref="H367">XLOOKUP(LCARS_Off[AbilityID],RawOfficer[AbilityID],RawOfficer[Tag_WaveDefense])</f>
        <v>➖</v>
      </c>
      <c r="I367" s="516" t="str">
        <f t="array" ref="I367">XLOOKUP(LCARS_Off[AbilityID],RawOfficer[AbilityID],RawOfficer[Tag_QTrial])</f>
        <v>➖</v>
      </c>
      <c r="J367" s="516" t="str">
        <f t="array" ref="J367">XLOOKUP(LCARS_Off[AbilityID],RawOfficer[AbilityID],RawOfficer[Tag_MissionBosses])</f>
        <v>➖</v>
      </c>
      <c r="K367" s="516" t="str">
        <f t="array" ref="K367">XLOOKUP(LCARS_Off[AbilityID],RawOfficer[AbilityID],RawOfficer[Tag_GroupArmadas])</f>
        <v>➖</v>
      </c>
      <c r="L367" s="516" t="str">
        <f t="array" ref="L367">XLOOKUP(LCARS_Off[AbilityID],RawOfficer[AbilityID],RawOfficer[Tag_SoloArmadas])</f>
        <v>✅</v>
      </c>
      <c r="M367" s="516" t="str">
        <f t="array" ref="M367">XLOOKUP(LCARS_Off[AbilityID],RawOfficer[AbilityID],RawOfficer[Tag_InvadingEntities])</f>
        <v>➖</v>
      </c>
      <c r="N367" s="516" t="str">
        <f t="array" ref="N367">XLOOKUP(LCARS_Off[AbilityID],RawOfficer[AbilityID],RawOfficer[Tag_Assaults])</f>
        <v>➖</v>
      </c>
      <c r="O367" s="516" t="str">
        <f t="array" ref="O367">XLOOKUP(LCARS_Off[AbilityID],RawOfficer[AbilityID],RawOfficer[Tag_OutpostArmadas])</f>
        <v>➖</v>
      </c>
      <c r="P367" s="516" t="str">
        <f t="array" ref="P367">XLOOKUP(LCARS_Off[AbilityID],RawOfficer[AbilityID],RawOfficer[Tag_OutpostRetaliators])</f>
        <v>➖</v>
      </c>
      <c r="Q367" s="517" t="str">
        <f t="array" ref="Q367">XLOOKUP(LCARS_Off[AbilityID],RawOfficer[AbilityID],RawOfficer[Conditional_Reason])</f>
        <v/>
      </c>
      <c r="R367" s="518" t="str">
        <f t="array" ref="R367">XLOOKUP(LCARS_Off[AbilityID],RawOfficer[AbilityID],RawOfficer[Tag_Loot])</f>
        <v>➖</v>
      </c>
      <c r="S367" s="516" t="str">
        <f t="array" ref="S367">XLOOKUP(LCARS_Off[AbilityID],RawOfficer[AbilityID],RawOfficer[Tag_Utility])</f>
        <v>➖</v>
      </c>
      <c r="T367" s="429" t="str">
        <f t="array" ref="T367">XLOOKUP(LCARS_Off[AbilityID],RawOfficer[AbilityID],RawOfficer[OfficerSynergy])</f>
        <v>DEEP SPACE NINE</v>
      </c>
      <c r="U367" s="519" t="str">
        <f t="array" ref="U367">XLOOKUP(LCARS_Off[AbilityID],RawOfficer[AbilityID],RawOfficer[AbilityModifier])</f>
        <v>AllDamage</v>
      </c>
      <c r="V367" s="519" t="str">
        <f t="array" ref="V367">XLOOKUP(LCARS_Off[AbilityID],RawOfficer[AbilityID],RawOfficer[AbilityAttributes])</f>
        <v>officer_stat=3</v>
      </c>
      <c r="W367" s="520" t="str">
        <f t="array" ref="W367">XLOOKUP(LCARS_Off[AbilityID],RawOfficer[AbilityID],RawOfficer[AbilityConditions])</f>
        <v>SelfAtSoloArmada</v>
      </c>
      <c r="X367" s="519" t="str">
        <f t="array" ref="X367">XLOOKUP(LCARS_Off[AbilityID],RawOfficer[AbilityID],RawOfficer[AbilityTrigger])</f>
        <v>CombatStart</v>
      </c>
      <c r="Y367" s="519" t="str">
        <f t="array" ref="Y367">XLOOKUP(LCARS_Off[AbilityID],RawOfficer[AbilityID],RawOfficer[AbilityTarget])</f>
        <v>SelfShip</v>
      </c>
      <c r="Z367" s="519" t="str">
        <f t="array" ref="Z367">XLOOKUP(LCARS_Off[AbilityID],RawOfficer[AbilityID],RawOfficer[AbilityOperation])</f>
        <v>MultiplyBaseAdd</v>
      </c>
      <c r="AA367" s="521" t="str">
        <f t="array" ref="AA367">XLOOKUP(LCARS_Off[AbilityID],RawOfficer[AbilityID],RawOfficer[AbilityDescription])</f>
        <v>Jadzia Dax increases Weapon Damage by X of Officer Health against Solo Armadas.</v>
      </c>
      <c r="AB367" s="429" t="b">
        <v>0</v>
      </c>
      <c r="AC367" s="522" t="str">
        <f t="array" ref="AC367">XLOOKUP(LCARS_Off[AbilityID],RawOfficer[AbilityID],RawOfficer[AbilityDescriptionShort])</f>
        <v>Jadzia Dax increases Weapon Damage by X of Officers Health against Solo Armadas.</v>
      </c>
      <c r="AD367" s="523"/>
      <c r="AE367" s="524"/>
      <c r="AF367" s="524"/>
      <c r="AG367" s="525" t="str">
        <f t="array" ref="AG367">XLOOKUP(LCARS_Off[AbilityID],RawOfficer[AbilityID],RawOfficer[AbilityChances])</f>
        <v>1.0, 1.0, 1.0, 1.0, 1.0</v>
      </c>
      <c r="AH367" s="525" t="str">
        <f t="array" ref="AH367">XLOOKUP(LCARS_Off[AbilityID],RawOfficer[AbilityID],RawOfficer[AbilityValues])</f>
        <v>3.0, 4.5, 6.5, 9.0, 12.0</v>
      </c>
      <c r="AI367" s="428" t="b">
        <f t="array" ref="AI367">XLOOKUP(LCARS_Off[AbilityID],RawOfficer[AbilityID],RawOfficer[AbilityHasChance])</f>
        <v>0</v>
      </c>
      <c r="AJ367" s="428" t="b">
        <f t="array" ref="AJ367">XLOOKUP(LCARS_Off[AbilityID],RawOfficer[AbilityID],RawOfficer[AbilityShowPercentage])</f>
        <v>1</v>
      </c>
      <c r="AK367" s="429">
        <f t="array" ref="AK367">XLOOKUP(LCARS_Off[AbilityID],RawOfficer[AbilityID],RawOfficer[OfficerArt])</f>
        <v>218</v>
      </c>
      <c r="AL367" s="430">
        <v>1.999054927E9</v>
      </c>
      <c r="AM367" s="430">
        <f t="array" ref="AM367">XLOOKUP(LCARS_Off[AbilityID],RawOfficer[AbilityID],RawOfficer[Default Order])</f>
        <v>364</v>
      </c>
    </row>
    <row r="368">
      <c r="A368" s="429" t="str">
        <f t="array" ref="A368">LEFT(XLOOKUP(LCARS_Off[AbilityID],RawOfficer[AbilityID],RawOfficer[OfficerRarity]), 1)</f>
        <v>E</v>
      </c>
      <c r="B368" s="429"/>
      <c r="C368" s="514" t="str">
        <f t="array" ref="C368">HYPERLINK("https://stfc.space/officers/" &amp; XLOOKUP(LCARS_Off[AbilityID],RawOfficer[AbilityID],RawOfficer[OfficerId]), XLOOKUP(LCARS_Off[AbilityID],RawOfficer[AbilityID],RawOfficer[OfficerName]))</f>
        <v>ODO</v>
      </c>
      <c r="D368" s="515" t="str">
        <f t="array" ref="D368">XLOOKUP(LCARS_Off[AbilityID],RawOfficer[AbilityID],RawOfficer[AbilityType])</f>
        <v>OA</v>
      </c>
      <c r="E368" s="516" t="str">
        <f t="array" ref="E368">XLOOKUP(LCARS_Off[AbilityID],RawOfficer[AbilityID],RawOfficer[Tag_PvPinSpace])</f>
        <v>➖</v>
      </c>
      <c r="F368" s="516" t="str">
        <f t="array" ref="F368">XLOOKUP(LCARS_Off[AbilityID],RawOfficer[AbilityID],RawOfficer[Tag_PvPStation])</f>
        <v>➖</v>
      </c>
      <c r="G368" s="516" t="str">
        <f t="array" ref="G368">XLOOKUP(LCARS_Off[AbilityID],RawOfficer[AbilityID],RawOfficer[Tag_NonArmadaHostiles])</f>
        <v>➖</v>
      </c>
      <c r="H368" s="516" t="str">
        <f t="array" ref="H368">XLOOKUP(LCARS_Off[AbilityID],RawOfficer[AbilityID],RawOfficer[Tag_WaveDefense])</f>
        <v>➖</v>
      </c>
      <c r="I368" s="516" t="str">
        <f t="array" ref="I368">XLOOKUP(LCARS_Off[AbilityID],RawOfficer[AbilityID],RawOfficer[Tag_QTrial])</f>
        <v>➖</v>
      </c>
      <c r="J368" s="516" t="str">
        <f t="array" ref="J368">XLOOKUP(LCARS_Off[AbilityID],RawOfficer[AbilityID],RawOfficer[Tag_MissionBosses])</f>
        <v>➖</v>
      </c>
      <c r="K368" s="516" t="str">
        <f t="array" ref="K368">XLOOKUP(LCARS_Off[AbilityID],RawOfficer[AbilityID],RawOfficer[Tag_GroupArmadas])</f>
        <v>➖</v>
      </c>
      <c r="L368" s="516" t="str">
        <f t="array" ref="L368">XLOOKUP(LCARS_Off[AbilityID],RawOfficer[AbilityID],RawOfficer[Tag_SoloArmadas])</f>
        <v>✅</v>
      </c>
      <c r="M368" s="516" t="str">
        <f t="array" ref="M368">XLOOKUP(LCARS_Off[AbilityID],RawOfficer[AbilityID],RawOfficer[Tag_InvadingEntities])</f>
        <v>➖</v>
      </c>
      <c r="N368" s="516" t="str">
        <f t="array" ref="N368">XLOOKUP(LCARS_Off[AbilityID],RawOfficer[AbilityID],RawOfficer[Tag_Assaults])</f>
        <v>➖</v>
      </c>
      <c r="O368" s="516" t="str">
        <f t="array" ref="O368">XLOOKUP(LCARS_Off[AbilityID],RawOfficer[AbilityID],RawOfficer[Tag_OutpostArmadas])</f>
        <v>➖</v>
      </c>
      <c r="P368" s="516" t="str">
        <f t="array" ref="P368">XLOOKUP(LCARS_Off[AbilityID],RawOfficer[AbilityID],RawOfficer[Tag_OutpostRetaliators])</f>
        <v>➖</v>
      </c>
      <c r="Q368" s="517" t="str">
        <f t="array" ref="Q368">XLOOKUP(LCARS_Off[AbilityID],RawOfficer[AbilityID],RawOfficer[Conditional_Reason])</f>
        <v/>
      </c>
      <c r="R368" s="518" t="str">
        <f t="array" ref="R368">XLOOKUP(LCARS_Off[AbilityID],RawOfficer[AbilityID],RawOfficer[Tag_Loot])</f>
        <v>➖</v>
      </c>
      <c r="S368" s="516" t="str">
        <f t="array" ref="S368">XLOOKUP(LCARS_Off[AbilityID],RawOfficer[AbilityID],RawOfficer[Tag_Utility])</f>
        <v>➖</v>
      </c>
      <c r="T368" s="429" t="str">
        <f t="array" ref="T368">XLOOKUP(LCARS_Off[AbilityID],RawOfficer[AbilityID],RawOfficer[OfficerSynergy])</f>
        <v>DEEP SPACE NINE</v>
      </c>
      <c r="U368" s="519" t="str">
        <f t="array" ref="U368">XLOOKUP(LCARS_Off[AbilityID],RawOfficer[AbilityID],RawOfficer[AbilityModifier])</f>
        <v>AllDefenses</v>
      </c>
      <c r="V368" s="519" t="str">
        <f t="array" ref="V368">XLOOKUP(LCARS_Off[AbilityID],RawOfficer[AbilityID],RawOfficer[AbilityAttributes])</f>
        <v/>
      </c>
      <c r="W368" s="520" t="str">
        <f t="array" ref="W368">XLOOKUP(LCARS_Off[AbilityID],RawOfficer[AbilityID],RawOfficer[AbilityConditions])</f>
        <v>SelfAtSoloArmada</v>
      </c>
      <c r="X368" s="519" t="str">
        <f t="array" ref="X368">XLOOKUP(LCARS_Off[AbilityID],RawOfficer[AbilityID],RawOfficer[AbilityTrigger])</f>
        <v>CombatStart</v>
      </c>
      <c r="Y368" s="519" t="str">
        <f t="array" ref="Y368">XLOOKUP(LCARS_Off[AbilityID],RawOfficer[AbilityID],RawOfficer[AbilityTarget])</f>
        <v>SelfShip</v>
      </c>
      <c r="Z368" s="519" t="str">
        <f t="array" ref="Z368">XLOOKUP(LCARS_Off[AbilityID],RawOfficer[AbilityID],RawOfficer[AbilityOperation])</f>
        <v>MultiplyAdd</v>
      </c>
      <c r="AA368" s="521" t="str">
        <f t="array" ref="AA368">XLOOKUP(LCARS_Off[AbilityID],RawOfficer[AbilityID],RawOfficer[AbilityDescription])</f>
        <v>Odo increases base Armor, Shield Deflection, and Dodge by X against Solo Armadas.</v>
      </c>
      <c r="AB368" s="429" t="b">
        <v>0</v>
      </c>
      <c r="AC368" s="522" t="str">
        <f t="array" ref="AC368">XLOOKUP(LCARS_Off[AbilityID],RawOfficer[AbilityID],RawOfficer[AbilityDescriptionShort])</f>
        <v>Odo increases base Armor, Shield Deflection, and Dodge by X against Solo Armadas.</v>
      </c>
      <c r="AD368" s="523"/>
      <c r="AE368" s="524"/>
      <c r="AF368" s="524"/>
      <c r="AG368" s="525" t="str">
        <f t="array" ref="AG368">XLOOKUP(LCARS_Off[AbilityID],RawOfficer[AbilityID],RawOfficer[AbilityChances])</f>
        <v>1.0, 1.0, 1.0, 1.0, 1.0</v>
      </c>
      <c r="AH368" s="525" t="str">
        <f t="array" ref="AH368">XLOOKUP(LCARS_Off[AbilityID],RawOfficer[AbilityID],RawOfficer[AbilityValues])</f>
        <v>0.4, 0.5, 0.6, 0.8, 1.0</v>
      </c>
      <c r="AI368" s="428" t="b">
        <f t="array" ref="AI368">XLOOKUP(LCARS_Off[AbilityID],RawOfficer[AbilityID],RawOfficer[AbilityHasChance])</f>
        <v>0</v>
      </c>
      <c r="AJ368" s="428" t="b">
        <f t="array" ref="AJ368">XLOOKUP(LCARS_Off[AbilityID],RawOfficer[AbilityID],RawOfficer[AbilityShowPercentage])</f>
        <v>1</v>
      </c>
      <c r="AK368" s="429">
        <f t="array" ref="AK368">XLOOKUP(LCARS_Off[AbilityID],RawOfficer[AbilityID],RawOfficer[OfficerArt])</f>
        <v>231</v>
      </c>
      <c r="AL368" s="430">
        <v>3.2910202E8</v>
      </c>
      <c r="AM368" s="430">
        <f t="array" ref="AM368">XLOOKUP(LCARS_Off[AbilityID],RawOfficer[AbilityID],RawOfficer[Default Order])</f>
        <v>365</v>
      </c>
    </row>
    <row r="369">
      <c r="A369" s="429" t="str">
        <f t="array" ref="A369">LEFT(XLOOKUP(LCARS_Off[AbilityID],RawOfficer[AbilityID],RawOfficer[OfficerRarity]), 1)</f>
        <v>E</v>
      </c>
      <c r="B369" s="429"/>
      <c r="C369" s="514" t="str">
        <f t="array" ref="C369">HYPERLINK("https://stfc.space/officers/" &amp; XLOOKUP(LCARS_Off[AbilityID],RawOfficer[AbilityID],RawOfficer[OfficerId]), XLOOKUP(LCARS_Off[AbilityID],RawOfficer[AbilityID],RawOfficer[OfficerName]))</f>
        <v>ODO</v>
      </c>
      <c r="D369" s="515" t="str">
        <f t="array" ref="D369">XLOOKUP(LCARS_Off[AbilityID],RawOfficer[AbilityID],RawOfficer[AbilityType])</f>
        <v>BDA</v>
      </c>
      <c r="E369" s="516" t="str">
        <f t="array" ref="E369">XLOOKUP(LCARS_Off[AbilityID],RawOfficer[AbilityID],RawOfficer[Tag_PvPinSpace])</f>
        <v>✅</v>
      </c>
      <c r="F369" s="516" t="str">
        <f t="array" ref="F369">XLOOKUP(LCARS_Off[AbilityID],RawOfficer[AbilityID],RawOfficer[Tag_PvPStation])</f>
        <v>✅</v>
      </c>
      <c r="G369" s="516" t="str">
        <f t="array" ref="G369">XLOOKUP(LCARS_Off[AbilityID],RawOfficer[AbilityID],RawOfficer[Tag_NonArmadaHostiles])</f>
        <v>✅</v>
      </c>
      <c r="H369" s="516" t="str">
        <f t="array" ref="H369">XLOOKUP(LCARS_Off[AbilityID],RawOfficer[AbilityID],RawOfficer[Tag_WaveDefense])</f>
        <v>✅</v>
      </c>
      <c r="I369" s="516" t="str">
        <f t="array" ref="I369">XLOOKUP(LCARS_Off[AbilityID],RawOfficer[AbilityID],RawOfficer[Tag_QTrial])</f>
        <v>✅</v>
      </c>
      <c r="J369" s="516" t="str">
        <f t="array" ref="J369">XLOOKUP(LCARS_Off[AbilityID],RawOfficer[AbilityID],RawOfficer[Tag_MissionBosses])</f>
        <v>✅</v>
      </c>
      <c r="K369" s="516" t="str">
        <f t="array" ref="K369">XLOOKUP(LCARS_Off[AbilityID],RawOfficer[AbilityID],RawOfficer[Tag_GroupArmadas])</f>
        <v>✅</v>
      </c>
      <c r="L369" s="516" t="str">
        <f t="array" ref="L369">XLOOKUP(LCARS_Off[AbilityID],RawOfficer[AbilityID],RawOfficer[Tag_SoloArmadas])</f>
        <v>✅</v>
      </c>
      <c r="M369" s="516" t="str">
        <f t="array" ref="M369">XLOOKUP(LCARS_Off[AbilityID],RawOfficer[AbilityID],RawOfficer[Tag_InvadingEntities])</f>
        <v>✅</v>
      </c>
      <c r="N369" s="516" t="str">
        <f t="array" ref="N369">XLOOKUP(LCARS_Off[AbilityID],RawOfficer[AbilityID],RawOfficer[Tag_Assaults])</f>
        <v>✅</v>
      </c>
      <c r="O369" s="516" t="str">
        <f t="array" ref="O369">XLOOKUP(LCARS_Off[AbilityID],RawOfficer[AbilityID],RawOfficer[Tag_OutpostArmadas])</f>
        <v>✅</v>
      </c>
      <c r="P369" s="516" t="str">
        <f t="array" ref="P369">XLOOKUP(LCARS_Off[AbilityID],RawOfficer[AbilityID],RawOfficer[Tag_OutpostRetaliators])</f>
        <v>✅</v>
      </c>
      <c r="Q369" s="517" t="str">
        <f t="array" ref="Q369">XLOOKUP(LCARS_Off[AbilityID],RawOfficer[AbilityID],RawOfficer[Conditional_Reason])</f>
        <v/>
      </c>
      <c r="R369" s="518" t="str">
        <f t="array" ref="R369">XLOOKUP(LCARS_Off[AbilityID],RawOfficer[AbilityID],RawOfficer[Tag_Loot])</f>
        <v>➖</v>
      </c>
      <c r="S369" s="516" t="str">
        <f t="array" ref="S369">XLOOKUP(LCARS_Off[AbilityID],RawOfficer[AbilityID],RawOfficer[Tag_Utility])</f>
        <v>➖</v>
      </c>
      <c r="T369" s="429" t="str">
        <f t="array" ref="T369">XLOOKUP(LCARS_Off[AbilityID],RawOfficer[AbilityID],RawOfficer[OfficerSynergy])</f>
        <v>DEEP SPACE NINE</v>
      </c>
      <c r="U369" s="519" t="str">
        <f t="array" ref="U369">XLOOKUP(LCARS_Off[AbilityID],RawOfficer[AbilityID],RawOfficer[AbilityModifier])</f>
        <v>CritDamage</v>
      </c>
      <c r="V369" s="519" t="str">
        <f t="array" ref="V369">XLOOKUP(LCARS_Off[AbilityID],RawOfficer[AbilityID],RawOfficer[AbilityAttributes])</f>
        <v/>
      </c>
      <c r="W369" s="520" t="str">
        <f t="array" ref="W369">XLOOKUP(LCARS_Off[AbilityID],RawOfficer[AbilityID],RawOfficer[AbilityConditions])</f>
        <v/>
      </c>
      <c r="X369" s="519" t="str">
        <f t="array" ref="X369">XLOOKUP(LCARS_Off[AbilityID],RawOfficer[AbilityID],RawOfficer[AbilityTrigger])</f>
        <v>ShipLaunched</v>
      </c>
      <c r="Y369" s="519" t="str">
        <f t="array" ref="Y369">XLOOKUP(LCARS_Off[AbilityID],RawOfficer[AbilityID],RawOfficer[AbilityTarget])</f>
        <v>SelfShip</v>
      </c>
      <c r="Z369" s="519" t="str">
        <f t="array" ref="Z369">XLOOKUP(LCARS_Off[AbilityID],RawOfficer[AbilityID],RawOfficer[AbilityOperation])</f>
        <v>Add</v>
      </c>
      <c r="AA369" s="521" t="str">
        <f t="array" ref="AA369">XLOOKUP(LCARS_Off[AbilityID],RawOfficer[AbilityID],RawOfficer[AbilityDescription])</f>
        <v>Odo increases Critical Hit Damage by X.</v>
      </c>
      <c r="AB369" s="429" t="b">
        <v>0</v>
      </c>
      <c r="AC369" s="522" t="str">
        <f t="array" ref="AC369">XLOOKUP(LCARS_Off[AbilityID],RawOfficer[AbilityID],RawOfficer[AbilityDescriptionShort])</f>
        <v>Odo increases Critical Hit Damage by X.</v>
      </c>
      <c r="AD369" s="523"/>
      <c r="AE369" s="524"/>
      <c r="AF369" s="524"/>
      <c r="AG369" s="525" t="str">
        <f t="array" ref="AG369">XLOOKUP(LCARS_Off[AbilityID],RawOfficer[AbilityID],RawOfficer[AbilityChances])</f>
        <v>1.0, 1.0, 1.0, 1.0, 1.0</v>
      </c>
      <c r="AH369" s="525" t="str">
        <f t="array" ref="AH369">XLOOKUP(LCARS_Off[AbilityID],RawOfficer[AbilityID],RawOfficer[AbilityValues])</f>
        <v>0.2, 0.25, 0.35, 0.45, 0.6</v>
      </c>
      <c r="AI369" s="428" t="b">
        <f t="array" ref="AI369">XLOOKUP(LCARS_Off[AbilityID],RawOfficer[AbilityID],RawOfficer[AbilityHasChance])</f>
        <v>0</v>
      </c>
      <c r="AJ369" s="428" t="b">
        <f t="array" ref="AJ369">XLOOKUP(LCARS_Off[AbilityID],RawOfficer[AbilityID],RawOfficer[AbilityShowPercentage])</f>
        <v>1</v>
      </c>
      <c r="AK369" s="429">
        <f t="array" ref="AK369">XLOOKUP(LCARS_Off[AbilityID],RawOfficer[AbilityID],RawOfficer[OfficerArt])</f>
        <v>231</v>
      </c>
      <c r="AL369" s="430">
        <v>3.392361409E9</v>
      </c>
      <c r="AM369" s="430">
        <f t="array" ref="AM369">XLOOKUP(LCARS_Off[AbilityID],RawOfficer[AbilityID],RawOfficer[Default Order])</f>
        <v>366</v>
      </c>
    </row>
    <row r="370">
      <c r="A370" s="429" t="str">
        <f t="array" ref="A370">LEFT(XLOOKUP(LCARS_Off[AbilityID],RawOfficer[AbilityID],RawOfficer[OfficerRarity]), 1)</f>
        <v>R</v>
      </c>
      <c r="B370" s="429"/>
      <c r="C370" s="514" t="str">
        <f t="array" ref="C370">HYPERLINK("https://stfc.space/officers/" &amp; XLOOKUP(LCARS_Off[AbilityID],RawOfficer[AbilityID],RawOfficer[OfficerId]), XLOOKUP(LCARS_Off[AbilityID],RawOfficer[AbilityID],RawOfficer[OfficerName]))</f>
        <v>JULIAN BASHIR</v>
      </c>
      <c r="D370" s="515" t="str">
        <f t="array" ref="D370">XLOOKUP(LCARS_Off[AbilityID],RawOfficer[AbilityID],RawOfficer[AbilityType])</f>
        <v>CM</v>
      </c>
      <c r="E370" s="516" t="str">
        <f t="array" ref="E370">XLOOKUP(LCARS_Off[AbilityID],RawOfficer[AbilityID],RawOfficer[Tag_PvPinSpace])</f>
        <v>➖</v>
      </c>
      <c r="F370" s="516" t="str">
        <f t="array" ref="F370">XLOOKUP(LCARS_Off[AbilityID],RawOfficer[AbilityID],RawOfficer[Tag_PvPStation])</f>
        <v>➖</v>
      </c>
      <c r="G370" s="516" t="str">
        <f t="array" ref="G370">XLOOKUP(LCARS_Off[AbilityID],RawOfficer[AbilityID],RawOfficer[Tag_NonArmadaHostiles])</f>
        <v>➖</v>
      </c>
      <c r="H370" s="516" t="str">
        <f t="array" ref="H370">XLOOKUP(LCARS_Off[AbilityID],RawOfficer[AbilityID],RawOfficer[Tag_WaveDefense])</f>
        <v>➖</v>
      </c>
      <c r="I370" s="516" t="str">
        <f t="array" ref="I370">XLOOKUP(LCARS_Off[AbilityID],RawOfficer[AbilityID],RawOfficer[Tag_QTrial])</f>
        <v>➖</v>
      </c>
      <c r="J370" s="516" t="str">
        <f t="array" ref="J370">XLOOKUP(LCARS_Off[AbilityID],RawOfficer[AbilityID],RawOfficer[Tag_MissionBosses])</f>
        <v>➖</v>
      </c>
      <c r="K370" s="516" t="str">
        <f t="array" ref="K370">XLOOKUP(LCARS_Off[AbilityID],RawOfficer[AbilityID],RawOfficer[Tag_GroupArmadas])</f>
        <v>➖</v>
      </c>
      <c r="L370" s="516" t="str">
        <f t="array" ref="L370">XLOOKUP(LCARS_Off[AbilityID],RawOfficer[AbilityID],RawOfficer[Tag_SoloArmadas])</f>
        <v>✅</v>
      </c>
      <c r="M370" s="516" t="str">
        <f t="array" ref="M370">XLOOKUP(LCARS_Off[AbilityID],RawOfficer[AbilityID],RawOfficer[Tag_InvadingEntities])</f>
        <v>➖</v>
      </c>
      <c r="N370" s="516" t="str">
        <f t="array" ref="N370">XLOOKUP(LCARS_Off[AbilityID],RawOfficer[AbilityID],RawOfficer[Tag_Assaults])</f>
        <v>➖</v>
      </c>
      <c r="O370" s="516" t="str">
        <f t="array" ref="O370">XLOOKUP(LCARS_Off[AbilityID],RawOfficer[AbilityID],RawOfficer[Tag_OutpostArmadas])</f>
        <v>➖</v>
      </c>
      <c r="P370" s="516" t="str">
        <f t="array" ref="P370">XLOOKUP(LCARS_Off[AbilityID],RawOfficer[AbilityID],RawOfficer[Tag_OutpostRetaliators])</f>
        <v>➖</v>
      </c>
      <c r="Q370" s="517" t="str">
        <f t="array" ref="Q370">XLOOKUP(LCARS_Off[AbilityID],RawOfficer[AbilityID],RawOfficer[Conditional_Reason])</f>
        <v/>
      </c>
      <c r="R370" s="518" t="str">
        <f t="array" ref="R370">XLOOKUP(LCARS_Off[AbilityID],RawOfficer[AbilityID],RawOfficer[Tag_Loot])</f>
        <v>➖</v>
      </c>
      <c r="S370" s="516" t="str">
        <f t="array" ref="S370">XLOOKUP(LCARS_Off[AbilityID],RawOfficer[AbilityID],RawOfficer[Tag_Utility])</f>
        <v>➖</v>
      </c>
      <c r="T370" s="429" t="str">
        <f t="array" ref="T370">XLOOKUP(LCARS_Off[AbilityID],RawOfficer[AbilityID],RawOfficer[OfficerSynergy])</f>
        <v>DEEP SPACE NINE</v>
      </c>
      <c r="U370" s="519" t="str">
        <f t="array" ref="U370">XLOOKUP(LCARS_Off[AbilityID],RawOfficer[AbilityID],RawOfficer[AbilityModifier])</f>
        <v>CritDamage</v>
      </c>
      <c r="V370" s="519" t="str">
        <f t="array" ref="V370">XLOOKUP(LCARS_Off[AbilityID],RawOfficer[AbilityID],RawOfficer[AbilityAttributes])</f>
        <v/>
      </c>
      <c r="W370" s="520" t="str">
        <f t="array" ref="W370">XLOOKUP(LCARS_Off[AbilityID],RawOfficer[AbilityID],RawOfficer[AbilityConditions])</f>
        <v>SelfAtSoloArmada</v>
      </c>
      <c r="X370" s="519" t="str">
        <f t="array" ref="X370">XLOOKUP(LCARS_Off[AbilityID],RawOfficer[AbilityID],RawOfficer[AbilityTrigger])</f>
        <v>CombatStart</v>
      </c>
      <c r="Y370" s="519" t="str">
        <f t="array" ref="Y370">XLOOKUP(LCARS_Off[AbilityID],RawOfficer[AbilityID],RawOfficer[AbilityTarget])</f>
        <v>SelfShip</v>
      </c>
      <c r="Z370" s="519" t="str">
        <f t="array" ref="Z370">XLOOKUP(LCARS_Off[AbilityID],RawOfficer[AbilityID],RawOfficer[AbilityOperation])</f>
        <v>Add</v>
      </c>
      <c r="AA370" s="521" t="str">
        <f t="array" ref="AA370">XLOOKUP(LCARS_Off[AbilityID],RawOfficer[AbilityID],RawOfficer[AbilityDescription])</f>
        <v>Julian Bashir increases Critical Hit Damage by X against Solo Armadas.</v>
      </c>
      <c r="AB370" s="429" t="b">
        <v>0</v>
      </c>
      <c r="AC370" s="522" t="str">
        <f t="array" ref="AC370">XLOOKUP(LCARS_Off[AbilityID],RawOfficer[AbilityID],RawOfficer[AbilityDescriptionShort])</f>
        <v>Julian Bashir increases Critical Hit Damage by X against Solo Armadas.</v>
      </c>
      <c r="AD370" s="523"/>
      <c r="AE370" s="524"/>
      <c r="AF370" s="524"/>
      <c r="AG370" s="525" t="str">
        <f t="array" ref="AG370">XLOOKUP(LCARS_Off[AbilityID],RawOfficer[AbilityID],RawOfficer[AbilityChances])</f>
        <v>1.0, 1.0, 1.0</v>
      </c>
      <c r="AH370" s="525" t="str">
        <f t="array" ref="AH370">XLOOKUP(LCARS_Off[AbilityID],RawOfficer[AbilityID],RawOfficer[AbilityValues])</f>
        <v>0.5, 0.25, 0.5</v>
      </c>
      <c r="AI370" s="428" t="b">
        <f t="array" ref="AI370">XLOOKUP(LCARS_Off[AbilityID],RawOfficer[AbilityID],RawOfficer[AbilityHasChance])</f>
        <v>0</v>
      </c>
      <c r="AJ370" s="428" t="b">
        <f t="array" ref="AJ370">XLOOKUP(LCARS_Off[AbilityID],RawOfficer[AbilityID],RawOfficer[AbilityShowPercentage])</f>
        <v>1</v>
      </c>
      <c r="AK370" s="429">
        <f t="array" ref="AK370">XLOOKUP(LCARS_Off[AbilityID],RawOfficer[AbilityID],RawOfficer[OfficerArt])</f>
        <v>217</v>
      </c>
      <c r="AL370" s="430">
        <v>2.897000131E9</v>
      </c>
      <c r="AM370" s="430">
        <f t="array" ref="AM370">XLOOKUP(LCARS_Off[AbilityID],RawOfficer[AbilityID],RawOfficer[Default Order])</f>
        <v>367</v>
      </c>
    </row>
    <row r="371">
      <c r="A371" s="429" t="str">
        <f t="array" ref="A371">LEFT(XLOOKUP(LCARS_Off[AbilityID],RawOfficer[AbilityID],RawOfficer[OfficerRarity]), 1)</f>
        <v>R</v>
      </c>
      <c r="B371" s="429"/>
      <c r="C371" s="514" t="str">
        <f t="array" ref="C371">HYPERLINK("https://stfc.space/officers/" &amp; XLOOKUP(LCARS_Off[AbilityID],RawOfficer[AbilityID],RawOfficer[OfficerId]), XLOOKUP(LCARS_Off[AbilityID],RawOfficer[AbilityID],RawOfficer[OfficerName]))</f>
        <v>JULIAN BASHIR</v>
      </c>
      <c r="D371" s="515" t="str">
        <f t="array" ref="D371">XLOOKUP(LCARS_Off[AbilityID],RawOfficer[AbilityID],RawOfficer[AbilityType])</f>
        <v>OA</v>
      </c>
      <c r="E371" s="516" t="str">
        <f t="array" ref="E371">XLOOKUP(LCARS_Off[AbilityID],RawOfficer[AbilityID],RawOfficer[Tag_PvPinSpace])</f>
        <v>➖</v>
      </c>
      <c r="F371" s="516" t="str">
        <f t="array" ref="F371">XLOOKUP(LCARS_Off[AbilityID],RawOfficer[AbilityID],RawOfficer[Tag_PvPStation])</f>
        <v>➖</v>
      </c>
      <c r="G371" s="516" t="str">
        <f t="array" ref="G371">XLOOKUP(LCARS_Off[AbilityID],RawOfficer[AbilityID],RawOfficer[Tag_NonArmadaHostiles])</f>
        <v>➖</v>
      </c>
      <c r="H371" s="516" t="str">
        <f t="array" ref="H371">XLOOKUP(LCARS_Off[AbilityID],RawOfficer[AbilityID],RawOfficer[Tag_WaveDefense])</f>
        <v>➖</v>
      </c>
      <c r="I371" s="516" t="str">
        <f t="array" ref="I371">XLOOKUP(LCARS_Off[AbilityID],RawOfficer[AbilityID],RawOfficer[Tag_QTrial])</f>
        <v>➖</v>
      </c>
      <c r="J371" s="516" t="str">
        <f t="array" ref="J371">XLOOKUP(LCARS_Off[AbilityID],RawOfficer[AbilityID],RawOfficer[Tag_MissionBosses])</f>
        <v>➖</v>
      </c>
      <c r="K371" s="516" t="str">
        <f t="array" ref="K371">XLOOKUP(LCARS_Off[AbilityID],RawOfficer[AbilityID],RawOfficer[Tag_GroupArmadas])</f>
        <v>➖</v>
      </c>
      <c r="L371" s="516" t="str">
        <f t="array" ref="L371">XLOOKUP(LCARS_Off[AbilityID],RawOfficer[AbilityID],RawOfficer[Tag_SoloArmadas])</f>
        <v>✅</v>
      </c>
      <c r="M371" s="516" t="str">
        <f t="array" ref="M371">XLOOKUP(LCARS_Off[AbilityID],RawOfficer[AbilityID],RawOfficer[Tag_InvadingEntities])</f>
        <v>➖</v>
      </c>
      <c r="N371" s="516" t="str">
        <f t="array" ref="N371">XLOOKUP(LCARS_Off[AbilityID],RawOfficer[AbilityID],RawOfficer[Tag_Assaults])</f>
        <v>➖</v>
      </c>
      <c r="O371" s="516" t="str">
        <f t="array" ref="O371">XLOOKUP(LCARS_Off[AbilityID],RawOfficer[AbilityID],RawOfficer[Tag_OutpostArmadas])</f>
        <v>➖</v>
      </c>
      <c r="P371" s="516" t="str">
        <f t="array" ref="P371">XLOOKUP(LCARS_Off[AbilityID],RawOfficer[AbilityID],RawOfficer[Tag_OutpostRetaliators])</f>
        <v>➖</v>
      </c>
      <c r="Q371" s="517" t="str">
        <f t="array" ref="Q371">XLOOKUP(LCARS_Off[AbilityID],RawOfficer[AbilityID],RawOfficer[Conditional_Reason])</f>
        <v/>
      </c>
      <c r="R371" s="518" t="str">
        <f t="array" ref="R371">XLOOKUP(LCARS_Off[AbilityID],RawOfficer[AbilityID],RawOfficer[Tag_Loot])</f>
        <v>➖</v>
      </c>
      <c r="S371" s="516" t="str">
        <f t="array" ref="S371">XLOOKUP(LCARS_Off[AbilityID],RawOfficer[AbilityID],RawOfficer[Tag_Utility])</f>
        <v>➖</v>
      </c>
      <c r="T371" s="429" t="str">
        <f t="array" ref="T371">XLOOKUP(LCARS_Off[AbilityID],RawOfficer[AbilityID],RawOfficer[OfficerSynergy])</f>
        <v>DEEP SPACE NINE</v>
      </c>
      <c r="U371" s="519" t="str">
        <f t="array" ref="U371">XLOOKUP(LCARS_Off[AbilityID],RawOfficer[AbilityID],RawOfficer[AbilityModifier])</f>
        <v>CritChance</v>
      </c>
      <c r="V371" s="519" t="str">
        <f t="array" ref="V371">XLOOKUP(LCARS_Off[AbilityID],RawOfficer[AbilityID],RawOfficer[AbilityAttributes])</f>
        <v/>
      </c>
      <c r="W371" s="520" t="str">
        <f t="array" ref="W371">XLOOKUP(LCARS_Off[AbilityID],RawOfficer[AbilityID],RawOfficer[AbilityConditions])</f>
        <v>SelfAtSoloArmada</v>
      </c>
      <c r="X371" s="519" t="str">
        <f t="array" ref="X371">XLOOKUP(LCARS_Off[AbilityID],RawOfficer[AbilityID],RawOfficer[AbilityTrigger])</f>
        <v>CombatStart</v>
      </c>
      <c r="Y371" s="519" t="str">
        <f t="array" ref="Y371">XLOOKUP(LCARS_Off[AbilityID],RawOfficer[AbilityID],RawOfficer[AbilityTarget])</f>
        <v>SelfShip</v>
      </c>
      <c r="Z371" s="519" t="str">
        <f t="array" ref="Z371">XLOOKUP(LCARS_Off[AbilityID],RawOfficer[AbilityID],RawOfficer[AbilityOperation])</f>
        <v>Add</v>
      </c>
      <c r="AA371" s="521" t="str">
        <f t="array" ref="AA371">XLOOKUP(LCARS_Off[AbilityID],RawOfficer[AbilityID],RawOfficer[AbilityDescription])</f>
        <v>Julian Bashir increases Critical Hit Chance by X against Solo Armadas.</v>
      </c>
      <c r="AB371" s="429" t="b">
        <v>0</v>
      </c>
      <c r="AC371" s="522" t="str">
        <f t="array" ref="AC371">XLOOKUP(LCARS_Off[AbilityID],RawOfficer[AbilityID],RawOfficer[AbilityDescriptionShort])</f>
        <v>Julian Bashir increases Critical Hit Chance by X against Solo Armadas.</v>
      </c>
      <c r="AD371" s="523"/>
      <c r="AE371" s="524"/>
      <c r="AF371" s="524"/>
      <c r="AG371" s="525" t="str">
        <f t="array" ref="AG371">XLOOKUP(LCARS_Off[AbilityID],RawOfficer[AbilityID],RawOfficer[AbilityChances])</f>
        <v>1.0, 1.0, 1.0, 1.0, 1.0</v>
      </c>
      <c r="AH371" s="525" t="str">
        <f t="array" ref="AH371">XLOOKUP(LCARS_Off[AbilityID],RawOfficer[AbilityID],RawOfficer[AbilityValues])</f>
        <v>0.2, 0.25, 0.35, 0.45, 0.6</v>
      </c>
      <c r="AI371" s="428" t="b">
        <f t="array" ref="AI371">XLOOKUP(LCARS_Off[AbilityID],RawOfficer[AbilityID],RawOfficer[AbilityHasChance])</f>
        <v>0</v>
      </c>
      <c r="AJ371" s="428" t="b">
        <f t="array" ref="AJ371">XLOOKUP(LCARS_Off[AbilityID],RawOfficer[AbilityID],RawOfficer[AbilityShowPercentage])</f>
        <v>1</v>
      </c>
      <c r="AK371" s="429">
        <f t="array" ref="AK371">XLOOKUP(LCARS_Off[AbilityID],RawOfficer[AbilityID],RawOfficer[OfficerArt])</f>
        <v>217</v>
      </c>
      <c r="AL371" s="430">
        <v>2.6631076E9</v>
      </c>
      <c r="AM371" s="430">
        <f t="array" ref="AM371">XLOOKUP(LCARS_Off[AbilityID],RawOfficer[AbilityID],RawOfficer[Default Order])</f>
        <v>368</v>
      </c>
    </row>
    <row r="372">
      <c r="A372" s="429" t="str">
        <f t="array" ref="A372">LEFT(XLOOKUP(LCARS_Off[AbilityID],RawOfficer[AbilityID],RawOfficer[OfficerRarity]), 1)</f>
        <v>R</v>
      </c>
      <c r="B372" s="429"/>
      <c r="C372" s="514" t="str">
        <f t="array" ref="C372">HYPERLINK("https://stfc.space/officers/" &amp; XLOOKUP(LCARS_Off[AbilityID],RawOfficer[AbilityID],RawOfficer[OfficerId]), XLOOKUP(LCARS_Off[AbilityID],RawOfficer[AbilityID],RawOfficer[OfficerName]))</f>
        <v>KIRA NERYS</v>
      </c>
      <c r="D372" s="515" t="str">
        <f t="array" ref="D372">XLOOKUP(LCARS_Off[AbilityID],RawOfficer[AbilityID],RawOfficer[AbilityType])</f>
        <v>OA</v>
      </c>
      <c r="E372" s="516" t="str">
        <f t="array" ref="E372">XLOOKUP(LCARS_Off[AbilityID],RawOfficer[AbilityID],RawOfficer[Tag_PvPinSpace])</f>
        <v>➖</v>
      </c>
      <c r="F372" s="516" t="str">
        <f t="array" ref="F372">XLOOKUP(LCARS_Off[AbilityID],RawOfficer[AbilityID],RawOfficer[Tag_PvPStation])</f>
        <v>➖</v>
      </c>
      <c r="G372" s="516" t="str">
        <f t="array" ref="G372">XLOOKUP(LCARS_Off[AbilityID],RawOfficer[AbilityID],RawOfficer[Tag_NonArmadaHostiles])</f>
        <v>➖</v>
      </c>
      <c r="H372" s="516" t="str">
        <f t="array" ref="H372">XLOOKUP(LCARS_Off[AbilityID],RawOfficer[AbilityID],RawOfficer[Tag_WaveDefense])</f>
        <v>➖</v>
      </c>
      <c r="I372" s="516" t="str">
        <f t="array" ref="I372">XLOOKUP(LCARS_Off[AbilityID],RawOfficer[AbilityID],RawOfficer[Tag_QTrial])</f>
        <v>➖</v>
      </c>
      <c r="J372" s="516" t="str">
        <f t="array" ref="J372">XLOOKUP(LCARS_Off[AbilityID],RawOfficer[AbilityID],RawOfficer[Tag_MissionBosses])</f>
        <v>➖</v>
      </c>
      <c r="K372" s="516" t="str">
        <f t="array" ref="K372">XLOOKUP(LCARS_Off[AbilityID],RawOfficer[AbilityID],RawOfficer[Tag_GroupArmadas])</f>
        <v>➖</v>
      </c>
      <c r="L372" s="516" t="str">
        <f t="array" ref="L372">XLOOKUP(LCARS_Off[AbilityID],RawOfficer[AbilityID],RawOfficer[Tag_SoloArmadas])</f>
        <v>➖</v>
      </c>
      <c r="M372" s="516" t="str">
        <f t="array" ref="M372">XLOOKUP(LCARS_Off[AbilityID],RawOfficer[AbilityID],RawOfficer[Tag_InvadingEntities])</f>
        <v>➖</v>
      </c>
      <c r="N372" s="516" t="str">
        <f t="array" ref="N372">XLOOKUP(LCARS_Off[AbilityID],RawOfficer[AbilityID],RawOfficer[Tag_Assaults])</f>
        <v>✅</v>
      </c>
      <c r="O372" s="516" t="str">
        <f t="array" ref="O372">XLOOKUP(LCARS_Off[AbilityID],RawOfficer[AbilityID],RawOfficer[Tag_OutpostArmadas])</f>
        <v>➖</v>
      </c>
      <c r="P372" s="516" t="str">
        <f t="array" ref="P372">XLOOKUP(LCARS_Off[AbilityID],RawOfficer[AbilityID],RawOfficer[Tag_OutpostRetaliators])</f>
        <v>➖</v>
      </c>
      <c r="Q372" s="517" t="str">
        <f t="array" ref="Q372">XLOOKUP(LCARS_Off[AbilityID],RawOfficer[AbilityID],RawOfficer[Conditional_Reason])</f>
        <v/>
      </c>
      <c r="R372" s="518" t="str">
        <f t="array" ref="R372">XLOOKUP(LCARS_Off[AbilityID],RawOfficer[AbilityID],RawOfficer[Tag_Loot])</f>
        <v>➖</v>
      </c>
      <c r="S372" s="516" t="str">
        <f t="array" ref="S372">XLOOKUP(LCARS_Off[AbilityID],RawOfficer[AbilityID],RawOfficer[Tag_Utility])</f>
        <v>➖</v>
      </c>
      <c r="T372" s="429" t="str">
        <f t="array" ref="T372">XLOOKUP(LCARS_Off[AbilityID],RawOfficer[AbilityID],RawOfficer[OfficerSynergy])</f>
        <v>DEEP SPACE NINE</v>
      </c>
      <c r="U372" s="519" t="str">
        <f t="array" ref="U372">XLOOKUP(LCARS_Off[AbilityID],RawOfficer[AbilityID],RawOfficer[AbilityModifier])</f>
        <v>ShieldMitigation</v>
      </c>
      <c r="V372" s="519" t="str">
        <f t="array" ref="V372">XLOOKUP(LCARS_Off[AbilityID],RawOfficer[AbilityID],RawOfficer[AbilityAttributes])</f>
        <v/>
      </c>
      <c r="W372" s="520" t="str">
        <f t="array" ref="W372">XLOOKUP(LCARS_Off[AbilityID],RawOfficer[AbilityID],RawOfficer[AbilityConditions])</f>
        <v>SelfAtAssault2</v>
      </c>
      <c r="X372" s="519" t="str">
        <f t="array" ref="X372">XLOOKUP(LCARS_Off[AbilityID],RawOfficer[AbilityID],RawOfficer[AbilityTrigger])</f>
        <v>CombatStart</v>
      </c>
      <c r="Y372" s="519" t="str">
        <f t="array" ref="Y372">XLOOKUP(LCARS_Off[AbilityID],RawOfficer[AbilityID],RawOfficer[AbilityTarget])</f>
        <v>EnemyShip</v>
      </c>
      <c r="Z372" s="519" t="str">
        <f t="array" ref="Z372">XLOOKUP(LCARS_Off[AbilityID],RawOfficer[AbilityID],RawOfficer[AbilityOperation])</f>
        <v>Sub</v>
      </c>
      <c r="AA372" s="521" t="str">
        <f t="array" ref="AA372">XLOOKUP(LCARS_Off[AbilityID],RawOfficer[AbilityID],RawOfficer[AbilityDescription])</f>
        <v>Kira Nerys decreases Shield Mitigation by X at an Assault.</v>
      </c>
      <c r="AB372" s="429" t="b">
        <v>0</v>
      </c>
      <c r="AC372" s="522" t="str">
        <f t="array" ref="AC372">XLOOKUP(LCARS_Off[AbilityID],RawOfficer[AbilityID],RawOfficer[AbilityDescriptionShort])</f>
        <v>Kira Nerys decreases Shield Mitigation by X at an Assault.</v>
      </c>
      <c r="AD372" s="523"/>
      <c r="AE372" s="524"/>
      <c r="AF372" s="524"/>
      <c r="AG372" s="525" t="str">
        <f t="array" ref="AG372">XLOOKUP(LCARS_Off[AbilityID],RawOfficer[AbilityID],RawOfficer[AbilityChances])</f>
        <v>1.0, 1.0, 1.0, 1.0, 1.0</v>
      </c>
      <c r="AH372" s="525" t="str">
        <f t="array" ref="AH372">XLOOKUP(LCARS_Off[AbilityID],RawOfficer[AbilityID],RawOfficer[AbilityValues])</f>
        <v>0.04, 0.05, 0.06, 0.08, 0.1</v>
      </c>
      <c r="AI372" s="428" t="b">
        <f t="array" ref="AI372">XLOOKUP(LCARS_Off[AbilityID],RawOfficer[AbilityID],RawOfficer[AbilityHasChance])</f>
        <v>0</v>
      </c>
      <c r="AJ372" s="428" t="b">
        <f t="array" ref="AJ372">XLOOKUP(LCARS_Off[AbilityID],RawOfficer[AbilityID],RawOfficer[AbilityShowPercentage])</f>
        <v>1</v>
      </c>
      <c r="AK372" s="429">
        <f t="array" ref="AK372">XLOOKUP(LCARS_Off[AbilityID],RawOfficer[AbilityID],RawOfficer[OfficerArt])</f>
        <v>226</v>
      </c>
      <c r="AL372" s="430">
        <v>2.34251988E8</v>
      </c>
      <c r="AM372" s="430">
        <f t="array" ref="AM372">XLOOKUP(LCARS_Off[AbilityID],RawOfficer[AbilityID],RawOfficer[Default Order])</f>
        <v>369</v>
      </c>
    </row>
    <row r="373">
      <c r="A373" s="429" t="str">
        <f t="array" ref="A373">LEFT(XLOOKUP(LCARS_Off[AbilityID],RawOfficer[AbilityID],RawOfficer[OfficerRarity]), 1)</f>
        <v>R</v>
      </c>
      <c r="B373" s="429"/>
      <c r="C373" s="514" t="str">
        <f t="array" ref="C373">HYPERLINK("https://stfc.space/officers/" &amp; XLOOKUP(LCARS_Off[AbilityID],RawOfficer[AbilityID],RawOfficer[OfficerId]), XLOOKUP(LCARS_Off[AbilityID],RawOfficer[AbilityID],RawOfficer[OfficerName]))</f>
        <v>KIRA NERYS</v>
      </c>
      <c r="D373" s="515" t="str">
        <f t="array" ref="D373">XLOOKUP(LCARS_Off[AbilityID],RawOfficer[AbilityID],RawOfficer[AbilityType])</f>
        <v>BDA</v>
      </c>
      <c r="E373" s="516" t="str">
        <f t="array" ref="E373">XLOOKUP(LCARS_Off[AbilityID],RawOfficer[AbilityID],RawOfficer[Tag_PvPinSpace])</f>
        <v>✅</v>
      </c>
      <c r="F373" s="516" t="str">
        <f t="array" ref="F373">XLOOKUP(LCARS_Off[AbilityID],RawOfficer[AbilityID],RawOfficer[Tag_PvPStation])</f>
        <v>✅</v>
      </c>
      <c r="G373" s="516" t="str">
        <f t="array" ref="G373">XLOOKUP(LCARS_Off[AbilityID],RawOfficer[AbilityID],RawOfficer[Tag_NonArmadaHostiles])</f>
        <v>➖</v>
      </c>
      <c r="H373" s="516" t="str">
        <f t="array" ref="H373">XLOOKUP(LCARS_Off[AbilityID],RawOfficer[AbilityID],RawOfficer[Tag_WaveDefense])</f>
        <v>➖</v>
      </c>
      <c r="I373" s="516" t="str">
        <f t="array" ref="I373">XLOOKUP(LCARS_Off[AbilityID],RawOfficer[AbilityID],RawOfficer[Tag_QTrial])</f>
        <v>➖</v>
      </c>
      <c r="J373" s="516" t="str">
        <f t="array" ref="J373">XLOOKUP(LCARS_Off[AbilityID],RawOfficer[AbilityID],RawOfficer[Tag_MissionBosses])</f>
        <v>➖</v>
      </c>
      <c r="K373" s="516" t="str">
        <f t="array" ref="K373">XLOOKUP(LCARS_Off[AbilityID],RawOfficer[AbilityID],RawOfficer[Tag_GroupArmadas])</f>
        <v>➖</v>
      </c>
      <c r="L373" s="516" t="str">
        <f t="array" ref="L373">XLOOKUP(LCARS_Off[AbilityID],RawOfficer[AbilityID],RawOfficer[Tag_SoloArmadas])</f>
        <v>➖</v>
      </c>
      <c r="M373" s="516" t="str">
        <f t="array" ref="M373">XLOOKUP(LCARS_Off[AbilityID],RawOfficer[AbilityID],RawOfficer[Tag_InvadingEntities])</f>
        <v>➖</v>
      </c>
      <c r="N373" s="516" t="str">
        <f t="array" ref="N373">XLOOKUP(LCARS_Off[AbilityID],RawOfficer[AbilityID],RawOfficer[Tag_Assaults])</f>
        <v>➖</v>
      </c>
      <c r="O373" s="516" t="str">
        <f t="array" ref="O373">XLOOKUP(LCARS_Off[AbilityID],RawOfficer[AbilityID],RawOfficer[Tag_OutpostArmadas])</f>
        <v>➖</v>
      </c>
      <c r="P373" s="516" t="str">
        <f t="array" ref="P373">XLOOKUP(LCARS_Off[AbilityID],RawOfficer[AbilityID],RawOfficer[Tag_OutpostRetaliators])</f>
        <v>➖</v>
      </c>
      <c r="Q373" s="517" t="str">
        <f t="array" ref="Q373">XLOOKUP(LCARS_Off[AbilityID],RawOfficer[AbilityID],RawOfficer[Conditional_Reason])</f>
        <v/>
      </c>
      <c r="R373" s="518" t="str">
        <f t="array" ref="R373">XLOOKUP(LCARS_Off[AbilityID],RawOfficer[AbilityID],RawOfficer[Tag_Loot])</f>
        <v>➖</v>
      </c>
      <c r="S373" s="516" t="str">
        <f t="array" ref="S373">XLOOKUP(LCARS_Off[AbilityID],RawOfficer[AbilityID],RawOfficer[Tag_Utility])</f>
        <v>➖</v>
      </c>
      <c r="T373" s="429" t="str">
        <f t="array" ref="T373">XLOOKUP(LCARS_Off[AbilityID],RawOfficer[AbilityID],RawOfficer[OfficerSynergy])</f>
        <v>DEEP SPACE NINE</v>
      </c>
      <c r="U373" s="519" t="str">
        <f t="array" ref="U373">XLOOKUP(LCARS_Off[AbilityID],RawOfficer[AbilityID],RawOfficer[AbilityModifier])</f>
        <v>CritChance</v>
      </c>
      <c r="V373" s="519" t="str">
        <f t="array" ref="V373">XLOOKUP(LCARS_Off[AbilityID],RawOfficer[AbilityID],RawOfficer[AbilityAttributes])</f>
        <v/>
      </c>
      <c r="W373" s="520" t="str">
        <f t="array" ref="W373">XLOOKUP(LCARS_Off[AbilityID],RawOfficer[AbilityID],RawOfficer[AbilityConditions])</f>
        <v>EnemyPlayer</v>
      </c>
      <c r="X373" s="519" t="str">
        <f t="array" ref="X373">XLOOKUP(LCARS_Off[AbilityID],RawOfficer[AbilityID],RawOfficer[AbilityTrigger])</f>
        <v>CombatStart</v>
      </c>
      <c r="Y373" s="519" t="str">
        <f t="array" ref="Y373">XLOOKUP(LCARS_Off[AbilityID],RawOfficer[AbilityID],RawOfficer[AbilityTarget])</f>
        <v>EnemyShip</v>
      </c>
      <c r="Z373" s="519" t="str">
        <f t="array" ref="Z373">XLOOKUP(LCARS_Off[AbilityID],RawOfficer[AbilityID],RawOfficer[AbilityOperation])</f>
        <v>Sub</v>
      </c>
      <c r="AA373" s="521" t="str">
        <f t="array" ref="AA373">XLOOKUP(LCARS_Off[AbilityID],RawOfficer[AbilityID],RawOfficer[AbilityDescription])</f>
        <v>Kira Nerys reduces opponent player Critical Hit Chance by X.</v>
      </c>
      <c r="AB373" s="429" t="b">
        <v>0</v>
      </c>
      <c r="AC373" s="522" t="str">
        <f t="array" ref="AC373">XLOOKUP(LCARS_Off[AbilityID],RawOfficer[AbilityID],RawOfficer[AbilityDescriptionShort])</f>
        <v>Kira Nerys reduces opponent player Critical Hit Chance by X.</v>
      </c>
      <c r="AD373" s="523"/>
      <c r="AE373" s="524"/>
      <c r="AF373" s="524"/>
      <c r="AG373" s="525" t="str">
        <f t="array" ref="AG373">XLOOKUP(LCARS_Off[AbilityID],RawOfficer[AbilityID],RawOfficer[AbilityChances])</f>
        <v>1.0, 1.0, 1.0, 1.0, 1.0</v>
      </c>
      <c r="AH373" s="525" t="str">
        <f t="array" ref="AH373">XLOOKUP(LCARS_Off[AbilityID],RawOfficer[AbilityID],RawOfficer[AbilityValues])</f>
        <v>0.1, 0.15, 0.2, 0.25, 0.35</v>
      </c>
      <c r="AI373" s="428" t="b">
        <f t="array" ref="AI373">XLOOKUP(LCARS_Off[AbilityID],RawOfficer[AbilityID],RawOfficer[AbilityHasChance])</f>
        <v>0</v>
      </c>
      <c r="AJ373" s="428" t="b">
        <f t="array" ref="AJ373">XLOOKUP(LCARS_Off[AbilityID],RawOfficer[AbilityID],RawOfficer[AbilityShowPercentage])</f>
        <v>1</v>
      </c>
      <c r="AK373" s="429">
        <f t="array" ref="AK373">XLOOKUP(LCARS_Off[AbilityID],RawOfficer[AbilityID],RawOfficer[OfficerArt])</f>
        <v>226</v>
      </c>
      <c r="AL373" s="430">
        <v>4.121832941E9</v>
      </c>
      <c r="AM373" s="430">
        <f t="array" ref="AM373">XLOOKUP(LCARS_Off[AbilityID],RawOfficer[AbilityID],RawOfficer[Default Order])</f>
        <v>370</v>
      </c>
    </row>
    <row r="374">
      <c r="A374" s="429" t="str">
        <f t="array" ref="A374">LEFT(XLOOKUP(LCARS_Off[AbilityID],RawOfficer[AbilityID],RawOfficer[OfficerRarity]), 1)</f>
        <v>E</v>
      </c>
      <c r="B374" s="429"/>
      <c r="C374" s="514" t="str">
        <f t="array" ref="C374">HYPERLINK("https://stfc.space/officers/" &amp; XLOOKUP(LCARS_Off[AbilityID],RawOfficer[AbilityID],RawOfficer[OfficerId]), XLOOKUP(LCARS_Off[AbilityID],RawOfficer[AbilityID],RawOfficer[OfficerName]))</f>
        <v>HUGH</v>
      </c>
      <c r="D374" s="515" t="str">
        <f t="array" ref="D374">XLOOKUP(LCARS_Off[AbilityID],RawOfficer[AbilityID],RawOfficer[AbilityType])</f>
        <v>OA</v>
      </c>
      <c r="E374" s="516" t="str">
        <f t="array" ref="E374">XLOOKUP(LCARS_Off[AbilityID],RawOfficer[AbilityID],RawOfficer[Tag_PvPinSpace])</f>
        <v>➖</v>
      </c>
      <c r="F374" s="516" t="str">
        <f t="array" ref="F374">XLOOKUP(LCARS_Off[AbilityID],RawOfficer[AbilityID],RawOfficer[Tag_PvPStation])</f>
        <v>➖</v>
      </c>
      <c r="G374" s="516" t="str">
        <f t="array" ref="G374">XLOOKUP(LCARS_Off[AbilityID],RawOfficer[AbilityID],RawOfficer[Tag_NonArmadaHostiles])</f>
        <v>➖</v>
      </c>
      <c r="H374" s="516" t="str">
        <f t="array" ref="H374">XLOOKUP(LCARS_Off[AbilityID],RawOfficer[AbilityID],RawOfficer[Tag_WaveDefense])</f>
        <v>➖</v>
      </c>
      <c r="I374" s="516" t="str">
        <f t="array" ref="I374">XLOOKUP(LCARS_Off[AbilityID],RawOfficer[AbilityID],RawOfficer[Tag_QTrial])</f>
        <v>➖</v>
      </c>
      <c r="J374" s="516" t="str">
        <f t="array" ref="J374">XLOOKUP(LCARS_Off[AbilityID],RawOfficer[AbilityID],RawOfficer[Tag_MissionBosses])</f>
        <v>➖</v>
      </c>
      <c r="K374" s="516" t="str">
        <f t="array" ref="K374">XLOOKUP(LCARS_Off[AbilityID],RawOfficer[AbilityID],RawOfficer[Tag_GroupArmadas])</f>
        <v>➖</v>
      </c>
      <c r="L374" s="516" t="str">
        <f t="array" ref="L374">XLOOKUP(LCARS_Off[AbilityID],RawOfficer[AbilityID],RawOfficer[Tag_SoloArmadas])</f>
        <v>➖</v>
      </c>
      <c r="M374" s="516" t="str">
        <f t="array" ref="M374">XLOOKUP(LCARS_Off[AbilityID],RawOfficer[AbilityID],RawOfficer[Tag_InvadingEntities])</f>
        <v>➖</v>
      </c>
      <c r="N374" s="516" t="str">
        <f t="array" ref="N374">XLOOKUP(LCARS_Off[AbilityID],RawOfficer[AbilityID],RawOfficer[Tag_Assaults])</f>
        <v>➖</v>
      </c>
      <c r="O374" s="516" t="str">
        <f t="array" ref="O374">XLOOKUP(LCARS_Off[AbilityID],RawOfficer[AbilityID],RawOfficer[Tag_OutpostArmadas])</f>
        <v>➖</v>
      </c>
      <c r="P374" s="516" t="str">
        <f t="array" ref="P374">XLOOKUP(LCARS_Off[AbilityID],RawOfficer[AbilityID],RawOfficer[Tag_OutpostRetaliators])</f>
        <v>➖</v>
      </c>
      <c r="Q374" s="517" t="str">
        <f t="array" ref="Q374">XLOOKUP(LCARS_Off[AbilityID],RawOfficer[AbilityID],RawOfficer[Conditional_Reason])</f>
        <v/>
      </c>
      <c r="R374" s="518" t="str">
        <f t="array" ref="R374">XLOOKUP(LCARS_Off[AbilityID],RawOfficer[AbilityID],RawOfficer[Tag_Loot])</f>
        <v>➖</v>
      </c>
      <c r="S374" s="516" t="str">
        <f t="array" ref="S374">XLOOKUP(LCARS_Off[AbilityID],RawOfficer[AbilityID],RawOfficer[Tag_Utility])</f>
        <v>✅</v>
      </c>
      <c r="T374" s="429" t="str">
        <f t="array" ref="T374">XLOOKUP(LCARS_Off[AbilityID],RawOfficer[AbilityID],RawOfficer[OfficerSynergy])</f>
        <v>UNIMATRIX TWELVE</v>
      </c>
      <c r="U374" s="519" t="str">
        <f t="array" ref="U374">XLOOKUP(LCARS_Off[AbilityID],RawOfficer[AbilityID],RawOfficer[AbilityModifier])</f>
        <v>ImpulseSpeed</v>
      </c>
      <c r="V374" s="519" t="str">
        <f t="array" ref="V374">XLOOKUP(LCARS_Off[AbilityID],RawOfficer[AbilityID],RawOfficer[AbilityAttributes])</f>
        <v/>
      </c>
      <c r="W374" s="520" t="str">
        <f t="array" ref="W374">XLOOKUP(LCARS_Off[AbilityID],RawOfficer[AbilityID],RawOfficer[AbilityConditions])</f>
        <v/>
      </c>
      <c r="X374" s="519" t="str">
        <f t="array" ref="X374">XLOOKUP(LCARS_Off[AbilityID],RawOfficer[AbilityID],RawOfficer[AbilityTrigger])</f>
        <v>ShipLaunched</v>
      </c>
      <c r="Y374" s="519" t="str">
        <f t="array" ref="Y374">XLOOKUP(LCARS_Off[AbilityID],RawOfficer[AbilityID],RawOfficer[AbilityTarget])</f>
        <v>SelfShip</v>
      </c>
      <c r="Z374" s="519" t="str">
        <f t="array" ref="Z374">XLOOKUP(LCARS_Off[AbilityID],RawOfficer[AbilityID],RawOfficer[AbilityOperation])</f>
        <v>MultiplyAdd</v>
      </c>
      <c r="AA374" s="521" t="str">
        <f t="array" ref="AA374">XLOOKUP(LCARS_Off[AbilityID],RawOfficer[AbilityID],RawOfficer[AbilityDescription])</f>
        <v>Hugh increases the Impulse Speed of your ship by X.</v>
      </c>
      <c r="AB374" s="429" t="b">
        <v>0</v>
      </c>
      <c r="AC374" s="522" t="str">
        <f t="array" ref="AC374">XLOOKUP(LCARS_Off[AbilityID],RawOfficer[AbilityID],RawOfficer[AbilityDescriptionShort])</f>
        <v>+X to Impulse Speed.</v>
      </c>
      <c r="AD374" s="523"/>
      <c r="AE374" s="524"/>
      <c r="AF374" s="524"/>
      <c r="AG374" s="525" t="str">
        <f t="array" ref="AG374">XLOOKUP(LCARS_Off[AbilityID],RawOfficer[AbilityID],RawOfficer[AbilityChances])</f>
        <v>1.0, 1.0, 1.0, 1.0, 1.0</v>
      </c>
      <c r="AH374" s="525" t="str">
        <f t="array" ref="AH374">XLOOKUP(LCARS_Off[AbilityID],RawOfficer[AbilityID],RawOfficer[AbilityValues])</f>
        <v>0.05, 0.07, 0.09, 0.12, 0.15</v>
      </c>
      <c r="AI374" s="428" t="b">
        <f t="array" ref="AI374">XLOOKUP(LCARS_Off[AbilityID],RawOfficer[AbilityID],RawOfficer[AbilityHasChance])</f>
        <v>0</v>
      </c>
      <c r="AJ374" s="428" t="b">
        <f t="array" ref="AJ374">XLOOKUP(LCARS_Off[AbilityID],RawOfficer[AbilityID],RawOfficer[AbilityShowPercentage])</f>
        <v>1</v>
      </c>
      <c r="AK374" s="429">
        <f t="array" ref="AK374">XLOOKUP(LCARS_Off[AbilityID],RawOfficer[AbilityID],RawOfficer[OfficerArt])</f>
        <v>232</v>
      </c>
      <c r="AL374" s="430">
        <v>4.27986703E9</v>
      </c>
      <c r="AM374" s="430">
        <f t="array" ref="AM374">XLOOKUP(LCARS_Off[AbilityID],RawOfficer[AbilityID],RawOfficer[Default Order])</f>
        <v>371</v>
      </c>
    </row>
    <row r="375">
      <c r="A375" s="429" t="str">
        <f t="array" ref="A375">LEFT(XLOOKUP(LCARS_Off[AbilityID],RawOfficer[AbilityID],RawOfficer[OfficerRarity]), 1)</f>
        <v>E</v>
      </c>
      <c r="B375" s="429"/>
      <c r="C375" s="514" t="str">
        <f t="array" ref="C375">HYPERLINK("https://stfc.space/officers/" &amp; XLOOKUP(LCARS_Off[AbilityID],RawOfficer[AbilityID],RawOfficer[OfficerId]), XLOOKUP(LCARS_Off[AbilityID],RawOfficer[AbilityID],RawOfficer[OfficerName]))</f>
        <v>HUGH</v>
      </c>
      <c r="D375" s="515" t="str">
        <f t="array" ref="D375">XLOOKUP(LCARS_Off[AbilityID],RawOfficer[AbilityID],RawOfficer[AbilityType])</f>
        <v>BDA</v>
      </c>
      <c r="E375" s="516" t="str">
        <f t="array" ref="E375">XLOOKUP(LCARS_Off[AbilityID],RawOfficer[AbilityID],RawOfficer[Tag_PvPinSpace])</f>
        <v>➖</v>
      </c>
      <c r="F375" s="516" t="str">
        <f t="array" ref="F375">XLOOKUP(LCARS_Off[AbilityID],RawOfficer[AbilityID],RawOfficer[Tag_PvPStation])</f>
        <v>➖</v>
      </c>
      <c r="G375" s="516" t="str">
        <f t="array" ref="G375">XLOOKUP(LCARS_Off[AbilityID],RawOfficer[AbilityID],RawOfficer[Tag_NonArmadaHostiles])</f>
        <v>✅</v>
      </c>
      <c r="H375" s="516" t="str">
        <f t="array" ref="H375">XLOOKUP(LCARS_Off[AbilityID],RawOfficer[AbilityID],RawOfficer[Tag_WaveDefense])</f>
        <v>✅</v>
      </c>
      <c r="I375" s="516" t="str">
        <f t="array" ref="I375">XLOOKUP(LCARS_Off[AbilityID],RawOfficer[AbilityID],RawOfficer[Tag_QTrial])</f>
        <v>✅</v>
      </c>
      <c r="J375" s="516" t="str">
        <f t="array" ref="J375">XLOOKUP(LCARS_Off[AbilityID],RawOfficer[AbilityID],RawOfficer[Tag_MissionBosses])</f>
        <v>➖</v>
      </c>
      <c r="K375" s="516" t="str">
        <f t="array" ref="K375">XLOOKUP(LCARS_Off[AbilityID],RawOfficer[AbilityID],RawOfficer[Tag_GroupArmadas])</f>
        <v>➖</v>
      </c>
      <c r="L375" s="516" t="str">
        <f t="array" ref="L375">XLOOKUP(LCARS_Off[AbilityID],RawOfficer[AbilityID],RawOfficer[Tag_SoloArmadas])</f>
        <v>➖</v>
      </c>
      <c r="M375" s="516" t="str">
        <f t="array" ref="M375">XLOOKUP(LCARS_Off[AbilityID],RawOfficer[AbilityID],RawOfficer[Tag_InvadingEntities])</f>
        <v>➖</v>
      </c>
      <c r="N375" s="516" t="str">
        <f t="array" ref="N375">XLOOKUP(LCARS_Off[AbilityID],RawOfficer[AbilityID],RawOfficer[Tag_Assaults])</f>
        <v>➖</v>
      </c>
      <c r="O375" s="516" t="str">
        <f t="array" ref="O375">XLOOKUP(LCARS_Off[AbilityID],RawOfficer[AbilityID],RawOfficer[Tag_OutpostArmadas])</f>
        <v>➖</v>
      </c>
      <c r="P375" s="516" t="str">
        <f t="array" ref="P375">XLOOKUP(LCARS_Off[AbilityID],RawOfficer[AbilityID],RawOfficer[Tag_OutpostRetaliators])</f>
        <v>➖</v>
      </c>
      <c r="Q375" s="517" t="str">
        <f t="array" ref="Q375">XLOOKUP(LCARS_Off[AbilityID],RawOfficer[AbilityID],RawOfficer[Conditional_Reason])</f>
        <v/>
      </c>
      <c r="R375" s="518" t="str">
        <f t="array" ref="R375">XLOOKUP(LCARS_Off[AbilityID],RawOfficer[AbilityID],RawOfficer[Tag_Loot])</f>
        <v>➖</v>
      </c>
      <c r="S375" s="516" t="str">
        <f t="array" ref="S375">XLOOKUP(LCARS_Off[AbilityID],RawOfficer[AbilityID],RawOfficer[Tag_Utility])</f>
        <v>➖</v>
      </c>
      <c r="T375" s="429" t="str">
        <f t="array" ref="T375">XLOOKUP(LCARS_Off[AbilityID],RawOfficer[AbilityID],RawOfficer[OfficerSynergy])</f>
        <v>UNIMATRIX TWELVE</v>
      </c>
      <c r="U375" s="519" t="str">
        <f t="array" ref="U375">XLOOKUP(LCARS_Off[AbilityID],RawOfficer[AbilityID],RawOfficer[AbilityModifier])</f>
        <v>CritChance</v>
      </c>
      <c r="V375" s="519" t="str">
        <f t="array" ref="V375">XLOOKUP(LCARS_Off[AbilityID],RawOfficer[AbilityID],RawOfficer[AbilityAttributes])</f>
        <v>num_rounds=2</v>
      </c>
      <c r="W375" s="520" t="str">
        <f t="array" ref="W375">XLOOKUP(LCARS_Off[AbilityID],RawOfficer[AbilityID],RawOfficer[AbilityConditions])</f>
        <v>EnemyHostile, TargetNotArmada</v>
      </c>
      <c r="X375" s="519" t="str">
        <f t="array" ref="X375">XLOOKUP(LCARS_Off[AbilityID],RawOfficer[AbilityID],RawOfficer[AbilityTrigger])</f>
        <v>HullDamageTaken</v>
      </c>
      <c r="Y375" s="519" t="str">
        <f t="array" ref="Y375">XLOOKUP(LCARS_Off[AbilityID],RawOfficer[AbilityID],RawOfficer[AbilityTarget])</f>
        <v>SelfShip</v>
      </c>
      <c r="Z375" s="519" t="str">
        <f t="array" ref="Z375">XLOOKUP(LCARS_Off[AbilityID],RawOfficer[AbilityID],RawOfficer[AbilityOperation])</f>
        <v>Add</v>
      </c>
      <c r="AA375" s="521" t="str">
        <f t="array" ref="AA375">XLOOKUP(LCARS_Off[AbilityID],RawOfficer[AbilityID],RawOfficer[AbilityDescription])</f>
        <v>Hugh has X chance to increase Critical Hit Chance by 25% for 2 rounds after being hit by a Hostile. (This ability can stack) (Weapons with multiple shots will only trigger this ability once per attack)</v>
      </c>
      <c r="AB375" s="429" t="b">
        <v>1</v>
      </c>
      <c r="AC375" s="522" t="str">
        <f t="array" ref="AC375">XLOOKUP(LCARS_Off[AbilityID],RawOfficer[AbilityID],RawOfficer[AbilityDescriptionShort])</f>
        <v>X chance to increase Crit Chance by 25% for 2 rounds after being hit by Hostiles.</v>
      </c>
      <c r="AD375" s="523"/>
      <c r="AE375" s="521" t="s">
        <v>573</v>
      </c>
      <c r="AF375" s="521" t="s">
        <v>574</v>
      </c>
      <c r="AG375" s="525" t="str">
        <f t="array" ref="AG375">XLOOKUP(LCARS_Off[AbilityID],RawOfficer[AbilityID],RawOfficer[AbilityChances])</f>
        <v>0.45, 0.5, 0.6, 0.7, 1.0</v>
      </c>
      <c r="AH375" s="525" t="str">
        <f t="array" ref="AH375">XLOOKUP(LCARS_Off[AbilityID],RawOfficer[AbilityID],RawOfficer[AbilityValues])</f>
        <v>0.25, 0.25, 0.25, 0.25, 0.25</v>
      </c>
      <c r="AI375" s="428" t="b">
        <f t="array" ref="AI375">XLOOKUP(LCARS_Off[AbilityID],RawOfficer[AbilityID],RawOfficer[AbilityHasChance])</f>
        <v>1</v>
      </c>
      <c r="AJ375" s="428" t="b">
        <f t="array" ref="AJ375">XLOOKUP(LCARS_Off[AbilityID],RawOfficer[AbilityID],RawOfficer[AbilityShowPercentage])</f>
        <v>1</v>
      </c>
      <c r="AK375" s="429">
        <f t="array" ref="AK375">XLOOKUP(LCARS_Off[AbilityID],RawOfficer[AbilityID],RawOfficer[OfficerArt])</f>
        <v>232</v>
      </c>
      <c r="AL375" s="430">
        <v>1.120204726E9</v>
      </c>
      <c r="AM375" s="430">
        <f t="array" ref="AM375">XLOOKUP(LCARS_Off[AbilityID],RawOfficer[AbilityID],RawOfficer[Default Order])</f>
        <v>372</v>
      </c>
    </row>
    <row r="376">
      <c r="A376" s="429" t="str">
        <f t="array" ref="A376">LEFT(XLOOKUP(LCARS_Off[AbilityID],RawOfficer[AbilityID],RawOfficer[OfficerRarity]), 1)</f>
        <v>R</v>
      </c>
      <c r="B376" s="429"/>
      <c r="C376" s="514" t="str">
        <f t="array" ref="C376">HYPERLINK("https://stfc.space/officers/" &amp; XLOOKUP(LCARS_Off[AbilityID],RawOfficer[AbilityID],RawOfficer[OfficerId]), XLOOKUP(LCARS_Off[AbilityID],RawOfficer[AbilityID],RawOfficer[OfficerName]))</f>
        <v>GHALENAR</v>
      </c>
      <c r="D376" s="515" t="str">
        <f t="array" ref="D376">XLOOKUP(LCARS_Off[AbilityID],RawOfficer[AbilityID],RawOfficer[AbilityType])</f>
        <v>OA</v>
      </c>
      <c r="E376" s="516" t="str">
        <f t="array" ref="E376">XLOOKUP(LCARS_Off[AbilityID],RawOfficer[AbilityID],RawOfficer[Tag_PvPinSpace])</f>
        <v>➖</v>
      </c>
      <c r="F376" s="516" t="str">
        <f t="array" ref="F376">XLOOKUP(LCARS_Off[AbilityID],RawOfficer[AbilityID],RawOfficer[Tag_PvPStation])</f>
        <v>➖</v>
      </c>
      <c r="G376" s="516" t="str">
        <f t="array" ref="G376">XLOOKUP(LCARS_Off[AbilityID],RawOfficer[AbilityID],RawOfficer[Tag_NonArmadaHostiles])</f>
        <v>✴️</v>
      </c>
      <c r="H376" s="516" t="str">
        <f t="array" ref="H376">XLOOKUP(LCARS_Off[AbilityID],RawOfficer[AbilityID],RawOfficer[Tag_WaveDefense])</f>
        <v>➖</v>
      </c>
      <c r="I376" s="516" t="str">
        <f t="array" ref="I376">XLOOKUP(LCARS_Off[AbilityID],RawOfficer[AbilityID],RawOfficer[Tag_QTrial])</f>
        <v>➖</v>
      </c>
      <c r="J376" s="516" t="str">
        <f t="array" ref="J376">XLOOKUP(LCARS_Off[AbilityID],RawOfficer[AbilityID],RawOfficer[Tag_MissionBosses])</f>
        <v>➖</v>
      </c>
      <c r="K376" s="516" t="str">
        <f t="array" ref="K376">XLOOKUP(LCARS_Off[AbilityID],RawOfficer[AbilityID],RawOfficer[Tag_GroupArmadas])</f>
        <v>✴️</v>
      </c>
      <c r="L376" s="516" t="str">
        <f t="array" ref="L376">XLOOKUP(LCARS_Off[AbilityID],RawOfficer[AbilityID],RawOfficer[Tag_SoloArmadas])</f>
        <v>✴️</v>
      </c>
      <c r="M376" s="516" t="str">
        <f t="array" ref="M376">XLOOKUP(LCARS_Off[AbilityID],RawOfficer[AbilityID],RawOfficer[Tag_InvadingEntities])</f>
        <v>➖</v>
      </c>
      <c r="N376" s="516" t="str">
        <f t="array" ref="N376">XLOOKUP(LCARS_Off[AbilityID],RawOfficer[AbilityID],RawOfficer[Tag_Assaults])</f>
        <v>➖</v>
      </c>
      <c r="O376" s="516" t="str">
        <f t="array" ref="O376">XLOOKUP(LCARS_Off[AbilityID],RawOfficer[AbilityID],RawOfficer[Tag_OutpostArmadas])</f>
        <v>➖</v>
      </c>
      <c r="P376" s="516" t="str">
        <f t="array" ref="P376">XLOOKUP(LCARS_Off[AbilityID],RawOfficer[AbilityID],RawOfficer[Tag_OutpostRetaliators])</f>
        <v>➖</v>
      </c>
      <c r="Q376" s="517" t="str">
        <f t="array" ref="Q376">XLOOKUP(LCARS_Off[AbilityID],RawOfficer[AbilityID],RawOfficer[Conditional_Reason])</f>
        <v>FactionPointsGain</v>
      </c>
      <c r="R376" s="518" t="str">
        <f t="array" ref="R376">XLOOKUP(LCARS_Off[AbilityID],RawOfficer[AbilityID],RawOfficer[Tag_Loot])</f>
        <v>✅</v>
      </c>
      <c r="S376" s="516" t="str">
        <f t="array" ref="S376">XLOOKUP(LCARS_Off[AbilityID],RawOfficer[AbilityID],RawOfficer[Tag_Utility])</f>
        <v>➖</v>
      </c>
      <c r="T376" s="429" t="str">
        <f t="array" ref="T376">XLOOKUP(LCARS_Off[AbilityID],RawOfficer[AbilityID],RawOfficer[OfficerSynergy])</f>
        <v>UNIMATRIX TWELVE</v>
      </c>
      <c r="U376" s="519" t="str">
        <f t="array" ref="U376">XLOOKUP(LCARS_Off[AbilityID],RawOfficer[AbilityID],RawOfficer[AbilityModifier])</f>
        <v>FactionPointsGain</v>
      </c>
      <c r="V376" s="519" t="str">
        <f t="array" ref="V376">XLOOKUP(LCARS_Off[AbilityID],RawOfficer[AbilityID],RawOfficer[AbilityAttributes])</f>
        <v/>
      </c>
      <c r="W376" s="520" t="str">
        <f t="array" ref="W376">XLOOKUP(LCARS_Off[AbilityID],RawOfficer[AbilityID],RawOfficer[AbilityConditions])</f>
        <v/>
      </c>
      <c r="X376" s="519" t="str">
        <f t="array" ref="X376">XLOOKUP(LCARS_Off[AbilityID],RawOfficer[AbilityID],RawOfficer[AbilityTrigger])</f>
        <v>ShipLaunched</v>
      </c>
      <c r="Y376" s="519" t="str">
        <f t="array" ref="Y376">XLOOKUP(LCARS_Off[AbilityID],RawOfficer[AbilityID],RawOfficer[AbilityTarget])</f>
        <v>SelfShip</v>
      </c>
      <c r="Z376" s="519" t="str">
        <f t="array" ref="Z376">XLOOKUP(LCARS_Off[AbilityID],RawOfficer[AbilityID],RawOfficer[AbilityOperation])</f>
        <v>MultiplyAdd</v>
      </c>
      <c r="AA376" s="521" t="str">
        <f t="array" ref="AA376">XLOOKUP(LCARS_Off[AbilityID],RawOfficer[AbilityID],RawOfficer[AbilityDescription])</f>
        <v>Ghalenar increases the Faction Reputation gained from Federation, Klingon and Romulan hostiles by X.</v>
      </c>
      <c r="AB376" s="429" t="b">
        <v>1</v>
      </c>
      <c r="AC376" s="522" t="str">
        <f t="array" ref="AC376">XLOOKUP(LCARS_Off[AbilityID],RawOfficer[AbilityID],RawOfficer[AbilityDescriptionShort])</f>
        <v>+X Faction Reputation from Federation, Klingon and Romulan hostiles.</v>
      </c>
      <c r="AD376" s="523"/>
      <c r="AE376" s="521" t="s">
        <v>575</v>
      </c>
      <c r="AF376" s="521" t="s">
        <v>576</v>
      </c>
      <c r="AG376" s="525" t="str">
        <f t="array" ref="AG376">XLOOKUP(LCARS_Off[AbilityID],RawOfficer[AbilityID],RawOfficer[AbilityChances])</f>
        <v>1.0, 1.0, 1.0, 1.0, 1.0</v>
      </c>
      <c r="AH376" s="525" t="str">
        <f t="array" ref="AH376">XLOOKUP(LCARS_Off[AbilityID],RawOfficer[AbilityID],RawOfficer[AbilityValues])</f>
        <v>0.05, 0.07, 0.09, 0.15, 0.2</v>
      </c>
      <c r="AI376" s="428" t="b">
        <f t="array" ref="AI376">XLOOKUP(LCARS_Off[AbilityID],RawOfficer[AbilityID],RawOfficer[AbilityHasChance])</f>
        <v>0</v>
      </c>
      <c r="AJ376" s="428" t="b">
        <f t="array" ref="AJ376">XLOOKUP(LCARS_Off[AbilityID],RawOfficer[AbilityID],RawOfficer[AbilityShowPercentage])</f>
        <v>1</v>
      </c>
      <c r="AK376" s="429">
        <f t="array" ref="AK376">XLOOKUP(LCARS_Off[AbilityID],RawOfficer[AbilityID],RawOfficer[OfficerArt])</f>
        <v>233</v>
      </c>
      <c r="AL376" s="430">
        <v>1.14889367E9</v>
      </c>
      <c r="AM376" s="430">
        <f t="array" ref="AM376">XLOOKUP(LCARS_Off[AbilityID],RawOfficer[AbilityID],RawOfficer[Default Order])</f>
        <v>373</v>
      </c>
    </row>
    <row r="377">
      <c r="A377" s="429" t="str">
        <f t="array" ref="A377">LEFT(XLOOKUP(LCARS_Off[AbilityID],RawOfficer[AbilityID],RawOfficer[OfficerRarity]), 1)</f>
        <v>R</v>
      </c>
      <c r="B377" s="429"/>
      <c r="C377" s="514" t="str">
        <f t="array" ref="C377">HYPERLINK("https://stfc.space/officers/" &amp; XLOOKUP(LCARS_Off[AbilityID],RawOfficer[AbilityID],RawOfficer[OfficerId]), XLOOKUP(LCARS_Off[AbilityID],RawOfficer[AbilityID],RawOfficer[OfficerName]))</f>
        <v>GHALENAR</v>
      </c>
      <c r="D377" s="515" t="str">
        <f t="array" ref="D377">XLOOKUP(LCARS_Off[AbilityID],RawOfficer[AbilityID],RawOfficer[AbilityType])</f>
        <v>BDA</v>
      </c>
      <c r="E377" s="516" t="str">
        <f t="array" ref="E377">XLOOKUP(LCARS_Off[AbilityID],RawOfficer[AbilityID],RawOfficer[Tag_PvPinSpace])</f>
        <v>➖</v>
      </c>
      <c r="F377" s="516" t="str">
        <f t="array" ref="F377">XLOOKUP(LCARS_Off[AbilityID],RawOfficer[AbilityID],RawOfficer[Tag_PvPStation])</f>
        <v>➖</v>
      </c>
      <c r="G377" s="516" t="str">
        <f t="array" ref="G377">XLOOKUP(LCARS_Off[AbilityID],RawOfficer[AbilityID],RawOfficer[Tag_NonArmadaHostiles])</f>
        <v>✴️</v>
      </c>
      <c r="H377" s="516" t="str">
        <f t="array" ref="H377">XLOOKUP(LCARS_Off[AbilityID],RawOfficer[AbilityID],RawOfficer[Tag_WaveDefense])</f>
        <v>➖</v>
      </c>
      <c r="I377" s="516" t="str">
        <f t="array" ref="I377">XLOOKUP(LCARS_Off[AbilityID],RawOfficer[AbilityID],RawOfficer[Tag_QTrial])</f>
        <v>➖</v>
      </c>
      <c r="J377" s="516" t="str">
        <f t="array" ref="J377">XLOOKUP(LCARS_Off[AbilityID],RawOfficer[AbilityID],RawOfficer[Tag_MissionBosses])</f>
        <v>➖</v>
      </c>
      <c r="K377" s="516" t="str">
        <f t="array" ref="K377">XLOOKUP(LCARS_Off[AbilityID],RawOfficer[AbilityID],RawOfficer[Tag_GroupArmadas])</f>
        <v>➖</v>
      </c>
      <c r="L377" s="516" t="str">
        <f t="array" ref="L377">XLOOKUP(LCARS_Off[AbilityID],RawOfficer[AbilityID],RawOfficer[Tag_SoloArmadas])</f>
        <v>➖</v>
      </c>
      <c r="M377" s="516" t="str">
        <f t="array" ref="M377">XLOOKUP(LCARS_Off[AbilityID],RawOfficer[AbilityID],RawOfficer[Tag_InvadingEntities])</f>
        <v>➖</v>
      </c>
      <c r="N377" s="516" t="str">
        <f t="array" ref="N377">XLOOKUP(LCARS_Off[AbilityID],RawOfficer[AbilityID],RawOfficer[Tag_Assaults])</f>
        <v>➖</v>
      </c>
      <c r="O377" s="516" t="str">
        <f t="array" ref="O377">XLOOKUP(LCARS_Off[AbilityID],RawOfficer[AbilityID],RawOfficer[Tag_OutpostArmadas])</f>
        <v>➖</v>
      </c>
      <c r="P377" s="516" t="str">
        <f t="array" ref="P377">XLOOKUP(LCARS_Off[AbilityID],RawOfficer[AbilityID],RawOfficer[Tag_OutpostRetaliators])</f>
        <v>➖</v>
      </c>
      <c r="Q377" s="517" t="str">
        <f t="array" ref="Q377">XLOOKUP(LCARS_Off[AbilityID],RawOfficer[AbilityID],RawOfficer[Conditional_Reason])</f>
        <v>ActianVenomAndNanoprobeLoot</v>
      </c>
      <c r="R377" s="518" t="str">
        <f t="array" ref="R377">XLOOKUP(LCARS_Off[AbilityID],RawOfficer[AbilityID],RawOfficer[Tag_Loot])</f>
        <v>✅</v>
      </c>
      <c r="S377" s="516" t="str">
        <f t="array" ref="S377">XLOOKUP(LCARS_Off[AbilityID],RawOfficer[AbilityID],RawOfficer[Tag_Utility])</f>
        <v>➖</v>
      </c>
      <c r="T377" s="429" t="str">
        <f t="array" ref="T377">XLOOKUP(LCARS_Off[AbilityID],RawOfficer[AbilityID],RawOfficer[OfficerSynergy])</f>
        <v>UNIMATRIX TWELVE</v>
      </c>
      <c r="U377" s="519" t="str">
        <f t="array" ref="U377">XLOOKUP(LCARS_Off[AbilityID],RawOfficer[AbilityID],RawOfficer[AbilityModifier])</f>
        <v>ActianVenomAndNanoprobeLoot</v>
      </c>
      <c r="V377" s="519" t="str">
        <f t="array" ref="V377">XLOOKUP(LCARS_Off[AbilityID],RawOfficer[AbilityID],RawOfficer[AbilityAttributes])</f>
        <v/>
      </c>
      <c r="W377" s="520" t="str">
        <f t="array" ref="W377">XLOOKUP(LCARS_Off[AbilityID],RawOfficer[AbilityID],RawOfficer[AbilityConditions])</f>
        <v/>
      </c>
      <c r="X377" s="519" t="str">
        <f t="array" ref="X377">XLOOKUP(LCARS_Off[AbilityID],RawOfficer[AbilityID],RawOfficer[AbilityTrigger])</f>
        <v>ShipLaunched</v>
      </c>
      <c r="Y377" s="519" t="str">
        <f t="array" ref="Y377">XLOOKUP(LCARS_Off[AbilityID],RawOfficer[AbilityID],RawOfficer[AbilityTarget])</f>
        <v>SelfShip</v>
      </c>
      <c r="Z377" s="519" t="str">
        <f t="array" ref="Z377">XLOOKUP(LCARS_Off[AbilityID],RawOfficer[AbilityID],RawOfficer[AbilityOperation])</f>
        <v>MultiplyAdd</v>
      </c>
      <c r="AA377" s="521" t="str">
        <f t="array" ref="AA377">XLOOKUP(LCARS_Off[AbilityID],RawOfficer[AbilityID],RawOfficer[AbilityDescription])</f>
        <v>Ghalenar increases Actian Venom and Inert Nanoprobe loot dropped from hostiles by X of their base value.</v>
      </c>
      <c r="AB377" s="429" t="b">
        <v>0</v>
      </c>
      <c r="AC377" s="522" t="str">
        <f t="array" ref="AC377">XLOOKUP(LCARS_Off[AbilityID],RawOfficer[AbilityID],RawOfficer[AbilityDescriptionShort])</f>
        <v>+X to Actian Venom and Inert Nanoprobe hostile loot.</v>
      </c>
      <c r="AD377" s="523"/>
      <c r="AE377" s="524"/>
      <c r="AF377" s="524"/>
      <c r="AG377" s="525" t="str">
        <f t="array" ref="AG377">XLOOKUP(LCARS_Off[AbilityID],RawOfficer[AbilityID],RawOfficer[AbilityChances])</f>
        <v>1.0, 1.0, 1.0, 1.0, 1.0</v>
      </c>
      <c r="AH377" s="525" t="str">
        <f t="array" ref="AH377">XLOOKUP(LCARS_Off[AbilityID],RawOfficer[AbilityID],RawOfficer[AbilityValues])</f>
        <v>0.1, 0.15, 0.2, 0.3, 0.5</v>
      </c>
      <c r="AI377" s="428" t="b">
        <f t="array" ref="AI377">XLOOKUP(LCARS_Off[AbilityID],RawOfficer[AbilityID],RawOfficer[AbilityHasChance])</f>
        <v>0</v>
      </c>
      <c r="AJ377" s="428" t="b">
        <f t="array" ref="AJ377">XLOOKUP(LCARS_Off[AbilityID],RawOfficer[AbilityID],RawOfficer[AbilityShowPercentage])</f>
        <v>1</v>
      </c>
      <c r="AK377" s="429">
        <f t="array" ref="AK377">XLOOKUP(LCARS_Off[AbilityID],RawOfficer[AbilityID],RawOfficer[OfficerArt])</f>
        <v>233</v>
      </c>
      <c r="AL377" s="430">
        <v>6.95016552E8</v>
      </c>
      <c r="AM377" s="430">
        <f t="array" ref="AM377">XLOOKUP(LCARS_Off[AbilityID],RawOfficer[AbilityID],RawOfficer[Default Order])</f>
        <v>374</v>
      </c>
    </row>
    <row r="378">
      <c r="A378" s="429" t="str">
        <f t="array" ref="A378">LEFT(XLOOKUP(LCARS_Off[AbilityID],RawOfficer[AbilityID],RawOfficer[OfficerRarity]), 1)</f>
        <v>E</v>
      </c>
      <c r="B378" s="429"/>
      <c r="C378" s="514" t="str">
        <f t="array" ref="C378">HYPERLINK("https://stfc.space/officers/" &amp; XLOOKUP(LCARS_Off[AbilityID],RawOfficer[AbilityID],RawOfficer[OfficerId]), XLOOKUP(LCARS_Off[AbilityID],RawOfficer[AbilityID],RawOfficer[OfficerName]))</f>
        <v>BORG QUEEN</v>
      </c>
      <c r="D378" s="515" t="str">
        <f t="array" ref="D378">XLOOKUP(LCARS_Off[AbilityID],RawOfficer[AbilityID],RawOfficer[AbilityType])</f>
        <v>OA</v>
      </c>
      <c r="E378" s="516" t="str">
        <f t="array" ref="E378">XLOOKUP(LCARS_Off[AbilityID],RawOfficer[AbilityID],RawOfficer[Tag_PvPinSpace])</f>
        <v>➖</v>
      </c>
      <c r="F378" s="516" t="str">
        <f t="array" ref="F378">XLOOKUP(LCARS_Off[AbilityID],RawOfficer[AbilityID],RawOfficer[Tag_PvPStation])</f>
        <v>➖</v>
      </c>
      <c r="G378" s="516" t="str">
        <f t="array" ref="G378">XLOOKUP(LCARS_Off[AbilityID],RawOfficer[AbilityID],RawOfficer[Tag_NonArmadaHostiles])</f>
        <v>➖</v>
      </c>
      <c r="H378" s="516" t="str">
        <f t="array" ref="H378">XLOOKUP(LCARS_Off[AbilityID],RawOfficer[AbilityID],RawOfficer[Tag_WaveDefense])</f>
        <v>➖</v>
      </c>
      <c r="I378" s="516" t="str">
        <f t="array" ref="I378">XLOOKUP(LCARS_Off[AbilityID],RawOfficer[AbilityID],RawOfficer[Tag_QTrial])</f>
        <v>➖</v>
      </c>
      <c r="J378" s="516" t="str">
        <f t="array" ref="J378">XLOOKUP(LCARS_Off[AbilityID],RawOfficer[AbilityID],RawOfficer[Tag_MissionBosses])</f>
        <v>➖</v>
      </c>
      <c r="K378" s="516" t="str">
        <f t="array" ref="K378">XLOOKUP(LCARS_Off[AbilityID],RawOfficer[AbilityID],RawOfficer[Tag_GroupArmadas])</f>
        <v>➖</v>
      </c>
      <c r="L378" s="516" t="str">
        <f t="array" ref="L378">XLOOKUP(LCARS_Off[AbilityID],RawOfficer[AbilityID],RawOfficer[Tag_SoloArmadas])</f>
        <v>✴️</v>
      </c>
      <c r="M378" s="516" t="str">
        <f t="array" ref="M378">XLOOKUP(LCARS_Off[AbilityID],RawOfficer[AbilityID],RawOfficer[Tag_InvadingEntities])</f>
        <v>➖</v>
      </c>
      <c r="N378" s="516" t="str">
        <f t="array" ref="N378">XLOOKUP(LCARS_Off[AbilityID],RawOfficer[AbilityID],RawOfficer[Tag_Assaults])</f>
        <v>➖</v>
      </c>
      <c r="O378" s="516" t="str">
        <f t="array" ref="O378">XLOOKUP(LCARS_Off[AbilityID],RawOfficer[AbilityID],RawOfficer[Tag_OutpostArmadas])</f>
        <v>➖</v>
      </c>
      <c r="P378" s="516" t="str">
        <f t="array" ref="P378">XLOOKUP(LCARS_Off[AbilityID],RawOfficer[AbilityID],RawOfficer[Tag_OutpostRetaliators])</f>
        <v>➖</v>
      </c>
      <c r="Q378" s="517" t="str">
        <f t="array" ref="Q378">XLOOKUP(LCARS_Off[AbilityID],RawOfficer[AbilityID],RawOfficer[Conditional_Reason])</f>
        <v>Borg</v>
      </c>
      <c r="R378" s="518" t="str">
        <f t="array" ref="R378">XLOOKUP(LCARS_Off[AbilityID],RawOfficer[AbilityID],RawOfficer[Tag_Loot])</f>
        <v>➖</v>
      </c>
      <c r="S378" s="516" t="str">
        <f t="array" ref="S378">XLOOKUP(LCARS_Off[AbilityID],RawOfficer[AbilityID],RawOfficer[Tag_Utility])</f>
        <v>➖</v>
      </c>
      <c r="T378" s="429" t="str">
        <f t="array" ref="T378">XLOOKUP(LCARS_Off[AbilityID],RawOfficer[AbilityID],RawOfficer[OfficerSynergy])</f>
        <v>UNIMATRIX TWELVE</v>
      </c>
      <c r="U378" s="519" t="str">
        <f t="array" ref="U378">XLOOKUP(LCARS_Off[AbilityID],RawOfficer[AbilityID],RawOfficer[AbilityModifier])</f>
        <v>CritChance</v>
      </c>
      <c r="V378" s="519" t="str">
        <f t="array" ref="V378">XLOOKUP(LCARS_Off[AbilityID],RawOfficer[AbilityID],RawOfficer[AbilityAttributes])</f>
        <v>faction_id=2943562711</v>
      </c>
      <c r="W378" s="520" t="str">
        <f t="array" ref="W378">XLOOKUP(LCARS_Off[AbilityID],RawOfficer[AbilityID],RawOfficer[AbilityConditions])</f>
        <v>SelfAtSoloArmada, EnemyHullFaction</v>
      </c>
      <c r="X378" s="519" t="str">
        <f t="array" ref="X378">XLOOKUP(LCARS_Off[AbilityID],RawOfficer[AbilityID],RawOfficer[AbilityTrigger])</f>
        <v>HullDamageTaken</v>
      </c>
      <c r="Y378" s="519" t="str">
        <f t="array" ref="Y378">XLOOKUP(LCARS_Off[AbilityID],RawOfficer[AbilityID],RawOfficer[AbilityTarget])</f>
        <v>SelfShip</v>
      </c>
      <c r="Z378" s="519" t="str">
        <f t="array" ref="Z378">XLOOKUP(LCARS_Off[AbilityID],RawOfficer[AbilityID],RawOfficer[AbilityOperation])</f>
        <v>Add</v>
      </c>
      <c r="AA378" s="521" t="str">
        <f t="array" ref="AA378">XLOOKUP(LCARS_Off[AbilityID],RawOfficer[AbilityID],RawOfficer[AbilityDescription])</f>
        <v>While fighting against a Borg Solo Armada, upon receiving Hull Damage from an enemy shot, increase Critical Hit Chance by X (Cumulative).</v>
      </c>
      <c r="AB378" s="429" t="b">
        <v>0</v>
      </c>
      <c r="AC378" s="522" t="str">
        <f t="array" ref="AC378">XLOOKUP(LCARS_Off[AbilityID],RawOfficer[AbilityID],RawOfficer[AbilityDescriptionShort])</f>
        <v>X to Critical Hit Chance when receiving Hull Damage from a Borg Solo Armada. (Cumulative)</v>
      </c>
      <c r="AD378" s="523"/>
      <c r="AE378" s="524"/>
      <c r="AF378" s="524"/>
      <c r="AG378" s="525" t="str">
        <f t="array" ref="AG378">XLOOKUP(LCARS_Off[AbilityID],RawOfficer[AbilityID],RawOfficer[AbilityChances])</f>
        <v>1.0, 1.0, 1.0, 1.0, 1.0</v>
      </c>
      <c r="AH378" s="525" t="str">
        <f t="array" ref="AH378">XLOOKUP(LCARS_Off[AbilityID],RawOfficer[AbilityID],RawOfficer[AbilityValues])</f>
        <v>0.02, 0.03, 0.04, 0.05, 0.07</v>
      </c>
      <c r="AI378" s="428" t="b">
        <f t="array" ref="AI378">XLOOKUP(LCARS_Off[AbilityID],RawOfficer[AbilityID],RawOfficer[AbilityHasChance])</f>
        <v>0</v>
      </c>
      <c r="AJ378" s="428" t="b">
        <f t="array" ref="AJ378">XLOOKUP(LCARS_Off[AbilityID],RawOfficer[AbilityID],RawOfficer[AbilityShowPercentage])</f>
        <v>1</v>
      </c>
      <c r="AK378" s="429">
        <f t="array" ref="AK378">XLOOKUP(LCARS_Off[AbilityID],RawOfficer[AbilityID],RawOfficer[OfficerArt])</f>
        <v>234</v>
      </c>
      <c r="AL378" s="430">
        <v>7.27010413E8</v>
      </c>
      <c r="AM378" s="430">
        <f t="array" ref="AM378">XLOOKUP(LCARS_Off[AbilityID],RawOfficer[AbilityID],RawOfficer[Default Order])</f>
        <v>375</v>
      </c>
    </row>
    <row r="379">
      <c r="A379" s="429" t="str">
        <f t="array" ref="A379">LEFT(XLOOKUP(LCARS_Off[AbilityID],RawOfficer[AbilityID],RawOfficer[OfficerRarity]), 1)</f>
        <v>E</v>
      </c>
      <c r="B379" s="429"/>
      <c r="C379" s="514" t="str">
        <f t="array" ref="C379">HYPERLINK("https://stfc.space/officers/" &amp; XLOOKUP(LCARS_Off[AbilityID],RawOfficer[AbilityID],RawOfficer[OfficerId]), XLOOKUP(LCARS_Off[AbilityID],RawOfficer[AbilityID],RawOfficer[OfficerName]))</f>
        <v>BORG QUEEN</v>
      </c>
      <c r="D379" s="515" t="str">
        <f t="array" ref="D379">XLOOKUP(LCARS_Off[AbilityID],RawOfficer[AbilityID],RawOfficer[AbilityType])</f>
        <v>BDA</v>
      </c>
      <c r="E379" s="516" t="str">
        <f t="array" ref="E379">XLOOKUP(LCARS_Off[AbilityID],RawOfficer[AbilityID],RawOfficer[Tag_PvPinSpace])</f>
        <v>✴️</v>
      </c>
      <c r="F379" s="516" t="str">
        <f t="array" ref="F379">XLOOKUP(LCARS_Off[AbilityID],RawOfficer[AbilityID],RawOfficer[Tag_PvPStation])</f>
        <v>✴️</v>
      </c>
      <c r="G379" s="516" t="str">
        <f t="array" ref="G379">XLOOKUP(LCARS_Off[AbilityID],RawOfficer[AbilityID],RawOfficer[Tag_NonArmadaHostiles])</f>
        <v>➖</v>
      </c>
      <c r="H379" s="516" t="str">
        <f t="array" ref="H379">XLOOKUP(LCARS_Off[AbilityID],RawOfficer[AbilityID],RawOfficer[Tag_WaveDefense])</f>
        <v>➖</v>
      </c>
      <c r="I379" s="516" t="str">
        <f t="array" ref="I379">XLOOKUP(LCARS_Off[AbilityID],RawOfficer[AbilityID],RawOfficer[Tag_QTrial])</f>
        <v>➖</v>
      </c>
      <c r="J379" s="516" t="str">
        <f t="array" ref="J379">XLOOKUP(LCARS_Off[AbilityID],RawOfficer[AbilityID],RawOfficer[Tag_MissionBosses])</f>
        <v>➖</v>
      </c>
      <c r="K379" s="516" t="str">
        <f t="array" ref="K379">XLOOKUP(LCARS_Off[AbilityID],RawOfficer[AbilityID],RawOfficer[Tag_GroupArmadas])</f>
        <v>➖</v>
      </c>
      <c r="L379" s="516" t="str">
        <f t="array" ref="L379">XLOOKUP(LCARS_Off[AbilityID],RawOfficer[AbilityID],RawOfficer[Tag_SoloArmadas])</f>
        <v>➖</v>
      </c>
      <c r="M379" s="516" t="str">
        <f t="array" ref="M379">XLOOKUP(LCARS_Off[AbilityID],RawOfficer[AbilityID],RawOfficer[Tag_InvadingEntities])</f>
        <v>➖</v>
      </c>
      <c r="N379" s="516" t="str">
        <f t="array" ref="N379">XLOOKUP(LCARS_Off[AbilityID],RawOfficer[AbilityID],RawOfficer[Tag_Assaults])</f>
        <v>➖</v>
      </c>
      <c r="O379" s="516" t="str">
        <f t="array" ref="O379">XLOOKUP(LCARS_Off[AbilityID],RawOfficer[AbilityID],RawOfficer[Tag_OutpostArmadas])</f>
        <v>➖</v>
      </c>
      <c r="P379" s="516" t="str">
        <f t="array" ref="P379">XLOOKUP(LCARS_Off[AbilityID],RawOfficer[AbilityID],RawOfficer[Tag_OutpostRetaliators])</f>
        <v>➖</v>
      </c>
      <c r="Q379" s="517" t="str">
        <f t="array" ref="Q379">XLOOKUP(LCARS_Off[AbilityID],RawOfficer[AbilityID],RawOfficer[Conditional_Reason])</f>
        <v>TargetHasAssimilated</v>
      </c>
      <c r="R379" s="518" t="str">
        <f t="array" ref="R379">XLOOKUP(LCARS_Off[AbilityID],RawOfficer[AbilityID],RawOfficer[Tag_Loot])</f>
        <v>➖</v>
      </c>
      <c r="S379" s="516" t="str">
        <f t="array" ref="S379">XLOOKUP(LCARS_Off[AbilityID],RawOfficer[AbilityID],RawOfficer[Tag_Utility])</f>
        <v>➖</v>
      </c>
      <c r="T379" s="429" t="str">
        <f t="array" ref="T379">XLOOKUP(LCARS_Off[AbilityID],RawOfficer[AbilityID],RawOfficer[OfficerSynergy])</f>
        <v>UNIMATRIX TWELVE</v>
      </c>
      <c r="U379" s="519" t="str">
        <f t="array" ref="U379">XLOOKUP(LCARS_Off[AbilityID],RawOfficer[AbilityID],RawOfficer[AbilityModifier])</f>
        <v>AllPiercing</v>
      </c>
      <c r="V379" s="519" t="str">
        <f t="array" ref="V379">XLOOKUP(LCARS_Off[AbilityID],RawOfficer[AbilityID],RawOfficer[AbilityAttributes])</f>
        <v/>
      </c>
      <c r="W379" s="520" t="str">
        <f t="array" ref="W379">XLOOKUP(LCARS_Off[AbilityID],RawOfficer[AbilityID],RawOfficer[AbilityConditions])</f>
        <v>EnemyPlayer, TargetHasAssimilated</v>
      </c>
      <c r="X379" s="519" t="str">
        <f t="array" ref="X379">XLOOKUP(LCARS_Off[AbilityID],RawOfficer[AbilityID],RawOfficer[AbilityTrigger])</f>
        <v>RoundStart</v>
      </c>
      <c r="Y379" s="519" t="str">
        <f t="array" ref="Y379">XLOOKUP(LCARS_Off[AbilityID],RawOfficer[AbilityID],RawOfficer[AbilityTarget])</f>
        <v>SelfShip</v>
      </c>
      <c r="Z379" s="519" t="str">
        <f t="array" ref="Z379">XLOOKUP(LCARS_Off[AbilityID],RawOfficer[AbilityID],RawOfficer[AbilityOperation])</f>
        <v>MultiplyAdd</v>
      </c>
      <c r="AA379" s="521" t="str">
        <f t="array" ref="AA379">XLOOKUP(LCARS_Off[AbilityID],RawOfficer[AbilityID],RawOfficer[AbilityDescription])</f>
        <v>While fighting a player ship with Assimilate, Borg Queen increases the ship's Armor Piercing, Shield Piercing and Accuracy by X each round (Cumulative).</v>
      </c>
      <c r="AB379" s="429" t="b">
        <v>0</v>
      </c>
      <c r="AC379" s="522" t="str">
        <f t="array" ref="AC379">XLOOKUP(LCARS_Off[AbilityID],RawOfficer[AbilityID],RawOfficer[AbilityDescriptionShort])</f>
        <v>X to Armor Piercing, Shield Piercing and Accuracy each round if fighting player ships with Assimilate.</v>
      </c>
      <c r="AD379" s="523"/>
      <c r="AE379" s="524"/>
      <c r="AF379" s="524"/>
      <c r="AG379" s="525" t="str">
        <f t="array" ref="AG379">XLOOKUP(LCARS_Off[AbilityID],RawOfficer[AbilityID],RawOfficer[AbilityChances])</f>
        <v>1.0, 1.0, 1.0, 1.0, 1.0</v>
      </c>
      <c r="AH379" s="525" t="str">
        <f t="array" ref="AH379">XLOOKUP(LCARS_Off[AbilityID],RawOfficer[AbilityID],RawOfficer[AbilityValues])</f>
        <v>1.5, 2.0, 3.0, 4.0, 5.0</v>
      </c>
      <c r="AI379" s="428" t="b">
        <f t="array" ref="AI379">XLOOKUP(LCARS_Off[AbilityID],RawOfficer[AbilityID],RawOfficer[AbilityHasChance])</f>
        <v>0</v>
      </c>
      <c r="AJ379" s="428" t="b">
        <f t="array" ref="AJ379">XLOOKUP(LCARS_Off[AbilityID],RawOfficer[AbilityID],RawOfficer[AbilityShowPercentage])</f>
        <v>1</v>
      </c>
      <c r="AK379" s="429">
        <f t="array" ref="AK379">XLOOKUP(LCARS_Off[AbilityID],RawOfficer[AbilityID],RawOfficer[OfficerArt])</f>
        <v>234</v>
      </c>
      <c r="AL379" s="430">
        <v>2.712288625E9</v>
      </c>
      <c r="AM379" s="430">
        <f t="array" ref="AM379">XLOOKUP(LCARS_Off[AbilityID],RawOfficer[AbilityID],RawOfficer[Default Order])</f>
        <v>376</v>
      </c>
    </row>
    <row r="380">
      <c r="A380" s="429" t="str">
        <f t="array" ref="A380">LEFT(XLOOKUP(LCARS_Off[AbilityID],RawOfficer[AbilityID],RawOfficer[OfficerRarity]), 1)</f>
        <v>R</v>
      </c>
      <c r="B380" s="429"/>
      <c r="C380" s="514" t="str">
        <f t="array" ref="C380">HYPERLINK("https://stfc.space/officers/" &amp; XLOOKUP(LCARS_Off[AbilityID],RawOfficer[AbilityID],RawOfficer[OfficerId]), XLOOKUP(LCARS_Off[AbilityID],RawOfficer[AbilityID],RawOfficer[OfficerName]))</f>
        <v>DEZOC</v>
      </c>
      <c r="D380" s="515" t="str">
        <f t="array" ref="D380">XLOOKUP(LCARS_Off[AbilityID],RawOfficer[AbilityID],RawOfficer[AbilityType])</f>
        <v>OA</v>
      </c>
      <c r="E380" s="516" t="str">
        <f t="array" ref="E380">XLOOKUP(LCARS_Off[AbilityID],RawOfficer[AbilityID],RawOfficer[Tag_PvPinSpace])</f>
        <v>➖</v>
      </c>
      <c r="F380" s="516" t="str">
        <f t="array" ref="F380">XLOOKUP(LCARS_Off[AbilityID],RawOfficer[AbilityID],RawOfficer[Tag_PvPStation])</f>
        <v>➖</v>
      </c>
      <c r="G380" s="516" t="str">
        <f t="array" ref="G380">XLOOKUP(LCARS_Off[AbilityID],RawOfficer[AbilityID],RawOfficer[Tag_NonArmadaHostiles])</f>
        <v>➖</v>
      </c>
      <c r="H380" s="516" t="str">
        <f t="array" ref="H380">XLOOKUP(LCARS_Off[AbilityID],RawOfficer[AbilityID],RawOfficer[Tag_WaveDefense])</f>
        <v>➖</v>
      </c>
      <c r="I380" s="516" t="str">
        <f t="array" ref="I380">XLOOKUP(LCARS_Off[AbilityID],RawOfficer[AbilityID],RawOfficer[Tag_QTrial])</f>
        <v>➖</v>
      </c>
      <c r="J380" s="516" t="str">
        <f t="array" ref="J380">XLOOKUP(LCARS_Off[AbilityID],RawOfficer[AbilityID],RawOfficer[Tag_MissionBosses])</f>
        <v>➖</v>
      </c>
      <c r="K380" s="516" t="str">
        <f t="array" ref="K380">XLOOKUP(LCARS_Off[AbilityID],RawOfficer[AbilityID],RawOfficer[Tag_GroupArmadas])</f>
        <v>➖</v>
      </c>
      <c r="L380" s="516" t="str">
        <f t="array" ref="L380">XLOOKUP(LCARS_Off[AbilityID],RawOfficer[AbilityID],RawOfficer[Tag_SoloArmadas])</f>
        <v>✴️</v>
      </c>
      <c r="M380" s="516" t="str">
        <f t="array" ref="M380">XLOOKUP(LCARS_Off[AbilityID],RawOfficer[AbilityID],RawOfficer[Tag_InvadingEntities])</f>
        <v>➖</v>
      </c>
      <c r="N380" s="516" t="str">
        <f t="array" ref="N380">XLOOKUP(LCARS_Off[AbilityID],RawOfficer[AbilityID],RawOfficer[Tag_Assaults])</f>
        <v>➖</v>
      </c>
      <c r="O380" s="516" t="str">
        <f t="array" ref="O380">XLOOKUP(LCARS_Off[AbilityID],RawOfficer[AbilityID],RawOfficer[Tag_OutpostArmadas])</f>
        <v>➖</v>
      </c>
      <c r="P380" s="516" t="str">
        <f t="array" ref="P380">XLOOKUP(LCARS_Off[AbilityID],RawOfficer[AbilityID],RawOfficer[Tag_OutpostRetaliators])</f>
        <v>➖</v>
      </c>
      <c r="Q380" s="517" t="str">
        <f t="array" ref="Q380">XLOOKUP(LCARS_Off[AbilityID],RawOfficer[AbilityID],RawOfficer[Conditional_Reason])</f>
        <v>Borg</v>
      </c>
      <c r="R380" s="518" t="str">
        <f t="array" ref="R380">XLOOKUP(LCARS_Off[AbilityID],RawOfficer[AbilityID],RawOfficer[Tag_Loot])</f>
        <v>➖</v>
      </c>
      <c r="S380" s="516" t="str">
        <f t="array" ref="S380">XLOOKUP(LCARS_Off[AbilityID],RawOfficer[AbilityID],RawOfficer[Tag_Utility])</f>
        <v>➖</v>
      </c>
      <c r="T380" s="429" t="str">
        <f t="array" ref="T380">XLOOKUP(LCARS_Off[AbilityID],RawOfficer[AbilityID],RawOfficer[OfficerSynergy])</f>
        <v>UNIMATRIX TWELVE</v>
      </c>
      <c r="U380" s="519" t="str">
        <f t="array" ref="U380">XLOOKUP(LCARS_Off[AbilityID],RawOfficer[AbilityID],RawOfficer[AbilityModifier])</f>
        <v>OfficerStatAll</v>
      </c>
      <c r="V380" s="519" t="str">
        <f t="array" ref="V380">XLOOKUP(LCARS_Off[AbilityID],RawOfficer[AbilityID],RawOfficer[AbilityAttributes])</f>
        <v>faction_id=2943562711</v>
      </c>
      <c r="W380" s="520" t="str">
        <f t="array" ref="W380">XLOOKUP(LCARS_Off[AbilityID],RawOfficer[AbilityID],RawOfficer[AbilityConditions])</f>
        <v>SelfAtSoloArmada, EnemyHullFaction</v>
      </c>
      <c r="X380" s="519" t="str">
        <f t="array" ref="X380">XLOOKUP(LCARS_Off[AbilityID],RawOfficer[AbilityID],RawOfficer[AbilityTrigger])</f>
        <v>CombatStart</v>
      </c>
      <c r="Y380" s="519" t="str">
        <f t="array" ref="Y380">XLOOKUP(LCARS_Off[AbilityID],RawOfficer[AbilityID],RawOfficer[AbilityTarget])</f>
        <v>SelfAll</v>
      </c>
      <c r="Z380" s="519" t="str">
        <f t="array" ref="Z380">XLOOKUP(LCARS_Off[AbilityID],RawOfficer[AbilityID],RawOfficer[AbilityOperation])</f>
        <v>MultiplyAdd</v>
      </c>
      <c r="AA380" s="521" t="str">
        <f t="array" ref="AA380">XLOOKUP(LCARS_Off[AbilityID],RawOfficer[AbilityID],RawOfficer[AbilityDescription])</f>
        <v>While fighting against a Borg Solo Armada, increase all Officer stats by X for the duration of combat.</v>
      </c>
      <c r="AB380" s="429" t="b">
        <v>0</v>
      </c>
      <c r="AC380" s="522" t="str">
        <f t="array" ref="AC380">XLOOKUP(LCARS_Off[AbilityID],RawOfficer[AbilityID],RawOfficer[AbilityDescriptionShort])</f>
        <v>X to all Officer stats while fighting Borg Solo Armadas.</v>
      </c>
      <c r="AD380" s="523"/>
      <c r="AE380" s="524"/>
      <c r="AF380" s="524"/>
      <c r="AG380" s="525" t="str">
        <f t="array" ref="AG380">XLOOKUP(LCARS_Off[AbilityID],RawOfficer[AbilityID],RawOfficer[AbilityChances])</f>
        <v>1.0, 1.0, 1.0, 1.0, 1.0</v>
      </c>
      <c r="AH380" s="525" t="str">
        <f t="array" ref="AH380">XLOOKUP(LCARS_Off[AbilityID],RawOfficer[AbilityID],RawOfficer[AbilityValues])</f>
        <v>0.1, 0.14, 0.2, 0.3, 0.5</v>
      </c>
      <c r="AI380" s="428" t="b">
        <f t="array" ref="AI380">XLOOKUP(LCARS_Off[AbilityID],RawOfficer[AbilityID],RawOfficer[AbilityHasChance])</f>
        <v>0</v>
      </c>
      <c r="AJ380" s="428" t="b">
        <f t="array" ref="AJ380">XLOOKUP(LCARS_Off[AbilityID],RawOfficer[AbilityID],RawOfficer[AbilityShowPercentage])</f>
        <v>1</v>
      </c>
      <c r="AK380" s="429">
        <f t="array" ref="AK380">XLOOKUP(LCARS_Off[AbilityID],RawOfficer[AbilityID],RawOfficer[OfficerArt])</f>
        <v>235</v>
      </c>
      <c r="AL380" s="430">
        <v>1.625902371E9</v>
      </c>
      <c r="AM380" s="430">
        <f t="array" ref="AM380">XLOOKUP(LCARS_Off[AbilityID],RawOfficer[AbilityID],RawOfficer[Default Order])</f>
        <v>377</v>
      </c>
    </row>
    <row r="381">
      <c r="A381" s="429" t="str">
        <f t="array" ref="A381">LEFT(XLOOKUP(LCARS_Off[AbilityID],RawOfficer[AbilityID],RawOfficer[OfficerRarity]), 1)</f>
        <v>R</v>
      </c>
      <c r="B381" s="429"/>
      <c r="C381" s="514" t="str">
        <f t="array" ref="C381">HYPERLINK("https://stfc.space/officers/" &amp; XLOOKUP(LCARS_Off[AbilityID],RawOfficer[AbilityID],RawOfficer[OfficerId]), XLOOKUP(LCARS_Off[AbilityID],RawOfficer[AbilityID],RawOfficer[OfficerName]))</f>
        <v>DEZOC</v>
      </c>
      <c r="D381" s="515" t="str">
        <f t="array" ref="D381">XLOOKUP(LCARS_Off[AbilityID],RawOfficer[AbilityID],RawOfficer[AbilityType])</f>
        <v>BDA</v>
      </c>
      <c r="E381" s="516" t="str">
        <f t="array" ref="E381">XLOOKUP(LCARS_Off[AbilityID],RawOfficer[AbilityID],RawOfficer[Tag_PvPinSpace])</f>
        <v>✴️</v>
      </c>
      <c r="F381" s="516" t="str">
        <f t="array" ref="F381">XLOOKUP(LCARS_Off[AbilityID],RawOfficer[AbilityID],RawOfficer[Tag_PvPStation])</f>
        <v>✴️</v>
      </c>
      <c r="G381" s="516" t="str">
        <f t="array" ref="G381">XLOOKUP(LCARS_Off[AbilityID],RawOfficer[AbilityID],RawOfficer[Tag_NonArmadaHostiles])</f>
        <v>✴️</v>
      </c>
      <c r="H381" s="516" t="str">
        <f t="array" ref="H381">XLOOKUP(LCARS_Off[AbilityID],RawOfficer[AbilityID],RawOfficer[Tag_WaveDefense])</f>
        <v>✴️</v>
      </c>
      <c r="I381" s="516" t="str">
        <f t="array" ref="I381">XLOOKUP(LCARS_Off[AbilityID],RawOfficer[AbilityID],RawOfficer[Tag_QTrial])</f>
        <v>✴️</v>
      </c>
      <c r="J381" s="516" t="str">
        <f t="array" ref="J381">XLOOKUP(LCARS_Off[AbilityID],RawOfficer[AbilityID],RawOfficer[Tag_MissionBosses])</f>
        <v>✴️</v>
      </c>
      <c r="K381" s="516" t="str">
        <f t="array" ref="K381">XLOOKUP(LCARS_Off[AbilityID],RawOfficer[AbilityID],RawOfficer[Tag_GroupArmadas])</f>
        <v>✴️</v>
      </c>
      <c r="L381" s="516" t="str">
        <f t="array" ref="L381">XLOOKUP(LCARS_Off[AbilityID],RawOfficer[AbilityID],RawOfficer[Tag_SoloArmadas])</f>
        <v>✴️</v>
      </c>
      <c r="M381" s="516" t="str">
        <f t="array" ref="M381">XLOOKUP(LCARS_Off[AbilityID],RawOfficer[AbilityID],RawOfficer[Tag_InvadingEntities])</f>
        <v>✴️</v>
      </c>
      <c r="N381" s="516" t="str">
        <f t="array" ref="N381">XLOOKUP(LCARS_Off[AbilityID],RawOfficer[AbilityID],RawOfficer[Tag_Assaults])</f>
        <v>✴️</v>
      </c>
      <c r="O381" s="516" t="str">
        <f t="array" ref="O381">XLOOKUP(LCARS_Off[AbilityID],RawOfficer[AbilityID],RawOfficer[Tag_OutpostArmadas])</f>
        <v>✴️</v>
      </c>
      <c r="P381" s="516" t="str">
        <f t="array" ref="P381">XLOOKUP(LCARS_Off[AbilityID],RawOfficer[AbilityID],RawOfficer[Tag_OutpostRetaliators])</f>
        <v>✴️</v>
      </c>
      <c r="Q381" s="517" t="str">
        <f t="array" ref="Q381">XLOOKUP(LCARS_Off[AbilityID],RawOfficer[AbilityID],RawOfficer[Conditional_Reason])</f>
        <v>HullHealthBelow</v>
      </c>
      <c r="R381" s="518" t="str">
        <f t="array" ref="R381">XLOOKUP(LCARS_Off[AbilityID],RawOfficer[AbilityID],RawOfficer[Tag_Loot])</f>
        <v>➖</v>
      </c>
      <c r="S381" s="516" t="str">
        <f t="array" ref="S381">XLOOKUP(LCARS_Off[AbilityID],RawOfficer[AbilityID],RawOfficer[Tag_Utility])</f>
        <v>➖</v>
      </c>
      <c r="T381" s="429" t="str">
        <f t="array" ref="T381">XLOOKUP(LCARS_Off[AbilityID],RawOfficer[AbilityID],RawOfficer[OfficerSynergy])</f>
        <v>UNIMATRIX TWELVE</v>
      </c>
      <c r="U381" s="519" t="str">
        <f t="array" ref="U381">XLOOKUP(LCARS_Off[AbilityID],RawOfficer[AbilityID],RawOfficer[AbilityModifier])</f>
        <v>AddState</v>
      </c>
      <c r="V381" s="519" t="str">
        <f t="array" ref="V381">XLOOKUP(LCARS_Off[AbilityID],RawOfficer[AbilityID],RawOfficer[AbilityAttributes])</f>
        <v>num_rounds=4, percentage=0.95, state=64</v>
      </c>
      <c r="W381" s="520" t="str">
        <f t="array" ref="W381">XLOOKUP(LCARS_Off[AbilityID],RawOfficer[AbilityID],RawOfficer[AbilityConditions])</f>
        <v>HullHealthBelow</v>
      </c>
      <c r="X381" s="519" t="str">
        <f t="array" ref="X381">XLOOKUP(LCARS_Off[AbilityID],RawOfficer[AbilityID],RawOfficer[AbilityTrigger])</f>
        <v>RoundStart</v>
      </c>
      <c r="Y381" s="519" t="str">
        <f t="array" ref="Y381">XLOOKUP(LCARS_Off[AbilityID],RawOfficer[AbilityID],RawOfficer[AbilityTarget])</f>
        <v>EnemyShip</v>
      </c>
      <c r="Z381" s="519" t="str">
        <f t="array" ref="Z381">XLOOKUP(LCARS_Off[AbilityID],RawOfficer[AbilityID],RawOfficer[AbilityOperation])</f>
        <v>MultiplyAdd</v>
      </c>
      <c r="AA381" s="521" t="str">
        <f t="array" ref="AA381">XLOOKUP(LCARS_Off[AbilityID],RawOfficer[AbilityID],RawOfficer[AbilityDescription])</f>
        <v>At the start of each round, if opponents Hull health is below 95%, Dezoc has X chance to apply Assimilate to it for 4 rounds. -- While a ship is affected by the Assimilate state, Officer Abilities have their effectiveness reduced by 25%.</v>
      </c>
      <c r="AB381" s="429" t="b">
        <v>0</v>
      </c>
      <c r="AC381" s="522" t="str">
        <f t="array" ref="AC381">XLOOKUP(LCARS_Off[AbilityID],RawOfficer[AbilityID],RawOfficer[AbilityDescriptionShort])</f>
        <v>X chance of applying Assimilate to opponents with less than 95% Hull Health each Round for 4 rounds.</v>
      </c>
      <c r="AD381" s="523"/>
      <c r="AE381" s="524"/>
      <c r="AF381" s="524"/>
      <c r="AG381" s="525" t="str">
        <f t="array" ref="AG381">XLOOKUP(LCARS_Off[AbilityID],RawOfficer[AbilityID],RawOfficer[AbilityChances])</f>
        <v>0.4, 0.45, 0.5, 0.6, 0.7</v>
      </c>
      <c r="AH381" s="525" t="str">
        <f t="array" ref="AH381">XLOOKUP(LCARS_Off[AbilityID],RawOfficer[AbilityID],RawOfficer[AbilityValues])</f>
        <v>1.0, 1.0, 1.0, 1.0, 1.0</v>
      </c>
      <c r="AI381" s="428" t="b">
        <f t="array" ref="AI381">XLOOKUP(LCARS_Off[AbilityID],RawOfficer[AbilityID],RawOfficer[AbilityHasChance])</f>
        <v>1</v>
      </c>
      <c r="AJ381" s="428" t="b">
        <f t="array" ref="AJ381">XLOOKUP(LCARS_Off[AbilityID],RawOfficer[AbilityID],RawOfficer[AbilityShowPercentage])</f>
        <v>1</v>
      </c>
      <c r="AK381" s="429">
        <f t="array" ref="AK381">XLOOKUP(LCARS_Off[AbilityID],RawOfficer[AbilityID],RawOfficer[OfficerArt])</f>
        <v>235</v>
      </c>
      <c r="AL381" s="430">
        <v>2.967109481E9</v>
      </c>
      <c r="AM381" s="430">
        <f t="array" ref="AM381">XLOOKUP(LCARS_Off[AbilityID],RawOfficer[AbilityID],RawOfficer[Default Order])</f>
        <v>378</v>
      </c>
    </row>
    <row r="382">
      <c r="A382" s="429" t="str">
        <f t="array" ref="A382">LEFT(XLOOKUP(LCARS_Off[AbilityID],RawOfficer[AbilityID],RawOfficer[OfficerRarity]), 1)</f>
        <v>R</v>
      </c>
      <c r="B382" s="429"/>
      <c r="C382" s="514" t="str">
        <f t="array" ref="C382">HYPERLINK("https://stfc.space/officers/" &amp; XLOOKUP(LCARS_Off[AbilityID],RawOfficer[AbilityID],RawOfficer[OfficerId]), XLOOKUP(LCARS_Off[AbilityID],RawOfficer[AbilityID],RawOfficer[OfficerName]))</f>
        <v>GOSSA</v>
      </c>
      <c r="D382" s="515" t="str">
        <f t="array" ref="D382">XLOOKUP(LCARS_Off[AbilityID],RawOfficer[AbilityID],RawOfficer[AbilityType])</f>
        <v>OA</v>
      </c>
      <c r="E382" s="516" t="str">
        <f t="array" ref="E382">XLOOKUP(LCARS_Off[AbilityID],RawOfficer[AbilityID],RawOfficer[Tag_PvPinSpace])</f>
        <v>➖</v>
      </c>
      <c r="F382" s="516" t="str">
        <f t="array" ref="F382">XLOOKUP(LCARS_Off[AbilityID],RawOfficer[AbilityID],RawOfficer[Tag_PvPStation])</f>
        <v>➖</v>
      </c>
      <c r="G382" s="516" t="str">
        <f t="array" ref="G382">XLOOKUP(LCARS_Off[AbilityID],RawOfficer[AbilityID],RawOfficer[Tag_NonArmadaHostiles])</f>
        <v>➖</v>
      </c>
      <c r="H382" s="516" t="str">
        <f t="array" ref="H382">XLOOKUP(LCARS_Off[AbilityID],RawOfficer[AbilityID],RawOfficer[Tag_WaveDefense])</f>
        <v>➖</v>
      </c>
      <c r="I382" s="516" t="str">
        <f t="array" ref="I382">XLOOKUP(LCARS_Off[AbilityID],RawOfficer[AbilityID],RawOfficer[Tag_QTrial])</f>
        <v>➖</v>
      </c>
      <c r="J382" s="516" t="str">
        <f t="array" ref="J382">XLOOKUP(LCARS_Off[AbilityID],RawOfficer[AbilityID],RawOfficer[Tag_MissionBosses])</f>
        <v>➖</v>
      </c>
      <c r="K382" s="516" t="str">
        <f t="array" ref="K382">XLOOKUP(LCARS_Off[AbilityID],RawOfficer[AbilityID],RawOfficer[Tag_GroupArmadas])</f>
        <v>➖</v>
      </c>
      <c r="L382" s="516" t="str">
        <f t="array" ref="L382">XLOOKUP(LCARS_Off[AbilityID],RawOfficer[AbilityID],RawOfficer[Tag_SoloArmadas])</f>
        <v>✴️</v>
      </c>
      <c r="M382" s="516" t="str">
        <f t="array" ref="M382">XLOOKUP(LCARS_Off[AbilityID],RawOfficer[AbilityID],RawOfficer[Tag_InvadingEntities])</f>
        <v>➖</v>
      </c>
      <c r="N382" s="516" t="str">
        <f t="array" ref="N382">XLOOKUP(LCARS_Off[AbilityID],RawOfficer[AbilityID],RawOfficer[Tag_Assaults])</f>
        <v>➖</v>
      </c>
      <c r="O382" s="516" t="str">
        <f t="array" ref="O382">XLOOKUP(LCARS_Off[AbilityID],RawOfficer[AbilityID],RawOfficer[Tag_OutpostArmadas])</f>
        <v>➖</v>
      </c>
      <c r="P382" s="516" t="str">
        <f t="array" ref="P382">XLOOKUP(LCARS_Off[AbilityID],RawOfficer[AbilityID],RawOfficer[Tag_OutpostRetaliators])</f>
        <v>➖</v>
      </c>
      <c r="Q382" s="517" t="str">
        <f t="array" ref="Q382">XLOOKUP(LCARS_Off[AbilityID],RawOfficer[AbilityID],RawOfficer[Conditional_Reason])</f>
        <v>Borg</v>
      </c>
      <c r="R382" s="518" t="str">
        <f t="array" ref="R382">XLOOKUP(LCARS_Off[AbilityID],RawOfficer[AbilityID],RawOfficer[Tag_Loot])</f>
        <v>➖</v>
      </c>
      <c r="S382" s="516" t="str">
        <f t="array" ref="S382">XLOOKUP(LCARS_Off[AbilityID],RawOfficer[AbilityID],RawOfficer[Tag_Utility])</f>
        <v>➖</v>
      </c>
      <c r="T382" s="429" t="str">
        <f t="array" ref="T382">XLOOKUP(LCARS_Off[AbilityID],RawOfficer[AbilityID],RawOfficer[OfficerSynergy])</f>
        <v>UNIMATRIX TWELVE</v>
      </c>
      <c r="U382" s="519" t="str">
        <f t="array" ref="U382">XLOOKUP(LCARS_Off[AbilityID],RawOfficer[AbilityID],RawOfficer[AbilityModifier])</f>
        <v>CritDamage</v>
      </c>
      <c r="V382" s="519" t="str">
        <f t="array" ref="V382">XLOOKUP(LCARS_Off[AbilityID],RawOfficer[AbilityID],RawOfficer[AbilityAttributes])</f>
        <v>faction_id=2943562711, num_rounds=1</v>
      </c>
      <c r="W382" s="520" t="str">
        <f t="array" ref="W382">XLOOKUP(LCARS_Off[AbilityID],RawOfficer[AbilityID],RawOfficer[AbilityConditions])</f>
        <v>SelfAtSoloArmada, EnemyHullFaction</v>
      </c>
      <c r="X382" s="519" t="str">
        <f t="array" ref="X382">XLOOKUP(LCARS_Off[AbilityID],RawOfficer[AbilityID],RawOfficer[AbilityTrigger])</f>
        <v>RoundStart</v>
      </c>
      <c r="Y382" s="519" t="str">
        <f t="array" ref="Y382">XLOOKUP(LCARS_Off[AbilityID],RawOfficer[AbilityID],RawOfficer[AbilityTarget])</f>
        <v>EnemyShip</v>
      </c>
      <c r="Z382" s="519" t="str">
        <f t="array" ref="Z382">XLOOKUP(LCARS_Off[AbilityID],RawOfficer[AbilityID],RawOfficer[AbilityOperation])</f>
        <v>MultiplySub</v>
      </c>
      <c r="AA382" s="521" t="str">
        <f t="array" ref="AA382">XLOOKUP(LCARS_Off[AbilityID],RawOfficer[AbilityID],RawOfficer[AbilityDescription])</f>
        <v>When fighting against a Borg Solo Armada, at the start of each round reduce target's Critical Damage by X for 1 round.</v>
      </c>
      <c r="AB382" s="429" t="b">
        <v>0</v>
      </c>
      <c r="AC382" s="522" t="str">
        <f t="array" ref="AC382">XLOOKUP(LCARS_Off[AbilityID],RawOfficer[AbilityID],RawOfficer[AbilityDescriptionShort])</f>
        <v>-X Critical Damage dealt by Borg Solo Armadas when fighting them each round for 1 round.</v>
      </c>
      <c r="AD382" s="523"/>
      <c r="AE382" s="524"/>
      <c r="AF382" s="524"/>
      <c r="AG382" s="525" t="str">
        <f t="array" ref="AG382">XLOOKUP(LCARS_Off[AbilityID],RawOfficer[AbilityID],RawOfficer[AbilityChances])</f>
        <v>1.0, 1.0, 1.0, 1.0, 1.0</v>
      </c>
      <c r="AH382" s="525" t="str">
        <f t="array" ref="AH382">XLOOKUP(LCARS_Off[AbilityID],RawOfficer[AbilityID],RawOfficer[AbilityValues])</f>
        <v>0.05, 0.07, 0.1, 0.15, 0.25</v>
      </c>
      <c r="AI382" s="428" t="b">
        <f t="array" ref="AI382">XLOOKUP(LCARS_Off[AbilityID],RawOfficer[AbilityID],RawOfficer[AbilityHasChance])</f>
        <v>0</v>
      </c>
      <c r="AJ382" s="428" t="b">
        <f t="array" ref="AJ382">XLOOKUP(LCARS_Off[AbilityID],RawOfficer[AbilityID],RawOfficer[AbilityShowPercentage])</f>
        <v>1</v>
      </c>
      <c r="AK382" s="429">
        <f t="array" ref="AK382">XLOOKUP(LCARS_Off[AbilityID],RawOfficer[AbilityID],RawOfficer[OfficerArt])</f>
        <v>236</v>
      </c>
      <c r="AL382" s="430">
        <v>1.208839018E9</v>
      </c>
      <c r="AM382" s="430">
        <f t="array" ref="AM382">XLOOKUP(LCARS_Off[AbilityID],RawOfficer[AbilityID],RawOfficer[Default Order])</f>
        <v>379</v>
      </c>
    </row>
    <row r="383">
      <c r="A383" s="429" t="str">
        <f t="array" ref="A383">LEFT(XLOOKUP(LCARS_Off[AbilityID],RawOfficer[AbilityID],RawOfficer[OfficerRarity]), 1)</f>
        <v>R</v>
      </c>
      <c r="B383" s="429"/>
      <c r="C383" s="514" t="str">
        <f t="array" ref="C383">HYPERLINK("https://stfc.space/officers/" &amp; XLOOKUP(LCARS_Off[AbilityID],RawOfficer[AbilityID],RawOfficer[OfficerId]), XLOOKUP(LCARS_Off[AbilityID],RawOfficer[AbilityID],RawOfficer[OfficerName]))</f>
        <v>GOSSA</v>
      </c>
      <c r="D383" s="515" t="str">
        <f t="array" ref="D383">XLOOKUP(LCARS_Off[AbilityID],RawOfficer[AbilityID],RawOfficer[AbilityType])</f>
        <v>BDA</v>
      </c>
      <c r="E383" s="516" t="str">
        <f t="array" ref="E383">XLOOKUP(LCARS_Off[AbilityID],RawOfficer[AbilityID],RawOfficer[Tag_PvPinSpace])</f>
        <v>✴️</v>
      </c>
      <c r="F383" s="516" t="str">
        <f t="array" ref="F383">XLOOKUP(LCARS_Off[AbilityID],RawOfficer[AbilityID],RawOfficer[Tag_PvPStation])</f>
        <v>✴️</v>
      </c>
      <c r="G383" s="516" t="str">
        <f t="array" ref="G383">XLOOKUP(LCARS_Off[AbilityID],RawOfficer[AbilityID],RawOfficer[Tag_NonArmadaHostiles])</f>
        <v>➖</v>
      </c>
      <c r="H383" s="516" t="str">
        <f t="array" ref="H383">XLOOKUP(LCARS_Off[AbilityID],RawOfficer[AbilityID],RawOfficer[Tag_WaveDefense])</f>
        <v>➖</v>
      </c>
      <c r="I383" s="516" t="str">
        <f t="array" ref="I383">XLOOKUP(LCARS_Off[AbilityID],RawOfficer[AbilityID],RawOfficer[Tag_QTrial])</f>
        <v>➖</v>
      </c>
      <c r="J383" s="516" t="str">
        <f t="array" ref="J383">XLOOKUP(LCARS_Off[AbilityID],RawOfficer[AbilityID],RawOfficer[Tag_MissionBosses])</f>
        <v>➖</v>
      </c>
      <c r="K383" s="516" t="str">
        <f t="array" ref="K383">XLOOKUP(LCARS_Off[AbilityID],RawOfficer[AbilityID],RawOfficer[Tag_GroupArmadas])</f>
        <v>➖</v>
      </c>
      <c r="L383" s="516" t="str">
        <f t="array" ref="L383">XLOOKUP(LCARS_Off[AbilityID],RawOfficer[AbilityID],RawOfficer[Tag_SoloArmadas])</f>
        <v>➖</v>
      </c>
      <c r="M383" s="516" t="str">
        <f t="array" ref="M383">XLOOKUP(LCARS_Off[AbilityID],RawOfficer[AbilityID],RawOfficer[Tag_InvadingEntities])</f>
        <v>➖</v>
      </c>
      <c r="N383" s="516" t="str">
        <f t="array" ref="N383">XLOOKUP(LCARS_Off[AbilityID],RawOfficer[AbilityID],RawOfficer[Tag_Assaults])</f>
        <v>➖</v>
      </c>
      <c r="O383" s="516" t="str">
        <f t="array" ref="O383">XLOOKUP(LCARS_Off[AbilityID],RawOfficer[AbilityID],RawOfficer[Tag_OutpostArmadas])</f>
        <v>➖</v>
      </c>
      <c r="P383" s="516" t="str">
        <f t="array" ref="P383">XLOOKUP(LCARS_Off[AbilityID],RawOfficer[AbilityID],RawOfficer[Tag_OutpostRetaliators])</f>
        <v>➖</v>
      </c>
      <c r="Q383" s="517" t="str">
        <f t="array" ref="Q383">XLOOKUP(LCARS_Off[AbilityID],RawOfficer[AbilityID],RawOfficer[Conditional_Reason])</f>
        <v>TargetHasAssimilated</v>
      </c>
      <c r="R383" s="518" t="str">
        <f t="array" ref="R383">XLOOKUP(LCARS_Off[AbilityID],RawOfficer[AbilityID],RawOfficer[Tag_Loot])</f>
        <v>➖</v>
      </c>
      <c r="S383" s="516" t="str">
        <f t="array" ref="S383">XLOOKUP(LCARS_Off[AbilityID],RawOfficer[AbilityID],RawOfficer[Tag_Utility])</f>
        <v>➖</v>
      </c>
      <c r="T383" s="429" t="str">
        <f t="array" ref="T383">XLOOKUP(LCARS_Off[AbilityID],RawOfficer[AbilityID],RawOfficer[OfficerSynergy])</f>
        <v>UNIMATRIX TWELVE</v>
      </c>
      <c r="U383" s="519" t="str">
        <f t="array" ref="U383">XLOOKUP(LCARS_Off[AbilityID],RawOfficer[AbilityID],RawOfficer[AbilityModifier])</f>
        <v>AllDefenses</v>
      </c>
      <c r="V383" s="519" t="str">
        <f t="array" ref="V383">XLOOKUP(LCARS_Off[AbilityID],RawOfficer[AbilityID],RawOfficer[AbilityAttributes])</f>
        <v/>
      </c>
      <c r="W383" s="520" t="str">
        <f t="array" ref="W383">XLOOKUP(LCARS_Off[AbilityID],RawOfficer[AbilityID],RawOfficer[AbilityConditions])</f>
        <v>EnemyPlayer, TargetHasAssimilated</v>
      </c>
      <c r="X383" s="519" t="str">
        <f t="array" ref="X383">XLOOKUP(LCARS_Off[AbilityID],RawOfficer[AbilityID],RawOfficer[AbilityTrigger])</f>
        <v>RoundStart</v>
      </c>
      <c r="Y383" s="519" t="str">
        <f t="array" ref="Y383">XLOOKUP(LCARS_Off[AbilityID],RawOfficer[AbilityID],RawOfficer[AbilityTarget])</f>
        <v>SelfShip</v>
      </c>
      <c r="Z383" s="519" t="str">
        <f t="array" ref="Z383">XLOOKUP(LCARS_Off[AbilityID],RawOfficer[AbilityID],RawOfficer[AbilityOperation])</f>
        <v>MultiplyAdd</v>
      </c>
      <c r="AA383" s="521" t="str">
        <f t="array" ref="AA383">XLOOKUP(LCARS_Off[AbilityID],RawOfficer[AbilityID],RawOfficer[AbilityDescription])</f>
        <v>While fighting a player ship with Assimilate, Gossa increases the ship's Armor, Shield Deflection and Dodge by X each round (Cumulative).</v>
      </c>
      <c r="AB383" s="429" t="b">
        <v>0</v>
      </c>
      <c r="AC383" s="522" t="str">
        <f t="array" ref="AC383">XLOOKUP(LCARS_Off[AbilityID],RawOfficer[AbilityID],RawOfficer[AbilityDescriptionShort])</f>
        <v>X to Armor, Shield Deflection and Dodge each round if fighting player ships with Assimilate.</v>
      </c>
      <c r="AD383" s="523"/>
      <c r="AE383" s="524"/>
      <c r="AF383" s="524"/>
      <c r="AG383" s="525" t="str">
        <f t="array" ref="AG383">XLOOKUP(LCARS_Off[AbilityID],RawOfficer[AbilityID],RawOfficer[AbilityChances])</f>
        <v>1.0, 1.0, 1.0, 1.0, 1.0</v>
      </c>
      <c r="AH383" s="525" t="str">
        <f t="array" ref="AH383">XLOOKUP(LCARS_Off[AbilityID],RawOfficer[AbilityID],RawOfficer[AbilityValues])</f>
        <v>1.25, 1.5, 1.75, 2.25, 3.0</v>
      </c>
      <c r="AI383" s="428" t="b">
        <f t="array" ref="AI383">XLOOKUP(LCARS_Off[AbilityID],RawOfficer[AbilityID],RawOfficer[AbilityHasChance])</f>
        <v>0</v>
      </c>
      <c r="AJ383" s="428" t="b">
        <f t="array" ref="AJ383">XLOOKUP(LCARS_Off[AbilityID],RawOfficer[AbilityID],RawOfficer[AbilityShowPercentage])</f>
        <v>1</v>
      </c>
      <c r="AK383" s="429">
        <f t="array" ref="AK383">XLOOKUP(LCARS_Off[AbilityID],RawOfficer[AbilityID],RawOfficer[OfficerArt])</f>
        <v>236</v>
      </c>
      <c r="AL383" s="430">
        <v>7.20203532E8</v>
      </c>
      <c r="AM383" s="430">
        <f t="array" ref="AM383">XLOOKUP(LCARS_Off[AbilityID],RawOfficer[AbilityID],RawOfficer[Default Order])</f>
        <v>380</v>
      </c>
    </row>
    <row r="384">
      <c r="A384" s="429" t="str">
        <f t="array" ref="A384">LEFT(XLOOKUP(LCARS_Off[AbilityID],RawOfficer[AbilityID],RawOfficer[OfficerRarity]), 1)</f>
        <v>E</v>
      </c>
      <c r="B384" s="429"/>
      <c r="C384" s="514" t="str">
        <f t="array" ref="C384">HYPERLINK("https://stfc.space/officers/" &amp; XLOOKUP(LCARS_Off[AbilityID],RawOfficer[AbilityID],RawOfficer[OfficerId]), XLOOKUP(LCARS_Off[AbilityID],RawOfficer[AbilityID],RawOfficer[OfficerName]))</f>
        <v>PIC ADMIRAL PICARD</v>
      </c>
      <c r="D384" s="515" t="str">
        <f t="array" ref="D384">XLOOKUP(LCARS_Off[AbilityID],RawOfficer[AbilityID],RawOfficer[AbilityType])</f>
        <v>CM</v>
      </c>
      <c r="E384" s="516" t="str">
        <f t="array" ref="E384">XLOOKUP(LCARS_Off[AbilityID],RawOfficer[AbilityID],RawOfficer[Tag_PvPinSpace])</f>
        <v>✅</v>
      </c>
      <c r="F384" s="516" t="str">
        <f t="array" ref="F384">XLOOKUP(LCARS_Off[AbilityID],RawOfficer[AbilityID],RawOfficer[Tag_PvPStation])</f>
        <v>✅</v>
      </c>
      <c r="G384" s="516" t="str">
        <f t="array" ref="G384">XLOOKUP(LCARS_Off[AbilityID],RawOfficer[AbilityID],RawOfficer[Tag_NonArmadaHostiles])</f>
        <v>➖</v>
      </c>
      <c r="H384" s="516" t="str">
        <f t="array" ref="H384">XLOOKUP(LCARS_Off[AbilityID],RawOfficer[AbilityID],RawOfficer[Tag_WaveDefense])</f>
        <v>➖</v>
      </c>
      <c r="I384" s="516" t="str">
        <f t="array" ref="I384">XLOOKUP(LCARS_Off[AbilityID],RawOfficer[AbilityID],RawOfficer[Tag_QTrial])</f>
        <v>➖</v>
      </c>
      <c r="J384" s="516" t="str">
        <f t="array" ref="J384">XLOOKUP(LCARS_Off[AbilityID],RawOfficer[AbilityID],RawOfficer[Tag_MissionBosses])</f>
        <v>➖</v>
      </c>
      <c r="K384" s="516" t="str">
        <f t="array" ref="K384">XLOOKUP(LCARS_Off[AbilityID],RawOfficer[AbilityID],RawOfficer[Tag_GroupArmadas])</f>
        <v>➖</v>
      </c>
      <c r="L384" s="516" t="str">
        <f t="array" ref="L384">XLOOKUP(LCARS_Off[AbilityID],RawOfficer[AbilityID],RawOfficer[Tag_SoloArmadas])</f>
        <v>➖</v>
      </c>
      <c r="M384" s="516" t="str">
        <f t="array" ref="M384">XLOOKUP(LCARS_Off[AbilityID],RawOfficer[AbilityID],RawOfficer[Tag_InvadingEntities])</f>
        <v>➖</v>
      </c>
      <c r="N384" s="516" t="str">
        <f t="array" ref="N384">XLOOKUP(LCARS_Off[AbilityID],RawOfficer[AbilityID],RawOfficer[Tag_Assaults])</f>
        <v>➖</v>
      </c>
      <c r="O384" s="516" t="str">
        <f t="array" ref="O384">XLOOKUP(LCARS_Off[AbilityID],RawOfficer[AbilityID],RawOfficer[Tag_OutpostArmadas])</f>
        <v>➖</v>
      </c>
      <c r="P384" s="516" t="str">
        <f t="array" ref="P384">XLOOKUP(LCARS_Off[AbilityID],RawOfficer[AbilityID],RawOfficer[Tag_OutpostRetaliators])</f>
        <v>➖</v>
      </c>
      <c r="Q384" s="517" t="str">
        <f t="array" ref="Q384">XLOOKUP(LCARS_Off[AbilityID],RawOfficer[AbilityID],RawOfficer[Conditional_Reason])</f>
        <v/>
      </c>
      <c r="R384" s="518" t="str">
        <f t="array" ref="R384">XLOOKUP(LCARS_Off[AbilityID],RawOfficer[AbilityID],RawOfficer[Tag_Loot])</f>
        <v>➖</v>
      </c>
      <c r="S384" s="516" t="str">
        <f t="array" ref="S384">XLOOKUP(LCARS_Off[AbilityID],RawOfficer[AbilityID],RawOfficer[Tag_Utility])</f>
        <v>➖</v>
      </c>
      <c r="T384" s="429" t="str">
        <f t="array" ref="T384">XLOOKUP(LCARS_Off[AbilityID],RawOfficer[AbilityID],RawOfficer[OfficerSynergy])</f>
        <v>PICARD</v>
      </c>
      <c r="U384" s="519" t="str">
        <f t="array" ref="U384">XLOOKUP(LCARS_Off[AbilityID],RawOfficer[AbilityID],RawOfficer[AbilityModifier])</f>
        <v>AddState</v>
      </c>
      <c r="V384" s="519" t="str">
        <f t="array" ref="V384">XLOOKUP(LCARS_Off[AbilityID],RawOfficer[AbilityID],RawOfficer[AbilityAttributes])</f>
        <v>num_rounds=3, state=8</v>
      </c>
      <c r="W384" s="520" t="str">
        <f t="array" ref="W384">XLOOKUP(LCARS_Off[AbilityID],RawOfficer[AbilityID],RawOfficer[AbilityConditions])</f>
        <v>EnemyPlayer</v>
      </c>
      <c r="X384" s="519" t="str">
        <f t="array" ref="X384">XLOOKUP(LCARS_Off[AbilityID],RawOfficer[AbilityID],RawOfficer[AbilityTrigger])</f>
        <v>RoundStart</v>
      </c>
      <c r="Y384" s="519" t="str">
        <f t="array" ref="Y384">XLOOKUP(LCARS_Off[AbilityID],RawOfficer[AbilityID],RawOfficer[AbilityTarget])</f>
        <v>SelfShip</v>
      </c>
      <c r="Z384" s="519" t="str">
        <f t="array" ref="Z384">XLOOKUP(LCARS_Off[AbilityID],RawOfficer[AbilityID],RawOfficer[AbilityOperation])</f>
        <v>MultiplyAdd</v>
      </c>
      <c r="AA384" s="521" t="str">
        <f t="array" ref="AA384">XLOOKUP(LCARS_Off[AbilityID],RawOfficer[AbilityID],RawOfficer[AbilityDescription])</f>
        <v>At the start of a round, Admiral Picard has a X chance to apply Morale for 3 rounds against player ships.</v>
      </c>
      <c r="AB384" s="429" t="b">
        <v>0</v>
      </c>
      <c r="AC384" s="522" t="str">
        <f t="array" ref="AC384">XLOOKUP(LCARS_Off[AbilityID],RawOfficer[AbilityID],RawOfficer[AbilityDescriptionShort])</f>
        <v>Each round, X chance to apply Morale for 3 rounds against player ships.</v>
      </c>
      <c r="AD384" s="523"/>
      <c r="AE384" s="524"/>
      <c r="AF384" s="524"/>
      <c r="AG384" s="525" t="str">
        <f t="array" ref="AG384">XLOOKUP(LCARS_Off[AbilityID],RawOfficer[AbilityID],RawOfficer[AbilityChances])</f>
        <v>0.9, 0.01, 0.05</v>
      </c>
      <c r="AH384" s="525" t="str">
        <f t="array" ref="AH384">XLOOKUP(LCARS_Off[AbilityID],RawOfficer[AbilityID],RawOfficer[AbilityValues])</f>
        <v>1.0, 1.0, 1.0</v>
      </c>
      <c r="AI384" s="428" t="b">
        <f t="array" ref="AI384">XLOOKUP(LCARS_Off[AbilityID],RawOfficer[AbilityID],RawOfficer[AbilityHasChance])</f>
        <v>1</v>
      </c>
      <c r="AJ384" s="428" t="b">
        <f t="array" ref="AJ384">XLOOKUP(LCARS_Off[AbilityID],RawOfficer[AbilityID],RawOfficer[AbilityShowPercentage])</f>
        <v>1</v>
      </c>
      <c r="AK384" s="429">
        <f t="array" ref="AK384">XLOOKUP(LCARS_Off[AbilityID],RawOfficer[AbilityID],RawOfficer[OfficerArt])</f>
        <v>237</v>
      </c>
      <c r="AL384" s="430">
        <v>3.119262188E9</v>
      </c>
      <c r="AM384" s="430">
        <f t="array" ref="AM384">XLOOKUP(LCARS_Off[AbilityID],RawOfficer[AbilityID],RawOfficer[Default Order])</f>
        <v>381</v>
      </c>
    </row>
    <row r="385">
      <c r="A385" s="429" t="str">
        <f t="array" ref="A385">LEFT(XLOOKUP(LCARS_Off[AbilityID],RawOfficer[AbilityID],RawOfficer[OfficerRarity]), 1)</f>
        <v>E</v>
      </c>
      <c r="B385" s="429"/>
      <c r="C385" s="514" t="str">
        <f t="array" ref="C385">HYPERLINK("https://stfc.space/officers/" &amp; XLOOKUP(LCARS_Off[AbilityID],RawOfficer[AbilityID],RawOfficer[OfficerId]), XLOOKUP(LCARS_Off[AbilityID],RawOfficer[AbilityID],RawOfficer[OfficerName]))</f>
        <v>PIC ADMIRAL PICARD</v>
      </c>
      <c r="D385" s="515" t="str">
        <f t="array" ref="D385">XLOOKUP(LCARS_Off[AbilityID],RawOfficer[AbilityID],RawOfficer[AbilityType])</f>
        <v>OA</v>
      </c>
      <c r="E385" s="516" t="str">
        <f t="array" ref="E385">XLOOKUP(LCARS_Off[AbilityID],RawOfficer[AbilityID],RawOfficer[Tag_PvPinSpace])</f>
        <v>✴️</v>
      </c>
      <c r="F385" s="516" t="str">
        <f t="array" ref="F385">XLOOKUP(LCARS_Off[AbilityID],RawOfficer[AbilityID],RawOfficer[Tag_PvPStation])</f>
        <v>✴️</v>
      </c>
      <c r="G385" s="516" t="str">
        <f t="array" ref="G385">XLOOKUP(LCARS_Off[AbilityID],RawOfficer[AbilityID],RawOfficer[Tag_NonArmadaHostiles])</f>
        <v>➖</v>
      </c>
      <c r="H385" s="516" t="str">
        <f t="array" ref="H385">XLOOKUP(LCARS_Off[AbilityID],RawOfficer[AbilityID],RawOfficer[Tag_WaveDefense])</f>
        <v>➖</v>
      </c>
      <c r="I385" s="516" t="str">
        <f t="array" ref="I385">XLOOKUP(LCARS_Off[AbilityID],RawOfficer[AbilityID],RawOfficer[Tag_QTrial])</f>
        <v>➖</v>
      </c>
      <c r="J385" s="516" t="str">
        <f t="array" ref="J385">XLOOKUP(LCARS_Off[AbilityID],RawOfficer[AbilityID],RawOfficer[Tag_MissionBosses])</f>
        <v>➖</v>
      </c>
      <c r="K385" s="516" t="str">
        <f t="array" ref="K385">XLOOKUP(LCARS_Off[AbilityID],RawOfficer[AbilityID],RawOfficer[Tag_GroupArmadas])</f>
        <v>➖</v>
      </c>
      <c r="L385" s="516" t="str">
        <f t="array" ref="L385">XLOOKUP(LCARS_Off[AbilityID],RawOfficer[AbilityID],RawOfficer[Tag_SoloArmadas])</f>
        <v>➖</v>
      </c>
      <c r="M385" s="516" t="str">
        <f t="array" ref="M385">XLOOKUP(LCARS_Off[AbilityID],RawOfficer[AbilityID],RawOfficer[Tag_InvadingEntities])</f>
        <v>➖</v>
      </c>
      <c r="N385" s="516" t="str">
        <f t="array" ref="N385">XLOOKUP(LCARS_Off[AbilityID],RawOfficer[AbilityID],RawOfficer[Tag_Assaults])</f>
        <v>➖</v>
      </c>
      <c r="O385" s="516" t="str">
        <f t="array" ref="O385">XLOOKUP(LCARS_Off[AbilityID],RawOfficer[AbilityID],RawOfficer[Tag_OutpostArmadas])</f>
        <v>➖</v>
      </c>
      <c r="P385" s="516" t="str">
        <f t="array" ref="P385">XLOOKUP(LCARS_Off[AbilityID],RawOfficer[AbilityID],RawOfficer[Tag_OutpostRetaliators])</f>
        <v>➖</v>
      </c>
      <c r="Q385" s="517" t="str">
        <f t="array" ref="Q385">XLOOKUP(LCARS_Off[AbilityID],RawOfficer[AbilityID],RawOfficer[Conditional_Reason])</f>
        <v>EnemyExplorer</v>
      </c>
      <c r="R385" s="518" t="str">
        <f t="array" ref="R385">XLOOKUP(LCARS_Off[AbilityID],RawOfficer[AbilityID],RawOfficer[Tag_Loot])</f>
        <v>➖</v>
      </c>
      <c r="S385" s="516" t="str">
        <f t="array" ref="S385">XLOOKUP(LCARS_Off[AbilityID],RawOfficer[AbilityID],RawOfficer[Tag_Utility])</f>
        <v>➖</v>
      </c>
      <c r="T385" s="429" t="str">
        <f t="array" ref="T385">XLOOKUP(LCARS_Off[AbilityID],RawOfficer[AbilityID],RawOfficer[OfficerSynergy])</f>
        <v>PICARD</v>
      </c>
      <c r="U385" s="519" t="str">
        <f t="array" ref="U385">XLOOKUP(LCARS_Off[AbilityID],RawOfficer[AbilityID],RawOfficer[AbilityModifier])</f>
        <v>AllDamage</v>
      </c>
      <c r="V385" s="519" t="str">
        <f t="array" ref="V385">XLOOKUP(LCARS_Off[AbilityID],RawOfficer[AbilityID],RawOfficer[AbilityAttributes])</f>
        <v/>
      </c>
      <c r="W385" s="520" t="str">
        <f t="array" ref="W385">XLOOKUP(LCARS_Off[AbilityID],RawOfficer[AbilityID],RawOfficer[AbilityConditions])</f>
        <v>EnemyPlayer, EnemyExplorer</v>
      </c>
      <c r="X385" s="519" t="str">
        <f t="array" ref="X385">XLOOKUP(LCARS_Off[AbilityID],RawOfficer[AbilityID],RawOfficer[AbilityTrigger])</f>
        <v>CombatStart</v>
      </c>
      <c r="Y385" s="519" t="str">
        <f t="array" ref="Y385">XLOOKUP(LCARS_Off[AbilityID],RawOfficer[AbilityID],RawOfficer[AbilityTarget])</f>
        <v>SelfShip</v>
      </c>
      <c r="Z385" s="519" t="str">
        <f t="array" ref="Z385">XLOOKUP(LCARS_Off[AbilityID],RawOfficer[AbilityID],RawOfficer[AbilityOperation])</f>
        <v>MultiplyAdd</v>
      </c>
      <c r="AA385" s="521" t="str">
        <f t="array" ref="AA385">XLOOKUP(LCARS_Off[AbilityID],RawOfficer[AbilityID],RawOfficer[AbilityDescription])</f>
        <v>Admiral Picard increases your ship base Weapon Damage by X on combat start against a player Explorer for the duration of combat.</v>
      </c>
      <c r="AB385" s="429" t="b">
        <v>0</v>
      </c>
      <c r="AC385" s="522" t="str">
        <f t="array" ref="AC385">XLOOKUP(LCARS_Off[AbilityID],RawOfficer[AbilityID],RawOfficer[AbilityDescriptionShort])</f>
        <v>Increases your ship base Weapon Damage by X on combat start against a player Explorer.</v>
      </c>
      <c r="AD385" s="523"/>
      <c r="AE385" s="524"/>
      <c r="AF385" s="524"/>
      <c r="AG385" s="525" t="str">
        <f t="array" ref="AG385">XLOOKUP(LCARS_Off[AbilityID],RawOfficer[AbilityID],RawOfficer[AbilityChances])</f>
        <v>1.0, 1.0, 1.0, 1.0, 1.0</v>
      </c>
      <c r="AH385" s="525" t="str">
        <f t="array" ref="AH385">XLOOKUP(LCARS_Off[AbilityID],RawOfficer[AbilityID],RawOfficer[AbilityValues])</f>
        <v>5.0, 9.0, 15.0, 22.0, 30.0</v>
      </c>
      <c r="AI385" s="428" t="b">
        <f t="array" ref="AI385">XLOOKUP(LCARS_Off[AbilityID],RawOfficer[AbilityID],RawOfficer[AbilityHasChance])</f>
        <v>0</v>
      </c>
      <c r="AJ385" s="428" t="b">
        <f t="array" ref="AJ385">XLOOKUP(LCARS_Off[AbilityID],RawOfficer[AbilityID],RawOfficer[AbilityShowPercentage])</f>
        <v>1</v>
      </c>
      <c r="AK385" s="429">
        <f t="array" ref="AK385">XLOOKUP(LCARS_Off[AbilityID],RawOfficer[AbilityID],RawOfficer[OfficerArt])</f>
        <v>237</v>
      </c>
      <c r="AL385" s="430">
        <v>1.747115615E9</v>
      </c>
      <c r="AM385" s="430">
        <f t="array" ref="AM385">XLOOKUP(LCARS_Off[AbilityID],RawOfficer[AbilityID],RawOfficer[Default Order])</f>
        <v>382</v>
      </c>
    </row>
    <row r="386">
      <c r="A386" s="429" t="str">
        <f t="array" ref="A386">LEFT(XLOOKUP(LCARS_Off[AbilityID],RawOfficer[AbilityID],RawOfficer[OfficerRarity]), 1)</f>
        <v>R</v>
      </c>
      <c r="B386" s="429"/>
      <c r="C386" s="514" t="str">
        <f t="array" ref="C386">HYPERLINK("https://stfc.space/officers/" &amp; XLOOKUP(LCARS_Off[AbilityID],RawOfficer[AbilityID],RawOfficer[OfficerId]), XLOOKUP(LCARS_Off[AbilityID],RawOfficer[AbilityID],RawOfficer[OfficerName]))</f>
        <v>PIC BEVERLY CRUSHER</v>
      </c>
      <c r="D386" s="515" t="str">
        <f t="array" ref="D386">XLOOKUP(LCARS_Off[AbilityID],RawOfficer[AbilityID],RawOfficer[AbilityType])</f>
        <v>OA</v>
      </c>
      <c r="E386" s="516" t="str">
        <f t="array" ref="E386">XLOOKUP(LCARS_Off[AbilityID],RawOfficer[AbilityID],RawOfficer[Tag_PvPinSpace])</f>
        <v>➖</v>
      </c>
      <c r="F386" s="516" t="str">
        <f t="array" ref="F386">XLOOKUP(LCARS_Off[AbilityID],RawOfficer[AbilityID],RawOfficer[Tag_PvPStation])</f>
        <v>➖</v>
      </c>
      <c r="G386" s="516" t="str">
        <f t="array" ref="G386">XLOOKUP(LCARS_Off[AbilityID],RawOfficer[AbilityID],RawOfficer[Tag_NonArmadaHostiles])</f>
        <v>✅</v>
      </c>
      <c r="H386" s="516" t="str">
        <f t="array" ref="H386">XLOOKUP(LCARS_Off[AbilityID],RawOfficer[AbilityID],RawOfficer[Tag_WaveDefense])</f>
        <v>✅</v>
      </c>
      <c r="I386" s="516" t="str">
        <f t="array" ref="I386">XLOOKUP(LCARS_Off[AbilityID],RawOfficer[AbilityID],RawOfficer[Tag_QTrial])</f>
        <v>✅</v>
      </c>
      <c r="J386" s="516" t="str">
        <f t="array" ref="J386">XLOOKUP(LCARS_Off[AbilityID],RawOfficer[AbilityID],RawOfficer[Tag_MissionBosses])</f>
        <v>➖</v>
      </c>
      <c r="K386" s="516" t="str">
        <f t="array" ref="K386">XLOOKUP(LCARS_Off[AbilityID],RawOfficer[AbilityID],RawOfficer[Tag_GroupArmadas])</f>
        <v>➖</v>
      </c>
      <c r="L386" s="516" t="str">
        <f t="array" ref="L386">XLOOKUP(LCARS_Off[AbilityID],RawOfficer[AbilityID],RawOfficer[Tag_SoloArmadas])</f>
        <v>➖</v>
      </c>
      <c r="M386" s="516" t="str">
        <f t="array" ref="M386">XLOOKUP(LCARS_Off[AbilityID],RawOfficer[AbilityID],RawOfficer[Tag_InvadingEntities])</f>
        <v>➖</v>
      </c>
      <c r="N386" s="516" t="str">
        <f t="array" ref="N386">XLOOKUP(LCARS_Off[AbilityID],RawOfficer[AbilityID],RawOfficer[Tag_Assaults])</f>
        <v>➖</v>
      </c>
      <c r="O386" s="516" t="str">
        <f t="array" ref="O386">XLOOKUP(LCARS_Off[AbilityID],RawOfficer[AbilityID],RawOfficer[Tag_OutpostArmadas])</f>
        <v>➖</v>
      </c>
      <c r="P386" s="516" t="str">
        <f t="array" ref="P386">XLOOKUP(LCARS_Off[AbilityID],RawOfficer[AbilityID],RawOfficer[Tag_OutpostRetaliators])</f>
        <v>➖</v>
      </c>
      <c r="Q386" s="517" t="str">
        <f t="array" ref="Q386">XLOOKUP(LCARS_Off[AbilityID],RawOfficer[AbilityID],RawOfficer[Conditional_Reason])</f>
        <v/>
      </c>
      <c r="R386" s="518" t="str">
        <f t="array" ref="R386">XLOOKUP(LCARS_Off[AbilityID],RawOfficer[AbilityID],RawOfficer[Tag_Loot])</f>
        <v>➖</v>
      </c>
      <c r="S386" s="516" t="str">
        <f t="array" ref="S386">XLOOKUP(LCARS_Off[AbilityID],RawOfficer[AbilityID],RawOfficer[Tag_Utility])</f>
        <v>➖</v>
      </c>
      <c r="T386" s="429" t="str">
        <f t="array" ref="T386">XLOOKUP(LCARS_Off[AbilityID],RawOfficer[AbilityID],RawOfficer[OfficerSynergy])</f>
        <v>PICARD</v>
      </c>
      <c r="U386" s="519" t="str">
        <f t="array" ref="U386">XLOOKUP(LCARS_Off[AbilityID],RawOfficer[AbilityID],RawOfficer[AbilityModifier])</f>
        <v>CritDamage</v>
      </c>
      <c r="V386" s="519" t="str">
        <f t="array" ref="V386">XLOOKUP(LCARS_Off[AbilityID],RawOfficer[AbilityID],RawOfficer[AbilityAttributes])</f>
        <v/>
      </c>
      <c r="W386" s="520" t="str">
        <f t="array" ref="W386">XLOOKUP(LCARS_Off[AbilityID],RawOfficer[AbilityID],RawOfficer[AbilityConditions])</f>
        <v>EnemyHostile, TargetNotArmada</v>
      </c>
      <c r="X386" s="519" t="str">
        <f t="array" ref="X386">XLOOKUP(LCARS_Off[AbilityID],RawOfficer[AbilityID],RawOfficer[AbilityTrigger])</f>
        <v>HullDamageTaken</v>
      </c>
      <c r="Y386" s="519" t="str">
        <f t="array" ref="Y386">XLOOKUP(LCARS_Off[AbilityID],RawOfficer[AbilityID],RawOfficer[AbilityTarget])</f>
        <v>SelfShip</v>
      </c>
      <c r="Z386" s="519" t="str">
        <f t="array" ref="Z386">XLOOKUP(LCARS_Off[AbilityID],RawOfficer[AbilityID],RawOfficer[AbilityOperation])</f>
        <v>Add</v>
      </c>
      <c r="AA386" s="521" t="str">
        <f t="array" ref="AA386">XLOOKUP(LCARS_Off[AbilityID],RawOfficer[AbilityID],RawOfficer[AbilityDescription])</f>
        <v>Increases Critical Hit Damage by X every time your ship is hit by an attack while fighting Non-Armada Hostiles. (Cumulative) (Weapons with multiple shots will only trigger this ability once per attack.)</v>
      </c>
      <c r="AB386" s="429" t="b">
        <v>0</v>
      </c>
      <c r="AC386" s="522" t="str">
        <f t="array" ref="AC386">XLOOKUP(LCARS_Off[AbilityID],RawOfficer[AbilityID],RawOfficer[AbilityDescriptionShort])</f>
        <v>Increases Crit Damage by X when hit by a Non-Armada Hostile. (Cumulative)</v>
      </c>
      <c r="AD386" s="523"/>
      <c r="AE386" s="524"/>
      <c r="AF386" s="524"/>
      <c r="AG386" s="525" t="str">
        <f t="array" ref="AG386">XLOOKUP(LCARS_Off[AbilityID],RawOfficer[AbilityID],RawOfficer[AbilityChances])</f>
        <v>1.0, 1.0, 1.0, 1.0, 1.0</v>
      </c>
      <c r="AH386" s="525" t="str">
        <f t="array" ref="AH386">XLOOKUP(LCARS_Off[AbilityID],RawOfficer[AbilityID],RawOfficer[AbilityValues])</f>
        <v>0.03, 0.04, 0.05, 0.06, 0.08</v>
      </c>
      <c r="AI386" s="428" t="b">
        <f t="array" ref="AI386">XLOOKUP(LCARS_Off[AbilityID],RawOfficer[AbilityID],RawOfficer[AbilityHasChance])</f>
        <v>0</v>
      </c>
      <c r="AJ386" s="428" t="b">
        <f t="array" ref="AJ386">XLOOKUP(LCARS_Off[AbilityID],RawOfficer[AbilityID],RawOfficer[AbilityShowPercentage])</f>
        <v>1</v>
      </c>
      <c r="AK386" s="429">
        <f t="array" ref="AK386">XLOOKUP(LCARS_Off[AbilityID],RawOfficer[AbilityID],RawOfficer[OfficerArt])</f>
        <v>238</v>
      </c>
      <c r="AL386" s="430">
        <v>4.013453392E9</v>
      </c>
      <c r="AM386" s="430">
        <f t="array" ref="AM386">XLOOKUP(LCARS_Off[AbilityID],RawOfficer[AbilityID],RawOfficer[Default Order])</f>
        <v>383</v>
      </c>
    </row>
    <row r="387">
      <c r="A387" s="429" t="str">
        <f t="array" ref="A387">LEFT(XLOOKUP(LCARS_Off[AbilityID],RawOfficer[AbilityID],RawOfficer[OfficerRarity]), 1)</f>
        <v>R</v>
      </c>
      <c r="B387" s="429"/>
      <c r="C387" s="514" t="str">
        <f t="array" ref="C387">HYPERLINK("https://stfc.space/officers/" &amp; XLOOKUP(LCARS_Off[AbilityID],RawOfficer[AbilityID],RawOfficer[OfficerId]), XLOOKUP(LCARS_Off[AbilityID],RawOfficer[AbilityID],RawOfficer[OfficerName]))</f>
        <v>PIC BEVERLY CRUSHER</v>
      </c>
      <c r="D387" s="515" t="str">
        <f t="array" ref="D387">XLOOKUP(LCARS_Off[AbilityID],RawOfficer[AbilityID],RawOfficer[AbilityType])</f>
        <v>BDA</v>
      </c>
      <c r="E387" s="516" t="str">
        <f t="array" ref="E387">XLOOKUP(LCARS_Off[AbilityID],RawOfficer[AbilityID],RawOfficer[Tag_PvPinSpace])</f>
        <v>➖</v>
      </c>
      <c r="F387" s="516" t="str">
        <f t="array" ref="F387">XLOOKUP(LCARS_Off[AbilityID],RawOfficer[AbilityID],RawOfficer[Tag_PvPStation])</f>
        <v>➖</v>
      </c>
      <c r="G387" s="516" t="str">
        <f t="array" ref="G387">XLOOKUP(LCARS_Off[AbilityID],RawOfficer[AbilityID],RawOfficer[Tag_NonArmadaHostiles])</f>
        <v>✴️</v>
      </c>
      <c r="H387" s="516" t="str">
        <f t="array" ref="H387">XLOOKUP(LCARS_Off[AbilityID],RawOfficer[AbilityID],RawOfficer[Tag_WaveDefense])</f>
        <v>➖</v>
      </c>
      <c r="I387" s="516" t="str">
        <f t="array" ref="I387">XLOOKUP(LCARS_Off[AbilityID],RawOfficer[AbilityID],RawOfficer[Tag_QTrial])</f>
        <v>➖</v>
      </c>
      <c r="J387" s="516" t="str">
        <f t="array" ref="J387">XLOOKUP(LCARS_Off[AbilityID],RawOfficer[AbilityID],RawOfficer[Tag_MissionBosses])</f>
        <v>➖</v>
      </c>
      <c r="K387" s="516" t="str">
        <f t="array" ref="K387">XLOOKUP(LCARS_Off[AbilityID],RawOfficer[AbilityID],RawOfficer[Tag_GroupArmadas])</f>
        <v>➖</v>
      </c>
      <c r="L387" s="516" t="str">
        <f t="array" ref="L387">XLOOKUP(LCARS_Off[AbilityID],RawOfficer[AbilityID],RawOfficer[Tag_SoloArmadas])</f>
        <v>➖</v>
      </c>
      <c r="M387" s="516" t="str">
        <f t="array" ref="M387">XLOOKUP(LCARS_Off[AbilityID],RawOfficer[AbilityID],RawOfficer[Tag_InvadingEntities])</f>
        <v>➖</v>
      </c>
      <c r="N387" s="516" t="str">
        <f t="array" ref="N387">XLOOKUP(LCARS_Off[AbilityID],RawOfficer[AbilityID],RawOfficer[Tag_Assaults])</f>
        <v>➖</v>
      </c>
      <c r="O387" s="516" t="str">
        <f t="array" ref="O387">XLOOKUP(LCARS_Off[AbilityID],RawOfficer[AbilityID],RawOfficer[Tag_OutpostArmadas])</f>
        <v>➖</v>
      </c>
      <c r="P387" s="516" t="str">
        <f t="array" ref="P387">XLOOKUP(LCARS_Off[AbilityID],RawOfficer[AbilityID],RawOfficer[Tag_OutpostRetaliators])</f>
        <v>➖</v>
      </c>
      <c r="Q387" s="517" t="str">
        <f t="array" ref="Q387">XLOOKUP(LCARS_Off[AbilityID],RawOfficer[AbilityID],RawOfficer[Conditional_Reason])</f>
        <v>BrokenShipPartsLoot</v>
      </c>
      <c r="R387" s="518" t="str">
        <f t="array" ref="R387">XLOOKUP(LCARS_Off[AbilityID],RawOfficer[AbilityID],RawOfficer[Tag_Loot])</f>
        <v>✅</v>
      </c>
      <c r="S387" s="516" t="str">
        <f t="array" ref="S387">XLOOKUP(LCARS_Off[AbilityID],RawOfficer[AbilityID],RawOfficer[Tag_Utility])</f>
        <v>➖</v>
      </c>
      <c r="T387" s="429" t="str">
        <f t="array" ref="T387">XLOOKUP(LCARS_Off[AbilityID],RawOfficer[AbilityID],RawOfficer[OfficerSynergy])</f>
        <v>PICARD</v>
      </c>
      <c r="U387" s="519" t="str">
        <f t="array" ref="U387">XLOOKUP(LCARS_Off[AbilityID],RawOfficer[AbilityID],RawOfficer[AbilityModifier])</f>
        <v>BrokenShipPartsLoot</v>
      </c>
      <c r="V387" s="519" t="str">
        <f t="array" ref="V387">XLOOKUP(LCARS_Off[AbilityID],RawOfficer[AbilityID],RawOfficer[AbilityAttributes])</f>
        <v/>
      </c>
      <c r="W387" s="520" t="str">
        <f t="array" ref="W387">XLOOKUP(LCARS_Off[AbilityID],RawOfficer[AbilityID],RawOfficer[AbilityConditions])</f>
        <v/>
      </c>
      <c r="X387" s="519" t="str">
        <f t="array" ref="X387">XLOOKUP(LCARS_Off[AbilityID],RawOfficer[AbilityID],RawOfficer[AbilityTrigger])</f>
        <v>ShipLaunched</v>
      </c>
      <c r="Y387" s="519" t="str">
        <f t="array" ref="Y387">XLOOKUP(LCARS_Off[AbilityID],RawOfficer[AbilityID],RawOfficer[AbilityTarget])</f>
        <v>SelfShip</v>
      </c>
      <c r="Z387" s="519" t="str">
        <f t="array" ref="Z387">XLOOKUP(LCARS_Off[AbilityID],RawOfficer[AbilityID],RawOfficer[AbilityOperation])</f>
        <v>MultiplyAdd</v>
      </c>
      <c r="AA387" s="521" t="str">
        <f t="array" ref="AA387">XLOOKUP(LCARS_Off[AbilityID],RawOfficer[AbilityID],RawOfficer[AbilityDescription])</f>
        <v>Beverly increases the amount of Broken Parts you get from killing hostiles by X.</v>
      </c>
      <c r="AB387" s="429" t="b">
        <v>0</v>
      </c>
      <c r="AC387" s="522" t="str">
        <f t="array" ref="AC387">XLOOKUP(LCARS_Off[AbilityID],RawOfficer[AbilityID],RawOfficer[AbilityDescriptionShort])</f>
        <v>Increase the amount of Broken Parts you get from killing hostiles by X.</v>
      </c>
      <c r="AD387" s="523"/>
      <c r="AE387" s="524"/>
      <c r="AF387" s="524"/>
      <c r="AG387" s="525" t="str">
        <f t="array" ref="AG387">XLOOKUP(LCARS_Off[AbilityID],RawOfficer[AbilityID],RawOfficer[AbilityChances])</f>
        <v>1.0, 1.0, 1.0, 1.0, 1.0</v>
      </c>
      <c r="AH387" s="525" t="str">
        <f t="array" ref="AH387">XLOOKUP(LCARS_Off[AbilityID],RawOfficer[AbilityID],RawOfficer[AbilityValues])</f>
        <v>0.1, 0.15, 0.2, 0.3, 0.5</v>
      </c>
      <c r="AI387" s="428" t="b">
        <f t="array" ref="AI387">XLOOKUP(LCARS_Off[AbilityID],RawOfficer[AbilityID],RawOfficer[AbilityHasChance])</f>
        <v>0</v>
      </c>
      <c r="AJ387" s="428" t="b">
        <f t="array" ref="AJ387">XLOOKUP(LCARS_Off[AbilityID],RawOfficer[AbilityID],RawOfficer[AbilityShowPercentage])</f>
        <v>1</v>
      </c>
      <c r="AK387" s="429">
        <f t="array" ref="AK387">XLOOKUP(LCARS_Off[AbilityID],RawOfficer[AbilityID],RawOfficer[OfficerArt])</f>
        <v>238</v>
      </c>
      <c r="AL387" s="430">
        <v>3.142924865E9</v>
      </c>
      <c r="AM387" s="430">
        <f t="array" ref="AM387">XLOOKUP(LCARS_Off[AbilityID],RawOfficer[AbilityID],RawOfficer[Default Order])</f>
        <v>384</v>
      </c>
    </row>
    <row r="388">
      <c r="A388" s="429" t="str">
        <f t="array" ref="A388">LEFT(XLOOKUP(LCARS_Off[AbilityID],RawOfficer[AbilityID],RawOfficer[OfficerRarity]), 1)</f>
        <v>E</v>
      </c>
      <c r="B388" s="429"/>
      <c r="C388" s="514" t="str">
        <f t="array" ref="C388">HYPERLINK("https://stfc.space/officers/" &amp; XLOOKUP(LCARS_Off[AbilityID],RawOfficer[AbilityID],RawOfficer[OfficerId]), XLOOKUP(LCARS_Off[AbilityID],RawOfficer[AbilityID],RawOfficer[OfficerName]))</f>
        <v>PIC WORF</v>
      </c>
      <c r="D388" s="515" t="str">
        <f t="array" ref="D388">XLOOKUP(LCARS_Off[AbilityID],RawOfficer[AbilityID],RawOfficer[AbilityType])</f>
        <v>CM</v>
      </c>
      <c r="E388" s="516" t="str">
        <f t="array" ref="E388">XLOOKUP(LCARS_Off[AbilityID],RawOfficer[AbilityID],RawOfficer[Tag_PvPinSpace])</f>
        <v>✅</v>
      </c>
      <c r="F388" s="516" t="str">
        <f t="array" ref="F388">XLOOKUP(LCARS_Off[AbilityID],RawOfficer[AbilityID],RawOfficer[Tag_PvPStation])</f>
        <v>✅</v>
      </c>
      <c r="G388" s="516" t="str">
        <f t="array" ref="G388">XLOOKUP(LCARS_Off[AbilityID],RawOfficer[AbilityID],RawOfficer[Tag_NonArmadaHostiles])</f>
        <v>➖</v>
      </c>
      <c r="H388" s="516" t="str">
        <f t="array" ref="H388">XLOOKUP(LCARS_Off[AbilityID],RawOfficer[AbilityID],RawOfficer[Tag_WaveDefense])</f>
        <v>➖</v>
      </c>
      <c r="I388" s="516" t="str">
        <f t="array" ref="I388">XLOOKUP(LCARS_Off[AbilityID],RawOfficer[AbilityID],RawOfficer[Tag_QTrial])</f>
        <v>➖</v>
      </c>
      <c r="J388" s="516" t="str">
        <f t="array" ref="J388">XLOOKUP(LCARS_Off[AbilityID],RawOfficer[AbilityID],RawOfficer[Tag_MissionBosses])</f>
        <v>➖</v>
      </c>
      <c r="K388" s="516" t="str">
        <f t="array" ref="K388">XLOOKUP(LCARS_Off[AbilityID],RawOfficer[AbilityID],RawOfficer[Tag_GroupArmadas])</f>
        <v>➖</v>
      </c>
      <c r="L388" s="516" t="str">
        <f t="array" ref="L388">XLOOKUP(LCARS_Off[AbilityID],RawOfficer[AbilityID],RawOfficer[Tag_SoloArmadas])</f>
        <v>➖</v>
      </c>
      <c r="M388" s="516" t="str">
        <f t="array" ref="M388">XLOOKUP(LCARS_Off[AbilityID],RawOfficer[AbilityID],RawOfficer[Tag_InvadingEntities])</f>
        <v>➖</v>
      </c>
      <c r="N388" s="516" t="str">
        <f t="array" ref="N388">XLOOKUP(LCARS_Off[AbilityID],RawOfficer[AbilityID],RawOfficer[Tag_Assaults])</f>
        <v>➖</v>
      </c>
      <c r="O388" s="516" t="str">
        <f t="array" ref="O388">XLOOKUP(LCARS_Off[AbilityID],RawOfficer[AbilityID],RawOfficer[Tag_OutpostArmadas])</f>
        <v>➖</v>
      </c>
      <c r="P388" s="516" t="str">
        <f t="array" ref="P388">XLOOKUP(LCARS_Off[AbilityID],RawOfficer[AbilityID],RawOfficer[Tag_OutpostRetaliators])</f>
        <v>➖</v>
      </c>
      <c r="Q388" s="517" t="str">
        <f t="array" ref="Q388">XLOOKUP(LCARS_Off[AbilityID],RawOfficer[AbilityID],RawOfficer[Conditional_Reason])</f>
        <v/>
      </c>
      <c r="R388" s="518" t="str">
        <f t="array" ref="R388">XLOOKUP(LCARS_Off[AbilityID],RawOfficer[AbilityID],RawOfficer[Tag_Loot])</f>
        <v>➖</v>
      </c>
      <c r="S388" s="516" t="str">
        <f t="array" ref="S388">XLOOKUP(LCARS_Off[AbilityID],RawOfficer[AbilityID],RawOfficer[Tag_Utility])</f>
        <v>➖</v>
      </c>
      <c r="T388" s="429" t="str">
        <f t="array" ref="T388">XLOOKUP(LCARS_Off[AbilityID],RawOfficer[AbilityID],RawOfficer[OfficerSynergy])</f>
        <v>PICARD</v>
      </c>
      <c r="U388" s="519" t="str">
        <f t="array" ref="U388">XLOOKUP(LCARS_Off[AbilityID],RawOfficer[AbilityID],RawOfficer[AbilityModifier])</f>
        <v>AddState</v>
      </c>
      <c r="V388" s="519" t="str">
        <f t="array" ref="V388">XLOOKUP(LCARS_Off[AbilityID],RawOfficer[AbilityID],RawOfficer[AbilityAttributes])</f>
        <v>num_rounds=3, state=4</v>
      </c>
      <c r="W388" s="520" t="str">
        <f t="array" ref="W388">XLOOKUP(LCARS_Off[AbilityID],RawOfficer[AbilityID],RawOfficer[AbilityConditions])</f>
        <v>EnemyPlayer</v>
      </c>
      <c r="X388" s="519" t="str">
        <f t="array" ref="X388">XLOOKUP(LCARS_Off[AbilityID],RawOfficer[AbilityID],RawOfficer[AbilityTrigger])</f>
        <v>RoundStart</v>
      </c>
      <c r="Y388" s="519" t="str">
        <f t="array" ref="Y388">XLOOKUP(LCARS_Off[AbilityID],RawOfficer[AbilityID],RawOfficer[AbilityTarget])</f>
        <v>EnemyShip</v>
      </c>
      <c r="Z388" s="519" t="str">
        <f t="array" ref="Z388">XLOOKUP(LCARS_Off[AbilityID],RawOfficer[AbilityID],RawOfficer[AbilityOperation])</f>
        <v>MultiplyAdd</v>
      </c>
      <c r="AA388" s="521" t="str">
        <f t="array" ref="AA388">XLOOKUP(LCARS_Off[AbilityID],RawOfficer[AbilityID],RawOfficer[AbilityDescription])</f>
        <v>At the start of a round, Worf has X chance to apply Hull Breach for 3 rounds against player ships.</v>
      </c>
      <c r="AB388" s="429" t="b">
        <v>0</v>
      </c>
      <c r="AC388" s="522" t="str">
        <f t="array" ref="AC388">XLOOKUP(LCARS_Off[AbilityID],RawOfficer[AbilityID],RawOfficer[AbilityDescriptionShort])</f>
        <v>Each round, X chance to apply Hull Breach for 3 rounds against player ships.</v>
      </c>
      <c r="AD388" s="523"/>
      <c r="AE388" s="524"/>
      <c r="AF388" s="524"/>
      <c r="AG388" s="525" t="str">
        <f t="array" ref="AG388">XLOOKUP(LCARS_Off[AbilityID],RawOfficer[AbilityID],RawOfficer[AbilityChances])</f>
        <v>0.9, 0.01, 0.05</v>
      </c>
      <c r="AH388" s="525" t="str">
        <f t="array" ref="AH388">XLOOKUP(LCARS_Off[AbilityID],RawOfficer[AbilityID],RawOfficer[AbilityValues])</f>
        <v>1.0, 1.0, 1.0</v>
      </c>
      <c r="AI388" s="428" t="b">
        <f t="array" ref="AI388">XLOOKUP(LCARS_Off[AbilityID],RawOfficer[AbilityID],RawOfficer[AbilityHasChance])</f>
        <v>1</v>
      </c>
      <c r="AJ388" s="428" t="b">
        <f t="array" ref="AJ388">XLOOKUP(LCARS_Off[AbilityID],RawOfficer[AbilityID],RawOfficer[AbilityShowPercentage])</f>
        <v>1</v>
      </c>
      <c r="AK388" s="429">
        <f t="array" ref="AK388">XLOOKUP(LCARS_Off[AbilityID],RawOfficer[AbilityID],RawOfficer[OfficerArt])</f>
        <v>240</v>
      </c>
      <c r="AL388" s="430">
        <v>4.9650777E8</v>
      </c>
      <c r="AM388" s="430">
        <f t="array" ref="AM388">XLOOKUP(LCARS_Off[AbilityID],RawOfficer[AbilityID],RawOfficer[Default Order])</f>
        <v>385</v>
      </c>
    </row>
    <row r="389">
      <c r="A389" s="429" t="str">
        <f t="array" ref="A389">LEFT(XLOOKUP(LCARS_Off[AbilityID],RawOfficer[AbilityID],RawOfficer[OfficerRarity]), 1)</f>
        <v>E</v>
      </c>
      <c r="B389" s="429"/>
      <c r="C389" s="514" t="str">
        <f t="array" ref="C389">HYPERLINK("https://stfc.space/officers/" &amp; XLOOKUP(LCARS_Off[AbilityID],RawOfficer[AbilityID],RawOfficer[OfficerId]), XLOOKUP(LCARS_Off[AbilityID],RawOfficer[AbilityID],RawOfficer[OfficerName]))</f>
        <v>PIC WORF</v>
      </c>
      <c r="D389" s="515" t="str">
        <f t="array" ref="D389">XLOOKUP(LCARS_Off[AbilityID],RawOfficer[AbilityID],RawOfficer[AbilityType])</f>
        <v>OA</v>
      </c>
      <c r="E389" s="516" t="str">
        <f t="array" ref="E389">XLOOKUP(LCARS_Off[AbilityID],RawOfficer[AbilityID],RawOfficer[Tag_PvPinSpace])</f>
        <v>✴️</v>
      </c>
      <c r="F389" s="516" t="str">
        <f t="array" ref="F389">XLOOKUP(LCARS_Off[AbilityID],RawOfficer[AbilityID],RawOfficer[Tag_PvPStation])</f>
        <v>✴️</v>
      </c>
      <c r="G389" s="516" t="str">
        <f t="array" ref="G389">XLOOKUP(LCARS_Off[AbilityID],RawOfficer[AbilityID],RawOfficer[Tag_NonArmadaHostiles])</f>
        <v>➖</v>
      </c>
      <c r="H389" s="516" t="str">
        <f t="array" ref="H389">XLOOKUP(LCARS_Off[AbilityID],RawOfficer[AbilityID],RawOfficer[Tag_WaveDefense])</f>
        <v>➖</v>
      </c>
      <c r="I389" s="516" t="str">
        <f t="array" ref="I389">XLOOKUP(LCARS_Off[AbilityID],RawOfficer[AbilityID],RawOfficer[Tag_QTrial])</f>
        <v>➖</v>
      </c>
      <c r="J389" s="516" t="str">
        <f t="array" ref="J389">XLOOKUP(LCARS_Off[AbilityID],RawOfficer[AbilityID],RawOfficer[Tag_MissionBosses])</f>
        <v>➖</v>
      </c>
      <c r="K389" s="516" t="str">
        <f t="array" ref="K389">XLOOKUP(LCARS_Off[AbilityID],RawOfficer[AbilityID],RawOfficer[Tag_GroupArmadas])</f>
        <v>➖</v>
      </c>
      <c r="L389" s="516" t="str">
        <f t="array" ref="L389">XLOOKUP(LCARS_Off[AbilityID],RawOfficer[AbilityID],RawOfficer[Tag_SoloArmadas])</f>
        <v>➖</v>
      </c>
      <c r="M389" s="516" t="str">
        <f t="array" ref="M389">XLOOKUP(LCARS_Off[AbilityID],RawOfficer[AbilityID],RawOfficer[Tag_InvadingEntities])</f>
        <v>➖</v>
      </c>
      <c r="N389" s="516" t="str">
        <f t="array" ref="N389">XLOOKUP(LCARS_Off[AbilityID],RawOfficer[AbilityID],RawOfficer[Tag_Assaults])</f>
        <v>➖</v>
      </c>
      <c r="O389" s="516" t="str">
        <f t="array" ref="O389">XLOOKUP(LCARS_Off[AbilityID],RawOfficer[AbilityID],RawOfficer[Tag_OutpostArmadas])</f>
        <v>➖</v>
      </c>
      <c r="P389" s="516" t="str">
        <f t="array" ref="P389">XLOOKUP(LCARS_Off[AbilityID],RawOfficer[AbilityID],RawOfficer[Tag_OutpostRetaliators])</f>
        <v>➖</v>
      </c>
      <c r="Q389" s="517" t="str">
        <f t="array" ref="Q389">XLOOKUP(LCARS_Off[AbilityID],RawOfficer[AbilityID],RawOfficer[Conditional_Reason])</f>
        <v>EnemyInterceptor</v>
      </c>
      <c r="R389" s="518" t="str">
        <f t="array" ref="R389">XLOOKUP(LCARS_Off[AbilityID],RawOfficer[AbilityID],RawOfficer[Tag_Loot])</f>
        <v>➖</v>
      </c>
      <c r="S389" s="516" t="str">
        <f t="array" ref="S389">XLOOKUP(LCARS_Off[AbilityID],RawOfficer[AbilityID],RawOfficer[Tag_Utility])</f>
        <v>➖</v>
      </c>
      <c r="T389" s="429" t="str">
        <f t="array" ref="T389">XLOOKUP(LCARS_Off[AbilityID],RawOfficer[AbilityID],RawOfficer[OfficerSynergy])</f>
        <v>PICARD</v>
      </c>
      <c r="U389" s="519" t="str">
        <f t="array" ref="U389">XLOOKUP(LCARS_Off[AbilityID],RawOfficer[AbilityID],RawOfficer[AbilityModifier])</f>
        <v>AllDamage</v>
      </c>
      <c r="V389" s="519" t="str">
        <f t="array" ref="V389">XLOOKUP(LCARS_Off[AbilityID],RawOfficer[AbilityID],RawOfficer[AbilityAttributes])</f>
        <v/>
      </c>
      <c r="W389" s="520" t="str">
        <f t="array" ref="W389">XLOOKUP(LCARS_Off[AbilityID],RawOfficer[AbilityID],RawOfficer[AbilityConditions])</f>
        <v>EnemyPlayer, EnemyInterceptor</v>
      </c>
      <c r="X389" s="519" t="str">
        <f t="array" ref="X389">XLOOKUP(LCARS_Off[AbilityID],RawOfficer[AbilityID],RawOfficer[AbilityTrigger])</f>
        <v>CombatStart</v>
      </c>
      <c r="Y389" s="519" t="str">
        <f t="array" ref="Y389">XLOOKUP(LCARS_Off[AbilityID],RawOfficer[AbilityID],RawOfficer[AbilityTarget])</f>
        <v>SelfShip</v>
      </c>
      <c r="Z389" s="519" t="str">
        <f t="array" ref="Z389">XLOOKUP(LCARS_Off[AbilityID],RawOfficer[AbilityID],RawOfficer[AbilityOperation])</f>
        <v>MultiplyAdd</v>
      </c>
      <c r="AA389" s="521" t="str">
        <f t="array" ref="AA389">XLOOKUP(LCARS_Off[AbilityID],RawOfficer[AbilityID],RawOfficer[AbilityDescription])</f>
        <v>Worf increases your ship base Weapon Damage by X on combat start against a player Interceptor for the duration of combat.</v>
      </c>
      <c r="AB389" s="429" t="b">
        <v>0</v>
      </c>
      <c r="AC389" s="522" t="str">
        <f t="array" ref="AC389">XLOOKUP(LCARS_Off[AbilityID],RawOfficer[AbilityID],RawOfficer[AbilityDescriptionShort])</f>
        <v>Increases your ship base Weapon Damage by X on combat start against a player Interceptor.</v>
      </c>
      <c r="AD389" s="523"/>
      <c r="AE389" s="524"/>
      <c r="AF389" s="524"/>
      <c r="AG389" s="525" t="str">
        <f t="array" ref="AG389">XLOOKUP(LCARS_Off[AbilityID],RawOfficer[AbilityID],RawOfficer[AbilityChances])</f>
        <v>1.0, 1.0, 1.0, 1.0, 1.0</v>
      </c>
      <c r="AH389" s="525" t="str">
        <f t="array" ref="AH389">XLOOKUP(LCARS_Off[AbilityID],RawOfficer[AbilityID],RawOfficer[AbilityValues])</f>
        <v>5.0, 9.0, 15.0, 22.0, 30.0</v>
      </c>
      <c r="AI389" s="428" t="b">
        <f t="array" ref="AI389">XLOOKUP(LCARS_Off[AbilityID],RawOfficer[AbilityID],RawOfficer[AbilityHasChance])</f>
        <v>0</v>
      </c>
      <c r="AJ389" s="428" t="b">
        <f t="array" ref="AJ389">XLOOKUP(LCARS_Off[AbilityID],RawOfficer[AbilityID],RawOfficer[AbilityShowPercentage])</f>
        <v>1</v>
      </c>
      <c r="AK389" s="429">
        <f t="array" ref="AK389">XLOOKUP(LCARS_Off[AbilityID],RawOfficer[AbilityID],RawOfficer[OfficerArt])</f>
        <v>240</v>
      </c>
      <c r="AL389" s="430">
        <v>2.175948376E9</v>
      </c>
      <c r="AM389" s="430">
        <f t="array" ref="AM389">XLOOKUP(LCARS_Off[AbilityID],RawOfficer[AbilityID],RawOfficer[Default Order])</f>
        <v>386</v>
      </c>
    </row>
    <row r="390">
      <c r="A390" s="429" t="str">
        <f t="array" ref="A390">LEFT(XLOOKUP(LCARS_Off[AbilityID],RawOfficer[AbilityID],RawOfficer[OfficerRarity]), 1)</f>
        <v>E</v>
      </c>
      <c r="B390" s="429"/>
      <c r="C390" s="514" t="str">
        <f t="array" ref="C390">HYPERLINK("https://stfc.space/officers/" &amp; XLOOKUP(LCARS_Off[AbilityID],RawOfficer[AbilityID],RawOfficer[OfficerId]), XLOOKUP(LCARS_Off[AbilityID],RawOfficer[AbilityID],RawOfficer[OfficerName]))</f>
        <v>PIC RIKER</v>
      </c>
      <c r="D390" s="515" t="str">
        <f t="array" ref="D390">XLOOKUP(LCARS_Off[AbilityID],RawOfficer[AbilityID],RawOfficer[AbilityType])</f>
        <v>CM</v>
      </c>
      <c r="E390" s="516" t="str">
        <f t="array" ref="E390">XLOOKUP(LCARS_Off[AbilityID],RawOfficer[AbilityID],RawOfficer[Tag_PvPinSpace])</f>
        <v>✅</v>
      </c>
      <c r="F390" s="516" t="str">
        <f t="array" ref="F390">XLOOKUP(LCARS_Off[AbilityID],RawOfficer[AbilityID],RawOfficer[Tag_PvPStation])</f>
        <v>✅</v>
      </c>
      <c r="G390" s="516" t="str">
        <f t="array" ref="G390">XLOOKUP(LCARS_Off[AbilityID],RawOfficer[AbilityID],RawOfficer[Tag_NonArmadaHostiles])</f>
        <v>➖</v>
      </c>
      <c r="H390" s="516" t="str">
        <f t="array" ref="H390">XLOOKUP(LCARS_Off[AbilityID],RawOfficer[AbilityID],RawOfficer[Tag_WaveDefense])</f>
        <v>➖</v>
      </c>
      <c r="I390" s="516" t="str">
        <f t="array" ref="I390">XLOOKUP(LCARS_Off[AbilityID],RawOfficer[AbilityID],RawOfficer[Tag_QTrial])</f>
        <v>➖</v>
      </c>
      <c r="J390" s="516" t="str">
        <f t="array" ref="J390">XLOOKUP(LCARS_Off[AbilityID],RawOfficer[AbilityID],RawOfficer[Tag_MissionBosses])</f>
        <v>➖</v>
      </c>
      <c r="K390" s="516" t="str">
        <f t="array" ref="K390">XLOOKUP(LCARS_Off[AbilityID],RawOfficer[AbilityID],RawOfficer[Tag_GroupArmadas])</f>
        <v>➖</v>
      </c>
      <c r="L390" s="516" t="str">
        <f t="array" ref="L390">XLOOKUP(LCARS_Off[AbilityID],RawOfficer[AbilityID],RawOfficer[Tag_SoloArmadas])</f>
        <v>➖</v>
      </c>
      <c r="M390" s="516" t="str">
        <f t="array" ref="M390">XLOOKUP(LCARS_Off[AbilityID],RawOfficer[AbilityID],RawOfficer[Tag_InvadingEntities])</f>
        <v>➖</v>
      </c>
      <c r="N390" s="516" t="str">
        <f t="array" ref="N390">XLOOKUP(LCARS_Off[AbilityID],RawOfficer[AbilityID],RawOfficer[Tag_Assaults])</f>
        <v>➖</v>
      </c>
      <c r="O390" s="516" t="str">
        <f t="array" ref="O390">XLOOKUP(LCARS_Off[AbilityID],RawOfficer[AbilityID],RawOfficer[Tag_OutpostArmadas])</f>
        <v>➖</v>
      </c>
      <c r="P390" s="516" t="str">
        <f t="array" ref="P390">XLOOKUP(LCARS_Off[AbilityID],RawOfficer[AbilityID],RawOfficer[Tag_OutpostRetaliators])</f>
        <v>➖</v>
      </c>
      <c r="Q390" s="517" t="str">
        <f t="array" ref="Q390">XLOOKUP(LCARS_Off[AbilityID],RawOfficer[AbilityID],RawOfficer[Conditional_Reason])</f>
        <v/>
      </c>
      <c r="R390" s="518" t="str">
        <f t="array" ref="R390">XLOOKUP(LCARS_Off[AbilityID],RawOfficer[AbilityID],RawOfficer[Tag_Loot])</f>
        <v>➖</v>
      </c>
      <c r="S390" s="516" t="str">
        <f t="array" ref="S390">XLOOKUP(LCARS_Off[AbilityID],RawOfficer[AbilityID],RawOfficer[Tag_Utility])</f>
        <v>➖</v>
      </c>
      <c r="T390" s="429" t="str">
        <f t="array" ref="T390">XLOOKUP(LCARS_Off[AbilityID],RawOfficer[AbilityID],RawOfficer[OfficerSynergy])</f>
        <v>PICARD</v>
      </c>
      <c r="U390" s="519" t="str">
        <f t="array" ref="U390">XLOOKUP(LCARS_Off[AbilityID],RawOfficer[AbilityID],RawOfficer[AbilityModifier])</f>
        <v>AddState</v>
      </c>
      <c r="V390" s="519" t="str">
        <f t="array" ref="V390">XLOOKUP(LCARS_Off[AbilityID],RawOfficer[AbilityID],RawOfficer[AbilityAttributes])</f>
        <v>num_rounds=3, state=2</v>
      </c>
      <c r="W390" s="520" t="str">
        <f t="array" ref="W390">XLOOKUP(LCARS_Off[AbilityID],RawOfficer[AbilityID],RawOfficer[AbilityConditions])</f>
        <v>EnemyPlayer</v>
      </c>
      <c r="X390" s="519" t="str">
        <f t="array" ref="X390">XLOOKUP(LCARS_Off[AbilityID],RawOfficer[AbilityID],RawOfficer[AbilityTrigger])</f>
        <v>RoundStart</v>
      </c>
      <c r="Y390" s="519" t="str">
        <f t="array" ref="Y390">XLOOKUP(LCARS_Off[AbilityID],RawOfficer[AbilityID],RawOfficer[AbilityTarget])</f>
        <v>EnemyShip</v>
      </c>
      <c r="Z390" s="519" t="str">
        <f t="array" ref="Z390">XLOOKUP(LCARS_Off[AbilityID],RawOfficer[AbilityID],RawOfficer[AbilityOperation])</f>
        <v>MultiplyAdd</v>
      </c>
      <c r="AA390" s="521" t="str">
        <f t="array" ref="AA390">XLOOKUP(LCARS_Off[AbilityID],RawOfficer[AbilityID],RawOfficer[AbilityDescription])</f>
        <v>At the start of a round, Riker has X chance to apply Burning for 3 rounds against player ships.</v>
      </c>
      <c r="AB390" s="429" t="b">
        <v>0</v>
      </c>
      <c r="AC390" s="522" t="str">
        <f t="array" ref="AC390">XLOOKUP(LCARS_Off[AbilityID],RawOfficer[AbilityID],RawOfficer[AbilityDescriptionShort])</f>
        <v>Each round, X chance to apply Burning for 3 rounds against player ships.</v>
      </c>
      <c r="AD390" s="523"/>
      <c r="AE390" s="524"/>
      <c r="AF390" s="524"/>
      <c r="AG390" s="525" t="str">
        <f t="array" ref="AG390">XLOOKUP(LCARS_Off[AbilityID],RawOfficer[AbilityID],RawOfficer[AbilityChances])</f>
        <v>0.9, 0.01, 0.05</v>
      </c>
      <c r="AH390" s="525" t="str">
        <f t="array" ref="AH390">XLOOKUP(LCARS_Off[AbilityID],RawOfficer[AbilityID],RawOfficer[AbilityValues])</f>
        <v>1.0, 1.0, 1.0</v>
      </c>
      <c r="AI390" s="428" t="b">
        <f t="array" ref="AI390">XLOOKUP(LCARS_Off[AbilityID],RawOfficer[AbilityID],RawOfficer[AbilityHasChance])</f>
        <v>1</v>
      </c>
      <c r="AJ390" s="428" t="b">
        <f t="array" ref="AJ390">XLOOKUP(LCARS_Off[AbilityID],RawOfficer[AbilityID],RawOfficer[AbilityShowPercentage])</f>
        <v>1</v>
      </c>
      <c r="AK390" s="429">
        <f t="array" ref="AK390">XLOOKUP(LCARS_Off[AbilityID],RawOfficer[AbilityID],RawOfficer[OfficerArt])</f>
        <v>239</v>
      </c>
      <c r="AL390" s="430">
        <v>3.774366383E9</v>
      </c>
      <c r="AM390" s="430">
        <f t="array" ref="AM390">XLOOKUP(LCARS_Off[AbilityID],RawOfficer[AbilityID],RawOfficer[Default Order])</f>
        <v>387</v>
      </c>
    </row>
    <row r="391">
      <c r="A391" s="429" t="str">
        <f t="array" ref="A391">LEFT(XLOOKUP(LCARS_Off[AbilityID],RawOfficer[AbilityID],RawOfficer[OfficerRarity]), 1)</f>
        <v>E</v>
      </c>
      <c r="B391" s="429"/>
      <c r="C391" s="514" t="str">
        <f t="array" ref="C391">HYPERLINK("https://stfc.space/officers/" &amp; XLOOKUP(LCARS_Off[AbilityID],RawOfficer[AbilityID],RawOfficer[OfficerId]), XLOOKUP(LCARS_Off[AbilityID],RawOfficer[AbilityID],RawOfficer[OfficerName]))</f>
        <v>PIC RIKER</v>
      </c>
      <c r="D391" s="515" t="str">
        <f t="array" ref="D391">XLOOKUP(LCARS_Off[AbilityID],RawOfficer[AbilityID],RawOfficer[AbilityType])</f>
        <v>OA</v>
      </c>
      <c r="E391" s="516" t="str">
        <f t="array" ref="E391">XLOOKUP(LCARS_Off[AbilityID],RawOfficer[AbilityID],RawOfficer[Tag_PvPinSpace])</f>
        <v>✴️</v>
      </c>
      <c r="F391" s="516" t="str">
        <f t="array" ref="F391">XLOOKUP(LCARS_Off[AbilityID],RawOfficer[AbilityID],RawOfficer[Tag_PvPStation])</f>
        <v>✴️</v>
      </c>
      <c r="G391" s="516" t="str">
        <f t="array" ref="G391">XLOOKUP(LCARS_Off[AbilityID],RawOfficer[AbilityID],RawOfficer[Tag_NonArmadaHostiles])</f>
        <v>➖</v>
      </c>
      <c r="H391" s="516" t="str">
        <f t="array" ref="H391">XLOOKUP(LCARS_Off[AbilityID],RawOfficer[AbilityID],RawOfficer[Tag_WaveDefense])</f>
        <v>➖</v>
      </c>
      <c r="I391" s="516" t="str">
        <f t="array" ref="I391">XLOOKUP(LCARS_Off[AbilityID],RawOfficer[AbilityID],RawOfficer[Tag_QTrial])</f>
        <v>➖</v>
      </c>
      <c r="J391" s="516" t="str">
        <f t="array" ref="J391">XLOOKUP(LCARS_Off[AbilityID],RawOfficer[AbilityID],RawOfficer[Tag_MissionBosses])</f>
        <v>➖</v>
      </c>
      <c r="K391" s="516" t="str">
        <f t="array" ref="K391">XLOOKUP(LCARS_Off[AbilityID],RawOfficer[AbilityID],RawOfficer[Tag_GroupArmadas])</f>
        <v>➖</v>
      </c>
      <c r="L391" s="516" t="str">
        <f t="array" ref="L391">XLOOKUP(LCARS_Off[AbilityID],RawOfficer[AbilityID],RawOfficer[Tag_SoloArmadas])</f>
        <v>➖</v>
      </c>
      <c r="M391" s="516" t="str">
        <f t="array" ref="M391">XLOOKUP(LCARS_Off[AbilityID],RawOfficer[AbilityID],RawOfficer[Tag_InvadingEntities])</f>
        <v>➖</v>
      </c>
      <c r="N391" s="516" t="str">
        <f t="array" ref="N391">XLOOKUP(LCARS_Off[AbilityID],RawOfficer[AbilityID],RawOfficer[Tag_Assaults])</f>
        <v>➖</v>
      </c>
      <c r="O391" s="516" t="str">
        <f t="array" ref="O391">XLOOKUP(LCARS_Off[AbilityID],RawOfficer[AbilityID],RawOfficer[Tag_OutpostArmadas])</f>
        <v>➖</v>
      </c>
      <c r="P391" s="516" t="str">
        <f t="array" ref="P391">XLOOKUP(LCARS_Off[AbilityID],RawOfficer[AbilityID],RawOfficer[Tag_OutpostRetaliators])</f>
        <v>➖</v>
      </c>
      <c r="Q391" s="517" t="str">
        <f t="array" ref="Q391">XLOOKUP(LCARS_Off[AbilityID],RawOfficer[AbilityID],RawOfficer[Conditional_Reason])</f>
        <v>EnemyBattleship</v>
      </c>
      <c r="R391" s="518" t="str">
        <f t="array" ref="R391">XLOOKUP(LCARS_Off[AbilityID],RawOfficer[AbilityID],RawOfficer[Tag_Loot])</f>
        <v>➖</v>
      </c>
      <c r="S391" s="516" t="str">
        <f t="array" ref="S391">XLOOKUP(LCARS_Off[AbilityID],RawOfficer[AbilityID],RawOfficer[Tag_Utility])</f>
        <v>➖</v>
      </c>
      <c r="T391" s="429" t="str">
        <f t="array" ref="T391">XLOOKUP(LCARS_Off[AbilityID],RawOfficer[AbilityID],RawOfficer[OfficerSynergy])</f>
        <v>PICARD</v>
      </c>
      <c r="U391" s="519" t="str">
        <f t="array" ref="U391">XLOOKUP(LCARS_Off[AbilityID],RawOfficer[AbilityID],RawOfficer[AbilityModifier])</f>
        <v>AllDamage</v>
      </c>
      <c r="V391" s="519" t="str">
        <f t="array" ref="V391">XLOOKUP(LCARS_Off[AbilityID],RawOfficer[AbilityID],RawOfficer[AbilityAttributes])</f>
        <v/>
      </c>
      <c r="W391" s="520" t="str">
        <f t="array" ref="W391">XLOOKUP(LCARS_Off[AbilityID],RawOfficer[AbilityID],RawOfficer[AbilityConditions])</f>
        <v>EnemyPlayer, EnemyBattleship</v>
      </c>
      <c r="X391" s="519" t="str">
        <f t="array" ref="X391">XLOOKUP(LCARS_Off[AbilityID],RawOfficer[AbilityID],RawOfficer[AbilityTrigger])</f>
        <v>CombatStart</v>
      </c>
      <c r="Y391" s="519" t="str">
        <f t="array" ref="Y391">XLOOKUP(LCARS_Off[AbilityID],RawOfficer[AbilityID],RawOfficer[AbilityTarget])</f>
        <v>SelfShip</v>
      </c>
      <c r="Z391" s="519" t="str">
        <f t="array" ref="Z391">XLOOKUP(LCARS_Off[AbilityID],RawOfficer[AbilityID],RawOfficer[AbilityOperation])</f>
        <v>MultiplyAdd</v>
      </c>
      <c r="AA391" s="521" t="str">
        <f t="array" ref="AA391">XLOOKUP(LCARS_Off[AbilityID],RawOfficer[AbilityID],RawOfficer[AbilityDescription])</f>
        <v>Riker increases your ship base Weapon Damage by X on combat start against a player Battleship for the duration of combat.</v>
      </c>
      <c r="AB391" s="429" t="b">
        <v>0</v>
      </c>
      <c r="AC391" s="522" t="str">
        <f t="array" ref="AC391">XLOOKUP(LCARS_Off[AbilityID],RawOfficer[AbilityID],RawOfficer[AbilityDescriptionShort])</f>
        <v>Increases your ship base Weapon Damage by X on combat start against a player Battleship.</v>
      </c>
      <c r="AD391" s="523"/>
      <c r="AE391" s="524"/>
      <c r="AF391" s="524"/>
      <c r="AG391" s="525" t="str">
        <f t="array" ref="AG391">XLOOKUP(LCARS_Off[AbilityID],RawOfficer[AbilityID],RawOfficer[AbilityChances])</f>
        <v>1.0, 1.0, 1.0, 1.0, 1.0</v>
      </c>
      <c r="AH391" s="525" t="str">
        <f t="array" ref="AH391">XLOOKUP(LCARS_Off[AbilityID],RawOfficer[AbilityID],RawOfficer[AbilityValues])</f>
        <v>5.0, 9.0, 15.0, 22.0, 30.0</v>
      </c>
      <c r="AI391" s="428" t="b">
        <f t="array" ref="AI391">XLOOKUP(LCARS_Off[AbilityID],RawOfficer[AbilityID],RawOfficer[AbilityHasChance])</f>
        <v>0</v>
      </c>
      <c r="AJ391" s="428" t="b">
        <f t="array" ref="AJ391">XLOOKUP(LCARS_Off[AbilityID],RawOfficer[AbilityID],RawOfficer[AbilityShowPercentage])</f>
        <v>1</v>
      </c>
      <c r="AK391" s="429">
        <f t="array" ref="AK391">XLOOKUP(LCARS_Off[AbilityID],RawOfficer[AbilityID],RawOfficer[OfficerArt])</f>
        <v>239</v>
      </c>
      <c r="AL391" s="430">
        <v>3.042467533E9</v>
      </c>
      <c r="AM391" s="430">
        <f t="array" ref="AM391">XLOOKUP(LCARS_Off[AbilityID],RawOfficer[AbilityID],RawOfficer[Default Order])</f>
        <v>388</v>
      </c>
    </row>
    <row r="392">
      <c r="A392" s="429" t="str">
        <f t="array" ref="A392">LEFT(XLOOKUP(LCARS_Off[AbilityID],RawOfficer[AbilityID],RawOfficer[OfficerRarity]), 1)</f>
        <v>R</v>
      </c>
      <c r="B392" s="429"/>
      <c r="C392" s="514" t="str">
        <f t="array" ref="C392">HYPERLINK("https://stfc.space/officers/" &amp; XLOOKUP(LCARS_Off[AbilityID],RawOfficer[AbilityID],RawOfficer[OfficerId]), XLOOKUP(LCARS_Off[AbilityID],RawOfficer[AbilityID],RawOfficer[OfficerName]))</f>
        <v>DIXON HILL</v>
      </c>
      <c r="D392" s="515" t="str">
        <f t="array" ref="D392">XLOOKUP(LCARS_Off[AbilityID],RawOfficer[AbilityID],RawOfficer[AbilityType])</f>
        <v>OA</v>
      </c>
      <c r="E392" s="516" t="str">
        <f t="array" ref="E392">XLOOKUP(LCARS_Off[AbilityID],RawOfficer[AbilityID],RawOfficer[Tag_PvPinSpace])</f>
        <v>✴️</v>
      </c>
      <c r="F392" s="516" t="str">
        <f t="array" ref="F392">XLOOKUP(LCARS_Off[AbilityID],RawOfficer[AbilityID],RawOfficer[Tag_PvPStation])</f>
        <v>➖</v>
      </c>
      <c r="G392" s="516" t="str">
        <f t="array" ref="G392">XLOOKUP(LCARS_Off[AbilityID],RawOfficer[AbilityID],RawOfficer[Tag_NonArmadaHostiles])</f>
        <v>➖</v>
      </c>
      <c r="H392" s="516" t="str">
        <f t="array" ref="H392">XLOOKUP(LCARS_Off[AbilityID],RawOfficer[AbilityID],RawOfficer[Tag_WaveDefense])</f>
        <v>➖</v>
      </c>
      <c r="I392" s="516" t="str">
        <f t="array" ref="I392">XLOOKUP(LCARS_Off[AbilityID],RawOfficer[AbilityID],RawOfficer[Tag_QTrial])</f>
        <v>➖</v>
      </c>
      <c r="J392" s="516" t="str">
        <f t="array" ref="J392">XLOOKUP(LCARS_Off[AbilityID],RawOfficer[AbilityID],RawOfficer[Tag_MissionBosses])</f>
        <v>➖</v>
      </c>
      <c r="K392" s="516" t="str">
        <f t="array" ref="K392">XLOOKUP(LCARS_Off[AbilityID],RawOfficer[AbilityID],RawOfficer[Tag_GroupArmadas])</f>
        <v>➖</v>
      </c>
      <c r="L392" s="516" t="str">
        <f t="array" ref="L392">XLOOKUP(LCARS_Off[AbilityID],RawOfficer[AbilityID],RawOfficer[Tag_SoloArmadas])</f>
        <v>➖</v>
      </c>
      <c r="M392" s="516" t="str">
        <f t="array" ref="M392">XLOOKUP(LCARS_Off[AbilityID],RawOfficer[AbilityID],RawOfficer[Tag_InvadingEntities])</f>
        <v>➖</v>
      </c>
      <c r="N392" s="516" t="str">
        <f t="array" ref="N392">XLOOKUP(LCARS_Off[AbilityID],RawOfficer[AbilityID],RawOfficer[Tag_Assaults])</f>
        <v>➖</v>
      </c>
      <c r="O392" s="516" t="str">
        <f t="array" ref="O392">XLOOKUP(LCARS_Off[AbilityID],RawOfficer[AbilityID],RawOfficer[Tag_OutpostArmadas])</f>
        <v>➖</v>
      </c>
      <c r="P392" s="516" t="str">
        <f t="array" ref="P392">XLOOKUP(LCARS_Off[AbilityID],RawOfficer[AbilityID],RawOfficer[Tag_OutpostRetaliators])</f>
        <v>➖</v>
      </c>
      <c r="Q392" s="517" t="str">
        <f t="array" ref="Q392">XLOOKUP(LCARS_Off[AbilityID],RawOfficer[AbilityID],RawOfficer[Conditional_Reason])</f>
        <v>on a Mining Node</v>
      </c>
      <c r="R392" s="518" t="str">
        <f t="array" ref="R392">XLOOKUP(LCARS_Off[AbilityID],RawOfficer[AbilityID],RawOfficer[Tag_Loot])</f>
        <v>➖</v>
      </c>
      <c r="S392" s="516" t="str">
        <f t="array" ref="S392">XLOOKUP(LCARS_Off[AbilityID],RawOfficer[AbilityID],RawOfficer[Tag_Utility])</f>
        <v>➖</v>
      </c>
      <c r="T392" s="429" t="str">
        <f t="array" ref="T392">XLOOKUP(LCARS_Off[AbilityID],RawOfficer[AbilityID],RawOfficer[OfficerSynergy])</f>
        <v>HOLODECK</v>
      </c>
      <c r="U392" s="519" t="str">
        <f t="array" ref="U392">XLOOKUP(LCARS_Off[AbilityID],RawOfficer[AbilityID],RawOfficer[AbilityModifier])</f>
        <v>ShieldMitigation</v>
      </c>
      <c r="V392" s="519" t="str">
        <f t="array" ref="V392">XLOOKUP(LCARS_Off[AbilityID],RawOfficer[AbilityID],RawOfficer[AbilityAttributes])</f>
        <v>game_context=mining_node</v>
      </c>
      <c r="W392" s="520" t="str">
        <f t="array" ref="W392">XLOOKUP(LCARS_Off[AbilityID],RawOfficer[AbilityID],RawOfficer[AbilityConditions])</f>
        <v>CombatGameContext, SelfDefending</v>
      </c>
      <c r="X392" s="519" t="str">
        <f t="array" ref="X392">XLOOKUP(LCARS_Off[AbilityID],RawOfficer[AbilityID],RawOfficer[AbilityTrigger])</f>
        <v>RoundStart</v>
      </c>
      <c r="Y392" s="519" t="str">
        <f t="array" ref="Y392">XLOOKUP(LCARS_Off[AbilityID],RawOfficer[AbilityID],RawOfficer[AbilityTarget])</f>
        <v>EnemyShip</v>
      </c>
      <c r="Z392" s="519" t="str">
        <f t="array" ref="Z392">XLOOKUP(LCARS_Off[AbilityID],RawOfficer[AbilityID],RawOfficer[AbilityOperation])</f>
        <v>MultiplySub</v>
      </c>
      <c r="AA392" s="521" t="str">
        <f t="array" ref="AA392">XLOOKUP(LCARS_Off[AbilityID],RawOfficer[AbilityID],RawOfficer[AbilityDescription])</f>
        <v>While defending a mining node, Dixon Hill reduces the opponent's Shield Mitigation every round by X. (This ability can stack)</v>
      </c>
      <c r="AB392" s="429" t="b">
        <v>0</v>
      </c>
      <c r="AC392" s="522" t="str">
        <f t="array" ref="AC392">XLOOKUP(LCARS_Off[AbilityID],RawOfficer[AbilityID],RawOfficer[AbilityDescriptionShort])</f>
        <v>While defending a mining node, reduce the opponent's Shield Mitigation every round by -X. (Stacks)</v>
      </c>
      <c r="AD392" s="523"/>
      <c r="AE392" s="524"/>
      <c r="AF392" s="524"/>
      <c r="AG392" s="525" t="str">
        <f t="array" ref="AG392">XLOOKUP(LCARS_Off[AbilityID],RawOfficer[AbilityID],RawOfficer[AbilityChances])</f>
        <v>1.0, 1.0, 1.0, 1.0, 1.0</v>
      </c>
      <c r="AH392" s="525" t="str">
        <f t="array" ref="AH392">XLOOKUP(LCARS_Off[AbilityID],RawOfficer[AbilityID],RawOfficer[AbilityValues])</f>
        <v>0.05, 0.07, 0.1, 0.15, 0.2</v>
      </c>
      <c r="AI392" s="428" t="b">
        <f t="array" ref="AI392">XLOOKUP(LCARS_Off[AbilityID],RawOfficer[AbilityID],RawOfficer[AbilityHasChance])</f>
        <v>0</v>
      </c>
      <c r="AJ392" s="428" t="b">
        <f t="array" ref="AJ392">XLOOKUP(LCARS_Off[AbilityID],RawOfficer[AbilityID],RawOfficer[AbilityShowPercentage])</f>
        <v>1</v>
      </c>
      <c r="AK392" s="429">
        <f t="array" ref="AK392">XLOOKUP(LCARS_Off[AbilityID],RawOfficer[AbilityID],RawOfficer[OfficerArt])</f>
        <v>214</v>
      </c>
      <c r="AL392" s="430">
        <v>2.76414451E8</v>
      </c>
      <c r="AM392" s="430">
        <f t="array" ref="AM392">XLOOKUP(LCARS_Off[AbilityID],RawOfficer[AbilityID],RawOfficer[Default Order])</f>
        <v>389</v>
      </c>
    </row>
    <row r="393">
      <c r="A393" s="429" t="str">
        <f t="array" ref="A393">LEFT(XLOOKUP(LCARS_Off[AbilityID],RawOfficer[AbilityID],RawOfficer[OfficerRarity]), 1)</f>
        <v>R</v>
      </c>
      <c r="B393" s="429"/>
      <c r="C393" s="514" t="str">
        <f t="array" ref="C393">HYPERLINK("https://stfc.space/officers/" &amp; XLOOKUP(LCARS_Off[AbilityID],RawOfficer[AbilityID],RawOfficer[OfficerId]), XLOOKUP(LCARS_Off[AbilityID],RawOfficer[AbilityID],RawOfficer[OfficerName]))</f>
        <v>DIXON HILL</v>
      </c>
      <c r="D393" s="515" t="str">
        <f t="array" ref="D393">XLOOKUP(LCARS_Off[AbilityID],RawOfficer[AbilityID],RawOfficer[AbilityType])</f>
        <v>BDA</v>
      </c>
      <c r="E393" s="516" t="str">
        <f t="array" ref="E393">XLOOKUP(LCARS_Off[AbilityID],RawOfficer[AbilityID],RawOfficer[Tag_PvPinSpace])</f>
        <v>➖</v>
      </c>
      <c r="F393" s="516" t="str">
        <f t="array" ref="F393">XLOOKUP(LCARS_Off[AbilityID],RawOfficer[AbilityID],RawOfficer[Tag_PvPStation])</f>
        <v>➖</v>
      </c>
      <c r="G393" s="516" t="str">
        <f t="array" ref="G393">XLOOKUP(LCARS_Off[AbilityID],RawOfficer[AbilityID],RawOfficer[Tag_NonArmadaHostiles])</f>
        <v>➖</v>
      </c>
      <c r="H393" s="516" t="str">
        <f t="array" ref="H393">XLOOKUP(LCARS_Off[AbilityID],RawOfficer[AbilityID],RawOfficer[Tag_WaveDefense])</f>
        <v>➖</v>
      </c>
      <c r="I393" s="516" t="str">
        <f t="array" ref="I393">XLOOKUP(LCARS_Off[AbilityID],RawOfficer[AbilityID],RawOfficer[Tag_QTrial])</f>
        <v>➖</v>
      </c>
      <c r="J393" s="516" t="str">
        <f t="array" ref="J393">XLOOKUP(LCARS_Off[AbilityID],RawOfficer[AbilityID],RawOfficer[Tag_MissionBosses])</f>
        <v>➖</v>
      </c>
      <c r="K393" s="516" t="str">
        <f t="array" ref="K393">XLOOKUP(LCARS_Off[AbilityID],RawOfficer[AbilityID],RawOfficer[Tag_GroupArmadas])</f>
        <v>➖</v>
      </c>
      <c r="L393" s="516" t="str">
        <f t="array" ref="L393">XLOOKUP(LCARS_Off[AbilityID],RawOfficer[AbilityID],RawOfficer[Tag_SoloArmadas])</f>
        <v>➖</v>
      </c>
      <c r="M393" s="516" t="str">
        <f t="array" ref="M393">XLOOKUP(LCARS_Off[AbilityID],RawOfficer[AbilityID],RawOfficer[Tag_InvadingEntities])</f>
        <v>➖</v>
      </c>
      <c r="N393" s="516" t="str">
        <f t="array" ref="N393">XLOOKUP(LCARS_Off[AbilityID],RawOfficer[AbilityID],RawOfficer[Tag_Assaults])</f>
        <v>➖</v>
      </c>
      <c r="O393" s="516" t="str">
        <f t="array" ref="O393">XLOOKUP(LCARS_Off[AbilityID],RawOfficer[AbilityID],RawOfficer[Tag_OutpostArmadas])</f>
        <v>➖</v>
      </c>
      <c r="P393" s="516" t="str">
        <f t="array" ref="P393">XLOOKUP(LCARS_Off[AbilityID],RawOfficer[AbilityID],RawOfficer[Tag_OutpostRetaliators])</f>
        <v>➖</v>
      </c>
      <c r="Q393" s="517" t="str">
        <f t="array" ref="Q393">XLOOKUP(LCARS_Off[AbilityID],RawOfficer[AbilityID],RawOfficer[Conditional_Reason])</f>
        <v/>
      </c>
      <c r="R393" s="518" t="str">
        <f t="array" ref="R393">XLOOKUP(LCARS_Off[AbilityID],RawOfficer[AbilityID],RawOfficer[Tag_Loot])</f>
        <v>➖</v>
      </c>
      <c r="S393" s="516" t="str">
        <f t="array" ref="S393">XLOOKUP(LCARS_Off[AbilityID],RawOfficer[AbilityID],RawOfficer[Tag_Utility])</f>
        <v>✅</v>
      </c>
      <c r="T393" s="429" t="str">
        <f t="array" ref="T393">XLOOKUP(LCARS_Off[AbilityID],RawOfficer[AbilityID],RawOfficer[OfficerSynergy])</f>
        <v>HOLODECK</v>
      </c>
      <c r="U393" s="519" t="str">
        <f t="array" ref="U393">XLOOKUP(LCARS_Off[AbilityID],RawOfficer[AbilityID],RawOfficer[AbilityModifier])</f>
        <v>MiningRate</v>
      </c>
      <c r="V393" s="519" t="str">
        <f t="array" ref="V393">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393" s="520" t="str">
        <f t="array" ref="W393">XLOOKUP(LCARS_Off[AbilityID],RawOfficer[AbilityID],RawOfficer[AbilityConditions])</f>
        <v/>
      </c>
      <c r="X393" s="519" t="str">
        <f t="array" ref="X393">XLOOKUP(LCARS_Off[AbilityID],RawOfficer[AbilityID],RawOfficer[AbilityTrigger])</f>
        <v>ShipLaunched</v>
      </c>
      <c r="Y393" s="519" t="str">
        <f t="array" ref="Y393">XLOOKUP(LCARS_Off[AbilityID],RawOfficer[AbilityID],RawOfficer[AbilityTarget])</f>
        <v>SelfShip</v>
      </c>
      <c r="Z393" s="519" t="str">
        <f t="array" ref="Z393">XLOOKUP(LCARS_Off[AbilityID],RawOfficer[AbilityID],RawOfficer[AbilityOperation])</f>
        <v>MultiplyAdd</v>
      </c>
      <c r="AA393" s="521" t="str">
        <f t="array" ref="AA393">XLOOKUP(LCARS_Off[AbilityID],RawOfficer[AbilityID],RawOfficer[AbilityDescription])</f>
        <v>Dixon Hill increases base Mining Speed by X.</v>
      </c>
      <c r="AB393" s="429" t="b">
        <v>0</v>
      </c>
      <c r="AC393" s="522" t="str">
        <f t="array" ref="AC393">XLOOKUP(LCARS_Off[AbilityID],RawOfficer[AbilityID],RawOfficer[AbilityDescriptionShort])</f>
        <v>Dixon Hill increases base Mining Speed by +X.</v>
      </c>
      <c r="AD393" s="523"/>
      <c r="AE393" s="524"/>
      <c r="AF393" s="524"/>
      <c r="AG393" s="525" t="str">
        <f t="array" ref="AG393">XLOOKUP(LCARS_Off[AbilityID],RawOfficer[AbilityID],RawOfficer[AbilityChances])</f>
        <v>1.0, 1.0, 1.0, 1.0, 1.0</v>
      </c>
      <c r="AH393" s="525" t="str">
        <f t="array" ref="AH393">XLOOKUP(LCARS_Off[AbilityID],RawOfficer[AbilityID],RawOfficer[AbilityValues])</f>
        <v>0.3, 0.45, 0.6, 0.85, 1.2</v>
      </c>
      <c r="AI393" s="428" t="b">
        <f t="array" ref="AI393">XLOOKUP(LCARS_Off[AbilityID],RawOfficer[AbilityID],RawOfficer[AbilityHasChance])</f>
        <v>0</v>
      </c>
      <c r="AJ393" s="428" t="b">
        <f t="array" ref="AJ393">XLOOKUP(LCARS_Off[AbilityID],RawOfficer[AbilityID],RawOfficer[AbilityShowPercentage])</f>
        <v>1</v>
      </c>
      <c r="AK393" s="429">
        <f t="array" ref="AK393">XLOOKUP(LCARS_Off[AbilityID],RawOfficer[AbilityID],RawOfficer[OfficerArt])</f>
        <v>214</v>
      </c>
      <c r="AL393" s="430">
        <v>2.060792769E9</v>
      </c>
      <c r="AM393" s="430">
        <f t="array" ref="AM393">XLOOKUP(LCARS_Off[AbilityID],RawOfficer[AbilityID],RawOfficer[Default Order])</f>
        <v>390</v>
      </c>
    </row>
    <row r="394">
      <c r="A394" s="429" t="str">
        <f t="array" ref="A394">LEFT(XLOOKUP(LCARS_Off[AbilityID],RawOfficer[AbilityID],RawOfficer[OfficerRarity]), 1)</f>
        <v>E</v>
      </c>
      <c r="B394" s="429"/>
      <c r="C394" s="514" t="str">
        <f t="array" ref="C394">HYPERLINK("https://stfc.space/officers/" &amp; XLOOKUP(LCARS_Off[AbilityID],RawOfficer[AbilityID],RawOfficer[OfficerId]), XLOOKUP(LCARS_Off[AbilityID],RawOfficer[AbilityID],RawOfficer[OfficerName]))</f>
        <v>THE DOCTOR</v>
      </c>
      <c r="D394" s="515" t="str">
        <f t="array" ref="D394">XLOOKUP(LCARS_Off[AbilityID],RawOfficer[AbilityID],RawOfficer[AbilityType])</f>
        <v>OA</v>
      </c>
      <c r="E394" s="516" t="str">
        <f t="array" ref="E394">XLOOKUP(LCARS_Off[AbilityID],RawOfficer[AbilityID],RawOfficer[Tag_PvPinSpace])</f>
        <v>➖</v>
      </c>
      <c r="F394" s="516" t="str">
        <f t="array" ref="F394">XLOOKUP(LCARS_Off[AbilityID],RawOfficer[AbilityID],RawOfficer[Tag_PvPStation])</f>
        <v>➖</v>
      </c>
      <c r="G394" s="516" t="str">
        <f t="array" ref="G394">XLOOKUP(LCARS_Off[AbilityID],RawOfficer[AbilityID],RawOfficer[Tag_NonArmadaHostiles])</f>
        <v>✅</v>
      </c>
      <c r="H394" s="516" t="str">
        <f t="array" ref="H394">XLOOKUP(LCARS_Off[AbilityID],RawOfficer[AbilityID],RawOfficer[Tag_WaveDefense])</f>
        <v>✅</v>
      </c>
      <c r="I394" s="516" t="str">
        <f t="array" ref="I394">XLOOKUP(LCARS_Off[AbilityID],RawOfficer[AbilityID],RawOfficer[Tag_QTrial])</f>
        <v>✅</v>
      </c>
      <c r="J394" s="516" t="str">
        <f t="array" ref="J394">XLOOKUP(LCARS_Off[AbilityID],RawOfficer[AbilityID],RawOfficer[Tag_MissionBosses])</f>
        <v>➖</v>
      </c>
      <c r="K394" s="516" t="str">
        <f t="array" ref="K394">XLOOKUP(LCARS_Off[AbilityID],RawOfficer[AbilityID],RawOfficer[Tag_GroupArmadas])</f>
        <v>✅</v>
      </c>
      <c r="L394" s="516" t="str">
        <f t="array" ref="L394">XLOOKUP(LCARS_Off[AbilityID],RawOfficer[AbilityID],RawOfficer[Tag_SoloArmadas])</f>
        <v>✅</v>
      </c>
      <c r="M394" s="516" t="str">
        <f t="array" ref="M394">XLOOKUP(LCARS_Off[AbilityID],RawOfficer[AbilityID],RawOfficer[Tag_InvadingEntities])</f>
        <v>✅</v>
      </c>
      <c r="N394" s="516" t="str">
        <f t="array" ref="N394">XLOOKUP(LCARS_Off[AbilityID],RawOfficer[AbilityID],RawOfficer[Tag_Assaults])</f>
        <v>➖</v>
      </c>
      <c r="O394" s="516" t="str">
        <f t="array" ref="O394">XLOOKUP(LCARS_Off[AbilityID],RawOfficer[AbilityID],RawOfficer[Tag_OutpostArmadas])</f>
        <v>➖</v>
      </c>
      <c r="P394" s="516" t="str">
        <f t="array" ref="P394">XLOOKUP(LCARS_Off[AbilityID],RawOfficer[AbilityID],RawOfficer[Tag_OutpostRetaliators])</f>
        <v>➖</v>
      </c>
      <c r="Q394" s="517" t="str">
        <f t="array" ref="Q394">XLOOKUP(LCARS_Off[AbilityID],RawOfficer[AbilityID],RawOfficer[Conditional_Reason])</f>
        <v/>
      </c>
      <c r="R394" s="518" t="str">
        <f t="array" ref="R394">XLOOKUP(LCARS_Off[AbilityID],RawOfficer[AbilityID],RawOfficer[Tag_Loot])</f>
        <v>➖</v>
      </c>
      <c r="S394" s="516" t="str">
        <f t="array" ref="S394">XLOOKUP(LCARS_Off[AbilityID],RawOfficer[AbilityID],RawOfficer[Tag_Utility])</f>
        <v>➖</v>
      </c>
      <c r="T394" s="429" t="str">
        <f t="array" ref="T394">XLOOKUP(LCARS_Off[AbilityID],RawOfficer[AbilityID],RawOfficer[OfficerSynergy])</f>
        <v>VOYAGER</v>
      </c>
      <c r="U394" s="519" t="str">
        <f t="array" ref="U394">XLOOKUP(LCARS_Off[AbilityID],RawOfficer[AbilityID],RawOfficer[AbilityModifier])</f>
        <v>AllDefenses</v>
      </c>
      <c r="V394" s="519" t="str">
        <f t="array" ref="V394">XLOOKUP(LCARS_Off[AbilityID],RawOfficer[AbilityID],RawOfficer[AbilityAttributes])</f>
        <v>num_rounds=2, officer_stat=3</v>
      </c>
      <c r="W394" s="520" t="str">
        <f t="array" ref="W394">XLOOKUP(LCARS_Off[AbilityID],RawOfficer[AbilityID],RawOfficer[AbilityConditions])</f>
        <v>EnemyHostile</v>
      </c>
      <c r="X394" s="519" t="str">
        <f t="array" ref="X394">XLOOKUP(LCARS_Off[AbilityID],RawOfficer[AbilityID],RawOfficer[AbilityTrigger])</f>
        <v>HullDamageTaken</v>
      </c>
      <c r="Y394" s="519" t="str">
        <f t="array" ref="Y394">XLOOKUP(LCARS_Off[AbilityID],RawOfficer[AbilityID],RawOfficer[AbilityTarget])</f>
        <v>SelfShip</v>
      </c>
      <c r="Z394" s="519" t="str">
        <f t="array" ref="Z394">XLOOKUP(LCARS_Off[AbilityID],RawOfficer[AbilityID],RawOfficer[AbilityOperation])</f>
        <v>MultiplyBaseAdd</v>
      </c>
      <c r="AA394" s="521" t="str">
        <f t="array" ref="AA394">XLOOKUP(LCARS_Off[AbilityID],RawOfficer[AbilityID],RawOfficer[AbilityDescription])</f>
        <v>When you take hull damage from a non-Player hostile or Armada, The Doctor increases your Armor, Shield Deflection, and Dodge by X of Health for 2 rounds. (cumulative). -- (Weapons with multiple shots will only trigger this ability once per attack.)</v>
      </c>
      <c r="AB394" s="429" t="b">
        <v>0</v>
      </c>
      <c r="AC394" s="522" t="str">
        <f t="array" ref="AC394">XLOOKUP(LCARS_Off[AbilityID],RawOfficer[AbilityID],RawOfficer[AbilityDescriptionShort])</f>
        <v>Increase your Armor, Shield Deflection, and Dodge by X of Health for 2 rounds when taking hull damage. (Cumulative)</v>
      </c>
      <c r="AD394" s="523"/>
      <c r="AE394" s="524"/>
      <c r="AF394" s="524"/>
      <c r="AG394" s="525" t="str">
        <f t="array" ref="AG394">XLOOKUP(LCARS_Off[AbilityID],RawOfficer[AbilityID],RawOfficer[AbilityChances])</f>
        <v>1.0, 1.0, 1.0, 1.0, 1.0</v>
      </c>
      <c r="AH394" s="525" t="str">
        <f t="array" ref="AH394">XLOOKUP(LCARS_Off[AbilityID],RawOfficer[AbilityID],RawOfficer[AbilityValues])</f>
        <v>3.0, 5.0, 7.5, 12.5, 20.0</v>
      </c>
      <c r="AI394" s="428" t="b">
        <f t="array" ref="AI394">XLOOKUP(LCARS_Off[AbilityID],RawOfficer[AbilityID],RawOfficer[AbilityHasChance])</f>
        <v>0</v>
      </c>
      <c r="AJ394" s="428" t="b">
        <f t="array" ref="AJ394">XLOOKUP(LCARS_Off[AbilityID],RawOfficer[AbilityID],RawOfficer[AbilityShowPercentage])</f>
        <v>1</v>
      </c>
      <c r="AK394" s="429">
        <f t="array" ref="AK394">XLOOKUP(LCARS_Off[AbilityID],RawOfficer[AbilityID],RawOfficer[OfficerArt])</f>
        <v>241</v>
      </c>
      <c r="AL394" s="430">
        <v>2.5318848E9</v>
      </c>
      <c r="AM394" s="430">
        <f t="array" ref="AM394">XLOOKUP(LCARS_Off[AbilityID],RawOfficer[AbilityID],RawOfficer[Default Order])</f>
        <v>391</v>
      </c>
    </row>
    <row r="395">
      <c r="A395" s="429" t="str">
        <f t="array" ref="A395">LEFT(XLOOKUP(LCARS_Off[AbilityID],RawOfficer[AbilityID],RawOfficer[OfficerRarity]), 1)</f>
        <v>E</v>
      </c>
      <c r="B395" s="429"/>
      <c r="C395" s="514" t="str">
        <f t="array" ref="C395">HYPERLINK("https://stfc.space/officers/" &amp; XLOOKUP(LCARS_Off[AbilityID],RawOfficer[AbilityID],RawOfficer[OfficerId]), XLOOKUP(LCARS_Off[AbilityID],RawOfficer[AbilityID],RawOfficer[OfficerName]))</f>
        <v>THE DOCTOR</v>
      </c>
      <c r="D395" s="515" t="str">
        <f t="array" ref="D395">XLOOKUP(LCARS_Off[AbilityID],RawOfficer[AbilityID],RawOfficer[AbilityType])</f>
        <v>BDA</v>
      </c>
      <c r="E395" s="516" t="str">
        <f t="array" ref="E395">XLOOKUP(LCARS_Off[AbilityID],RawOfficer[AbilityID],RawOfficer[Tag_PvPinSpace])</f>
        <v>➖</v>
      </c>
      <c r="F395" s="516" t="str">
        <f t="array" ref="F395">XLOOKUP(LCARS_Off[AbilityID],RawOfficer[AbilityID],RawOfficer[Tag_PvPStation])</f>
        <v>➖</v>
      </c>
      <c r="G395" s="516" t="str">
        <f t="array" ref="G395">XLOOKUP(LCARS_Off[AbilityID],RawOfficer[AbilityID],RawOfficer[Tag_NonArmadaHostiles])</f>
        <v>✅</v>
      </c>
      <c r="H395" s="516" t="str">
        <f t="array" ref="H395">XLOOKUP(LCARS_Off[AbilityID],RawOfficer[AbilityID],RawOfficer[Tag_WaveDefense])</f>
        <v>➖</v>
      </c>
      <c r="I395" s="516" t="str">
        <f t="array" ref="I395">XLOOKUP(LCARS_Off[AbilityID],RawOfficer[AbilityID],RawOfficer[Tag_QTrial])</f>
        <v>➖</v>
      </c>
      <c r="J395" s="516" t="str">
        <f t="array" ref="J395">XLOOKUP(LCARS_Off[AbilityID],RawOfficer[AbilityID],RawOfficer[Tag_MissionBosses])</f>
        <v>➖</v>
      </c>
      <c r="K395" s="516" t="str">
        <f t="array" ref="K395">XLOOKUP(LCARS_Off[AbilityID],RawOfficer[AbilityID],RawOfficer[Tag_GroupArmadas])</f>
        <v>✅</v>
      </c>
      <c r="L395" s="516" t="str">
        <f t="array" ref="L395">XLOOKUP(LCARS_Off[AbilityID],RawOfficer[AbilityID],RawOfficer[Tag_SoloArmadas])</f>
        <v>✅</v>
      </c>
      <c r="M395" s="516" t="str">
        <f t="array" ref="M395">XLOOKUP(LCARS_Off[AbilityID],RawOfficer[AbilityID],RawOfficer[Tag_InvadingEntities])</f>
        <v>✅</v>
      </c>
      <c r="N395" s="516" t="str">
        <f t="array" ref="N395">XLOOKUP(LCARS_Off[AbilityID],RawOfficer[AbilityID],RawOfficer[Tag_Assaults])</f>
        <v>➖</v>
      </c>
      <c r="O395" s="516" t="str">
        <f t="array" ref="O395">XLOOKUP(LCARS_Off[AbilityID],RawOfficer[AbilityID],RawOfficer[Tag_OutpostArmadas])</f>
        <v>✅</v>
      </c>
      <c r="P395" s="516" t="str">
        <f t="array" ref="P395">XLOOKUP(LCARS_Off[AbilityID],RawOfficer[AbilityID],RawOfficer[Tag_OutpostRetaliators])</f>
        <v>✅</v>
      </c>
      <c r="Q395" s="517" t="str">
        <f t="array" ref="Q395">XLOOKUP(LCARS_Off[AbilityID],RawOfficer[AbilityID],RawOfficer[Conditional_Reason])</f>
        <v/>
      </c>
      <c r="R395" s="518" t="str">
        <f t="array" ref="R395">XLOOKUP(LCARS_Off[AbilityID],RawOfficer[AbilityID],RawOfficer[Tag_Loot])</f>
        <v>✅</v>
      </c>
      <c r="S395" s="516" t="str">
        <f t="array" ref="S395">XLOOKUP(LCARS_Off[AbilityID],RawOfficer[AbilityID],RawOfficer[Tag_Utility])</f>
        <v>➖</v>
      </c>
      <c r="T395" s="429" t="str">
        <f t="array" ref="T395">XLOOKUP(LCARS_Off[AbilityID],RawOfficer[AbilityID],RawOfficer[OfficerSynergy])</f>
        <v>VOYAGER</v>
      </c>
      <c r="U395" s="519" t="str">
        <f t="array" ref="U395">XLOOKUP(LCARS_Off[AbilityID],RawOfficer[AbilityID],RawOfficer[AbilityModifier])</f>
        <v>CombatPveRewards</v>
      </c>
      <c r="V395" s="519" t="str">
        <f t="array" ref="V395">XLOOKUP(LCARS_Off[AbilityID],RawOfficer[AbilityID],RawOfficer[AbilityAttributes])</f>
        <v/>
      </c>
      <c r="W395" s="520" t="str">
        <f t="array" ref="W395">XLOOKUP(LCARS_Off[AbilityID],RawOfficer[AbilityID],RawOfficer[AbilityConditions])</f>
        <v/>
      </c>
      <c r="X395" s="519" t="str">
        <f t="array" ref="X395">XLOOKUP(LCARS_Off[AbilityID],RawOfficer[AbilityID],RawOfficer[AbilityTrigger])</f>
        <v>ShipLaunched</v>
      </c>
      <c r="Y395" s="519" t="str">
        <f t="array" ref="Y395">XLOOKUP(LCARS_Off[AbilityID],RawOfficer[AbilityID],RawOfficer[AbilityTarget])</f>
        <v>SelfShip</v>
      </c>
      <c r="Z395" s="519" t="str">
        <f t="array" ref="Z395">XLOOKUP(LCARS_Off[AbilityID],RawOfficer[AbilityID],RawOfficer[AbilityOperation])</f>
        <v>MultiplyAdd</v>
      </c>
      <c r="AA395" s="521" t="str">
        <f t="array" ref="AA395">XLOOKUP(LCARS_Off[AbilityID],RawOfficer[AbilityID],RawOfficer[AbilityDescription])</f>
        <v>Increases all resources dropped by hostiles and Outposts by X.</v>
      </c>
      <c r="AB395" s="429" t="b">
        <v>1</v>
      </c>
      <c r="AC395" s="522" t="str">
        <f t="array" ref="AC395">XLOOKUP(LCARS_Off[AbilityID],RawOfficer[AbilityID],RawOfficer[AbilityDescriptionShort])</f>
        <v>Increases all resources dropped by hostiles and Outposts by X.</v>
      </c>
      <c r="AD395" s="523"/>
      <c r="AE395" s="521" t="s">
        <v>542</v>
      </c>
      <c r="AF395" s="521" t="s">
        <v>543</v>
      </c>
      <c r="AG395" s="525" t="str">
        <f t="array" ref="AG395">XLOOKUP(LCARS_Off[AbilityID],RawOfficer[AbilityID],RawOfficer[AbilityChances])</f>
        <v>1.0, 1.0, 1.0, 1.0, 1.0</v>
      </c>
      <c r="AH395" s="525" t="str">
        <f t="array" ref="AH395">XLOOKUP(LCARS_Off[AbilityID],RawOfficer[AbilityID],RawOfficer[AbilityValues])</f>
        <v>0.15, 0.2, 0.3, 0.35, 0.5</v>
      </c>
      <c r="AI395" s="428" t="b">
        <f t="array" ref="AI395">XLOOKUP(LCARS_Off[AbilityID],RawOfficer[AbilityID],RawOfficer[AbilityHasChance])</f>
        <v>0</v>
      </c>
      <c r="AJ395" s="428" t="b">
        <f t="array" ref="AJ395">XLOOKUP(LCARS_Off[AbilityID],RawOfficer[AbilityID],RawOfficer[AbilityShowPercentage])</f>
        <v>1</v>
      </c>
      <c r="AK395" s="429">
        <f t="array" ref="AK395">XLOOKUP(LCARS_Off[AbilityID],RawOfficer[AbilityID],RawOfficer[OfficerArt])</f>
        <v>241</v>
      </c>
      <c r="AL395" s="430">
        <v>3.623386511E9</v>
      </c>
      <c r="AM395" s="430">
        <f t="array" ref="AM395">XLOOKUP(LCARS_Off[AbilityID],RawOfficer[AbilityID],RawOfficer[Default Order])</f>
        <v>392</v>
      </c>
    </row>
    <row r="396">
      <c r="A396" s="429" t="str">
        <f t="array" ref="A396">LEFT(XLOOKUP(LCARS_Off[AbilityID],RawOfficer[AbilityID],RawOfficer[OfficerRarity]), 1)</f>
        <v>R</v>
      </c>
      <c r="B396" s="429"/>
      <c r="C396" s="514" t="str">
        <f t="array" ref="C396">HYPERLINK("https://stfc.space/officers/" &amp; XLOOKUP(LCARS_Off[AbilityID],RawOfficer[AbilityID],RawOfficer[OfficerId]), XLOOKUP(LCARS_Off[AbilityID],RawOfficer[AbilityID],RawOfficer[OfficerName]))</f>
        <v>B'ELANNA TORRES</v>
      </c>
      <c r="D396" s="515" t="str">
        <f t="array" ref="D396">XLOOKUP(LCARS_Off[AbilityID],RawOfficer[AbilityID],RawOfficer[AbilityType])</f>
        <v>OA</v>
      </c>
      <c r="E396" s="516" t="str">
        <f t="array" ref="E396">XLOOKUP(LCARS_Off[AbilityID],RawOfficer[AbilityID],RawOfficer[Tag_PvPinSpace])</f>
        <v>➖</v>
      </c>
      <c r="F396" s="516" t="str">
        <f t="array" ref="F396">XLOOKUP(LCARS_Off[AbilityID],RawOfficer[AbilityID],RawOfficer[Tag_PvPStation])</f>
        <v>➖</v>
      </c>
      <c r="G396" s="516" t="str">
        <f t="array" ref="G396">XLOOKUP(LCARS_Off[AbilityID],RawOfficer[AbilityID],RawOfficer[Tag_NonArmadaHostiles])</f>
        <v>✅</v>
      </c>
      <c r="H396" s="516" t="str">
        <f t="array" ref="H396">XLOOKUP(LCARS_Off[AbilityID],RawOfficer[AbilityID],RawOfficer[Tag_WaveDefense])</f>
        <v>✅</v>
      </c>
      <c r="I396" s="516" t="str">
        <f t="array" ref="I396">XLOOKUP(LCARS_Off[AbilityID],RawOfficer[AbilityID],RawOfficer[Tag_QTrial])</f>
        <v>✅</v>
      </c>
      <c r="J396" s="516" t="str">
        <f t="array" ref="J396">XLOOKUP(LCARS_Off[AbilityID],RawOfficer[AbilityID],RawOfficer[Tag_MissionBosses])</f>
        <v>➖</v>
      </c>
      <c r="K396" s="516" t="str">
        <f t="array" ref="K396">XLOOKUP(LCARS_Off[AbilityID],RawOfficer[AbilityID],RawOfficer[Tag_GroupArmadas])</f>
        <v>✅</v>
      </c>
      <c r="L396" s="516" t="str">
        <f t="array" ref="L396">XLOOKUP(LCARS_Off[AbilityID],RawOfficer[AbilityID],RawOfficer[Tag_SoloArmadas])</f>
        <v>✅</v>
      </c>
      <c r="M396" s="516" t="str">
        <f t="array" ref="M396">XLOOKUP(LCARS_Off[AbilityID],RawOfficer[AbilityID],RawOfficer[Tag_InvadingEntities])</f>
        <v>✅</v>
      </c>
      <c r="N396" s="516" t="str">
        <f t="array" ref="N396">XLOOKUP(LCARS_Off[AbilityID],RawOfficer[AbilityID],RawOfficer[Tag_Assaults])</f>
        <v>➖</v>
      </c>
      <c r="O396" s="516" t="str">
        <f t="array" ref="O396">XLOOKUP(LCARS_Off[AbilityID],RawOfficer[AbilityID],RawOfficer[Tag_OutpostArmadas])</f>
        <v>➖</v>
      </c>
      <c r="P396" s="516" t="str">
        <f t="array" ref="P396">XLOOKUP(LCARS_Off[AbilityID],RawOfficer[AbilityID],RawOfficer[Tag_OutpostRetaliators])</f>
        <v>➖</v>
      </c>
      <c r="Q396" s="517" t="str">
        <f t="array" ref="Q396">XLOOKUP(LCARS_Off[AbilityID],RawOfficer[AbilityID],RawOfficer[Conditional_Reason])</f>
        <v/>
      </c>
      <c r="R396" s="518" t="str">
        <f t="array" ref="R396">XLOOKUP(LCARS_Off[AbilityID],RawOfficer[AbilityID],RawOfficer[Tag_Loot])</f>
        <v>➖</v>
      </c>
      <c r="S396" s="516" t="str">
        <f t="array" ref="S396">XLOOKUP(LCARS_Off[AbilityID],RawOfficer[AbilityID],RawOfficer[Tag_Utility])</f>
        <v>➖</v>
      </c>
      <c r="T396" s="429" t="str">
        <f t="array" ref="T396">XLOOKUP(LCARS_Off[AbilityID],RawOfficer[AbilityID],RawOfficer[OfficerSynergy])</f>
        <v>VOYAGER</v>
      </c>
      <c r="U396" s="519" t="str">
        <f t="array" ref="U396">XLOOKUP(LCARS_Off[AbilityID],RawOfficer[AbilityID],RawOfficer[AbilityModifier])</f>
        <v>AllPiercing</v>
      </c>
      <c r="V396" s="519" t="str">
        <f t="array" ref="V396">XLOOKUP(LCARS_Off[AbilityID],RawOfficer[AbilityID],RawOfficer[AbilityAttributes])</f>
        <v>num_rounds=1, officer_stat=1</v>
      </c>
      <c r="W396" s="520" t="str">
        <f t="array" ref="W396">XLOOKUP(LCARS_Off[AbilityID],RawOfficer[AbilityID],RawOfficer[AbilityConditions])</f>
        <v>EnemyHostile</v>
      </c>
      <c r="X396" s="519" t="str">
        <f t="array" ref="X396">XLOOKUP(LCARS_Off[AbilityID],RawOfficer[AbilityID],RawOfficer[AbilityTrigger])</f>
        <v>HitTaken</v>
      </c>
      <c r="Y396" s="519" t="str">
        <f t="array" ref="Y396">XLOOKUP(LCARS_Off[AbilityID],RawOfficer[AbilityID],RawOfficer[AbilityTarget])</f>
        <v>SelfShip</v>
      </c>
      <c r="Z396" s="519" t="str">
        <f t="array" ref="Z396">XLOOKUP(LCARS_Off[AbilityID],RawOfficer[AbilityID],RawOfficer[AbilityOperation])</f>
        <v>MultiplyBaseAdd</v>
      </c>
      <c r="AA396" s="521" t="str">
        <f t="array" ref="AA396">XLOOKUP(LCARS_Off[AbilityID],RawOfficer[AbilityID],RawOfficer[AbilityDescription])</f>
        <v>When you take damage from a non-Player hostile or Armada, B'Elanna increases your Armor Piercing, Shield Piercing, and Accuracy by X of Attack for 1 round. (cumulative). -- (Weapons with multiple shots will only trigger this ability once per attack.)</v>
      </c>
      <c r="AB396" s="429" t="b">
        <v>0</v>
      </c>
      <c r="AC396" s="522" t="str">
        <f t="array" ref="AC396">XLOOKUP(LCARS_Off[AbilityID],RawOfficer[AbilityID],RawOfficer[AbilityDescriptionShort])</f>
        <v>Increase your Armor Piercing, Shield Piercing, and Accuracy by X of Attack for 1 round when hit. (Cumulative)</v>
      </c>
      <c r="AD396" s="523"/>
      <c r="AE396" s="524"/>
      <c r="AF396" s="524"/>
      <c r="AG396" s="525" t="str">
        <f t="array" ref="AG396">XLOOKUP(LCARS_Off[AbilityID],RawOfficer[AbilityID],RawOfficer[AbilityChances])</f>
        <v>1.0, 1.0, 1.0, 1.0, 1.0</v>
      </c>
      <c r="AH396" s="525" t="str">
        <f t="array" ref="AH396">XLOOKUP(LCARS_Off[AbilityID],RawOfficer[AbilityID],RawOfficer[AbilityValues])</f>
        <v>2.5, 4.0, 6.0, 9.0, 15.0</v>
      </c>
      <c r="AI396" s="428" t="b">
        <f t="array" ref="AI396">XLOOKUP(LCARS_Off[AbilityID],RawOfficer[AbilityID],RawOfficer[AbilityHasChance])</f>
        <v>0</v>
      </c>
      <c r="AJ396" s="428" t="b">
        <f t="array" ref="AJ396">XLOOKUP(LCARS_Off[AbilityID],RawOfficer[AbilityID],RawOfficer[AbilityShowPercentage])</f>
        <v>1</v>
      </c>
      <c r="AK396" s="429">
        <f t="array" ref="AK396">XLOOKUP(LCARS_Off[AbilityID],RawOfficer[AbilityID],RawOfficer[OfficerArt])</f>
        <v>242</v>
      </c>
      <c r="AL396" s="430">
        <v>3.939864485E9</v>
      </c>
      <c r="AM396" s="430">
        <f t="array" ref="AM396">XLOOKUP(LCARS_Off[AbilityID],RawOfficer[AbilityID],RawOfficer[Default Order])</f>
        <v>393</v>
      </c>
    </row>
    <row r="397">
      <c r="A397" s="429" t="str">
        <f t="array" ref="A397">LEFT(XLOOKUP(LCARS_Off[AbilityID],RawOfficer[AbilityID],RawOfficer[OfficerRarity]), 1)</f>
        <v>R</v>
      </c>
      <c r="B397" s="429"/>
      <c r="C397" s="514" t="str">
        <f t="array" ref="C397">HYPERLINK("https://stfc.space/officers/" &amp; XLOOKUP(LCARS_Off[AbilityID],RawOfficer[AbilityID],RawOfficer[OfficerId]), XLOOKUP(LCARS_Off[AbilityID],RawOfficer[AbilityID],RawOfficer[OfficerName]))</f>
        <v>B'ELANNA TORRES</v>
      </c>
      <c r="D397" s="515" t="str">
        <f t="array" ref="D397">XLOOKUP(LCARS_Off[AbilityID],RawOfficer[AbilityID],RawOfficer[AbilityType])</f>
        <v>BDA</v>
      </c>
      <c r="E397" s="516" t="str">
        <f t="array" ref="E397">XLOOKUP(LCARS_Off[AbilityID],RawOfficer[AbilityID],RawOfficer[Tag_PvPinSpace])</f>
        <v>➖</v>
      </c>
      <c r="F397" s="516" t="str">
        <f t="array" ref="F397">XLOOKUP(LCARS_Off[AbilityID],RawOfficer[AbilityID],RawOfficer[Tag_PvPStation])</f>
        <v>➖</v>
      </c>
      <c r="G397" s="516" t="str">
        <f t="array" ref="G397">XLOOKUP(LCARS_Off[AbilityID],RawOfficer[AbilityID],RawOfficer[Tag_NonArmadaHostiles])</f>
        <v>✅</v>
      </c>
      <c r="H397" s="516" t="str">
        <f t="array" ref="H397">XLOOKUP(LCARS_Off[AbilityID],RawOfficer[AbilityID],RawOfficer[Tag_WaveDefense])</f>
        <v>✅</v>
      </c>
      <c r="I397" s="516" t="str">
        <f t="array" ref="I397">XLOOKUP(LCARS_Off[AbilityID],RawOfficer[AbilityID],RawOfficer[Tag_QTrial])</f>
        <v>✅</v>
      </c>
      <c r="J397" s="516" t="str">
        <f t="array" ref="J397">XLOOKUP(LCARS_Off[AbilityID],RawOfficer[AbilityID],RawOfficer[Tag_MissionBosses])</f>
        <v>➖</v>
      </c>
      <c r="K397" s="516" t="str">
        <f t="array" ref="K397">XLOOKUP(LCARS_Off[AbilityID],RawOfficer[AbilityID],RawOfficer[Tag_GroupArmadas])</f>
        <v>✅</v>
      </c>
      <c r="L397" s="516" t="str">
        <f t="array" ref="L397">XLOOKUP(LCARS_Off[AbilityID],RawOfficer[AbilityID],RawOfficer[Tag_SoloArmadas])</f>
        <v>✅</v>
      </c>
      <c r="M397" s="516" t="str">
        <f t="array" ref="M397">XLOOKUP(LCARS_Off[AbilityID],RawOfficer[AbilityID],RawOfficer[Tag_InvadingEntities])</f>
        <v>✅</v>
      </c>
      <c r="N397" s="516" t="str">
        <f t="array" ref="N397">XLOOKUP(LCARS_Off[AbilityID],RawOfficer[AbilityID],RawOfficer[Tag_Assaults])</f>
        <v>➖</v>
      </c>
      <c r="O397" s="516" t="str">
        <f t="array" ref="O397">XLOOKUP(LCARS_Off[AbilityID],RawOfficer[AbilityID],RawOfficer[Tag_OutpostArmadas])</f>
        <v>➖</v>
      </c>
      <c r="P397" s="516" t="str">
        <f t="array" ref="P397">XLOOKUP(LCARS_Off[AbilityID],RawOfficer[AbilityID],RawOfficer[Tag_OutpostRetaliators])</f>
        <v>➖</v>
      </c>
      <c r="Q397" s="517" t="str">
        <f t="array" ref="Q397">XLOOKUP(LCARS_Off[AbilityID],RawOfficer[AbilityID],RawOfficer[Conditional_Reason])</f>
        <v/>
      </c>
      <c r="R397" s="518" t="str">
        <f t="array" ref="R397">XLOOKUP(LCARS_Off[AbilityID],RawOfficer[AbilityID],RawOfficer[Tag_Loot])</f>
        <v>➖</v>
      </c>
      <c r="S397" s="516" t="str">
        <f t="array" ref="S397">XLOOKUP(LCARS_Off[AbilityID],RawOfficer[AbilityID],RawOfficer[Tag_Utility])</f>
        <v>➖</v>
      </c>
      <c r="T397" s="429" t="str">
        <f t="array" ref="T397">XLOOKUP(LCARS_Off[AbilityID],RawOfficer[AbilityID],RawOfficer[OfficerSynergy])</f>
        <v>VOYAGER</v>
      </c>
      <c r="U397" s="519" t="str">
        <f t="array" ref="U397">XLOOKUP(LCARS_Off[AbilityID],RawOfficer[AbilityID],RawOfficer[AbilityModifier])</f>
        <v>AddState</v>
      </c>
      <c r="V397" s="519" t="str">
        <f t="array" ref="V397">XLOOKUP(LCARS_Off[AbilityID],RawOfficer[AbilityID],RawOfficer[AbilityAttributes])</f>
        <v>num_rounds=1, state=4</v>
      </c>
      <c r="W397" s="520" t="str">
        <f t="array" ref="W397">XLOOKUP(LCARS_Off[AbilityID],RawOfficer[AbilityID],RawOfficer[AbilityConditions])</f>
        <v>EnemyHostile</v>
      </c>
      <c r="X397" s="519" t="str">
        <f t="array" ref="X397">XLOOKUP(LCARS_Off[AbilityID],RawOfficer[AbilityID],RawOfficer[AbilityTrigger])</f>
        <v>RoundStart</v>
      </c>
      <c r="Y397" s="519" t="str">
        <f t="array" ref="Y397">XLOOKUP(LCARS_Off[AbilityID],RawOfficer[AbilityID],RawOfficer[AbilityTarget])</f>
        <v>EnemyShip</v>
      </c>
      <c r="Z397" s="519" t="str">
        <f t="array" ref="Z397">XLOOKUP(LCARS_Off[AbilityID],RawOfficer[AbilityID],RawOfficer[AbilityOperation])</f>
        <v>MultiplyAdd</v>
      </c>
      <c r="AA397" s="521" t="str">
        <f t="array" ref="AA397">XLOOKUP(LCARS_Off[AbilityID],RawOfficer[AbilityID],RawOfficer[AbilityDescription])</f>
        <v>X chance each round to apply Hull Breach to non-Player hostiles or Armada for 1 round.</v>
      </c>
      <c r="AB397" s="429" t="b">
        <v>0</v>
      </c>
      <c r="AC397" s="522" t="str">
        <f t="array" ref="AC397">XLOOKUP(LCARS_Off[AbilityID],RawOfficer[AbilityID],RawOfficer[AbilityDescriptionShort])</f>
        <v>X chance each round to apply Hull Breach to non-Player hostiles or Armada for 1 round.</v>
      </c>
      <c r="AD397" s="523"/>
      <c r="AE397" s="524"/>
      <c r="AF397" s="524"/>
      <c r="AG397" s="525" t="str">
        <f t="array" ref="AG397">XLOOKUP(LCARS_Off[AbilityID],RawOfficer[AbilityID],RawOfficer[AbilityChances])</f>
        <v>0.1, 0.15, 0.3, 0.6, 1.0</v>
      </c>
      <c r="AH397" s="525" t="str">
        <f t="array" ref="AH397">XLOOKUP(LCARS_Off[AbilityID],RawOfficer[AbilityID],RawOfficer[AbilityValues])</f>
        <v>1.0, 1.0, 1.0, 1.0, 1.0</v>
      </c>
      <c r="AI397" s="428" t="b">
        <f t="array" ref="AI397">XLOOKUP(LCARS_Off[AbilityID],RawOfficer[AbilityID],RawOfficer[AbilityHasChance])</f>
        <v>1</v>
      </c>
      <c r="AJ397" s="428" t="b">
        <f t="array" ref="AJ397">XLOOKUP(LCARS_Off[AbilityID],RawOfficer[AbilityID],RawOfficer[AbilityShowPercentage])</f>
        <v>1</v>
      </c>
      <c r="AK397" s="429">
        <f t="array" ref="AK397">XLOOKUP(LCARS_Off[AbilityID],RawOfficer[AbilityID],RawOfficer[OfficerArt])</f>
        <v>242</v>
      </c>
      <c r="AL397" s="430">
        <v>2.723314214E9</v>
      </c>
      <c r="AM397" s="430">
        <f t="array" ref="AM397">XLOOKUP(LCARS_Off[AbilityID],RawOfficer[AbilityID],RawOfficer[Default Order])</f>
        <v>394</v>
      </c>
    </row>
    <row r="398">
      <c r="A398" s="429" t="str">
        <f t="array" ref="A398">LEFT(XLOOKUP(LCARS_Off[AbilityID],RawOfficer[AbilityID],RawOfficer[OfficerRarity]), 1)</f>
        <v>E</v>
      </c>
      <c r="B398" s="429"/>
      <c r="C398" s="514" t="str">
        <f t="array" ref="C398">HYPERLINK("https://stfc.space/officers/" &amp; XLOOKUP(LCARS_Off[AbilityID],RawOfficer[AbilityID],RawOfficer[OfficerId]), XLOOKUP(LCARS_Off[AbilityID],RawOfficer[AbilityID],RawOfficer[OfficerName]))</f>
        <v>KATHRYN JANEWAY</v>
      </c>
      <c r="D398" s="515" t="str">
        <f t="array" ref="D398">XLOOKUP(LCARS_Off[AbilityID],RawOfficer[AbilityID],RawOfficer[AbilityType])</f>
        <v>CM</v>
      </c>
      <c r="E398" s="516" t="str">
        <f t="array" ref="E398">XLOOKUP(LCARS_Off[AbilityID],RawOfficer[AbilityID],RawOfficer[Tag_PvPinSpace])</f>
        <v>➖</v>
      </c>
      <c r="F398" s="516" t="str">
        <f t="array" ref="F398">XLOOKUP(LCARS_Off[AbilityID],RawOfficer[AbilityID],RawOfficer[Tag_PvPStation])</f>
        <v>➖</v>
      </c>
      <c r="G398" s="516" t="str">
        <f t="array" ref="G398">XLOOKUP(LCARS_Off[AbilityID],RawOfficer[AbilityID],RawOfficer[Tag_NonArmadaHostiles])</f>
        <v>✅</v>
      </c>
      <c r="H398" s="516" t="str">
        <f t="array" ref="H398">XLOOKUP(LCARS_Off[AbilityID],RawOfficer[AbilityID],RawOfficer[Tag_WaveDefense])</f>
        <v>✅</v>
      </c>
      <c r="I398" s="516" t="str">
        <f t="array" ref="I398">XLOOKUP(LCARS_Off[AbilityID],RawOfficer[AbilityID],RawOfficer[Tag_QTrial])</f>
        <v>✅</v>
      </c>
      <c r="J398" s="516" t="str">
        <f t="array" ref="J398">XLOOKUP(LCARS_Off[AbilityID],RawOfficer[AbilityID],RawOfficer[Tag_MissionBosses])</f>
        <v>➖</v>
      </c>
      <c r="K398" s="516" t="str">
        <f t="array" ref="K398">XLOOKUP(LCARS_Off[AbilityID],RawOfficer[AbilityID],RawOfficer[Tag_GroupArmadas])</f>
        <v>✅</v>
      </c>
      <c r="L398" s="516" t="str">
        <f t="array" ref="L398">XLOOKUP(LCARS_Off[AbilityID],RawOfficer[AbilityID],RawOfficer[Tag_SoloArmadas])</f>
        <v>✅</v>
      </c>
      <c r="M398" s="516" t="str">
        <f t="array" ref="M398">XLOOKUP(LCARS_Off[AbilityID],RawOfficer[AbilityID],RawOfficer[Tag_InvadingEntities])</f>
        <v>✅</v>
      </c>
      <c r="N398" s="516" t="str">
        <f t="array" ref="N398">XLOOKUP(LCARS_Off[AbilityID],RawOfficer[AbilityID],RawOfficer[Tag_Assaults])</f>
        <v>➖</v>
      </c>
      <c r="O398" s="516" t="str">
        <f t="array" ref="O398">XLOOKUP(LCARS_Off[AbilityID],RawOfficer[AbilityID],RawOfficer[Tag_OutpostArmadas])</f>
        <v>➖</v>
      </c>
      <c r="P398" s="516" t="str">
        <f t="array" ref="P398">XLOOKUP(LCARS_Off[AbilityID],RawOfficer[AbilityID],RawOfficer[Tag_OutpostRetaliators])</f>
        <v>➖</v>
      </c>
      <c r="Q398" s="517" t="str">
        <f t="array" ref="Q398">XLOOKUP(LCARS_Off[AbilityID],RawOfficer[AbilityID],RawOfficer[Conditional_Reason])</f>
        <v/>
      </c>
      <c r="R398" s="518" t="str">
        <f t="array" ref="R398">XLOOKUP(LCARS_Off[AbilityID],RawOfficer[AbilityID],RawOfficer[Tag_Loot])</f>
        <v>➖</v>
      </c>
      <c r="S398" s="516" t="str">
        <f t="array" ref="S398">XLOOKUP(LCARS_Off[AbilityID],RawOfficer[AbilityID],RawOfficer[Tag_Utility])</f>
        <v>➖</v>
      </c>
      <c r="T398" s="429" t="str">
        <f t="array" ref="T398">XLOOKUP(LCARS_Off[AbilityID],RawOfficer[AbilityID],RawOfficer[OfficerSynergy])</f>
        <v>VOYAGER</v>
      </c>
      <c r="U398" s="519" t="str">
        <f t="array" ref="U398">XLOOKUP(LCARS_Off[AbilityID],RawOfficer[AbilityID],RawOfficer[AbilityModifier])</f>
        <v>ShieldMitigation</v>
      </c>
      <c r="V398" s="519" t="str">
        <f t="array" ref="V398">XLOOKUP(LCARS_Off[AbilityID],RawOfficer[AbilityID],RawOfficer[AbilityAttributes])</f>
        <v>num_rounds=1</v>
      </c>
      <c r="W398" s="520" t="str">
        <f t="array" ref="W398">XLOOKUP(LCARS_Off[AbilityID],RawOfficer[AbilityID],RawOfficer[AbilityConditions])</f>
        <v>EnemyHostile</v>
      </c>
      <c r="X398" s="519" t="str">
        <f t="array" ref="X398">XLOOKUP(LCARS_Off[AbilityID],RawOfficer[AbilityID],RawOfficer[AbilityTrigger])</f>
        <v>HullDamageTaken</v>
      </c>
      <c r="Y398" s="519" t="str">
        <f t="array" ref="Y398">XLOOKUP(LCARS_Off[AbilityID],RawOfficer[AbilityID],RawOfficer[AbilityTarget])</f>
        <v>SelfShip</v>
      </c>
      <c r="Z398" s="519" t="str">
        <f t="array" ref="Z398">XLOOKUP(LCARS_Off[AbilityID],RawOfficer[AbilityID],RawOfficer[AbilityOperation])</f>
        <v>Add</v>
      </c>
      <c r="AA398" s="521" t="str">
        <f t="array" ref="AA398">XLOOKUP(LCARS_Off[AbilityID],RawOfficer[AbilityID],RawOfficer[AbilityDescription])</f>
        <v>When you take hull damage from a non-Player hostile or Armada, Kathryn Janeway increases your Shield Mitigation by X for 1 round. (cumulative). -- (Weapons with multiple shots will only trigger this ability once per attack.) -- Kathryn Janeway receives full synergy bonuses from all Voyager officers regardless of class.</v>
      </c>
      <c r="AB398" s="429" t="b">
        <v>0</v>
      </c>
      <c r="AC398" s="522" t="str">
        <f t="array" ref="AC398">XLOOKUP(LCARS_Off[AbilityID],RawOfficer[AbilityID],RawOfficer[AbilityDescriptionShort])</f>
        <v>Increase Shield Mitigation by X for 1 round when you take hull damage.</v>
      </c>
      <c r="AD398" s="523"/>
      <c r="AE398" s="524"/>
      <c r="AF398" s="524"/>
      <c r="AG398" s="525" t="str">
        <f t="array" ref="AG398">XLOOKUP(LCARS_Off[AbilityID],RawOfficer[AbilityID],RawOfficer[AbilityChances])</f>
        <v>1.0, 1.0, 1.0</v>
      </c>
      <c r="AH398" s="525" t="str">
        <f t="array" ref="AH398">XLOOKUP(LCARS_Off[AbilityID],RawOfficer[AbilityID],RawOfficer[AbilityValues])</f>
        <v>0.06, 0.07, 0.07</v>
      </c>
      <c r="AI398" s="428" t="b">
        <f t="array" ref="AI398">XLOOKUP(LCARS_Off[AbilityID],RawOfficer[AbilityID],RawOfficer[AbilityHasChance])</f>
        <v>0</v>
      </c>
      <c r="AJ398" s="428" t="b">
        <f t="array" ref="AJ398">XLOOKUP(LCARS_Off[AbilityID],RawOfficer[AbilityID],RawOfficer[AbilityShowPercentage])</f>
        <v>1</v>
      </c>
      <c r="AK398" s="429">
        <f t="array" ref="AK398">XLOOKUP(LCARS_Off[AbilityID],RawOfficer[AbilityID],RawOfficer[OfficerArt])</f>
        <v>243</v>
      </c>
      <c r="AL398" s="430">
        <v>2.578865036E9</v>
      </c>
      <c r="AM398" s="430">
        <f t="array" ref="AM398">XLOOKUP(LCARS_Off[AbilityID],RawOfficer[AbilityID],RawOfficer[Default Order])</f>
        <v>395</v>
      </c>
    </row>
    <row r="399">
      <c r="A399" s="429" t="str">
        <f t="array" ref="A399">LEFT(XLOOKUP(LCARS_Off[AbilityID],RawOfficer[AbilityID],RawOfficer[OfficerRarity]), 1)</f>
        <v>E</v>
      </c>
      <c r="B399" s="429"/>
      <c r="C399" s="514" t="str">
        <f t="array" ref="C399">HYPERLINK("https://stfc.space/officers/" &amp; XLOOKUP(LCARS_Off[AbilityID],RawOfficer[AbilityID],RawOfficer[OfficerId]), XLOOKUP(LCARS_Off[AbilityID],RawOfficer[AbilityID],RawOfficer[OfficerName]))</f>
        <v>KATHRYN JANEWAY</v>
      </c>
      <c r="D399" s="515" t="str">
        <f t="array" ref="D399">XLOOKUP(LCARS_Off[AbilityID],RawOfficer[AbilityID],RawOfficer[AbilityType])</f>
        <v>OA</v>
      </c>
      <c r="E399" s="516" t="str">
        <f t="array" ref="E399">XLOOKUP(LCARS_Off[AbilityID],RawOfficer[AbilityID],RawOfficer[Tag_PvPinSpace])</f>
        <v>➖</v>
      </c>
      <c r="F399" s="516" t="str">
        <f t="array" ref="F399">XLOOKUP(LCARS_Off[AbilityID],RawOfficer[AbilityID],RawOfficer[Tag_PvPStation])</f>
        <v>➖</v>
      </c>
      <c r="G399" s="516" t="str">
        <f t="array" ref="G399">XLOOKUP(LCARS_Off[AbilityID],RawOfficer[AbilityID],RawOfficer[Tag_NonArmadaHostiles])</f>
        <v>✅</v>
      </c>
      <c r="H399" s="516" t="str">
        <f t="array" ref="H399">XLOOKUP(LCARS_Off[AbilityID],RawOfficer[AbilityID],RawOfficer[Tag_WaveDefense])</f>
        <v>✅</v>
      </c>
      <c r="I399" s="516" t="str">
        <f t="array" ref="I399">XLOOKUP(LCARS_Off[AbilityID],RawOfficer[AbilityID],RawOfficer[Tag_QTrial])</f>
        <v>✅</v>
      </c>
      <c r="J399" s="516" t="str">
        <f t="array" ref="J399">XLOOKUP(LCARS_Off[AbilityID],RawOfficer[AbilityID],RawOfficer[Tag_MissionBosses])</f>
        <v>➖</v>
      </c>
      <c r="K399" s="516" t="str">
        <f t="array" ref="K399">XLOOKUP(LCARS_Off[AbilityID],RawOfficer[AbilityID],RawOfficer[Tag_GroupArmadas])</f>
        <v>✅</v>
      </c>
      <c r="L399" s="516" t="str">
        <f t="array" ref="L399">XLOOKUP(LCARS_Off[AbilityID],RawOfficer[AbilityID],RawOfficer[Tag_SoloArmadas])</f>
        <v>✅</v>
      </c>
      <c r="M399" s="516" t="str">
        <f t="array" ref="M399">XLOOKUP(LCARS_Off[AbilityID],RawOfficer[AbilityID],RawOfficer[Tag_InvadingEntities])</f>
        <v>✅</v>
      </c>
      <c r="N399" s="516" t="str">
        <f t="array" ref="N399">XLOOKUP(LCARS_Off[AbilityID],RawOfficer[AbilityID],RawOfficer[Tag_Assaults])</f>
        <v>➖</v>
      </c>
      <c r="O399" s="516" t="str">
        <f t="array" ref="O399">XLOOKUP(LCARS_Off[AbilityID],RawOfficer[AbilityID],RawOfficer[Tag_OutpostArmadas])</f>
        <v>➖</v>
      </c>
      <c r="P399" s="516" t="str">
        <f t="array" ref="P399">XLOOKUP(LCARS_Off[AbilityID],RawOfficer[AbilityID],RawOfficer[Tag_OutpostRetaliators])</f>
        <v>➖</v>
      </c>
      <c r="Q399" s="517" t="str">
        <f t="array" ref="Q399">XLOOKUP(LCARS_Off[AbilityID],RawOfficer[AbilityID],RawOfficer[Conditional_Reason])</f>
        <v/>
      </c>
      <c r="R399" s="518" t="str">
        <f t="array" ref="R399">XLOOKUP(LCARS_Off[AbilityID],RawOfficer[AbilityID],RawOfficer[Tag_Loot])</f>
        <v>➖</v>
      </c>
      <c r="S399" s="516" t="str">
        <f t="array" ref="S399">XLOOKUP(LCARS_Off[AbilityID],RawOfficer[AbilityID],RawOfficer[Tag_Utility])</f>
        <v>➖</v>
      </c>
      <c r="T399" s="429" t="str">
        <f t="array" ref="T399">XLOOKUP(LCARS_Off[AbilityID],RawOfficer[AbilityID],RawOfficer[OfficerSynergy])</f>
        <v>VOYAGER</v>
      </c>
      <c r="U399" s="519" t="str">
        <f t="array" ref="U399">XLOOKUP(LCARS_Off[AbilityID],RawOfficer[AbilityID],RawOfficer[AbilityModifier])</f>
        <v>IsolyticDamage</v>
      </c>
      <c r="V399" s="519" t="str">
        <f t="array" ref="V399">XLOOKUP(LCARS_Off[AbilityID],RawOfficer[AbilityID],RawOfficer[AbilityAttributes])</f>
        <v/>
      </c>
      <c r="W399" s="520" t="str">
        <f t="array" ref="W399">XLOOKUP(LCARS_Off[AbilityID],RawOfficer[AbilityID],RawOfficer[AbilityConditions])</f>
        <v>EnemyHostile</v>
      </c>
      <c r="X399" s="519" t="str">
        <f t="array" ref="X399">XLOOKUP(LCARS_Off[AbilityID],RawOfficer[AbilityID],RawOfficer[AbilityTrigger])</f>
        <v>CombatStart</v>
      </c>
      <c r="Y399" s="519" t="str">
        <f t="array" ref="Y399">XLOOKUP(LCARS_Off[AbilityID],RawOfficer[AbilityID],RawOfficer[AbilityTarget])</f>
        <v>SelfShip</v>
      </c>
      <c r="Z399" s="519" t="str">
        <f t="array" ref="Z399">XLOOKUP(LCARS_Off[AbilityID],RawOfficer[AbilityID],RawOfficer[AbilityOperation])</f>
        <v>MultiplyAdd</v>
      </c>
      <c r="AA399" s="521" t="str">
        <f t="array" ref="AA399">XLOOKUP(LCARS_Off[AbilityID],RawOfficer[AbilityID],RawOfficer[AbilityDescription])</f>
        <v>At the start of combat, Kathryn Janeway increases your Isolytic Cascade damage by X against non-Player hostiles and Armadas.</v>
      </c>
      <c r="AB399" s="429" t="b">
        <v>0</v>
      </c>
      <c r="AC399" s="522" t="str">
        <f t="array" ref="AC399">XLOOKUP(LCARS_Off[AbilityID],RawOfficer[AbilityID],RawOfficer[AbilityDescriptionShort])</f>
        <v>Increases Isolytic Cascade damage by X at the start of combat against non-Player hostiles and Armadas.</v>
      </c>
      <c r="AD399" s="523"/>
      <c r="AE399" s="524"/>
      <c r="AF399" s="524"/>
      <c r="AG399" s="525" t="str">
        <f t="array" ref="AG399">XLOOKUP(LCARS_Off[AbilityID],RawOfficer[AbilityID],RawOfficer[AbilityChances])</f>
        <v>1.0, 1.0, 1.0, 1.0, 1.0</v>
      </c>
      <c r="AH399" s="525" t="str">
        <f t="array" ref="AH399">XLOOKUP(LCARS_Off[AbilityID],RawOfficer[AbilityID],RawOfficer[AbilityValues])</f>
        <v>0.1, 0.15, 0.2, 0.3, 0.5</v>
      </c>
      <c r="AI399" s="428" t="b">
        <f t="array" ref="AI399">XLOOKUP(LCARS_Off[AbilityID],RawOfficer[AbilityID],RawOfficer[AbilityHasChance])</f>
        <v>0</v>
      </c>
      <c r="AJ399" s="428" t="b">
        <f t="array" ref="AJ399">XLOOKUP(LCARS_Off[AbilityID],RawOfficer[AbilityID],RawOfficer[AbilityShowPercentage])</f>
        <v>1</v>
      </c>
      <c r="AK399" s="429">
        <f t="array" ref="AK399">XLOOKUP(LCARS_Off[AbilityID],RawOfficer[AbilityID],RawOfficer[OfficerArt])</f>
        <v>243</v>
      </c>
      <c r="AL399" s="430">
        <v>1.307730206E9</v>
      </c>
      <c r="AM399" s="430">
        <f t="array" ref="AM399">XLOOKUP(LCARS_Off[AbilityID],RawOfficer[AbilityID],RawOfficer[Default Order])</f>
        <v>396</v>
      </c>
    </row>
    <row r="400">
      <c r="A400" s="429" t="str">
        <f t="array" ref="A400">LEFT(XLOOKUP(LCARS_Off[AbilityID],RawOfficer[AbilityID],RawOfficer[OfficerRarity]), 1)</f>
        <v>R</v>
      </c>
      <c r="B400" s="429"/>
      <c r="C400" s="514" t="str">
        <f t="array" ref="C400">HYPERLINK("https://stfc.space/officers/" &amp; XLOOKUP(LCARS_Off[AbilityID],RawOfficer[AbilityID],RawOfficer[OfficerId]), XLOOKUP(LCARS_Off[AbilityID],RawOfficer[AbilityID],RawOfficer[OfficerName]))</f>
        <v>TOM PARIS</v>
      </c>
      <c r="D400" s="515" t="str">
        <f t="array" ref="D400">XLOOKUP(LCARS_Off[AbilityID],RawOfficer[AbilityID],RawOfficer[AbilityType])</f>
        <v>OA</v>
      </c>
      <c r="E400" s="516" t="str">
        <f t="array" ref="E400">XLOOKUP(LCARS_Off[AbilityID],RawOfficer[AbilityID],RawOfficer[Tag_PvPinSpace])</f>
        <v>➖</v>
      </c>
      <c r="F400" s="516" t="str">
        <f t="array" ref="F400">XLOOKUP(LCARS_Off[AbilityID],RawOfficer[AbilityID],RawOfficer[Tag_PvPStation])</f>
        <v>➖</v>
      </c>
      <c r="G400" s="516" t="str">
        <f t="array" ref="G400">XLOOKUP(LCARS_Off[AbilityID],RawOfficer[AbilityID],RawOfficer[Tag_NonArmadaHostiles])</f>
        <v>✅</v>
      </c>
      <c r="H400" s="516" t="str">
        <f t="array" ref="H400">XLOOKUP(LCARS_Off[AbilityID],RawOfficer[AbilityID],RawOfficer[Tag_WaveDefense])</f>
        <v>✅</v>
      </c>
      <c r="I400" s="516" t="str">
        <f t="array" ref="I400">XLOOKUP(LCARS_Off[AbilityID],RawOfficer[AbilityID],RawOfficer[Tag_QTrial])</f>
        <v>✅</v>
      </c>
      <c r="J400" s="516" t="str">
        <f t="array" ref="J400">XLOOKUP(LCARS_Off[AbilityID],RawOfficer[AbilityID],RawOfficer[Tag_MissionBosses])</f>
        <v>➖</v>
      </c>
      <c r="K400" s="516" t="str">
        <f t="array" ref="K400">XLOOKUP(LCARS_Off[AbilityID],RawOfficer[AbilityID],RawOfficer[Tag_GroupArmadas])</f>
        <v>✅</v>
      </c>
      <c r="L400" s="516" t="str">
        <f t="array" ref="L400">XLOOKUP(LCARS_Off[AbilityID],RawOfficer[AbilityID],RawOfficer[Tag_SoloArmadas])</f>
        <v>✅</v>
      </c>
      <c r="M400" s="516" t="str">
        <f t="array" ref="M400">XLOOKUP(LCARS_Off[AbilityID],RawOfficer[AbilityID],RawOfficer[Tag_InvadingEntities])</f>
        <v>✅</v>
      </c>
      <c r="N400" s="516" t="str">
        <f t="array" ref="N400">XLOOKUP(LCARS_Off[AbilityID],RawOfficer[AbilityID],RawOfficer[Tag_Assaults])</f>
        <v>➖</v>
      </c>
      <c r="O400" s="516" t="str">
        <f t="array" ref="O400">XLOOKUP(LCARS_Off[AbilityID],RawOfficer[AbilityID],RawOfficer[Tag_OutpostArmadas])</f>
        <v>➖</v>
      </c>
      <c r="P400" s="516" t="str">
        <f t="array" ref="P400">XLOOKUP(LCARS_Off[AbilityID],RawOfficer[AbilityID],RawOfficer[Tag_OutpostRetaliators])</f>
        <v>➖</v>
      </c>
      <c r="Q400" s="517" t="str">
        <f t="array" ref="Q400">XLOOKUP(LCARS_Off[AbilityID],RawOfficer[AbilityID],RawOfficer[Conditional_Reason])</f>
        <v/>
      </c>
      <c r="R400" s="518" t="str">
        <f t="array" ref="R400">XLOOKUP(LCARS_Off[AbilityID],RawOfficer[AbilityID],RawOfficer[Tag_Loot])</f>
        <v>➖</v>
      </c>
      <c r="S400" s="516" t="str">
        <f t="array" ref="S400">XLOOKUP(LCARS_Off[AbilityID],RawOfficer[AbilityID],RawOfficer[Tag_Utility])</f>
        <v>➖</v>
      </c>
      <c r="T400" s="429" t="str">
        <f t="array" ref="T400">XLOOKUP(LCARS_Off[AbilityID],RawOfficer[AbilityID],RawOfficer[OfficerSynergy])</f>
        <v>VOYAGER</v>
      </c>
      <c r="U400" s="519" t="str">
        <f t="array" ref="U400">XLOOKUP(LCARS_Off[AbilityID],RawOfficer[AbilityID],RawOfficer[AbilityModifier])</f>
        <v>CritDamage</v>
      </c>
      <c r="V400" s="519" t="str">
        <f t="array" ref="V400">XLOOKUP(LCARS_Off[AbilityID],RawOfficer[AbilityID],RawOfficer[AbilityAttributes])</f>
        <v>num_rounds=1</v>
      </c>
      <c r="W400" s="520" t="str">
        <f t="array" ref="W400">XLOOKUP(LCARS_Off[AbilityID],RawOfficer[AbilityID],RawOfficer[AbilityConditions])</f>
        <v>EnemyHostile</v>
      </c>
      <c r="X400" s="519" t="str">
        <f t="array" ref="X400">XLOOKUP(LCARS_Off[AbilityID],RawOfficer[AbilityID],RawOfficer[AbilityTrigger])</f>
        <v>HitTaken</v>
      </c>
      <c r="Y400" s="519" t="str">
        <f t="array" ref="Y400">XLOOKUP(LCARS_Off[AbilityID],RawOfficer[AbilityID],RawOfficer[AbilityTarget])</f>
        <v>SelfShip</v>
      </c>
      <c r="Z400" s="519" t="str">
        <f t="array" ref="Z400">XLOOKUP(LCARS_Off[AbilityID],RawOfficer[AbilityID],RawOfficer[AbilityOperation])</f>
        <v>Add</v>
      </c>
      <c r="AA400" s="521" t="str">
        <f t="array" ref="AA400">XLOOKUP(LCARS_Off[AbilityID],RawOfficer[AbilityID],RawOfficer[AbilityDescription])</f>
        <v>When you take damage from a non-Player hostile or Armada, Tom Paris increases your Critical Hit damage by X for 1 round. (cumulative). -- (Weapons with multiple shots will only trigger this ability once per attack.)</v>
      </c>
      <c r="AB400" s="429" t="b">
        <v>0</v>
      </c>
      <c r="AC400" s="522" t="str">
        <f t="array" ref="AC400">XLOOKUP(LCARS_Off[AbilityID],RawOfficer[AbilityID],RawOfficer[AbilityDescriptionShort])</f>
        <v>Increase your Critical Hit damage by X for 1 round when hit. (Cumulative)</v>
      </c>
      <c r="AD400" s="523"/>
      <c r="AE400" s="524"/>
      <c r="AF400" s="524"/>
      <c r="AG400" s="525" t="str">
        <f t="array" ref="AG400">XLOOKUP(LCARS_Off[AbilityID],RawOfficer[AbilityID],RawOfficer[AbilityChances])</f>
        <v>1.0, 1.0, 1.0, 1.0, 1.0</v>
      </c>
      <c r="AH400" s="525" t="str">
        <f t="array" ref="AH400">XLOOKUP(LCARS_Off[AbilityID],RawOfficer[AbilityID],RawOfficer[AbilityValues])</f>
        <v>0.05, 0.07, 0.1, 0.15, 0.25</v>
      </c>
      <c r="AI400" s="428" t="b">
        <f t="array" ref="AI400">XLOOKUP(LCARS_Off[AbilityID],RawOfficer[AbilityID],RawOfficer[AbilityHasChance])</f>
        <v>0</v>
      </c>
      <c r="AJ400" s="428" t="b">
        <f t="array" ref="AJ400">XLOOKUP(LCARS_Off[AbilityID],RawOfficer[AbilityID],RawOfficer[AbilityShowPercentage])</f>
        <v>1</v>
      </c>
      <c r="AK400" s="429">
        <f t="array" ref="AK400">XLOOKUP(LCARS_Off[AbilityID],RawOfficer[AbilityID],RawOfficer[OfficerArt])</f>
        <v>245</v>
      </c>
      <c r="AL400" s="430">
        <v>2.246984954E9</v>
      </c>
      <c r="AM400" s="430">
        <f t="array" ref="AM400">XLOOKUP(LCARS_Off[AbilityID],RawOfficer[AbilityID],RawOfficer[Default Order])</f>
        <v>397</v>
      </c>
    </row>
    <row r="401">
      <c r="A401" s="429" t="str">
        <f t="array" ref="A401">LEFT(XLOOKUP(LCARS_Off[AbilityID],RawOfficer[AbilityID],RawOfficer[OfficerRarity]), 1)</f>
        <v>R</v>
      </c>
      <c r="B401" s="429"/>
      <c r="C401" s="514" t="str">
        <f t="array" ref="C401">HYPERLINK("https://stfc.space/officers/" &amp; XLOOKUP(LCARS_Off[AbilityID],RawOfficer[AbilityID],RawOfficer[OfficerId]), XLOOKUP(LCARS_Off[AbilityID],RawOfficer[AbilityID],RawOfficer[OfficerName]))</f>
        <v>TOM PARIS</v>
      </c>
      <c r="D401" s="515" t="str">
        <f t="array" ref="D401">XLOOKUP(LCARS_Off[AbilityID],RawOfficer[AbilityID],RawOfficer[AbilityType])</f>
        <v>BDA</v>
      </c>
      <c r="E401" s="516" t="str">
        <f t="array" ref="E401">XLOOKUP(LCARS_Off[AbilityID],RawOfficer[AbilityID],RawOfficer[Tag_PvPinSpace])</f>
        <v>➖</v>
      </c>
      <c r="F401" s="516" t="str">
        <f t="array" ref="F401">XLOOKUP(LCARS_Off[AbilityID],RawOfficer[AbilityID],RawOfficer[Tag_PvPStation])</f>
        <v>➖</v>
      </c>
      <c r="G401" s="516" t="str">
        <f t="array" ref="G401">XLOOKUP(LCARS_Off[AbilityID],RawOfficer[AbilityID],RawOfficer[Tag_NonArmadaHostiles])</f>
        <v>✅</v>
      </c>
      <c r="H401" s="516" t="str">
        <f t="array" ref="H401">XLOOKUP(LCARS_Off[AbilityID],RawOfficer[AbilityID],RawOfficer[Tag_WaveDefense])</f>
        <v>✅</v>
      </c>
      <c r="I401" s="516" t="str">
        <f t="array" ref="I401">XLOOKUP(LCARS_Off[AbilityID],RawOfficer[AbilityID],RawOfficer[Tag_QTrial])</f>
        <v>✅</v>
      </c>
      <c r="J401" s="516" t="str">
        <f t="array" ref="J401">XLOOKUP(LCARS_Off[AbilityID],RawOfficer[AbilityID],RawOfficer[Tag_MissionBosses])</f>
        <v>➖</v>
      </c>
      <c r="K401" s="516" t="str">
        <f t="array" ref="K401">XLOOKUP(LCARS_Off[AbilityID],RawOfficer[AbilityID],RawOfficer[Tag_GroupArmadas])</f>
        <v>✅</v>
      </c>
      <c r="L401" s="516" t="str">
        <f t="array" ref="L401">XLOOKUP(LCARS_Off[AbilityID],RawOfficer[AbilityID],RawOfficer[Tag_SoloArmadas])</f>
        <v>✅</v>
      </c>
      <c r="M401" s="516" t="str">
        <f t="array" ref="M401">XLOOKUP(LCARS_Off[AbilityID],RawOfficer[AbilityID],RawOfficer[Tag_InvadingEntities])</f>
        <v>✅</v>
      </c>
      <c r="N401" s="516" t="str">
        <f t="array" ref="N401">XLOOKUP(LCARS_Off[AbilityID],RawOfficer[AbilityID],RawOfficer[Tag_Assaults])</f>
        <v>➖</v>
      </c>
      <c r="O401" s="516" t="str">
        <f t="array" ref="O401">XLOOKUP(LCARS_Off[AbilityID],RawOfficer[AbilityID],RawOfficer[Tag_OutpostArmadas])</f>
        <v>➖</v>
      </c>
      <c r="P401" s="516" t="str">
        <f t="array" ref="P401">XLOOKUP(LCARS_Off[AbilityID],RawOfficer[AbilityID],RawOfficer[Tag_OutpostRetaliators])</f>
        <v>➖</v>
      </c>
      <c r="Q401" s="517" t="str">
        <f t="array" ref="Q401">XLOOKUP(LCARS_Off[AbilityID],RawOfficer[AbilityID],RawOfficer[Conditional_Reason])</f>
        <v/>
      </c>
      <c r="R401" s="518" t="str">
        <f t="array" ref="R401">XLOOKUP(LCARS_Off[AbilityID],RawOfficer[AbilityID],RawOfficer[Tag_Loot])</f>
        <v>➖</v>
      </c>
      <c r="S401" s="516" t="str">
        <f t="array" ref="S401">XLOOKUP(LCARS_Off[AbilityID],RawOfficer[AbilityID],RawOfficer[Tag_Utility])</f>
        <v>➖</v>
      </c>
      <c r="T401" s="429" t="str">
        <f t="array" ref="T401">XLOOKUP(LCARS_Off[AbilityID],RawOfficer[AbilityID],RawOfficer[OfficerSynergy])</f>
        <v>VOYAGER</v>
      </c>
      <c r="U401" s="519" t="str">
        <f t="array" ref="U401">XLOOKUP(LCARS_Off[AbilityID],RawOfficer[AbilityID],RawOfficer[AbilityModifier])</f>
        <v>AllDefenses</v>
      </c>
      <c r="V401" s="519" t="str">
        <f t="array" ref="V401">XLOOKUP(LCARS_Off[AbilityID],RawOfficer[AbilityID],RawOfficer[AbilityAttributes])</f>
        <v>officer_stat=2</v>
      </c>
      <c r="W401" s="520" t="str">
        <f t="array" ref="W401">XLOOKUP(LCARS_Off[AbilityID],RawOfficer[AbilityID],RawOfficer[AbilityConditions])</f>
        <v>EnemyHostile</v>
      </c>
      <c r="X401" s="519" t="str">
        <f t="array" ref="X401">XLOOKUP(LCARS_Off[AbilityID],RawOfficer[AbilityID],RawOfficer[AbilityTrigger])</f>
        <v>CombatStart</v>
      </c>
      <c r="Y401" s="519" t="str">
        <f t="array" ref="Y401">XLOOKUP(LCARS_Off[AbilityID],RawOfficer[AbilityID],RawOfficer[AbilityTarget])</f>
        <v>SelfShip</v>
      </c>
      <c r="Z401" s="519" t="str">
        <f t="array" ref="Z401">XLOOKUP(LCARS_Off[AbilityID],RawOfficer[AbilityID],RawOfficer[AbilityOperation])</f>
        <v>MultiplyBaseAdd</v>
      </c>
      <c r="AA401" s="521" t="str">
        <f t="array" ref="AA401">XLOOKUP(LCARS_Off[AbilityID],RawOfficer[AbilityID],RawOfficer[AbilityDescription])</f>
        <v>At the start of combat against non-Player hostiles or Armadas, Tom Paris increases your Armor, Shield Deflection, and Dodge by X of Defense.</v>
      </c>
      <c r="AB401" s="429" t="b">
        <v>0</v>
      </c>
      <c r="AC401" s="522" t="str">
        <f t="array" ref="AC401">XLOOKUP(LCARS_Off[AbilityID],RawOfficer[AbilityID],RawOfficer[AbilityDescriptionShort])</f>
        <v>Increase your Armor, Shield Deflection, and Dodge by X of Defense at the start of combat.</v>
      </c>
      <c r="AD401" s="523"/>
      <c r="AE401" s="524"/>
      <c r="AF401" s="524"/>
      <c r="AG401" s="525" t="str">
        <f t="array" ref="AG401">XLOOKUP(LCARS_Off[AbilityID],RawOfficer[AbilityID],RawOfficer[AbilityChances])</f>
        <v>1.0, 1.0, 1.0, 1.0, 1.0</v>
      </c>
      <c r="AH401" s="525" t="str">
        <f t="array" ref="AH401">XLOOKUP(LCARS_Off[AbilityID],RawOfficer[AbilityID],RawOfficer[AbilityValues])</f>
        <v>2.0, 2.5, 3.0, 4.0, 5.0</v>
      </c>
      <c r="AI401" s="428" t="b">
        <f t="array" ref="AI401">XLOOKUP(LCARS_Off[AbilityID],RawOfficer[AbilityID],RawOfficer[AbilityHasChance])</f>
        <v>0</v>
      </c>
      <c r="AJ401" s="428" t="b">
        <f t="array" ref="AJ401">XLOOKUP(LCARS_Off[AbilityID],RawOfficer[AbilityID],RawOfficer[AbilityShowPercentage])</f>
        <v>1</v>
      </c>
      <c r="AK401" s="429">
        <f t="array" ref="AK401">XLOOKUP(LCARS_Off[AbilityID],RawOfficer[AbilityID],RawOfficer[OfficerArt])</f>
        <v>245</v>
      </c>
      <c r="AL401" s="430">
        <v>3.192273655E9</v>
      </c>
      <c r="AM401" s="430">
        <f t="array" ref="AM401">XLOOKUP(LCARS_Off[AbilityID],RawOfficer[AbilityID],RawOfficer[Default Order])</f>
        <v>398</v>
      </c>
    </row>
    <row r="402">
      <c r="A402" s="429" t="str">
        <f t="array" ref="A402">LEFT(XLOOKUP(LCARS_Off[AbilityID],RawOfficer[AbilityID],RawOfficer[OfficerRarity]), 1)</f>
        <v>R</v>
      </c>
      <c r="B402" s="429"/>
      <c r="C402" s="514" t="str">
        <f t="array" ref="C402">HYPERLINK("https://stfc.space/officers/" &amp; XLOOKUP(LCARS_Off[AbilityID],RawOfficer[AbilityID],RawOfficer[OfficerId]), XLOOKUP(LCARS_Off[AbilityID],RawOfficer[AbilityID],RawOfficer[OfficerName]))</f>
        <v>HARRY KIM</v>
      </c>
      <c r="D402" s="515" t="str">
        <f t="array" ref="D402">XLOOKUP(LCARS_Off[AbilityID],RawOfficer[AbilityID],RawOfficer[AbilityType])</f>
        <v>OA</v>
      </c>
      <c r="E402" s="516" t="str">
        <f t="array" ref="E402">XLOOKUP(LCARS_Off[AbilityID],RawOfficer[AbilityID],RawOfficer[Tag_PvPinSpace])</f>
        <v>➖</v>
      </c>
      <c r="F402" s="516" t="str">
        <f t="array" ref="F402">XLOOKUP(LCARS_Off[AbilityID],RawOfficer[AbilityID],RawOfficer[Tag_PvPStation])</f>
        <v>➖</v>
      </c>
      <c r="G402" s="516" t="str">
        <f t="array" ref="G402">XLOOKUP(LCARS_Off[AbilityID],RawOfficer[AbilityID],RawOfficer[Tag_NonArmadaHostiles])</f>
        <v>✴️</v>
      </c>
      <c r="H402" s="516" t="str">
        <f t="array" ref="H402">XLOOKUP(LCARS_Off[AbilityID],RawOfficer[AbilityID],RawOfficer[Tag_WaveDefense])</f>
        <v>➖</v>
      </c>
      <c r="I402" s="516" t="str">
        <f t="array" ref="I402">XLOOKUP(LCARS_Off[AbilityID],RawOfficer[AbilityID],RawOfficer[Tag_QTrial])</f>
        <v>➖</v>
      </c>
      <c r="J402" s="516" t="str">
        <f t="array" ref="J402">XLOOKUP(LCARS_Off[AbilityID],RawOfficer[AbilityID],RawOfficer[Tag_MissionBosses])</f>
        <v>➖</v>
      </c>
      <c r="K402" s="516" t="str">
        <f t="array" ref="K402">XLOOKUP(LCARS_Off[AbilityID],RawOfficer[AbilityID],RawOfficer[Tag_GroupArmadas])</f>
        <v>✴️</v>
      </c>
      <c r="L402" s="516" t="str">
        <f t="array" ref="L402">XLOOKUP(LCARS_Off[AbilityID],RawOfficer[AbilityID],RawOfficer[Tag_SoloArmadas])</f>
        <v>✴️</v>
      </c>
      <c r="M402" s="516" t="str">
        <f t="array" ref="M402">XLOOKUP(LCARS_Off[AbilityID],RawOfficer[AbilityID],RawOfficer[Tag_InvadingEntities])</f>
        <v>➖</v>
      </c>
      <c r="N402" s="516" t="str">
        <f t="array" ref="N402">XLOOKUP(LCARS_Off[AbilityID],RawOfficer[AbilityID],RawOfficer[Tag_Assaults])</f>
        <v>➖</v>
      </c>
      <c r="O402" s="516" t="str">
        <f t="array" ref="O402">XLOOKUP(LCARS_Off[AbilityID],RawOfficer[AbilityID],RawOfficer[Tag_OutpostArmadas])</f>
        <v>➖</v>
      </c>
      <c r="P402" s="516" t="str">
        <f t="array" ref="P402">XLOOKUP(LCARS_Off[AbilityID],RawOfficer[AbilityID],RawOfficer[Tag_OutpostRetaliators])</f>
        <v>➖</v>
      </c>
      <c r="Q402" s="517" t="str">
        <f t="array" ref="Q402">XLOOKUP(LCARS_Off[AbilityID],RawOfficer[AbilityID],RawOfficer[Conditional_Reason])</f>
        <v>FactionPointsGain</v>
      </c>
      <c r="R402" s="518" t="str">
        <f t="array" ref="R402">XLOOKUP(LCARS_Off[AbilityID],RawOfficer[AbilityID],RawOfficer[Tag_Loot])</f>
        <v>✅</v>
      </c>
      <c r="S402" s="516" t="str">
        <f t="array" ref="S402">XLOOKUP(LCARS_Off[AbilityID],RawOfficer[AbilityID],RawOfficer[Tag_Utility])</f>
        <v>➖</v>
      </c>
      <c r="T402" s="429" t="str">
        <f t="array" ref="T402">XLOOKUP(LCARS_Off[AbilityID],RawOfficer[AbilityID],RawOfficer[OfficerSynergy])</f>
        <v>VOYAGER</v>
      </c>
      <c r="U402" s="519" t="str">
        <f t="array" ref="U402">XLOOKUP(LCARS_Off[AbilityID],RawOfficer[AbilityID],RawOfficer[AbilityModifier])</f>
        <v>FactionPointsGain</v>
      </c>
      <c r="V402" s="519" t="str">
        <f t="array" ref="V402">XLOOKUP(LCARS_Off[AbilityID],RawOfficer[AbilityID],RawOfficer[AbilityAttributes])</f>
        <v/>
      </c>
      <c r="W402" s="520" t="str">
        <f t="array" ref="W402">XLOOKUP(LCARS_Off[AbilityID],RawOfficer[AbilityID],RawOfficer[AbilityConditions])</f>
        <v/>
      </c>
      <c r="X402" s="519" t="str">
        <f t="array" ref="X402">XLOOKUP(LCARS_Off[AbilityID],RawOfficer[AbilityID],RawOfficer[AbilityTrigger])</f>
        <v>ShipLaunched</v>
      </c>
      <c r="Y402" s="519" t="str">
        <f t="array" ref="Y402">XLOOKUP(LCARS_Off[AbilityID],RawOfficer[AbilityID],RawOfficer[AbilityTarget])</f>
        <v>SelfShip</v>
      </c>
      <c r="Z402" s="519" t="str">
        <f t="array" ref="Z402">XLOOKUP(LCARS_Off[AbilityID],RawOfficer[AbilityID],RawOfficer[AbilityOperation])</f>
        <v>MultiplyAdd</v>
      </c>
      <c r="AA402" s="521" t="str">
        <f t="array" ref="AA402">XLOOKUP(LCARS_Off[AbilityID],RawOfficer[AbilityID],RawOfficer[AbilityDescription])</f>
        <v>Harry Kim increases all positive Reputation gains by X.</v>
      </c>
      <c r="AB402" s="429" t="b">
        <v>0</v>
      </c>
      <c r="AC402" s="522" t="str">
        <f t="array" ref="AC402">XLOOKUP(LCARS_Off[AbilityID],RawOfficer[AbilityID],RawOfficer[AbilityDescriptionShort])</f>
        <v>Increases all positive Reputation gains by X.</v>
      </c>
      <c r="AD402" s="523"/>
      <c r="AE402" s="521" t="s">
        <v>577</v>
      </c>
      <c r="AF402" s="521" t="s">
        <v>576</v>
      </c>
      <c r="AG402" s="525" t="str">
        <f t="array" ref="AG402">XLOOKUP(LCARS_Off[AbilityID],RawOfficer[AbilityID],RawOfficer[AbilityChances])</f>
        <v>1.0, 1.0, 1.0, 1.0, 1.0</v>
      </c>
      <c r="AH402" s="525" t="str">
        <f t="array" ref="AH402">XLOOKUP(LCARS_Off[AbilityID],RawOfficer[AbilityID],RawOfficer[AbilityValues])</f>
        <v>0.07, 0.1, 0.15, 0.2, 0.3</v>
      </c>
      <c r="AI402" s="428" t="b">
        <f t="array" ref="AI402">XLOOKUP(LCARS_Off[AbilityID],RawOfficer[AbilityID],RawOfficer[AbilityHasChance])</f>
        <v>0</v>
      </c>
      <c r="AJ402" s="428" t="b">
        <f t="array" ref="AJ402">XLOOKUP(LCARS_Off[AbilityID],RawOfficer[AbilityID],RawOfficer[AbilityShowPercentage])</f>
        <v>1</v>
      </c>
      <c r="AK402" s="429">
        <f t="array" ref="AK402">XLOOKUP(LCARS_Off[AbilityID],RawOfficer[AbilityID],RawOfficer[OfficerArt])</f>
        <v>244</v>
      </c>
      <c r="AL402" s="430">
        <v>3.735747219E9</v>
      </c>
      <c r="AM402" s="430">
        <f t="array" ref="AM402">XLOOKUP(LCARS_Off[AbilityID],RawOfficer[AbilityID],RawOfficer[Default Order])</f>
        <v>399</v>
      </c>
    </row>
    <row r="403">
      <c r="A403" s="429" t="str">
        <f t="array" ref="A403">LEFT(XLOOKUP(LCARS_Off[AbilityID],RawOfficer[AbilityID],RawOfficer[OfficerRarity]), 1)</f>
        <v>R</v>
      </c>
      <c r="B403" s="429"/>
      <c r="C403" s="514" t="str">
        <f t="array" ref="C403">HYPERLINK("https://stfc.space/officers/" &amp; XLOOKUP(LCARS_Off[AbilityID],RawOfficer[AbilityID],RawOfficer[OfficerId]), XLOOKUP(LCARS_Off[AbilityID],RawOfficer[AbilityID],RawOfficer[OfficerName]))</f>
        <v>HARRY KIM</v>
      </c>
      <c r="D403" s="515" t="str">
        <f t="array" ref="D403">XLOOKUP(LCARS_Off[AbilityID],RawOfficer[AbilityID],RawOfficer[AbilityType])</f>
        <v>BDA</v>
      </c>
      <c r="E403" s="516" t="str">
        <f t="array" ref="E403">XLOOKUP(LCARS_Off[AbilityID],RawOfficer[AbilityID],RawOfficer[Tag_PvPinSpace])</f>
        <v>➖</v>
      </c>
      <c r="F403" s="516" t="str">
        <f t="array" ref="F403">XLOOKUP(LCARS_Off[AbilityID],RawOfficer[AbilityID],RawOfficer[Tag_PvPStation])</f>
        <v>➖</v>
      </c>
      <c r="G403" s="516" t="str">
        <f t="array" ref="G403">XLOOKUP(LCARS_Off[AbilityID],RawOfficer[AbilityID],RawOfficer[Tag_NonArmadaHostiles])</f>
        <v>✅</v>
      </c>
      <c r="H403" s="516" t="str">
        <f t="array" ref="H403">XLOOKUP(LCARS_Off[AbilityID],RawOfficer[AbilityID],RawOfficer[Tag_WaveDefense])</f>
        <v>✅</v>
      </c>
      <c r="I403" s="516" t="str">
        <f t="array" ref="I403">XLOOKUP(LCARS_Off[AbilityID],RawOfficer[AbilityID],RawOfficer[Tag_QTrial])</f>
        <v>✅</v>
      </c>
      <c r="J403" s="516" t="str">
        <f t="array" ref="J403">XLOOKUP(LCARS_Off[AbilityID],RawOfficer[AbilityID],RawOfficer[Tag_MissionBosses])</f>
        <v>➖</v>
      </c>
      <c r="K403" s="516" t="str">
        <f t="array" ref="K403">XLOOKUP(LCARS_Off[AbilityID],RawOfficer[AbilityID],RawOfficer[Tag_GroupArmadas])</f>
        <v>✅</v>
      </c>
      <c r="L403" s="516" t="str">
        <f t="array" ref="L403">XLOOKUP(LCARS_Off[AbilityID],RawOfficer[AbilityID],RawOfficer[Tag_SoloArmadas])</f>
        <v>✅</v>
      </c>
      <c r="M403" s="516" t="str">
        <f t="array" ref="M403">XLOOKUP(LCARS_Off[AbilityID],RawOfficer[AbilityID],RawOfficer[Tag_InvadingEntities])</f>
        <v>✅</v>
      </c>
      <c r="N403" s="516" t="str">
        <f t="array" ref="N403">XLOOKUP(LCARS_Off[AbilityID],RawOfficer[AbilityID],RawOfficer[Tag_Assaults])</f>
        <v>➖</v>
      </c>
      <c r="O403" s="516" t="str">
        <f t="array" ref="O403">XLOOKUP(LCARS_Off[AbilityID],RawOfficer[AbilityID],RawOfficer[Tag_OutpostArmadas])</f>
        <v>➖</v>
      </c>
      <c r="P403" s="516" t="str">
        <f t="array" ref="P403">XLOOKUP(LCARS_Off[AbilityID],RawOfficer[AbilityID],RawOfficer[Tag_OutpostRetaliators])</f>
        <v>➖</v>
      </c>
      <c r="Q403" s="517" t="str">
        <f t="array" ref="Q403">XLOOKUP(LCARS_Off[AbilityID],RawOfficer[AbilityID],RawOfficer[Conditional_Reason])</f>
        <v/>
      </c>
      <c r="R403" s="518" t="str">
        <f t="array" ref="R403">XLOOKUP(LCARS_Off[AbilityID],RawOfficer[AbilityID],RawOfficer[Tag_Loot])</f>
        <v>➖</v>
      </c>
      <c r="S403" s="516" t="str">
        <f t="array" ref="S403">XLOOKUP(LCARS_Off[AbilityID],RawOfficer[AbilityID],RawOfficer[Tag_Utility])</f>
        <v>➖</v>
      </c>
      <c r="T403" s="429" t="str">
        <f t="array" ref="T403">XLOOKUP(LCARS_Off[AbilityID],RawOfficer[AbilityID],RawOfficer[OfficerSynergy])</f>
        <v>VOYAGER</v>
      </c>
      <c r="U403" s="519" t="str">
        <f t="array" ref="U403">XLOOKUP(LCARS_Off[AbilityID],RawOfficer[AbilityID],RawOfficer[AbilityModifier])</f>
        <v>AddState</v>
      </c>
      <c r="V403" s="519" t="str">
        <f t="array" ref="V403">XLOOKUP(LCARS_Off[AbilityID],RawOfficer[AbilityID],RawOfficer[AbilityAttributes])</f>
        <v>num_rounds=1, state=8</v>
      </c>
      <c r="W403" s="520" t="str">
        <f t="array" ref="W403">XLOOKUP(LCARS_Off[AbilityID],RawOfficer[AbilityID],RawOfficer[AbilityConditions])</f>
        <v>EnemyHostile</v>
      </c>
      <c r="X403" s="519" t="str">
        <f t="array" ref="X403">XLOOKUP(LCARS_Off[AbilityID],RawOfficer[AbilityID],RawOfficer[AbilityTrigger])</f>
        <v>RoundStart</v>
      </c>
      <c r="Y403" s="519" t="str">
        <f t="array" ref="Y403">XLOOKUP(LCARS_Off[AbilityID],RawOfficer[AbilityID],RawOfficer[AbilityTarget])</f>
        <v>SelfShip</v>
      </c>
      <c r="Z403" s="519" t="str">
        <f t="array" ref="Z403">XLOOKUP(LCARS_Off[AbilityID],RawOfficer[AbilityID],RawOfficer[AbilityOperation])</f>
        <v>MultiplyAdd</v>
      </c>
      <c r="AA403" s="521" t="str">
        <f t="array" ref="AA403">XLOOKUP(LCARS_Off[AbilityID],RawOfficer[AbilityID],RawOfficer[AbilityDescription])</f>
        <v>At the start of a round, Harry Kim has a X chance to apply Morale to your ship for 1 round when fighting non-Player hostiles or Armadas.</v>
      </c>
      <c r="AB403" s="429" t="b">
        <v>0</v>
      </c>
      <c r="AC403" s="522" t="str">
        <f t="array" ref="AC403">XLOOKUP(LCARS_Off[AbilityID],RawOfficer[AbilityID],RawOfficer[AbilityDescriptionShort])</f>
        <v>X chance each round to apply Morale to your ship for 1 round when fighting non-Player hostiles or Armadas.</v>
      </c>
      <c r="AD403" s="523"/>
      <c r="AE403" s="524"/>
      <c r="AF403" s="524"/>
      <c r="AG403" s="525" t="str">
        <f t="array" ref="AG403">XLOOKUP(LCARS_Off[AbilityID],RawOfficer[AbilityID],RawOfficer[AbilityChances])</f>
        <v>0.1, 0.15, 0.3, 0.6, 1.0</v>
      </c>
      <c r="AH403" s="525" t="str">
        <f t="array" ref="AH403">XLOOKUP(LCARS_Off[AbilityID],RawOfficer[AbilityID],RawOfficer[AbilityValues])</f>
        <v>1.0, 1.0, 1.0, 1.0, 1.0</v>
      </c>
      <c r="AI403" s="428" t="b">
        <f t="array" ref="AI403">XLOOKUP(LCARS_Off[AbilityID],RawOfficer[AbilityID],RawOfficer[AbilityHasChance])</f>
        <v>1</v>
      </c>
      <c r="AJ403" s="428" t="b">
        <f t="array" ref="AJ403">XLOOKUP(LCARS_Off[AbilityID],RawOfficer[AbilityID],RawOfficer[AbilityShowPercentage])</f>
        <v>1</v>
      </c>
      <c r="AK403" s="429">
        <f t="array" ref="AK403">XLOOKUP(LCARS_Off[AbilityID],RawOfficer[AbilityID],RawOfficer[OfficerArt])</f>
        <v>244</v>
      </c>
      <c r="AL403" s="430">
        <v>5.68169426E8</v>
      </c>
      <c r="AM403" s="430">
        <f t="array" ref="AM403">XLOOKUP(LCARS_Off[AbilityID],RawOfficer[AbilityID],RawOfficer[Default Order])</f>
        <v>400</v>
      </c>
    </row>
    <row r="404">
      <c r="A404" s="429" t="str">
        <f t="array" ref="A404">LEFT(XLOOKUP(LCARS_Off[AbilityID],RawOfficer[AbilityID],RawOfficer[OfficerRarity]), 1)</f>
        <v>E</v>
      </c>
      <c r="B404" s="429"/>
      <c r="C404" s="514" t="str">
        <f t="array" ref="C404">HYPERLINK("https://stfc.space/officers/" &amp; XLOOKUP(LCARS_Off[AbilityID],RawOfficer[AbilityID],RawOfficer[OfficerId]), XLOOKUP(LCARS_Off[AbilityID],RawOfficer[AbilityID],RawOfficer[OfficerName]))</f>
        <v>CHAKOTAY</v>
      </c>
      <c r="D404" s="515" t="str">
        <f t="array" ref="D404">XLOOKUP(LCARS_Off[AbilityID],RawOfficer[AbilityID],RawOfficer[AbilityType])</f>
        <v>CM</v>
      </c>
      <c r="E404" s="516" t="str">
        <f t="array" ref="E404">XLOOKUP(LCARS_Off[AbilityID],RawOfficer[AbilityID],RawOfficer[Tag_PvPinSpace])</f>
        <v>➖</v>
      </c>
      <c r="F404" s="516" t="str">
        <f t="array" ref="F404">XLOOKUP(LCARS_Off[AbilityID],RawOfficer[AbilityID],RawOfficer[Tag_PvPStation])</f>
        <v>➖</v>
      </c>
      <c r="G404" s="516" t="str">
        <f t="array" ref="G404">XLOOKUP(LCARS_Off[AbilityID],RawOfficer[AbilityID],RawOfficer[Tag_NonArmadaHostiles])</f>
        <v>➖</v>
      </c>
      <c r="H404" s="516" t="str">
        <f t="array" ref="H404">XLOOKUP(LCARS_Off[AbilityID],RawOfficer[AbilityID],RawOfficer[Tag_WaveDefense])</f>
        <v>➖</v>
      </c>
      <c r="I404" s="516" t="str">
        <f t="array" ref="I404">XLOOKUP(LCARS_Off[AbilityID],RawOfficer[AbilityID],RawOfficer[Tag_QTrial])</f>
        <v>➖</v>
      </c>
      <c r="J404" s="516" t="str">
        <f t="array" ref="J404">XLOOKUP(LCARS_Off[AbilityID],RawOfficer[AbilityID],RawOfficer[Tag_MissionBosses])</f>
        <v>➖</v>
      </c>
      <c r="K404" s="516" t="str">
        <f t="array" ref="K404">XLOOKUP(LCARS_Off[AbilityID],RawOfficer[AbilityID],RawOfficer[Tag_GroupArmadas])</f>
        <v>✅</v>
      </c>
      <c r="L404" s="516" t="str">
        <f t="array" ref="L404">XLOOKUP(LCARS_Off[AbilityID],RawOfficer[AbilityID],RawOfficer[Tag_SoloArmadas])</f>
        <v>✅</v>
      </c>
      <c r="M404" s="516" t="str">
        <f t="array" ref="M404">XLOOKUP(LCARS_Off[AbilityID],RawOfficer[AbilityID],RawOfficer[Tag_InvadingEntities])</f>
        <v>➖</v>
      </c>
      <c r="N404" s="516" t="str">
        <f t="array" ref="N404">XLOOKUP(LCARS_Off[AbilityID],RawOfficer[AbilityID],RawOfficer[Tag_Assaults])</f>
        <v>➖</v>
      </c>
      <c r="O404" s="516" t="str">
        <f t="array" ref="O404">XLOOKUP(LCARS_Off[AbilityID],RawOfficer[AbilityID],RawOfficer[Tag_OutpostArmadas])</f>
        <v>➖</v>
      </c>
      <c r="P404" s="516" t="str">
        <f t="array" ref="P404">XLOOKUP(LCARS_Off[AbilityID],RawOfficer[AbilityID],RawOfficer[Tag_OutpostRetaliators])</f>
        <v>➖</v>
      </c>
      <c r="Q404" s="517" t="str">
        <f t="array" ref="Q404">XLOOKUP(LCARS_Off[AbilityID],RawOfficer[AbilityID],RawOfficer[Conditional_Reason])</f>
        <v/>
      </c>
      <c r="R404" s="518" t="str">
        <f t="array" ref="R404">XLOOKUP(LCARS_Off[AbilityID],RawOfficer[AbilityID],RawOfficer[Tag_Loot])</f>
        <v>➖</v>
      </c>
      <c r="S404" s="516" t="str">
        <f t="array" ref="S404">XLOOKUP(LCARS_Off[AbilityID],RawOfficer[AbilityID],RawOfficer[Tag_Utility])</f>
        <v>➖</v>
      </c>
      <c r="T404" s="429" t="str">
        <f t="array" ref="T404">XLOOKUP(LCARS_Off[AbilityID],RawOfficer[AbilityID],RawOfficer[OfficerSynergy])</f>
        <v>VOYAGER</v>
      </c>
      <c r="U404" s="519" t="str">
        <f t="array" ref="U404">XLOOKUP(LCARS_Off[AbilityID],RawOfficer[AbilityID],RawOfficer[AbilityModifier])</f>
        <v>ShotsPerAttack</v>
      </c>
      <c r="V404" s="519" t="str">
        <f t="array" ref="V404">XLOOKUP(LCARS_Off[AbilityID],RawOfficer[AbilityID],RawOfficer[AbilityAttributes])</f>
        <v/>
      </c>
      <c r="W404" s="520" t="str">
        <f t="array" ref="W404">XLOOKUP(LCARS_Off[AbilityID],RawOfficer[AbilityID],RawOfficer[AbilityConditions])</f>
        <v>TargetIsArmada</v>
      </c>
      <c r="X404" s="519" t="str">
        <f t="array" ref="X404">XLOOKUP(LCARS_Off[AbilityID],RawOfficer[AbilityID],RawOfficer[AbilityTrigger])</f>
        <v>CombatStart</v>
      </c>
      <c r="Y404" s="519" t="str">
        <f t="array" ref="Y404">XLOOKUP(LCARS_Off[AbilityID],RawOfficer[AbilityID],RawOfficer[AbilityTarget])</f>
        <v>SelfShip</v>
      </c>
      <c r="Z404" s="519" t="str">
        <f t="array" ref="Z404">XLOOKUP(LCARS_Off[AbilityID],RawOfficer[AbilityID],RawOfficer[AbilityOperation])</f>
        <v>MultiplyAdd</v>
      </c>
      <c r="AA404" s="521" t="str">
        <f t="array" ref="AA404">XLOOKUP(LCARS_Off[AbilityID],RawOfficer[AbilityID],RawOfficer[AbilityDescription])</f>
        <v>Increases the number of shots of your ship's weapons by X versus Armadas. -- Chakotay receives full synergy bonuses from all Voyager officers regardless of class.</v>
      </c>
      <c r="AB404" s="429" t="b">
        <v>0</v>
      </c>
      <c r="AC404" s="522" t="str">
        <f t="array" ref="AC404">XLOOKUP(LCARS_Off[AbilityID],RawOfficer[AbilityID],RawOfficer[AbilityDescriptionShort])</f>
        <v>+X to shots vs Armadas.</v>
      </c>
      <c r="AD404" s="523"/>
      <c r="AE404" s="524"/>
      <c r="AF404" s="524"/>
      <c r="AG404" s="525" t="str">
        <f t="array" ref="AG404">XLOOKUP(LCARS_Off[AbilityID],RawOfficer[AbilityID],RawOfficer[AbilityChances])</f>
        <v>1.0, 1.0, 1.0</v>
      </c>
      <c r="AH404" s="525" t="str">
        <f t="array" ref="AH404">XLOOKUP(LCARS_Off[AbilityID],RawOfficer[AbilityID],RawOfficer[AbilityValues])</f>
        <v>0.4, 0.3, 0.3</v>
      </c>
      <c r="AI404" s="428" t="b">
        <f t="array" ref="AI404">XLOOKUP(LCARS_Off[AbilityID],RawOfficer[AbilityID],RawOfficer[AbilityHasChance])</f>
        <v>0</v>
      </c>
      <c r="AJ404" s="428" t="b">
        <f t="array" ref="AJ404">XLOOKUP(LCARS_Off[AbilityID],RawOfficer[AbilityID],RawOfficer[AbilityShowPercentage])</f>
        <v>1</v>
      </c>
      <c r="AK404" s="429">
        <f t="array" ref="AK404">XLOOKUP(LCARS_Off[AbilityID],RawOfficer[AbilityID],RawOfficer[OfficerArt])</f>
        <v>246</v>
      </c>
      <c r="AL404" s="430">
        <v>3.134526441E9</v>
      </c>
      <c r="AM404" s="430">
        <f t="array" ref="AM404">XLOOKUP(LCARS_Off[AbilityID],RawOfficer[AbilityID],RawOfficer[Default Order])</f>
        <v>401</v>
      </c>
    </row>
    <row r="405">
      <c r="A405" s="429" t="str">
        <f t="array" ref="A405">LEFT(XLOOKUP(LCARS_Off[AbilityID],RawOfficer[AbilityID],RawOfficer[OfficerRarity]), 1)</f>
        <v>E</v>
      </c>
      <c r="B405" s="429"/>
      <c r="C405" s="514" t="str">
        <f t="array" ref="C405">HYPERLINK("https://stfc.space/officers/" &amp; XLOOKUP(LCARS_Off[AbilityID],RawOfficer[AbilityID],RawOfficer[OfficerId]), XLOOKUP(LCARS_Off[AbilityID],RawOfficer[AbilityID],RawOfficer[OfficerName]))</f>
        <v>CHAKOTAY</v>
      </c>
      <c r="D405" s="515" t="str">
        <f t="array" ref="D405">XLOOKUP(LCARS_Off[AbilityID],RawOfficer[AbilityID],RawOfficer[AbilityType])</f>
        <v>OA</v>
      </c>
      <c r="E405" s="516" t="str">
        <f t="array" ref="E405">XLOOKUP(LCARS_Off[AbilityID],RawOfficer[AbilityID],RawOfficer[Tag_PvPinSpace])</f>
        <v>➖</v>
      </c>
      <c r="F405" s="516" t="str">
        <f t="array" ref="F405">XLOOKUP(LCARS_Off[AbilityID],RawOfficer[AbilityID],RawOfficer[Tag_PvPStation])</f>
        <v>➖</v>
      </c>
      <c r="G405" s="516" t="str">
        <f t="array" ref="G405">XLOOKUP(LCARS_Off[AbilityID],RawOfficer[AbilityID],RawOfficer[Tag_NonArmadaHostiles])</f>
        <v>➖</v>
      </c>
      <c r="H405" s="516" t="str">
        <f t="array" ref="H405">XLOOKUP(LCARS_Off[AbilityID],RawOfficer[AbilityID],RawOfficer[Tag_WaveDefense])</f>
        <v>➖</v>
      </c>
      <c r="I405" s="516" t="str">
        <f t="array" ref="I405">XLOOKUP(LCARS_Off[AbilityID],RawOfficer[AbilityID],RawOfficer[Tag_QTrial])</f>
        <v>➖</v>
      </c>
      <c r="J405" s="516" t="str">
        <f t="array" ref="J405">XLOOKUP(LCARS_Off[AbilityID],RawOfficer[AbilityID],RawOfficer[Tag_MissionBosses])</f>
        <v>➖</v>
      </c>
      <c r="K405" s="516" t="str">
        <f t="array" ref="K405">XLOOKUP(LCARS_Off[AbilityID],RawOfficer[AbilityID],RawOfficer[Tag_GroupArmadas])</f>
        <v>✅</v>
      </c>
      <c r="L405" s="516" t="str">
        <f t="array" ref="L405">XLOOKUP(LCARS_Off[AbilityID],RawOfficer[AbilityID],RawOfficer[Tag_SoloArmadas])</f>
        <v>✅</v>
      </c>
      <c r="M405" s="516" t="str">
        <f t="array" ref="M405">XLOOKUP(LCARS_Off[AbilityID],RawOfficer[AbilityID],RawOfficer[Tag_InvadingEntities])</f>
        <v>➖</v>
      </c>
      <c r="N405" s="516" t="str">
        <f t="array" ref="N405">XLOOKUP(LCARS_Off[AbilityID],RawOfficer[AbilityID],RawOfficer[Tag_Assaults])</f>
        <v>➖</v>
      </c>
      <c r="O405" s="516" t="str">
        <f t="array" ref="O405">XLOOKUP(LCARS_Off[AbilityID],RawOfficer[AbilityID],RawOfficer[Tag_OutpostArmadas])</f>
        <v>➖</v>
      </c>
      <c r="P405" s="516" t="str">
        <f t="array" ref="P405">XLOOKUP(LCARS_Off[AbilityID],RawOfficer[AbilityID],RawOfficer[Tag_OutpostRetaliators])</f>
        <v>➖</v>
      </c>
      <c r="Q405" s="517" t="str">
        <f t="array" ref="Q405">XLOOKUP(LCARS_Off[AbilityID],RawOfficer[AbilityID],RawOfficer[Conditional_Reason])</f>
        <v/>
      </c>
      <c r="R405" s="518" t="str">
        <f t="array" ref="R405">XLOOKUP(LCARS_Off[AbilityID],RawOfficer[AbilityID],RawOfficer[Tag_Loot])</f>
        <v>➖</v>
      </c>
      <c r="S405" s="516" t="str">
        <f t="array" ref="S405">XLOOKUP(LCARS_Off[AbilityID],RawOfficer[AbilityID],RawOfficer[Tag_Utility])</f>
        <v>➖</v>
      </c>
      <c r="T405" s="429" t="str">
        <f t="array" ref="T405">XLOOKUP(LCARS_Off[AbilityID],RawOfficer[AbilityID],RawOfficer[OfficerSynergy])</f>
        <v>VOYAGER</v>
      </c>
      <c r="U405" s="519" t="str">
        <f t="array" ref="U405">XLOOKUP(LCARS_Off[AbilityID],RawOfficer[AbilityID],RawOfficer[AbilityModifier])</f>
        <v>CritChance</v>
      </c>
      <c r="V405" s="519" t="str">
        <f t="array" ref="V405">XLOOKUP(LCARS_Off[AbilityID],RawOfficer[AbilityID],RawOfficer[AbilityAttributes])</f>
        <v>num_rounds=2</v>
      </c>
      <c r="W405" s="520" t="str">
        <f t="array" ref="W405">XLOOKUP(LCARS_Off[AbilityID],RawOfficer[AbilityID],RawOfficer[AbilityConditions])</f>
        <v>TargetIsArmada</v>
      </c>
      <c r="X405" s="519" t="str">
        <f t="array" ref="X405">XLOOKUP(LCARS_Off[AbilityID],RawOfficer[AbilityID],RawOfficer[AbilityTrigger])</f>
        <v>EnemyTakesHit</v>
      </c>
      <c r="Y405" s="519" t="str">
        <f t="array" ref="Y405">XLOOKUP(LCARS_Off[AbilityID],RawOfficer[AbilityID],RawOfficer[AbilityTarget])</f>
        <v>SelfShip</v>
      </c>
      <c r="Z405" s="519" t="str">
        <f t="array" ref="Z405">XLOOKUP(LCARS_Off[AbilityID],RawOfficer[AbilityID],RawOfficer[AbilityOperation])</f>
        <v>Add</v>
      </c>
      <c r="AA405" s="521" t="str">
        <f t="array" ref="AA405">XLOOKUP(LCARS_Off[AbilityID],RawOfficer[AbilityID],RawOfficer[AbilityDescription])</f>
        <v>Increases the Critical Hit Chance of your ship by X for 2 rounds each time you score a hit versus Armadas.</v>
      </c>
      <c r="AB405" s="429" t="b">
        <v>0</v>
      </c>
      <c r="AC405" s="522" t="str">
        <f t="array" ref="AC405">XLOOKUP(LCARS_Off[AbilityID],RawOfficer[AbilityID],RawOfficer[AbilityDescriptionShort])</f>
        <v>+X to Crit Chance for 2 rounds each time you score a hit vs Armadas.</v>
      </c>
      <c r="AD405" s="523"/>
      <c r="AE405" s="524"/>
      <c r="AF405" s="524"/>
      <c r="AG405" s="525" t="str">
        <f t="array" ref="AG405">XLOOKUP(LCARS_Off[AbilityID],RawOfficer[AbilityID],RawOfficer[AbilityChances])</f>
        <v>1.0, 1.0, 1.0, 1.0, 1.0</v>
      </c>
      <c r="AH405" s="525" t="str">
        <f t="array" ref="AH405">XLOOKUP(LCARS_Off[AbilityID],RawOfficer[AbilityID],RawOfficer[AbilityValues])</f>
        <v>0.08, 0.12, 0.16, 0.22, 0.3</v>
      </c>
      <c r="AI405" s="428" t="b">
        <f t="array" ref="AI405">XLOOKUP(LCARS_Off[AbilityID],RawOfficer[AbilityID],RawOfficer[AbilityHasChance])</f>
        <v>0</v>
      </c>
      <c r="AJ405" s="428" t="b">
        <f t="array" ref="AJ405">XLOOKUP(LCARS_Off[AbilityID],RawOfficer[AbilityID],RawOfficer[AbilityShowPercentage])</f>
        <v>1</v>
      </c>
      <c r="AK405" s="429">
        <f t="array" ref="AK405">XLOOKUP(LCARS_Off[AbilityID],RawOfficer[AbilityID],RawOfficer[OfficerArt])</f>
        <v>246</v>
      </c>
      <c r="AL405" s="430">
        <v>2.858479175E9</v>
      </c>
      <c r="AM405" s="430">
        <f t="array" ref="AM405">XLOOKUP(LCARS_Off[AbilityID],RawOfficer[AbilityID],RawOfficer[Default Order])</f>
        <v>402</v>
      </c>
    </row>
    <row r="406">
      <c r="A406" s="429" t="str">
        <f t="array" ref="A406">LEFT(XLOOKUP(LCARS_Off[AbilityID],RawOfficer[AbilityID],RawOfficer[OfficerRarity]), 1)</f>
        <v>R</v>
      </c>
      <c r="B406" s="429"/>
      <c r="C406" s="514" t="str">
        <f t="array" ref="C406">HYPERLINK("https://stfc.space/officers/" &amp; XLOOKUP(LCARS_Off[AbilityID],RawOfficer[AbilityID],RawOfficer[OfficerId]), XLOOKUP(LCARS_Off[AbilityID],RawOfficer[AbilityID],RawOfficer[OfficerName]))</f>
        <v>TUVOK</v>
      </c>
      <c r="D406" s="515" t="str">
        <f t="array" ref="D406">XLOOKUP(LCARS_Off[AbilityID],RawOfficer[AbilityID],RawOfficer[AbilityType])</f>
        <v>OA</v>
      </c>
      <c r="E406" s="516" t="str">
        <f t="array" ref="E406">XLOOKUP(LCARS_Off[AbilityID],RawOfficer[AbilityID],RawOfficer[Tag_PvPinSpace])</f>
        <v>➖</v>
      </c>
      <c r="F406" s="516" t="str">
        <f t="array" ref="F406">XLOOKUP(LCARS_Off[AbilityID],RawOfficer[AbilityID],RawOfficer[Tag_PvPStation])</f>
        <v>➖</v>
      </c>
      <c r="G406" s="516" t="str">
        <f t="array" ref="G406">XLOOKUP(LCARS_Off[AbilityID],RawOfficer[AbilityID],RawOfficer[Tag_NonArmadaHostiles])</f>
        <v>➖</v>
      </c>
      <c r="H406" s="516" t="str">
        <f t="array" ref="H406">XLOOKUP(LCARS_Off[AbilityID],RawOfficer[AbilityID],RawOfficer[Tag_WaveDefense])</f>
        <v>➖</v>
      </c>
      <c r="I406" s="516" t="str">
        <f t="array" ref="I406">XLOOKUP(LCARS_Off[AbilityID],RawOfficer[AbilityID],RawOfficer[Tag_QTrial])</f>
        <v>➖</v>
      </c>
      <c r="J406" s="516" t="str">
        <f t="array" ref="J406">XLOOKUP(LCARS_Off[AbilityID],RawOfficer[AbilityID],RawOfficer[Tag_MissionBosses])</f>
        <v>➖</v>
      </c>
      <c r="K406" s="516" t="str">
        <f t="array" ref="K406">XLOOKUP(LCARS_Off[AbilityID],RawOfficer[AbilityID],RawOfficer[Tag_GroupArmadas])</f>
        <v>✴️</v>
      </c>
      <c r="L406" s="516" t="str">
        <f t="array" ref="L406">XLOOKUP(LCARS_Off[AbilityID],RawOfficer[AbilityID],RawOfficer[Tag_SoloArmadas])</f>
        <v>➖</v>
      </c>
      <c r="M406" s="516" t="str">
        <f t="array" ref="M406">XLOOKUP(LCARS_Off[AbilityID],RawOfficer[AbilityID],RawOfficer[Tag_InvadingEntities])</f>
        <v>➖</v>
      </c>
      <c r="N406" s="516" t="str">
        <f t="array" ref="N406">XLOOKUP(LCARS_Off[AbilityID],RawOfficer[AbilityID],RawOfficer[Tag_Assaults])</f>
        <v>➖</v>
      </c>
      <c r="O406" s="516" t="str">
        <f t="array" ref="O406">XLOOKUP(LCARS_Off[AbilityID],RawOfficer[AbilityID],RawOfficer[Tag_OutpostArmadas])</f>
        <v>➖</v>
      </c>
      <c r="P406" s="516" t="str">
        <f t="array" ref="P406">XLOOKUP(LCARS_Off[AbilityID],RawOfficer[AbilityID],RawOfficer[Tag_OutpostRetaliators])</f>
        <v>➖</v>
      </c>
      <c r="Q406" s="517" t="str">
        <f t="array" ref="Q406">XLOOKUP(LCARS_Off[AbilityID],RawOfficer[AbilityID],RawOfficer[Conditional_Reason])</f>
        <v>ArtifactTokenLoot</v>
      </c>
      <c r="R406" s="518" t="str">
        <f t="array" ref="R406">XLOOKUP(LCARS_Off[AbilityID],RawOfficer[AbilityID],RawOfficer[Tag_Loot])</f>
        <v>✅</v>
      </c>
      <c r="S406" s="516" t="str">
        <f t="array" ref="S406">XLOOKUP(LCARS_Off[AbilityID],RawOfficer[AbilityID],RawOfficer[Tag_Utility])</f>
        <v>➖</v>
      </c>
      <c r="T406" s="429" t="str">
        <f t="array" ref="T406">XLOOKUP(LCARS_Off[AbilityID],RawOfficer[AbilityID],RawOfficer[OfficerSynergy])</f>
        <v>VOYAGER</v>
      </c>
      <c r="U406" s="519" t="str">
        <f t="array" ref="U406">XLOOKUP(LCARS_Off[AbilityID],RawOfficer[AbilityID],RawOfficer[AbilityModifier])</f>
        <v>ArtifactTokenLoot</v>
      </c>
      <c r="V406" s="519" t="str">
        <f t="array" ref="V406">XLOOKUP(LCARS_Off[AbilityID],RawOfficer[AbilityID],RawOfficer[AbilityAttributes])</f>
        <v/>
      </c>
      <c r="W406" s="520" t="str">
        <f t="array" ref="W406">XLOOKUP(LCARS_Off[AbilityID],RawOfficer[AbilityID],RawOfficer[AbilityConditions])</f>
        <v/>
      </c>
      <c r="X406" s="519" t="str">
        <f t="array" ref="X406">XLOOKUP(LCARS_Off[AbilityID],RawOfficer[AbilityID],RawOfficer[AbilityTrigger])</f>
        <v>ShipLaunched</v>
      </c>
      <c r="Y406" s="519" t="str">
        <f t="array" ref="Y406">XLOOKUP(LCARS_Off[AbilityID],RawOfficer[AbilityID],RawOfficer[AbilityTarget])</f>
        <v>SelfShip</v>
      </c>
      <c r="Z406" s="519" t="str">
        <f t="array" ref="Z406">XLOOKUP(LCARS_Off[AbilityID],RawOfficer[AbilityID],RawOfficer[AbilityOperation])</f>
        <v>MultiplyAdd</v>
      </c>
      <c r="AA406" s="521" t="str">
        <f t="array" ref="AA406">XLOOKUP(LCARS_Off[AbilityID],RawOfficer[AbilityID],RawOfficer[AbilityDescription])</f>
        <v>Increases the amount of Artifact Tokens gained from Formation Armadas by X.</v>
      </c>
      <c r="AB406" s="429" t="b">
        <v>0</v>
      </c>
      <c r="AC406" s="522" t="str">
        <f t="array" ref="AC406">XLOOKUP(LCARS_Off[AbilityID],RawOfficer[AbilityID],RawOfficer[AbilityDescriptionShort])</f>
        <v>+X to Artifact Tokens gained from Formation Armadas.</v>
      </c>
      <c r="AD406" s="523"/>
      <c r="AE406" s="524"/>
      <c r="AF406" s="524"/>
      <c r="AG406" s="525" t="str">
        <f t="array" ref="AG406">XLOOKUP(LCARS_Off[AbilityID],RawOfficer[AbilityID],RawOfficer[AbilityChances])</f>
        <v>1.0, 1.0, 1.0, 1.0, 1.0</v>
      </c>
      <c r="AH406" s="525" t="str">
        <f t="array" ref="AH406">XLOOKUP(LCARS_Off[AbilityID],RawOfficer[AbilityID],RawOfficer[AbilityValues])</f>
        <v>0.8, 1.0, 1.3, 1.6, 2.0</v>
      </c>
      <c r="AI406" s="428" t="b">
        <f t="array" ref="AI406">XLOOKUP(LCARS_Off[AbilityID],RawOfficer[AbilityID],RawOfficer[AbilityHasChance])</f>
        <v>0</v>
      </c>
      <c r="AJ406" s="428" t="b">
        <f t="array" ref="AJ406">XLOOKUP(LCARS_Off[AbilityID],RawOfficer[AbilityID],RawOfficer[AbilityShowPercentage])</f>
        <v>1</v>
      </c>
      <c r="AK406" s="429">
        <f t="array" ref="AK406">XLOOKUP(LCARS_Off[AbilityID],RawOfficer[AbilityID],RawOfficer[OfficerArt])</f>
        <v>247</v>
      </c>
      <c r="AL406" s="430">
        <v>6.71418104E8</v>
      </c>
      <c r="AM406" s="430">
        <f t="array" ref="AM406">XLOOKUP(LCARS_Off[AbilityID],RawOfficer[AbilityID],RawOfficer[Default Order])</f>
        <v>403</v>
      </c>
    </row>
    <row r="407">
      <c r="A407" s="429" t="str">
        <f t="array" ref="A407">LEFT(XLOOKUP(LCARS_Off[AbilityID],RawOfficer[AbilityID],RawOfficer[OfficerRarity]), 1)</f>
        <v>R</v>
      </c>
      <c r="B407" s="429"/>
      <c r="C407" s="514" t="str">
        <f t="array" ref="C407">HYPERLINK("https://stfc.space/officers/" &amp; XLOOKUP(LCARS_Off[AbilityID],RawOfficer[AbilityID],RawOfficer[OfficerId]), XLOOKUP(LCARS_Off[AbilityID],RawOfficer[AbilityID],RawOfficer[OfficerName]))</f>
        <v>TUVOK</v>
      </c>
      <c r="D407" s="515" t="str">
        <f t="array" ref="D407">XLOOKUP(LCARS_Off[AbilityID],RawOfficer[AbilityID],RawOfficer[AbilityType])</f>
        <v>BDA</v>
      </c>
      <c r="E407" s="516" t="str">
        <f t="array" ref="E407">XLOOKUP(LCARS_Off[AbilityID],RawOfficer[AbilityID],RawOfficer[Tag_PvPinSpace])</f>
        <v>➖</v>
      </c>
      <c r="F407" s="516" t="str">
        <f t="array" ref="F407">XLOOKUP(LCARS_Off[AbilityID],RawOfficer[AbilityID],RawOfficer[Tag_PvPStation])</f>
        <v>➖</v>
      </c>
      <c r="G407" s="516" t="str">
        <f t="array" ref="G407">XLOOKUP(LCARS_Off[AbilityID],RawOfficer[AbilityID],RawOfficer[Tag_NonArmadaHostiles])</f>
        <v>➖</v>
      </c>
      <c r="H407" s="516" t="str">
        <f t="array" ref="H407">XLOOKUP(LCARS_Off[AbilityID],RawOfficer[AbilityID],RawOfficer[Tag_WaveDefense])</f>
        <v>➖</v>
      </c>
      <c r="I407" s="516" t="str">
        <f t="array" ref="I407">XLOOKUP(LCARS_Off[AbilityID],RawOfficer[AbilityID],RawOfficer[Tag_QTrial])</f>
        <v>➖</v>
      </c>
      <c r="J407" s="516" t="str">
        <f t="array" ref="J407">XLOOKUP(LCARS_Off[AbilityID],RawOfficer[AbilityID],RawOfficer[Tag_MissionBosses])</f>
        <v>➖</v>
      </c>
      <c r="K407" s="516" t="str">
        <f t="array" ref="K407">XLOOKUP(LCARS_Off[AbilityID],RawOfficer[AbilityID],RawOfficer[Tag_GroupArmadas])</f>
        <v>➖</v>
      </c>
      <c r="L407" s="516" t="str">
        <f t="array" ref="L407">XLOOKUP(LCARS_Off[AbilityID],RawOfficer[AbilityID],RawOfficer[Tag_SoloArmadas])</f>
        <v>➖</v>
      </c>
      <c r="M407" s="516" t="str">
        <f t="array" ref="M407">XLOOKUP(LCARS_Off[AbilityID],RawOfficer[AbilityID],RawOfficer[Tag_InvadingEntities])</f>
        <v>➖</v>
      </c>
      <c r="N407" s="516" t="str">
        <f t="array" ref="N407">XLOOKUP(LCARS_Off[AbilityID],RawOfficer[AbilityID],RawOfficer[Tag_Assaults])</f>
        <v>➖</v>
      </c>
      <c r="O407" s="516" t="str">
        <f t="array" ref="O407">XLOOKUP(LCARS_Off[AbilityID],RawOfficer[AbilityID],RawOfficer[Tag_OutpostArmadas])</f>
        <v>➖</v>
      </c>
      <c r="P407" s="516" t="str">
        <f t="array" ref="P407">XLOOKUP(LCARS_Off[AbilityID],RawOfficer[AbilityID],RawOfficer[Tag_OutpostRetaliators])</f>
        <v>➖</v>
      </c>
      <c r="Q407" s="517" t="str">
        <f t="array" ref="Q407">XLOOKUP(LCARS_Off[AbilityID],RawOfficer[AbilityID],RawOfficer[Conditional_Reason])</f>
        <v/>
      </c>
      <c r="R407" s="518" t="str">
        <f t="array" ref="R407">XLOOKUP(LCARS_Off[AbilityID],RawOfficer[AbilityID],RawOfficer[Tag_Loot])</f>
        <v>➖</v>
      </c>
      <c r="S407" s="516" t="str">
        <f t="array" ref="S407">XLOOKUP(LCARS_Off[AbilityID],RawOfficer[AbilityID],RawOfficer[Tag_Utility])</f>
        <v>✅</v>
      </c>
      <c r="T407" s="429" t="str">
        <f t="array" ref="T407">XLOOKUP(LCARS_Off[AbilityID],RawOfficer[AbilityID],RawOfficer[OfficerSynergy])</f>
        <v>VOYAGER</v>
      </c>
      <c r="U407" s="519" t="str">
        <f t="array" ref="U407">XLOOKUP(LCARS_Off[AbilityID],RawOfficer[AbilityID],RawOfficer[AbilityModifier])</f>
        <v>CargoCapacity</v>
      </c>
      <c r="V407" s="519" t="str">
        <f t="array" ref="V407">XLOOKUP(LCARS_Off[AbilityID],RawOfficer[AbilityID],RawOfficer[AbilityAttributes])</f>
        <v/>
      </c>
      <c r="W407" s="520" t="str">
        <f t="array" ref="W407">XLOOKUP(LCARS_Off[AbilityID],RawOfficer[AbilityID],RawOfficer[AbilityConditions])</f>
        <v>SelfHullVoyager</v>
      </c>
      <c r="X407" s="519" t="str">
        <f t="array" ref="X407">XLOOKUP(LCARS_Off[AbilityID],RawOfficer[AbilityID],RawOfficer[AbilityTrigger])</f>
        <v>ShipLaunched</v>
      </c>
      <c r="Y407" s="519" t="str">
        <f t="array" ref="Y407">XLOOKUP(LCARS_Off[AbilityID],RawOfficer[AbilityID],RawOfficer[AbilityTarget])</f>
        <v>SelfShip</v>
      </c>
      <c r="Z407" s="519" t="str">
        <f t="array" ref="Z407">XLOOKUP(LCARS_Off[AbilityID],RawOfficer[AbilityID],RawOfficer[AbilityOperation])</f>
        <v>MultiplyAdd</v>
      </c>
      <c r="AA407" s="521" t="str">
        <f t="array" ref="AA407">XLOOKUP(LCARS_Off[AbilityID],RawOfficer[AbilityID],RawOfficer[AbilityDescription])</f>
        <v>Increases your ship's Cargo Capacity by X of base if your ship is the U.S.S. Voyager.</v>
      </c>
      <c r="AB407" s="429" t="b">
        <v>0</v>
      </c>
      <c r="AC407" s="522" t="str">
        <f t="array" ref="AC407">XLOOKUP(LCARS_Off[AbilityID],RawOfficer[AbilityID],RawOfficer[AbilityDescriptionShort])</f>
        <v>+X to Cargo Capacity if on the U.S.S. Voyager.</v>
      </c>
      <c r="AD407" s="523"/>
      <c r="AE407" s="524"/>
      <c r="AF407" s="524"/>
      <c r="AG407" s="525" t="str">
        <f t="array" ref="AG407">XLOOKUP(LCARS_Off[AbilityID],RawOfficer[AbilityID],RawOfficer[AbilityChances])</f>
        <v>1.0, 1.0, 1.0, 1.0, 1.0</v>
      </c>
      <c r="AH407" s="525" t="str">
        <f t="array" ref="AH407">XLOOKUP(LCARS_Off[AbilityID],RawOfficer[AbilityID],RawOfficer[AbilityValues])</f>
        <v>1.0, 1.5, 2.2, 3.0, 4.0</v>
      </c>
      <c r="AI407" s="428" t="b">
        <f t="array" ref="AI407">XLOOKUP(LCARS_Off[AbilityID],RawOfficer[AbilityID],RawOfficer[AbilityHasChance])</f>
        <v>0</v>
      </c>
      <c r="AJ407" s="428" t="b">
        <f t="array" ref="AJ407">XLOOKUP(LCARS_Off[AbilityID],RawOfficer[AbilityID],RawOfficer[AbilityShowPercentage])</f>
        <v>1</v>
      </c>
      <c r="AK407" s="429">
        <f t="array" ref="AK407">XLOOKUP(LCARS_Off[AbilityID],RawOfficer[AbilityID],RawOfficer[OfficerArt])</f>
        <v>247</v>
      </c>
      <c r="AL407" s="430">
        <v>3.2740695E7</v>
      </c>
      <c r="AM407" s="430">
        <f t="array" ref="AM407">XLOOKUP(LCARS_Off[AbilityID],RawOfficer[AbilityID],RawOfficer[Default Order])</f>
        <v>404</v>
      </c>
    </row>
    <row r="408">
      <c r="A408" s="429" t="str">
        <f t="array" ref="A408">LEFT(XLOOKUP(LCARS_Off[AbilityID],RawOfficer[AbilityID],RawOfficer[OfficerRarity]), 1)</f>
        <v>E</v>
      </c>
      <c r="B408" s="429"/>
      <c r="C408" s="514" t="str">
        <f t="array" ref="C408">HYPERLINK("https://stfc.space/officers/" &amp; XLOOKUP(LCARS_Off[AbilityID],RawOfficer[AbilityID],RawOfficer[OfficerId]), XLOOKUP(LCARS_Off[AbilityID],RawOfficer[AbilityID],RawOfficer[OfficerName]))</f>
        <v>SEVEN OF NINE</v>
      </c>
      <c r="D408" s="515" t="str">
        <f t="array" ref="D408">XLOOKUP(LCARS_Off[AbilityID],RawOfficer[AbilityID],RawOfficer[AbilityType])</f>
        <v>OA</v>
      </c>
      <c r="E408" s="516" t="str">
        <f t="array" ref="E408">XLOOKUP(LCARS_Off[AbilityID],RawOfficer[AbilityID],RawOfficer[Tag_PvPinSpace])</f>
        <v>➖</v>
      </c>
      <c r="F408" s="516" t="str">
        <f t="array" ref="F408">XLOOKUP(LCARS_Off[AbilityID],RawOfficer[AbilityID],RawOfficer[Tag_PvPStation])</f>
        <v>➖</v>
      </c>
      <c r="G408" s="516" t="str">
        <f t="array" ref="G408">XLOOKUP(LCARS_Off[AbilityID],RawOfficer[AbilityID],RawOfficer[Tag_NonArmadaHostiles])</f>
        <v>➖</v>
      </c>
      <c r="H408" s="516" t="str">
        <f t="array" ref="H408">XLOOKUP(LCARS_Off[AbilityID],RawOfficer[AbilityID],RawOfficer[Tag_WaveDefense])</f>
        <v>➖</v>
      </c>
      <c r="I408" s="516" t="str">
        <f t="array" ref="I408">XLOOKUP(LCARS_Off[AbilityID],RawOfficer[AbilityID],RawOfficer[Tag_QTrial])</f>
        <v>➖</v>
      </c>
      <c r="J408" s="516" t="str">
        <f t="array" ref="J408">XLOOKUP(LCARS_Off[AbilityID],RawOfficer[AbilityID],RawOfficer[Tag_MissionBosses])</f>
        <v>➖</v>
      </c>
      <c r="K408" s="516" t="str">
        <f t="array" ref="K408">XLOOKUP(LCARS_Off[AbilityID],RawOfficer[AbilityID],RawOfficer[Tag_GroupArmadas])</f>
        <v>✅</v>
      </c>
      <c r="L408" s="516" t="str">
        <f t="array" ref="L408">XLOOKUP(LCARS_Off[AbilityID],RawOfficer[AbilityID],RawOfficer[Tag_SoloArmadas])</f>
        <v>✅</v>
      </c>
      <c r="M408" s="516" t="str">
        <f t="array" ref="M408">XLOOKUP(LCARS_Off[AbilityID],RawOfficer[AbilityID],RawOfficer[Tag_InvadingEntities])</f>
        <v>➖</v>
      </c>
      <c r="N408" s="516" t="str">
        <f t="array" ref="N408">XLOOKUP(LCARS_Off[AbilityID],RawOfficer[AbilityID],RawOfficer[Tag_Assaults])</f>
        <v>➖</v>
      </c>
      <c r="O408" s="516" t="str">
        <f t="array" ref="O408">XLOOKUP(LCARS_Off[AbilityID],RawOfficer[AbilityID],RawOfficer[Tag_OutpostArmadas])</f>
        <v>➖</v>
      </c>
      <c r="P408" s="516" t="str">
        <f t="array" ref="P408">XLOOKUP(LCARS_Off[AbilityID],RawOfficer[AbilityID],RawOfficer[Tag_OutpostRetaliators])</f>
        <v>➖</v>
      </c>
      <c r="Q408" s="517" t="str">
        <f t="array" ref="Q408">XLOOKUP(LCARS_Off[AbilityID],RawOfficer[AbilityID],RawOfficer[Conditional_Reason])</f>
        <v/>
      </c>
      <c r="R408" s="518" t="str">
        <f t="array" ref="R408">XLOOKUP(LCARS_Off[AbilityID],RawOfficer[AbilityID],RawOfficer[Tag_Loot])</f>
        <v>➖</v>
      </c>
      <c r="S408" s="516" t="str">
        <f t="array" ref="S408">XLOOKUP(LCARS_Off[AbilityID],RawOfficer[AbilityID],RawOfficer[Tag_Utility])</f>
        <v>➖</v>
      </c>
      <c r="T408" s="429" t="str">
        <f t="array" ref="T408">XLOOKUP(LCARS_Off[AbilityID],RawOfficer[AbilityID],RawOfficer[OfficerSynergy])</f>
        <v>VOYAGER</v>
      </c>
      <c r="U408" s="519" t="str">
        <f t="array" ref="U408">XLOOKUP(LCARS_Off[AbilityID],RawOfficer[AbilityID],RawOfficer[AbilityModifier])</f>
        <v>CritDamage</v>
      </c>
      <c r="V408" s="519" t="str">
        <f t="array" ref="V408">XLOOKUP(LCARS_Off[AbilityID],RawOfficer[AbilityID],RawOfficer[AbilityAttributes])</f>
        <v/>
      </c>
      <c r="W408" s="520" t="str">
        <f t="array" ref="W408">XLOOKUP(LCARS_Off[AbilityID],RawOfficer[AbilityID],RawOfficer[AbilityConditions])</f>
        <v>TargetIsArmada</v>
      </c>
      <c r="X408" s="519" t="str">
        <f t="array" ref="X408">XLOOKUP(LCARS_Off[AbilityID],RawOfficer[AbilityID],RawOfficer[AbilityTrigger])</f>
        <v>CombatStart</v>
      </c>
      <c r="Y408" s="519" t="str">
        <f t="array" ref="Y408">XLOOKUP(LCARS_Off[AbilityID],RawOfficer[AbilityID],RawOfficer[AbilityTarget])</f>
        <v>SelfShip</v>
      </c>
      <c r="Z408" s="519" t="str">
        <f t="array" ref="Z408">XLOOKUP(LCARS_Off[AbilityID],RawOfficer[AbilityID],RawOfficer[AbilityOperation])</f>
        <v>Add</v>
      </c>
      <c r="AA408" s="521" t="str">
        <f t="array" ref="AA408">XLOOKUP(LCARS_Off[AbilityID],RawOfficer[AbilityID],RawOfficer[AbilityDescription])</f>
        <v>Increases your ship's Critical Hit Damage by X versus Armadas.</v>
      </c>
      <c r="AB408" s="429" t="b">
        <v>0</v>
      </c>
      <c r="AC408" s="522" t="str">
        <f t="array" ref="AC408">XLOOKUP(LCARS_Off[AbilityID],RawOfficer[AbilityID],RawOfficer[AbilityDescriptionShort])</f>
        <v>+X to Crit Damage vs Armadas.</v>
      </c>
      <c r="AD408" s="523"/>
      <c r="AE408" s="524"/>
      <c r="AF408" s="524"/>
      <c r="AG408" s="525" t="str">
        <f t="array" ref="AG408">XLOOKUP(LCARS_Off[AbilityID],RawOfficer[AbilityID],RawOfficer[AbilityChances])</f>
        <v>1.0, 1.0, 1.0, 1.0, 1.0</v>
      </c>
      <c r="AH408" s="525" t="str">
        <f t="array" ref="AH408">XLOOKUP(LCARS_Off[AbilityID],RawOfficer[AbilityID],RawOfficer[AbilityValues])</f>
        <v>0.8, 1.0, 1.3, 1.6, 2.0</v>
      </c>
      <c r="AI408" s="428" t="b">
        <f t="array" ref="AI408">XLOOKUP(LCARS_Off[AbilityID],RawOfficer[AbilityID],RawOfficer[AbilityHasChance])</f>
        <v>0</v>
      </c>
      <c r="AJ408" s="428" t="b">
        <f t="array" ref="AJ408">XLOOKUP(LCARS_Off[AbilityID],RawOfficer[AbilityID],RawOfficer[AbilityShowPercentage])</f>
        <v>1</v>
      </c>
      <c r="AK408" s="429">
        <f t="array" ref="AK408">XLOOKUP(LCARS_Off[AbilityID],RawOfficer[AbilityID],RawOfficer[OfficerArt])</f>
        <v>248</v>
      </c>
      <c r="AL408" s="430">
        <v>2.900232706E9</v>
      </c>
      <c r="AM408" s="430">
        <f t="array" ref="AM408">XLOOKUP(LCARS_Off[AbilityID],RawOfficer[AbilityID],RawOfficer[Default Order])</f>
        <v>405</v>
      </c>
    </row>
    <row r="409">
      <c r="A409" s="429" t="str">
        <f t="array" ref="A409">LEFT(XLOOKUP(LCARS_Off[AbilityID],RawOfficer[AbilityID],RawOfficer[OfficerRarity]), 1)</f>
        <v>E</v>
      </c>
      <c r="B409" s="429"/>
      <c r="C409" s="514" t="str">
        <f t="array" ref="C409">HYPERLINK("https://stfc.space/officers/" &amp; XLOOKUP(LCARS_Off[AbilityID],RawOfficer[AbilityID],RawOfficer[OfficerId]), XLOOKUP(LCARS_Off[AbilityID],RawOfficer[AbilityID],RawOfficer[OfficerName]))</f>
        <v>SEVEN OF NINE</v>
      </c>
      <c r="D409" s="515" t="str">
        <f t="array" ref="D409">XLOOKUP(LCARS_Off[AbilityID],RawOfficer[AbilityID],RawOfficer[AbilityType])</f>
        <v>BDA</v>
      </c>
      <c r="E409" s="516" t="str">
        <f t="array" ref="E409">XLOOKUP(LCARS_Off[AbilityID],RawOfficer[AbilityID],RawOfficer[Tag_PvPinSpace])</f>
        <v>✅</v>
      </c>
      <c r="F409" s="516" t="str">
        <f t="array" ref="F409">XLOOKUP(LCARS_Off[AbilityID],RawOfficer[AbilityID],RawOfficer[Tag_PvPStation])</f>
        <v>✅</v>
      </c>
      <c r="G409" s="516" t="str">
        <f t="array" ref="G409">XLOOKUP(LCARS_Off[AbilityID],RawOfficer[AbilityID],RawOfficer[Tag_NonArmadaHostiles])</f>
        <v>➖</v>
      </c>
      <c r="H409" s="516" t="str">
        <f t="array" ref="H409">XLOOKUP(LCARS_Off[AbilityID],RawOfficer[AbilityID],RawOfficer[Tag_WaveDefense])</f>
        <v>➖</v>
      </c>
      <c r="I409" s="516" t="str">
        <f t="array" ref="I409">XLOOKUP(LCARS_Off[AbilityID],RawOfficer[AbilityID],RawOfficer[Tag_QTrial])</f>
        <v>➖</v>
      </c>
      <c r="J409" s="516" t="str">
        <f t="array" ref="J409">XLOOKUP(LCARS_Off[AbilityID],RawOfficer[AbilityID],RawOfficer[Tag_MissionBosses])</f>
        <v>➖</v>
      </c>
      <c r="K409" s="516" t="str">
        <f t="array" ref="K409">XLOOKUP(LCARS_Off[AbilityID],RawOfficer[AbilityID],RawOfficer[Tag_GroupArmadas])</f>
        <v>➖</v>
      </c>
      <c r="L409" s="516" t="str">
        <f t="array" ref="L409">XLOOKUP(LCARS_Off[AbilityID],RawOfficer[AbilityID],RawOfficer[Tag_SoloArmadas])</f>
        <v>➖</v>
      </c>
      <c r="M409" s="516" t="str">
        <f t="array" ref="M409">XLOOKUP(LCARS_Off[AbilityID],RawOfficer[AbilityID],RawOfficer[Tag_InvadingEntities])</f>
        <v>➖</v>
      </c>
      <c r="N409" s="516" t="str">
        <f t="array" ref="N409">XLOOKUP(LCARS_Off[AbilityID],RawOfficer[AbilityID],RawOfficer[Tag_Assaults])</f>
        <v>➖</v>
      </c>
      <c r="O409" s="516" t="str">
        <f t="array" ref="O409">XLOOKUP(LCARS_Off[AbilityID],RawOfficer[AbilityID],RawOfficer[Tag_OutpostArmadas])</f>
        <v>➖</v>
      </c>
      <c r="P409" s="516" t="str">
        <f t="array" ref="P409">XLOOKUP(LCARS_Off[AbilityID],RawOfficer[AbilityID],RawOfficer[Tag_OutpostRetaliators])</f>
        <v>➖</v>
      </c>
      <c r="Q409" s="517" t="str">
        <f t="array" ref="Q409">XLOOKUP(LCARS_Off[AbilityID],RawOfficer[AbilityID],RawOfficer[Conditional_Reason])</f>
        <v/>
      </c>
      <c r="R409" s="518" t="str">
        <f t="array" ref="R409">XLOOKUP(LCARS_Off[AbilityID],RawOfficer[AbilityID],RawOfficer[Tag_Loot])</f>
        <v>➖</v>
      </c>
      <c r="S409" s="516" t="str">
        <f t="array" ref="S409">XLOOKUP(LCARS_Off[AbilityID],RawOfficer[AbilityID],RawOfficer[Tag_Utility])</f>
        <v>➖</v>
      </c>
      <c r="T409" s="429" t="str">
        <f t="array" ref="T409">XLOOKUP(LCARS_Off[AbilityID],RawOfficer[AbilityID],RawOfficer[OfficerSynergy])</f>
        <v>VOYAGER</v>
      </c>
      <c r="U409" s="519" t="str">
        <f t="array" ref="U409">XLOOKUP(LCARS_Off[AbilityID],RawOfficer[AbilityID],RawOfficer[AbilityModifier])</f>
        <v>IsolyticDamage</v>
      </c>
      <c r="V409" s="519" t="str">
        <f t="array" ref="V409">XLOOKUP(LCARS_Off[AbilityID],RawOfficer[AbilityID],RawOfficer[AbilityAttributes])</f>
        <v/>
      </c>
      <c r="W409" s="520" t="str">
        <f t="array" ref="W409">XLOOKUP(LCARS_Off[AbilityID],RawOfficer[AbilityID],RawOfficer[AbilityConditions])</f>
        <v>EnemyPlayer</v>
      </c>
      <c r="X409" s="519" t="str">
        <f t="array" ref="X409">XLOOKUP(LCARS_Off[AbilityID],RawOfficer[AbilityID],RawOfficer[AbilityTrigger])</f>
        <v>CombatStart</v>
      </c>
      <c r="Y409" s="519" t="str">
        <f t="array" ref="Y409">XLOOKUP(LCARS_Off[AbilityID],RawOfficer[AbilityID],RawOfficer[AbilityTarget])</f>
        <v>SelfShip</v>
      </c>
      <c r="Z409" s="519" t="str">
        <f t="array" ref="Z409">XLOOKUP(LCARS_Off[AbilityID],RawOfficer[AbilityID],RawOfficer[AbilityOperation])</f>
        <v>MultiplyAdd</v>
      </c>
      <c r="AA409" s="521" t="str">
        <f t="array" ref="AA409">XLOOKUP(LCARS_Off[AbilityID],RawOfficer[AbilityID],RawOfficer[AbilityDescription])</f>
        <v>Increases your ship's Isolytic Cascade by X versus players. -- Isolytic Cascade multiplies your total damage, including Isolytic Damage, and all research and other bonuses.</v>
      </c>
      <c r="AB409" s="429" t="b">
        <v>0</v>
      </c>
      <c r="AC409" s="522" t="str">
        <f t="array" ref="AC409">XLOOKUP(LCARS_Off[AbilityID],RawOfficer[AbilityID],RawOfficer[AbilityDescriptionShort])</f>
        <v>+X to Isolytic Cascade vs players.</v>
      </c>
      <c r="AD409" s="523"/>
      <c r="AE409" s="524"/>
      <c r="AF409" s="524"/>
      <c r="AG409" s="525" t="str">
        <f t="array" ref="AG409">XLOOKUP(LCARS_Off[AbilityID],RawOfficer[AbilityID],RawOfficer[AbilityChances])</f>
        <v>1.0, 1.0, 1.0, 1.0, 1.0</v>
      </c>
      <c r="AH409" s="525" t="str">
        <f t="array" ref="AH409">XLOOKUP(LCARS_Off[AbilityID],RawOfficer[AbilityID],RawOfficer[AbilityValues])</f>
        <v>0.12, 0.18, 0.26, 0.36, 0.5</v>
      </c>
      <c r="AI409" s="428" t="b">
        <f t="array" ref="AI409">XLOOKUP(LCARS_Off[AbilityID],RawOfficer[AbilityID],RawOfficer[AbilityHasChance])</f>
        <v>0</v>
      </c>
      <c r="AJ409" s="428" t="b">
        <f t="array" ref="AJ409">XLOOKUP(LCARS_Off[AbilityID],RawOfficer[AbilityID],RawOfficer[AbilityShowPercentage])</f>
        <v>1</v>
      </c>
      <c r="AK409" s="429">
        <f t="array" ref="AK409">XLOOKUP(LCARS_Off[AbilityID],RawOfficer[AbilityID],RawOfficer[OfficerArt])</f>
        <v>248</v>
      </c>
      <c r="AL409" s="430">
        <v>2.632569419E9</v>
      </c>
      <c r="AM409" s="430">
        <f t="array" ref="AM409">XLOOKUP(LCARS_Off[AbilityID],RawOfficer[AbilityID],RawOfficer[Default Order])</f>
        <v>406</v>
      </c>
    </row>
    <row r="410">
      <c r="A410" s="429" t="str">
        <f t="array" ref="A410">LEFT(XLOOKUP(LCARS_Off[AbilityID],RawOfficer[AbilityID],RawOfficer[OfficerRarity]), 1)</f>
        <v>R</v>
      </c>
      <c r="B410" s="429"/>
      <c r="C410" s="514" t="str">
        <f t="array" ref="C410">HYPERLINK("https://stfc.space/officers/" &amp; XLOOKUP(LCARS_Off[AbilityID],RawOfficer[AbilityID],RawOfficer[OfficerId]), XLOOKUP(LCARS_Off[AbilityID],RawOfficer[AbilityID],RawOfficer[OfficerName]))</f>
        <v>NEELIX</v>
      </c>
      <c r="D410" s="515" t="str">
        <f t="array" ref="D410">XLOOKUP(LCARS_Off[AbilityID],RawOfficer[AbilityID],RawOfficer[AbilityType])</f>
        <v>OA</v>
      </c>
      <c r="E410" s="516" t="str">
        <f t="array" ref="E410">XLOOKUP(LCARS_Off[AbilityID],RawOfficer[AbilityID],RawOfficer[Tag_PvPinSpace])</f>
        <v>➖</v>
      </c>
      <c r="F410" s="516" t="str">
        <f t="array" ref="F410">XLOOKUP(LCARS_Off[AbilityID],RawOfficer[AbilityID],RawOfficer[Tag_PvPStation])</f>
        <v>➖</v>
      </c>
      <c r="G410" s="516" t="str">
        <f t="array" ref="G410">XLOOKUP(LCARS_Off[AbilityID],RawOfficer[AbilityID],RawOfficer[Tag_NonArmadaHostiles])</f>
        <v>➖</v>
      </c>
      <c r="H410" s="516" t="str">
        <f t="array" ref="H410">XLOOKUP(LCARS_Off[AbilityID],RawOfficer[AbilityID],RawOfficer[Tag_WaveDefense])</f>
        <v>➖</v>
      </c>
      <c r="I410" s="516" t="str">
        <f t="array" ref="I410">XLOOKUP(LCARS_Off[AbilityID],RawOfficer[AbilityID],RawOfficer[Tag_QTrial])</f>
        <v>➖</v>
      </c>
      <c r="J410" s="516" t="str">
        <f t="array" ref="J410">XLOOKUP(LCARS_Off[AbilityID],RawOfficer[AbilityID],RawOfficer[Tag_MissionBosses])</f>
        <v>➖</v>
      </c>
      <c r="K410" s="516" t="str">
        <f t="array" ref="K410">XLOOKUP(LCARS_Off[AbilityID],RawOfficer[AbilityID],RawOfficer[Tag_GroupArmadas])</f>
        <v>➖</v>
      </c>
      <c r="L410" s="516" t="str">
        <f t="array" ref="L410">XLOOKUP(LCARS_Off[AbilityID],RawOfficer[AbilityID],RawOfficer[Tag_SoloArmadas])</f>
        <v>➖</v>
      </c>
      <c r="M410" s="516" t="str">
        <f t="array" ref="M410">XLOOKUP(LCARS_Off[AbilityID],RawOfficer[AbilityID],RawOfficer[Tag_InvadingEntities])</f>
        <v>➖</v>
      </c>
      <c r="N410" s="516" t="str">
        <f t="array" ref="N410">XLOOKUP(LCARS_Off[AbilityID],RawOfficer[AbilityID],RawOfficer[Tag_Assaults])</f>
        <v>➖</v>
      </c>
      <c r="O410" s="516" t="str">
        <f t="array" ref="O410">XLOOKUP(LCARS_Off[AbilityID],RawOfficer[AbilityID],RawOfficer[Tag_OutpostArmadas])</f>
        <v>➖</v>
      </c>
      <c r="P410" s="516" t="str">
        <f t="array" ref="P410">XLOOKUP(LCARS_Off[AbilityID],RawOfficer[AbilityID],RawOfficer[Tag_OutpostRetaliators])</f>
        <v>➖</v>
      </c>
      <c r="Q410" s="517" t="str">
        <f t="array" ref="Q410">XLOOKUP(LCARS_Off[AbilityID],RawOfficer[AbilityID],RawOfficer[Conditional_Reason])</f>
        <v/>
      </c>
      <c r="R410" s="518" t="str">
        <f t="array" ref="R410">XLOOKUP(LCARS_Off[AbilityID],RawOfficer[AbilityID],RawOfficer[Tag_Loot])</f>
        <v>➖</v>
      </c>
      <c r="S410" s="516" t="str">
        <f t="array" ref="S410">XLOOKUP(LCARS_Off[AbilityID],RawOfficer[AbilityID],RawOfficer[Tag_Utility])</f>
        <v>✅</v>
      </c>
      <c r="T410" s="429" t="str">
        <f t="array" ref="T410">XLOOKUP(LCARS_Off[AbilityID],RawOfficer[AbilityID],RawOfficer[OfficerSynergy])</f>
        <v>VOYAGER</v>
      </c>
      <c r="U410" s="519" t="str">
        <f t="array" ref="U410">XLOOKUP(LCARS_Off[AbilityID],RawOfficer[AbilityID],RawOfficer[AbilityModifier])</f>
        <v>VoyagerAsaCE</v>
      </c>
      <c r="V410" s="519" t="str">
        <f t="array" ref="V410">XLOOKUP(LCARS_Off[AbilityID],RawOfficer[AbilityID],RawOfficer[AbilityAttributes])</f>
        <v/>
      </c>
      <c r="W410" s="520" t="str">
        <f t="array" ref="W410">XLOOKUP(LCARS_Off[AbilityID],RawOfficer[AbilityID],RawOfficer[AbilityConditions])</f>
        <v>SelfHullVoyager</v>
      </c>
      <c r="X410" s="519" t="str">
        <f t="array" ref="X410">XLOOKUP(LCARS_Off[AbilityID],RawOfficer[AbilityID],RawOfficer[AbilityTrigger])</f>
        <v>ShipLaunched</v>
      </c>
      <c r="Y410" s="519" t="str">
        <f t="array" ref="Y410">XLOOKUP(LCARS_Off[AbilityID],RawOfficer[AbilityID],RawOfficer[AbilityTarget])</f>
        <v>SelfShip</v>
      </c>
      <c r="Z410" s="519" t="str">
        <f t="array" ref="Z410">XLOOKUP(LCARS_Off[AbilityID],RawOfficer[AbilityID],RawOfficer[AbilityOperation])</f>
        <v>MultiplyAdd</v>
      </c>
      <c r="AA410" s="521" t="str">
        <f t="array" ref="AA410">XLOOKUP(LCARS_Off[AbilityID],RawOfficer[AbilityID],RawOfficer[AbilityDescription])</f>
        <v>Increases the Cost Efficiency of your ship's active abilities by X when assigned to the U.S.S. Voyager.</v>
      </c>
      <c r="AB410" s="429" t="b">
        <v>0</v>
      </c>
      <c r="AC410" s="522" t="str">
        <f t="array" ref="AC410">XLOOKUP(LCARS_Off[AbilityID],RawOfficer[AbilityID],RawOfficer[AbilityDescriptionShort])</f>
        <v>+X to active ability Cost Efficiency while on the U.S.S. Voyager.</v>
      </c>
      <c r="AD410" s="523"/>
      <c r="AE410" s="524"/>
      <c r="AF410" s="524"/>
      <c r="AG410" s="525" t="str">
        <f t="array" ref="AG410">XLOOKUP(LCARS_Off[AbilityID],RawOfficer[AbilityID],RawOfficer[AbilityChances])</f>
        <v>1.0, 1.0, 1.0, 1.0, 1.0</v>
      </c>
      <c r="AH410" s="525" t="str">
        <f t="array" ref="AH410">XLOOKUP(LCARS_Off[AbilityID],RawOfficer[AbilityID],RawOfficer[AbilityValues])</f>
        <v>0.4, 0.55, 0.75, 1.0, 1.3</v>
      </c>
      <c r="AI410" s="428" t="b">
        <f t="array" ref="AI410">XLOOKUP(LCARS_Off[AbilityID],RawOfficer[AbilityID],RawOfficer[AbilityHasChance])</f>
        <v>0</v>
      </c>
      <c r="AJ410" s="428" t="b">
        <f t="array" ref="AJ410">XLOOKUP(LCARS_Off[AbilityID],RawOfficer[AbilityID],RawOfficer[AbilityShowPercentage])</f>
        <v>1</v>
      </c>
      <c r="AK410" s="429">
        <f t="array" ref="AK410">XLOOKUP(LCARS_Off[AbilityID],RawOfficer[AbilityID],RawOfficer[OfficerArt])</f>
        <v>249</v>
      </c>
      <c r="AL410" s="430">
        <v>2.36960987E8</v>
      </c>
      <c r="AM410" s="430">
        <f t="array" ref="AM410">XLOOKUP(LCARS_Off[AbilityID],RawOfficer[AbilityID],RawOfficer[Default Order])</f>
        <v>407</v>
      </c>
    </row>
    <row r="411">
      <c r="A411" s="429" t="str">
        <f t="array" ref="A411">LEFT(XLOOKUP(LCARS_Off[AbilityID],RawOfficer[AbilityID],RawOfficer[OfficerRarity]), 1)</f>
        <v>R</v>
      </c>
      <c r="B411" s="429"/>
      <c r="C411" s="514" t="str">
        <f t="array" ref="C411">HYPERLINK("https://stfc.space/officers/" &amp; XLOOKUP(LCARS_Off[AbilityID],RawOfficer[AbilityID],RawOfficer[OfficerId]), XLOOKUP(LCARS_Off[AbilityID],RawOfficer[AbilityID],RawOfficer[OfficerName]))</f>
        <v>NEELIX</v>
      </c>
      <c r="D411" s="515" t="str">
        <f t="array" ref="D411">XLOOKUP(LCARS_Off[AbilityID],RawOfficer[AbilityID],RawOfficer[AbilityType])</f>
        <v>BDA</v>
      </c>
      <c r="E411" s="516" t="str">
        <f t="array" ref="E411">XLOOKUP(LCARS_Off[AbilityID],RawOfficer[AbilityID],RawOfficer[Tag_PvPinSpace])</f>
        <v>➖</v>
      </c>
      <c r="F411" s="516" t="str">
        <f t="array" ref="F411">XLOOKUP(LCARS_Off[AbilityID],RawOfficer[AbilityID],RawOfficer[Tag_PvPStation])</f>
        <v>➖</v>
      </c>
      <c r="G411" s="516" t="str">
        <f t="array" ref="G411">XLOOKUP(LCARS_Off[AbilityID],RawOfficer[AbilityID],RawOfficer[Tag_NonArmadaHostiles])</f>
        <v>✴️</v>
      </c>
      <c r="H411" s="516" t="str">
        <f t="array" ref="H411">XLOOKUP(LCARS_Off[AbilityID],RawOfficer[AbilityID],RawOfficer[Tag_WaveDefense])</f>
        <v>✴️</v>
      </c>
      <c r="I411" s="516" t="str">
        <f t="array" ref="I411">XLOOKUP(LCARS_Off[AbilityID],RawOfficer[AbilityID],RawOfficer[Tag_QTrial])</f>
        <v>✴️</v>
      </c>
      <c r="J411" s="516" t="str">
        <f t="array" ref="J411">XLOOKUP(LCARS_Off[AbilityID],RawOfficer[AbilityID],RawOfficer[Tag_MissionBosses])</f>
        <v>➖</v>
      </c>
      <c r="K411" s="516" t="str">
        <f t="array" ref="K411">XLOOKUP(LCARS_Off[AbilityID],RawOfficer[AbilityID],RawOfficer[Tag_GroupArmadas])</f>
        <v>✴️</v>
      </c>
      <c r="L411" s="516" t="str">
        <f t="array" ref="L411">XLOOKUP(LCARS_Off[AbilityID],RawOfficer[AbilityID],RawOfficer[Tag_SoloArmadas])</f>
        <v>✴️</v>
      </c>
      <c r="M411" s="516" t="str">
        <f t="array" ref="M411">XLOOKUP(LCARS_Off[AbilityID],RawOfficer[AbilityID],RawOfficer[Tag_InvadingEntities])</f>
        <v>✴️</v>
      </c>
      <c r="N411" s="516" t="str">
        <f t="array" ref="N411">XLOOKUP(LCARS_Off[AbilityID],RawOfficer[AbilityID],RawOfficer[Tag_Assaults])</f>
        <v>➖</v>
      </c>
      <c r="O411" s="516" t="str">
        <f t="array" ref="O411">XLOOKUP(LCARS_Off[AbilityID],RawOfficer[AbilityID],RawOfficer[Tag_OutpostArmadas])</f>
        <v>➖</v>
      </c>
      <c r="P411" s="516" t="str">
        <f t="array" ref="P411">XLOOKUP(LCARS_Off[AbilityID],RawOfficer[AbilityID],RawOfficer[Tag_OutpostRetaliators])</f>
        <v>➖</v>
      </c>
      <c r="Q411" s="517" t="str">
        <f t="array" ref="Q411">XLOOKUP(LCARS_Off[AbilityID],RawOfficer[AbilityID],RawOfficer[Conditional_Reason])</f>
        <v>SelfOfficerTalNotOnBridge</v>
      </c>
      <c r="R411" s="518" t="str">
        <f t="array" ref="R411">XLOOKUP(LCARS_Off[AbilityID],RawOfficer[AbilityID],RawOfficer[Tag_Loot])</f>
        <v>➖</v>
      </c>
      <c r="S411" s="516" t="str">
        <f t="array" ref="S411">XLOOKUP(LCARS_Off[AbilityID],RawOfficer[AbilityID],RawOfficer[Tag_Utility])</f>
        <v>➖</v>
      </c>
      <c r="T411" s="429" t="str">
        <f t="array" ref="T411">XLOOKUP(LCARS_Off[AbilityID],RawOfficer[AbilityID],RawOfficer[OfficerSynergy])</f>
        <v>VOYAGER</v>
      </c>
      <c r="U411" s="519" t="str">
        <f t="array" ref="U411">XLOOKUP(LCARS_Off[AbilityID],RawOfficer[AbilityID],RawOfficer[AbilityModifier])</f>
        <v>AddState</v>
      </c>
      <c r="V411" s="519" t="str">
        <f t="array" ref="V411">XLOOKUP(LCARS_Off[AbilityID],RawOfficer[AbilityID],RawOfficer[AbilityAttributes])</f>
        <v>num_rounds=1, state=2</v>
      </c>
      <c r="W411" s="520" t="str">
        <f t="array" ref="W411">XLOOKUP(LCARS_Off[AbilityID],RawOfficer[AbilityID],RawOfficer[AbilityConditions])</f>
        <v>EnemyHostile, SelfOfficerTalNotOnBridge</v>
      </c>
      <c r="X411" s="519" t="str">
        <f t="array" ref="X411">XLOOKUP(LCARS_Off[AbilityID],RawOfficer[AbilityID],RawOfficer[AbilityTrigger])</f>
        <v>RoundStart</v>
      </c>
      <c r="Y411" s="519" t="str">
        <f t="array" ref="Y411">XLOOKUP(LCARS_Off[AbilityID],RawOfficer[AbilityID],RawOfficer[AbilityTarget])</f>
        <v>EnemyShip</v>
      </c>
      <c r="Z411" s="519" t="str">
        <f t="array" ref="Z411">XLOOKUP(LCARS_Off[AbilityID],RawOfficer[AbilityID],RawOfficer[AbilityOperation])</f>
        <v>MultiplyAdd</v>
      </c>
      <c r="AA411" s="521" t="str">
        <f t="array" ref="AA411">XLOOKUP(LCARS_Off[AbilityID],RawOfficer[AbilityID],RawOfficer[AbilityDescription])</f>
        <v>X chance each round to apply Burning for 1 round versus non-Player hostiles or Armadas. -- This ability does not trigger when Tal is assigned to the bridge of your ship</v>
      </c>
      <c r="AB411" s="429" t="b">
        <v>0</v>
      </c>
      <c r="AC411" s="522" t="str">
        <f t="array" ref="AC411">XLOOKUP(LCARS_Off[AbilityID],RawOfficer[AbilityID],RawOfficer[AbilityDescriptionShort])</f>
        <v>X chance each round to apply Burning for 1 round versus non-Player hostiles or Armada.</v>
      </c>
      <c r="AD411" s="523"/>
      <c r="AE411" s="524"/>
      <c r="AF411" s="524"/>
      <c r="AG411" s="525" t="str">
        <f t="array" ref="AG411">XLOOKUP(LCARS_Off[AbilityID],RawOfficer[AbilityID],RawOfficer[AbilityChances])</f>
        <v>0.1, 0.15, 0.3, 0.6, 1.0</v>
      </c>
      <c r="AH411" s="525" t="str">
        <f t="array" ref="AH411">XLOOKUP(LCARS_Off[AbilityID],RawOfficer[AbilityID],RawOfficer[AbilityValues])</f>
        <v>1.0, 1.0, 1.0, 1.0, 1.0</v>
      </c>
      <c r="AI411" s="428" t="b">
        <f t="array" ref="AI411">XLOOKUP(LCARS_Off[AbilityID],RawOfficer[AbilityID],RawOfficer[AbilityHasChance])</f>
        <v>1</v>
      </c>
      <c r="AJ411" s="428" t="b">
        <f t="array" ref="AJ411">XLOOKUP(LCARS_Off[AbilityID],RawOfficer[AbilityID],RawOfficer[AbilityShowPercentage])</f>
        <v>1</v>
      </c>
      <c r="AK411" s="429">
        <f t="array" ref="AK411">XLOOKUP(LCARS_Off[AbilityID],RawOfficer[AbilityID],RawOfficer[OfficerArt])</f>
        <v>249</v>
      </c>
      <c r="AL411" s="430">
        <v>1.091333371E9</v>
      </c>
      <c r="AM411" s="430">
        <f t="array" ref="AM411">XLOOKUP(LCARS_Off[AbilityID],RawOfficer[AbilityID],RawOfficer[Default Order])</f>
        <v>408</v>
      </c>
    </row>
    <row r="412">
      <c r="A412" s="429" t="str">
        <f t="array" ref="A412">LEFT(XLOOKUP(LCARS_Off[AbilityID],RawOfficer[AbilityID],RawOfficer[OfficerRarity]), 1)</f>
        <v>E</v>
      </c>
      <c r="B412" s="429"/>
      <c r="C412" s="514" t="str">
        <f t="array" ref="C412">HYPERLINK("https://stfc.space/officers/" &amp; XLOOKUP(LCARS_Off[AbilityID],RawOfficer[AbilityID],RawOfficer[OfficerId]), XLOOKUP(LCARS_Off[AbilityID],RawOfficer[AbilityID],RawOfficer[OfficerName]))</f>
        <v>CAROL FREEMAN</v>
      </c>
      <c r="D412" s="515" t="str">
        <f t="array" ref="D412">XLOOKUP(LCARS_Off[AbilityID],RawOfficer[AbilityID],RawOfficer[AbilityType])</f>
        <v>CM</v>
      </c>
      <c r="E412" s="516" t="str">
        <f t="array" ref="E412">XLOOKUP(LCARS_Off[AbilityID],RawOfficer[AbilityID],RawOfficer[Tag_PvPinSpace])</f>
        <v>✅</v>
      </c>
      <c r="F412" s="516" t="str">
        <f t="array" ref="F412">XLOOKUP(LCARS_Off[AbilityID],RawOfficer[AbilityID],RawOfficer[Tag_PvPStation])</f>
        <v>✅</v>
      </c>
      <c r="G412" s="516" t="str">
        <f t="array" ref="G412">XLOOKUP(LCARS_Off[AbilityID],RawOfficer[AbilityID],RawOfficer[Tag_NonArmadaHostiles])</f>
        <v>➖</v>
      </c>
      <c r="H412" s="516" t="str">
        <f t="array" ref="H412">XLOOKUP(LCARS_Off[AbilityID],RawOfficer[AbilityID],RawOfficer[Tag_WaveDefense])</f>
        <v>➖</v>
      </c>
      <c r="I412" s="516" t="str">
        <f t="array" ref="I412">XLOOKUP(LCARS_Off[AbilityID],RawOfficer[AbilityID],RawOfficer[Tag_QTrial])</f>
        <v>➖</v>
      </c>
      <c r="J412" s="516" t="str">
        <f t="array" ref="J412">XLOOKUP(LCARS_Off[AbilityID],RawOfficer[AbilityID],RawOfficer[Tag_MissionBosses])</f>
        <v>➖</v>
      </c>
      <c r="K412" s="516" t="str">
        <f t="array" ref="K412">XLOOKUP(LCARS_Off[AbilityID],RawOfficer[AbilityID],RawOfficer[Tag_GroupArmadas])</f>
        <v>➖</v>
      </c>
      <c r="L412" s="516" t="str">
        <f t="array" ref="L412">XLOOKUP(LCARS_Off[AbilityID],RawOfficer[AbilityID],RawOfficer[Tag_SoloArmadas])</f>
        <v>➖</v>
      </c>
      <c r="M412" s="516" t="str">
        <f t="array" ref="M412">XLOOKUP(LCARS_Off[AbilityID],RawOfficer[AbilityID],RawOfficer[Tag_InvadingEntities])</f>
        <v>➖</v>
      </c>
      <c r="N412" s="516" t="str">
        <f t="array" ref="N412">XLOOKUP(LCARS_Off[AbilityID],RawOfficer[AbilityID],RawOfficer[Tag_Assaults])</f>
        <v>➖</v>
      </c>
      <c r="O412" s="516" t="str">
        <f t="array" ref="O412">XLOOKUP(LCARS_Off[AbilityID],RawOfficer[AbilityID],RawOfficer[Tag_OutpostArmadas])</f>
        <v>➖</v>
      </c>
      <c r="P412" s="516" t="str">
        <f t="array" ref="P412">XLOOKUP(LCARS_Off[AbilityID],RawOfficer[AbilityID],RawOfficer[Tag_OutpostRetaliators])</f>
        <v>➖</v>
      </c>
      <c r="Q412" s="517" t="str">
        <f t="array" ref="Q412">XLOOKUP(LCARS_Off[AbilityID],RawOfficer[AbilityID],RawOfficer[Conditional_Reason])</f>
        <v/>
      </c>
      <c r="R412" s="518" t="str">
        <f t="array" ref="R412">XLOOKUP(LCARS_Off[AbilityID],RawOfficer[AbilityID],RawOfficer[Tag_Loot])</f>
        <v>➖</v>
      </c>
      <c r="S412" s="516" t="str">
        <f t="array" ref="S412">XLOOKUP(LCARS_Off[AbilityID],RawOfficer[AbilityID],RawOfficer[Tag_Utility])</f>
        <v>➖</v>
      </c>
      <c r="T412" s="429" t="str">
        <f t="array" ref="T412">XLOOKUP(LCARS_Off[AbilityID],RawOfficer[AbilityID],RawOfficer[OfficerSynergy])</f>
        <v>LOWER DECKS CREW</v>
      </c>
      <c r="U412" s="519" t="str">
        <f t="array" ref="U412">XLOOKUP(LCARS_Off[AbilityID],RawOfficer[AbilityID],RawOfficer[AbilityModifier])</f>
        <v>ShotsPerAttack</v>
      </c>
      <c r="V412" s="519" t="str">
        <f t="array" ref="V412">XLOOKUP(LCARS_Off[AbilityID],RawOfficer[AbilityID],RawOfficer[AbilityAttributes])</f>
        <v/>
      </c>
      <c r="W412" s="520" t="str">
        <f t="array" ref="W412">XLOOKUP(LCARS_Off[AbilityID],RawOfficer[AbilityID],RawOfficer[AbilityConditions])</f>
        <v>EnemyPlayer</v>
      </c>
      <c r="X412" s="519" t="str">
        <f t="array" ref="X412">XLOOKUP(LCARS_Off[AbilityID],RawOfficer[AbilityID],RawOfficer[AbilityTrigger])</f>
        <v>CombatStart</v>
      </c>
      <c r="Y412" s="519" t="str">
        <f t="array" ref="Y412">XLOOKUP(LCARS_Off[AbilityID],RawOfficer[AbilityID],RawOfficer[AbilityTarget])</f>
        <v>SelfShip</v>
      </c>
      <c r="Z412" s="519" t="str">
        <f t="array" ref="Z412">XLOOKUP(LCARS_Off[AbilityID],RawOfficer[AbilityID],RawOfficer[AbilityOperation])</f>
        <v>MultiplyAdd</v>
      </c>
      <c r="AA412" s="521" t="str">
        <f t="array" ref="AA412">XLOOKUP(LCARS_Off[AbilityID],RawOfficer[AbilityID],RawOfficer[AbilityDescription])</f>
        <v>On combat start against players, Carol Freeman increases your shots by X.</v>
      </c>
      <c r="AB412" s="429" t="b">
        <v>0</v>
      </c>
      <c r="AC412" s="522" t="str">
        <f t="array" ref="AC412">XLOOKUP(LCARS_Off[AbilityID],RawOfficer[AbilityID],RawOfficer[AbilityDescriptionShort])</f>
        <v>On combat start against players, increase shots by X.</v>
      </c>
      <c r="AD412" s="523"/>
      <c r="AE412" s="524"/>
      <c r="AF412" s="524"/>
      <c r="AG412" s="525" t="str">
        <f t="array" ref="AG412">XLOOKUP(LCARS_Off[AbilityID],RawOfficer[AbilityID],RawOfficer[AbilityChances])</f>
        <v>1.0, 1.0, 1.0</v>
      </c>
      <c r="AH412" s="525" t="str">
        <f t="array" ref="AH412">XLOOKUP(LCARS_Off[AbilityID],RawOfficer[AbilityID],RawOfficer[AbilityValues])</f>
        <v>1.0, 0.01, 0.05</v>
      </c>
      <c r="AI412" s="428" t="b">
        <f t="array" ref="AI412">XLOOKUP(LCARS_Off[AbilityID],RawOfficer[AbilityID],RawOfficer[AbilityHasChance])</f>
        <v>0</v>
      </c>
      <c r="AJ412" s="428" t="b">
        <f t="array" ref="AJ412">XLOOKUP(LCARS_Off[AbilityID],RawOfficer[AbilityID],RawOfficer[AbilityShowPercentage])</f>
        <v>1</v>
      </c>
      <c r="AK412" s="429">
        <f t="array" ref="AK412">XLOOKUP(LCARS_Off[AbilityID],RawOfficer[AbilityID],RawOfficer[OfficerArt])</f>
        <v>251</v>
      </c>
      <c r="AL412" s="430">
        <v>1.950989344E9</v>
      </c>
      <c r="AM412" s="430">
        <f t="array" ref="AM412">XLOOKUP(LCARS_Off[AbilityID],RawOfficer[AbilityID],RawOfficer[Default Order])</f>
        <v>409</v>
      </c>
    </row>
    <row r="413">
      <c r="A413" s="429" t="str">
        <f t="array" ref="A413">LEFT(XLOOKUP(LCARS_Off[AbilityID],RawOfficer[AbilityID],RawOfficer[OfficerRarity]), 1)</f>
        <v>E</v>
      </c>
      <c r="B413" s="429"/>
      <c r="C413" s="514" t="str">
        <f t="array" ref="C413">HYPERLINK("https://stfc.space/officers/" &amp; XLOOKUP(LCARS_Off[AbilityID],RawOfficer[AbilityID],RawOfficer[OfficerId]), XLOOKUP(LCARS_Off[AbilityID],RawOfficer[AbilityID],RawOfficer[OfficerName]))</f>
        <v>CAROL FREEMAN</v>
      </c>
      <c r="D413" s="515" t="str">
        <f t="array" ref="D413">XLOOKUP(LCARS_Off[AbilityID],RawOfficer[AbilityID],RawOfficer[AbilityType])</f>
        <v>OA</v>
      </c>
      <c r="E413" s="516" t="str">
        <f t="array" ref="E413">XLOOKUP(LCARS_Off[AbilityID],RawOfficer[AbilityID],RawOfficer[Tag_PvPinSpace])</f>
        <v>✴️</v>
      </c>
      <c r="F413" s="516" t="str">
        <f t="array" ref="F413">XLOOKUP(LCARS_Off[AbilityID],RawOfficer[AbilityID],RawOfficer[Tag_PvPStation])</f>
        <v>✴️</v>
      </c>
      <c r="G413" s="516" t="str">
        <f t="array" ref="G413">XLOOKUP(LCARS_Off[AbilityID],RawOfficer[AbilityID],RawOfficer[Tag_NonArmadaHostiles])</f>
        <v>➖</v>
      </c>
      <c r="H413" s="516" t="str">
        <f t="array" ref="H413">XLOOKUP(LCARS_Off[AbilityID],RawOfficer[AbilityID],RawOfficer[Tag_WaveDefense])</f>
        <v>➖</v>
      </c>
      <c r="I413" s="516" t="str">
        <f t="array" ref="I413">XLOOKUP(LCARS_Off[AbilityID],RawOfficer[AbilityID],RawOfficer[Tag_QTrial])</f>
        <v>➖</v>
      </c>
      <c r="J413" s="516" t="str">
        <f t="array" ref="J413">XLOOKUP(LCARS_Off[AbilityID],RawOfficer[AbilityID],RawOfficer[Tag_MissionBosses])</f>
        <v>➖</v>
      </c>
      <c r="K413" s="516" t="str">
        <f t="array" ref="K413">XLOOKUP(LCARS_Off[AbilityID],RawOfficer[AbilityID],RawOfficer[Tag_GroupArmadas])</f>
        <v>➖</v>
      </c>
      <c r="L413" s="516" t="str">
        <f t="array" ref="L413">XLOOKUP(LCARS_Off[AbilityID],RawOfficer[AbilityID],RawOfficer[Tag_SoloArmadas])</f>
        <v>➖</v>
      </c>
      <c r="M413" s="516" t="str">
        <f t="array" ref="M413">XLOOKUP(LCARS_Off[AbilityID],RawOfficer[AbilityID],RawOfficer[Tag_InvadingEntities])</f>
        <v>➖</v>
      </c>
      <c r="N413" s="516" t="str">
        <f t="array" ref="N413">XLOOKUP(LCARS_Off[AbilityID],RawOfficer[AbilityID],RawOfficer[Tag_Assaults])</f>
        <v>➖</v>
      </c>
      <c r="O413" s="516" t="str">
        <f t="array" ref="O413">XLOOKUP(LCARS_Off[AbilityID],RawOfficer[AbilityID],RawOfficer[Tag_OutpostArmadas])</f>
        <v>➖</v>
      </c>
      <c r="P413" s="516" t="str">
        <f t="array" ref="P413">XLOOKUP(LCARS_Off[AbilityID],RawOfficer[AbilityID],RawOfficer[Tag_OutpostRetaliators])</f>
        <v>➖</v>
      </c>
      <c r="Q413" s="517" t="str">
        <f t="array" ref="Q413">XLOOKUP(LCARS_Off[AbilityID],RawOfficer[AbilityID],RawOfficer[Conditional_Reason])</f>
        <v>TargetStateAny</v>
      </c>
      <c r="R413" s="518" t="str">
        <f t="array" ref="R413">XLOOKUP(LCARS_Off[AbilityID],RawOfficer[AbilityID],RawOfficer[Tag_Loot])</f>
        <v>➖</v>
      </c>
      <c r="S413" s="516" t="str">
        <f t="array" ref="S413">XLOOKUP(LCARS_Off[AbilityID],RawOfficer[AbilityID],RawOfficer[Tag_Utility])</f>
        <v>➖</v>
      </c>
      <c r="T413" s="429" t="str">
        <f t="array" ref="T413">XLOOKUP(LCARS_Off[AbilityID],RawOfficer[AbilityID],RawOfficer[OfficerSynergy])</f>
        <v>LOWER DECKS CREW</v>
      </c>
      <c r="U413" s="519" t="str">
        <f t="array" ref="U413">XLOOKUP(LCARS_Off[AbilityID],RawOfficer[AbilityID],RawOfficer[AbilityModifier])</f>
        <v>IsolyticDamage</v>
      </c>
      <c r="V413" s="519" t="str">
        <f t="array" ref="V413">XLOOKUP(LCARS_Off[AbilityID],RawOfficer[AbilityID],RawOfficer[AbilityAttributes])</f>
        <v>num_rounds=1</v>
      </c>
      <c r="W413" s="520" t="str">
        <f t="array" ref="W413">XLOOKUP(LCARS_Off[AbilityID],RawOfficer[AbilityID],RawOfficer[AbilityConditions])</f>
        <v>EnemyPlayer, TargetStateAny</v>
      </c>
      <c r="X413" s="519" t="str">
        <f t="array" ref="X413">XLOOKUP(LCARS_Off[AbilityID],RawOfficer[AbilityID],RawOfficer[AbilityTrigger])</f>
        <v>RoundStart</v>
      </c>
      <c r="Y413" s="519" t="str">
        <f t="array" ref="Y413">XLOOKUP(LCARS_Off[AbilityID],RawOfficer[AbilityID],RawOfficer[AbilityTarget])</f>
        <v>SelfShip</v>
      </c>
      <c r="Z413" s="519" t="str">
        <f t="array" ref="Z413">XLOOKUP(LCARS_Off[AbilityID],RawOfficer[AbilityID],RawOfficer[AbilityOperation])</f>
        <v>MultiplyAdd</v>
      </c>
      <c r="AA413" s="521" t="str">
        <f t="array" ref="AA413">XLOOKUP(LCARS_Off[AbilityID],RawOfficer[AbilityID],RawOfficer[AbilityDescription])</f>
        <v>On round start, if the enemy player has any state, Carol Freeman increases your Isolytic Cascade damage by X for 1 round. -- Isolytic Cascade multiplies your total damage, including Isolytic Damage, and all research and other bonuses. -- States: Morale, Burning, Hull Breach, Assimilated</v>
      </c>
      <c r="AB413" s="429" t="b">
        <v>0</v>
      </c>
      <c r="AC413" s="522" t="str">
        <f t="array" ref="AC413">XLOOKUP(LCARS_Off[AbilityID],RawOfficer[AbilityID],RawOfficer[AbilityDescriptionShort])</f>
        <v>On round start, if the enemy player has any state, increase your Isolytic Cascade damage by X.</v>
      </c>
      <c r="AD413" s="523"/>
      <c r="AE413" s="524"/>
      <c r="AF413" s="524"/>
      <c r="AG413" s="525" t="str">
        <f t="array" ref="AG413">XLOOKUP(LCARS_Off[AbilityID],RawOfficer[AbilityID],RawOfficer[AbilityChances])</f>
        <v>1.0, 1.0, 1.0, 1.0, 1.0</v>
      </c>
      <c r="AH413" s="525" t="str">
        <f t="array" ref="AH413">XLOOKUP(LCARS_Off[AbilityID],RawOfficer[AbilityID],RawOfficer[AbilityValues])</f>
        <v>0.6, 0.75, 0.9, 1.1, 1.3</v>
      </c>
      <c r="AI413" s="428" t="b">
        <f t="array" ref="AI413">XLOOKUP(LCARS_Off[AbilityID],RawOfficer[AbilityID],RawOfficer[AbilityHasChance])</f>
        <v>0</v>
      </c>
      <c r="AJ413" s="428" t="b">
        <f t="array" ref="AJ413">XLOOKUP(LCARS_Off[AbilityID],RawOfficer[AbilityID],RawOfficer[AbilityShowPercentage])</f>
        <v>1</v>
      </c>
      <c r="AK413" s="429">
        <f t="array" ref="AK413">XLOOKUP(LCARS_Off[AbilityID],RawOfficer[AbilityID],RawOfficer[OfficerArt])</f>
        <v>251</v>
      </c>
      <c r="AL413" s="430">
        <v>4.131039971E9</v>
      </c>
      <c r="AM413" s="430">
        <f t="array" ref="AM413">XLOOKUP(LCARS_Off[AbilityID],RawOfficer[AbilityID],RawOfficer[Default Order])</f>
        <v>410</v>
      </c>
    </row>
    <row r="414">
      <c r="A414" s="429" t="str">
        <f t="array" ref="A414">LEFT(XLOOKUP(LCARS_Off[AbilityID],RawOfficer[AbilityID],RawOfficer[OfficerRarity]), 1)</f>
        <v>E</v>
      </c>
      <c r="B414" s="429"/>
      <c r="C414" s="514" t="str">
        <f t="array" ref="C414">HYPERLINK("https://stfc.space/officers/" &amp; XLOOKUP(LCARS_Off[AbilityID],RawOfficer[AbilityID],RawOfficer[OfficerId]), XLOOKUP(LCARS_Off[AbilityID],RawOfficer[AbilityID],RawOfficer[OfficerName]))</f>
        <v>JACK RANSOM</v>
      </c>
      <c r="D414" s="515" t="str">
        <f t="array" ref="D414">XLOOKUP(LCARS_Off[AbilityID],RawOfficer[AbilityID],RawOfficer[AbilityType])</f>
        <v>OA</v>
      </c>
      <c r="E414" s="516" t="str">
        <f t="array" ref="E414">XLOOKUP(LCARS_Off[AbilityID],RawOfficer[AbilityID],RawOfficer[Tag_PvPinSpace])</f>
        <v>✴️</v>
      </c>
      <c r="F414" s="516" t="str">
        <f t="array" ref="F414">XLOOKUP(LCARS_Off[AbilityID],RawOfficer[AbilityID],RawOfficer[Tag_PvPStation])</f>
        <v>✴️</v>
      </c>
      <c r="G414" s="516" t="str">
        <f t="array" ref="G414">XLOOKUP(LCARS_Off[AbilityID],RawOfficer[AbilityID],RawOfficer[Tag_NonArmadaHostiles])</f>
        <v>➖</v>
      </c>
      <c r="H414" s="516" t="str">
        <f t="array" ref="H414">XLOOKUP(LCARS_Off[AbilityID],RawOfficer[AbilityID],RawOfficer[Tag_WaveDefense])</f>
        <v>➖</v>
      </c>
      <c r="I414" s="516" t="str">
        <f t="array" ref="I414">XLOOKUP(LCARS_Off[AbilityID],RawOfficer[AbilityID],RawOfficer[Tag_QTrial])</f>
        <v>➖</v>
      </c>
      <c r="J414" s="516" t="str">
        <f t="array" ref="J414">XLOOKUP(LCARS_Off[AbilityID],RawOfficer[AbilityID],RawOfficer[Tag_MissionBosses])</f>
        <v>➖</v>
      </c>
      <c r="K414" s="516" t="str">
        <f t="array" ref="K414">XLOOKUP(LCARS_Off[AbilityID],RawOfficer[AbilityID],RawOfficer[Tag_GroupArmadas])</f>
        <v>➖</v>
      </c>
      <c r="L414" s="516" t="str">
        <f t="array" ref="L414">XLOOKUP(LCARS_Off[AbilityID],RawOfficer[AbilityID],RawOfficer[Tag_SoloArmadas])</f>
        <v>➖</v>
      </c>
      <c r="M414" s="516" t="str">
        <f t="array" ref="M414">XLOOKUP(LCARS_Off[AbilityID],RawOfficer[AbilityID],RawOfficer[Tag_InvadingEntities])</f>
        <v>➖</v>
      </c>
      <c r="N414" s="516" t="str">
        <f t="array" ref="N414">XLOOKUP(LCARS_Off[AbilityID],RawOfficer[AbilityID],RawOfficer[Tag_Assaults])</f>
        <v>➖</v>
      </c>
      <c r="O414" s="516" t="str">
        <f t="array" ref="O414">XLOOKUP(LCARS_Off[AbilityID],RawOfficer[AbilityID],RawOfficer[Tag_OutpostArmadas])</f>
        <v>➖</v>
      </c>
      <c r="P414" s="516" t="str">
        <f t="array" ref="P414">XLOOKUP(LCARS_Off[AbilityID],RawOfficer[AbilityID],RawOfficer[Tag_OutpostRetaliators])</f>
        <v>➖</v>
      </c>
      <c r="Q414" s="517" t="str">
        <f t="array" ref="Q414">XLOOKUP(LCARS_Off[AbilityID],RawOfficer[AbilityID],RawOfficer[Conditional_Reason])</f>
        <v>SelfExplorer, SelfHasMorale</v>
      </c>
      <c r="R414" s="518" t="str">
        <f t="array" ref="R414">XLOOKUP(LCARS_Off[AbilityID],RawOfficer[AbilityID],RawOfficer[Tag_Loot])</f>
        <v>➖</v>
      </c>
      <c r="S414" s="516" t="str">
        <f t="array" ref="S414">XLOOKUP(LCARS_Off[AbilityID],RawOfficer[AbilityID],RawOfficer[Tag_Utility])</f>
        <v>➖</v>
      </c>
      <c r="T414" s="429" t="str">
        <f t="array" ref="T414">XLOOKUP(LCARS_Off[AbilityID],RawOfficer[AbilityID],RawOfficer[OfficerSynergy])</f>
        <v>EXPLORER STRIKE TEAM</v>
      </c>
      <c r="U414" s="519" t="str">
        <f t="array" ref="U414">XLOOKUP(LCARS_Off[AbilityID],RawOfficer[AbilityID],RawOfficer[AbilityModifier])</f>
        <v>IsolyticDamage</v>
      </c>
      <c r="V414" s="519" t="str">
        <f t="array" ref="V414">XLOOKUP(LCARS_Off[AbilityID],RawOfficer[AbilityID],RawOfficer[AbilityAttributes])</f>
        <v>num_rounds=1</v>
      </c>
      <c r="W414" s="520" t="str">
        <f t="array" ref="W414">XLOOKUP(LCARS_Off[AbilityID],RawOfficer[AbilityID],RawOfficer[AbilityConditions])</f>
        <v>SelfExplorer, SelfHasMorale, EnemyPlayer</v>
      </c>
      <c r="X414" s="519" t="str">
        <f t="array" ref="X414">XLOOKUP(LCARS_Off[AbilityID],RawOfficer[AbilityID],RawOfficer[AbilityTrigger])</f>
        <v>RoundStart</v>
      </c>
      <c r="Y414" s="519" t="str">
        <f t="array" ref="Y414">XLOOKUP(LCARS_Off[AbilityID],RawOfficer[AbilityID],RawOfficer[AbilityTarget])</f>
        <v>SelfShip</v>
      </c>
      <c r="Z414" s="519" t="str">
        <f t="array" ref="Z414">XLOOKUP(LCARS_Off[AbilityID],RawOfficer[AbilityID],RawOfficer[AbilityOperation])</f>
        <v>MultiplyAdd</v>
      </c>
      <c r="AA414" s="521" t="str">
        <f t="array" ref="AA414">XLOOKUP(LCARS_Off[AbilityID],RawOfficer[AbilityID],RawOfficer[AbilityDescription])</f>
        <v>On round start, if on an Explorer with Morale, Jack Ransom increases your Isolytic Cascade damage by X for 1 round against players. -- Isolytic Cascade multiplies your total damage, including Isolytic Damage, and all research and other bonuses.</v>
      </c>
      <c r="AB414" s="429" t="b">
        <v>0</v>
      </c>
      <c r="AC414" s="522" t="str">
        <f t="array" ref="AC414">XLOOKUP(LCARS_Off[AbilityID],RawOfficer[AbilityID],RawOfficer[AbilityDescriptionShort])</f>
        <v>On an Explorer with Morale, Increase Isolytic Cascade damage by X for 1 round versus players.</v>
      </c>
      <c r="AD414" s="523"/>
      <c r="AE414" s="524"/>
      <c r="AF414" s="524"/>
      <c r="AG414" s="525" t="str">
        <f t="array" ref="AG414">XLOOKUP(LCARS_Off[AbilityID],RawOfficer[AbilityID],RawOfficer[AbilityChances])</f>
        <v>1.0, 1.0, 1.0, 1.0, 1.0</v>
      </c>
      <c r="AH414" s="525" t="str">
        <f t="array" ref="AH414">XLOOKUP(LCARS_Off[AbilityID],RawOfficer[AbilityID],RawOfficer[AbilityValues])</f>
        <v>0.6, 0.75, 0.9, 1.1, 1.3</v>
      </c>
      <c r="AI414" s="428" t="b">
        <f t="array" ref="AI414">XLOOKUP(LCARS_Off[AbilityID],RawOfficer[AbilityID],RawOfficer[AbilityHasChance])</f>
        <v>0</v>
      </c>
      <c r="AJ414" s="428" t="b">
        <f t="array" ref="AJ414">XLOOKUP(LCARS_Off[AbilityID],RawOfficer[AbilityID],RawOfficer[AbilityShowPercentage])</f>
        <v>1</v>
      </c>
      <c r="AK414" s="429">
        <f t="array" ref="AK414">XLOOKUP(LCARS_Off[AbilityID],RawOfficer[AbilityID],RawOfficer[OfficerArt])</f>
        <v>253</v>
      </c>
      <c r="AL414" s="430">
        <v>2.997969719E9</v>
      </c>
      <c r="AM414" s="430">
        <f t="array" ref="AM414">XLOOKUP(LCARS_Off[AbilityID],RawOfficer[AbilityID],RawOfficer[Default Order])</f>
        <v>411</v>
      </c>
    </row>
    <row r="415">
      <c r="A415" s="429" t="str">
        <f t="array" ref="A415">LEFT(XLOOKUP(LCARS_Off[AbilityID],RawOfficer[AbilityID],RawOfficer[OfficerRarity]), 1)</f>
        <v>E</v>
      </c>
      <c r="B415" s="429"/>
      <c r="C415" s="514" t="str">
        <f t="array" ref="C415">HYPERLINK("https://stfc.space/officers/" &amp; XLOOKUP(LCARS_Off[AbilityID],RawOfficer[AbilityID],RawOfficer[OfficerId]), XLOOKUP(LCARS_Off[AbilityID],RawOfficer[AbilityID],RawOfficer[OfficerName]))</f>
        <v>JACK RANSOM</v>
      </c>
      <c r="D415" s="515" t="str">
        <f t="array" ref="D415">XLOOKUP(LCARS_Off[AbilityID],RawOfficer[AbilityID],RawOfficer[AbilityType])</f>
        <v>BDA</v>
      </c>
      <c r="E415" s="516" t="str">
        <f t="array" ref="E415">XLOOKUP(LCARS_Off[AbilityID],RawOfficer[AbilityID],RawOfficer[Tag_PvPinSpace])</f>
        <v>✴️</v>
      </c>
      <c r="F415" s="516" t="str">
        <f t="array" ref="F415">XLOOKUP(LCARS_Off[AbilityID],RawOfficer[AbilityID],RawOfficer[Tag_PvPStation])</f>
        <v>✴️</v>
      </c>
      <c r="G415" s="516" t="str">
        <f t="array" ref="G415">XLOOKUP(LCARS_Off[AbilityID],RawOfficer[AbilityID],RawOfficer[Tag_NonArmadaHostiles])</f>
        <v>➖</v>
      </c>
      <c r="H415" s="516" t="str">
        <f t="array" ref="H415">XLOOKUP(LCARS_Off[AbilityID],RawOfficer[AbilityID],RawOfficer[Tag_WaveDefense])</f>
        <v>➖</v>
      </c>
      <c r="I415" s="516" t="str">
        <f t="array" ref="I415">XLOOKUP(LCARS_Off[AbilityID],RawOfficer[AbilityID],RawOfficer[Tag_QTrial])</f>
        <v>➖</v>
      </c>
      <c r="J415" s="516" t="str">
        <f t="array" ref="J415">XLOOKUP(LCARS_Off[AbilityID],RawOfficer[AbilityID],RawOfficer[Tag_MissionBosses])</f>
        <v>➖</v>
      </c>
      <c r="K415" s="516" t="str">
        <f t="array" ref="K415">XLOOKUP(LCARS_Off[AbilityID],RawOfficer[AbilityID],RawOfficer[Tag_GroupArmadas])</f>
        <v>➖</v>
      </c>
      <c r="L415" s="516" t="str">
        <f t="array" ref="L415">XLOOKUP(LCARS_Off[AbilityID],RawOfficer[AbilityID],RawOfficer[Tag_SoloArmadas])</f>
        <v>➖</v>
      </c>
      <c r="M415" s="516" t="str">
        <f t="array" ref="M415">XLOOKUP(LCARS_Off[AbilityID],RawOfficer[AbilityID],RawOfficer[Tag_InvadingEntities])</f>
        <v>➖</v>
      </c>
      <c r="N415" s="516" t="str">
        <f t="array" ref="N415">XLOOKUP(LCARS_Off[AbilityID],RawOfficer[AbilityID],RawOfficer[Tag_Assaults])</f>
        <v>➖</v>
      </c>
      <c r="O415" s="516" t="str">
        <f t="array" ref="O415">XLOOKUP(LCARS_Off[AbilityID],RawOfficer[AbilityID],RawOfficer[Tag_OutpostArmadas])</f>
        <v>➖</v>
      </c>
      <c r="P415" s="516" t="str">
        <f t="array" ref="P415">XLOOKUP(LCARS_Off[AbilityID],RawOfficer[AbilityID],RawOfficer[Tag_OutpostRetaliators])</f>
        <v>➖</v>
      </c>
      <c r="Q415" s="517" t="str">
        <f t="array" ref="Q415">XLOOKUP(LCARS_Off[AbilityID],RawOfficer[AbilityID],RawOfficer[Conditional_Reason])</f>
        <v>SelfInterceptor, TargetHasHullBreach</v>
      </c>
      <c r="R415" s="518" t="str">
        <f t="array" ref="R415">XLOOKUP(LCARS_Off[AbilityID],RawOfficer[AbilityID],RawOfficer[Tag_Loot])</f>
        <v>➖</v>
      </c>
      <c r="S415" s="516" t="str">
        <f t="array" ref="S415">XLOOKUP(LCARS_Off[AbilityID],RawOfficer[AbilityID],RawOfficer[Tag_Utility])</f>
        <v>➖</v>
      </c>
      <c r="T415" s="429" t="str">
        <f t="array" ref="T415">XLOOKUP(LCARS_Off[AbilityID],RawOfficer[AbilityID],RawOfficer[OfficerSynergy])</f>
        <v>EXPLORER STRIKE TEAM</v>
      </c>
      <c r="U415" s="519" t="str">
        <f t="array" ref="U415">XLOOKUP(LCARS_Off[AbilityID],RawOfficer[AbilityID],RawOfficer[AbilityModifier])</f>
        <v>IsolyticDefense</v>
      </c>
      <c r="V415" s="519" t="str">
        <f t="array" ref="V415">XLOOKUP(LCARS_Off[AbilityID],RawOfficer[AbilityID],RawOfficer[AbilityAttributes])</f>
        <v>num_rounds=1</v>
      </c>
      <c r="W415" s="520" t="str">
        <f t="array" ref="W415">XLOOKUP(LCARS_Off[AbilityID],RawOfficer[AbilityID],RawOfficer[AbilityConditions])</f>
        <v>SelfInterceptor, EnemyPlayer, TargetHasHullBreach</v>
      </c>
      <c r="X415" s="519" t="str">
        <f t="array" ref="X415">XLOOKUP(LCARS_Off[AbilityID],RawOfficer[AbilityID],RawOfficer[AbilityTrigger])</f>
        <v>RoundStart</v>
      </c>
      <c r="Y415" s="519" t="str">
        <f t="array" ref="Y415">XLOOKUP(LCARS_Off[AbilityID],RawOfficer[AbilityID],RawOfficer[AbilityTarget])</f>
        <v>SelfShip</v>
      </c>
      <c r="Z415" s="519" t="str">
        <f t="array" ref="Z415">XLOOKUP(LCARS_Off[AbilityID],RawOfficer[AbilityID],RawOfficer[AbilityOperation])</f>
        <v>Add</v>
      </c>
      <c r="AA415" s="521" t="str">
        <f t="array" ref="AA415">XLOOKUP(LCARS_Off[AbilityID],RawOfficer[AbilityID],RawOfficer[AbilityDescription])</f>
        <v>On round start, if on an Interceptor and enemy player has Hull Breach, Jack Ransom increases your Isolytic Defense by X for 1 round.</v>
      </c>
      <c r="AB415" s="429" t="b">
        <v>0</v>
      </c>
      <c r="AC415" s="522" t="str">
        <f t="array" ref="AC415">XLOOKUP(LCARS_Off[AbilityID],RawOfficer[AbilityID],RawOfficer[AbilityDescriptionShort])</f>
        <v>Increase your Isolytic Defense by X for 1 round on an Interceptor versus players with a Hull Breach.</v>
      </c>
      <c r="AD415" s="523"/>
      <c r="AE415" s="524"/>
      <c r="AF415" s="524"/>
      <c r="AG415" s="525" t="str">
        <f t="array" ref="AG415">XLOOKUP(LCARS_Off[AbilityID],RawOfficer[AbilityID],RawOfficer[AbilityChances])</f>
        <v>1.0, 1.0, 1.0, 1.0, 1.0</v>
      </c>
      <c r="AH415" s="525" t="str">
        <f t="array" ref="AH415">XLOOKUP(LCARS_Off[AbilityID],RawOfficer[AbilityID],RawOfficer[AbilityValues])</f>
        <v>0.4, 0.5, 0.65, 0.85, 1.0</v>
      </c>
      <c r="AI415" s="428" t="b">
        <f t="array" ref="AI415">XLOOKUP(LCARS_Off[AbilityID],RawOfficer[AbilityID],RawOfficer[AbilityHasChance])</f>
        <v>0</v>
      </c>
      <c r="AJ415" s="428" t="b">
        <f t="array" ref="AJ415">XLOOKUP(LCARS_Off[AbilityID],RawOfficer[AbilityID],RawOfficer[AbilityShowPercentage])</f>
        <v>1</v>
      </c>
      <c r="AK415" s="429">
        <f t="array" ref="AK415">XLOOKUP(LCARS_Off[AbilityID],RawOfficer[AbilityID],RawOfficer[OfficerArt])</f>
        <v>253</v>
      </c>
      <c r="AL415" s="430">
        <v>1.458247623E9</v>
      </c>
      <c r="AM415" s="430">
        <f t="array" ref="AM415">XLOOKUP(LCARS_Off[AbilityID],RawOfficer[AbilityID],RawOfficer[Default Order])</f>
        <v>412</v>
      </c>
    </row>
    <row r="416">
      <c r="A416" s="429" t="str">
        <f t="array" ref="A416">LEFT(XLOOKUP(LCARS_Off[AbilityID],RawOfficer[AbilityID],RawOfficer[OfficerRarity]), 1)</f>
        <v>E</v>
      </c>
      <c r="B416" s="429"/>
      <c r="C416" s="514" t="str">
        <f t="array" ref="C416">HYPERLINK("https://stfc.space/officers/" &amp; XLOOKUP(LCARS_Off[AbilityID],RawOfficer[AbilityID],RawOfficer[OfficerId]), XLOOKUP(LCARS_Off[AbilityID],RawOfficer[AbilityID],RawOfficer[OfficerName]))</f>
        <v>ANDY BILLUPS</v>
      </c>
      <c r="D416" s="515" t="str">
        <f t="array" ref="D416">XLOOKUP(LCARS_Off[AbilityID],RawOfficer[AbilityID],RawOfficer[AbilityType])</f>
        <v>OA</v>
      </c>
      <c r="E416" s="516" t="str">
        <f t="array" ref="E416">XLOOKUP(LCARS_Off[AbilityID],RawOfficer[AbilityID],RawOfficer[Tag_PvPinSpace])</f>
        <v>✴️</v>
      </c>
      <c r="F416" s="516" t="str">
        <f t="array" ref="F416">XLOOKUP(LCARS_Off[AbilityID],RawOfficer[AbilityID],RawOfficer[Tag_PvPStation])</f>
        <v>✴️</v>
      </c>
      <c r="G416" s="516" t="str">
        <f t="array" ref="G416">XLOOKUP(LCARS_Off[AbilityID],RawOfficer[AbilityID],RawOfficer[Tag_NonArmadaHostiles])</f>
        <v>➖</v>
      </c>
      <c r="H416" s="516" t="str">
        <f t="array" ref="H416">XLOOKUP(LCARS_Off[AbilityID],RawOfficer[AbilityID],RawOfficer[Tag_WaveDefense])</f>
        <v>➖</v>
      </c>
      <c r="I416" s="516" t="str">
        <f t="array" ref="I416">XLOOKUP(LCARS_Off[AbilityID],RawOfficer[AbilityID],RawOfficer[Tag_QTrial])</f>
        <v>➖</v>
      </c>
      <c r="J416" s="516" t="str">
        <f t="array" ref="J416">XLOOKUP(LCARS_Off[AbilityID],RawOfficer[AbilityID],RawOfficer[Tag_MissionBosses])</f>
        <v>➖</v>
      </c>
      <c r="K416" s="516" t="str">
        <f t="array" ref="K416">XLOOKUP(LCARS_Off[AbilityID],RawOfficer[AbilityID],RawOfficer[Tag_GroupArmadas])</f>
        <v>➖</v>
      </c>
      <c r="L416" s="516" t="str">
        <f t="array" ref="L416">XLOOKUP(LCARS_Off[AbilityID],RawOfficer[AbilityID],RawOfficer[Tag_SoloArmadas])</f>
        <v>➖</v>
      </c>
      <c r="M416" s="516" t="str">
        <f t="array" ref="M416">XLOOKUP(LCARS_Off[AbilityID],RawOfficer[AbilityID],RawOfficer[Tag_InvadingEntities])</f>
        <v>➖</v>
      </c>
      <c r="N416" s="516" t="str">
        <f t="array" ref="N416">XLOOKUP(LCARS_Off[AbilityID],RawOfficer[AbilityID],RawOfficer[Tag_Assaults])</f>
        <v>➖</v>
      </c>
      <c r="O416" s="516" t="str">
        <f t="array" ref="O416">XLOOKUP(LCARS_Off[AbilityID],RawOfficer[AbilityID],RawOfficer[Tag_OutpostArmadas])</f>
        <v>➖</v>
      </c>
      <c r="P416" s="516" t="str">
        <f t="array" ref="P416">XLOOKUP(LCARS_Off[AbilityID],RawOfficer[AbilityID],RawOfficer[Tag_OutpostRetaliators])</f>
        <v>➖</v>
      </c>
      <c r="Q416" s="517" t="str">
        <f t="array" ref="Q416">XLOOKUP(LCARS_Off[AbilityID],RawOfficer[AbilityID],RawOfficer[Conditional_Reason])</f>
        <v>SelfInterceptor, TargetHasHullBreach</v>
      </c>
      <c r="R416" s="518" t="str">
        <f t="array" ref="R416">XLOOKUP(LCARS_Off[AbilityID],RawOfficer[AbilityID],RawOfficer[Tag_Loot])</f>
        <v>➖</v>
      </c>
      <c r="S416" s="516" t="str">
        <f t="array" ref="S416">XLOOKUP(LCARS_Off[AbilityID],RawOfficer[AbilityID],RawOfficer[Tag_Utility])</f>
        <v>➖</v>
      </c>
      <c r="T416" s="429" t="str">
        <f t="array" ref="T416">XLOOKUP(LCARS_Off[AbilityID],RawOfficer[AbilityID],RawOfficer[OfficerSynergy])</f>
        <v>INTERCEPTOR STRIKE TEAM</v>
      </c>
      <c r="U416" s="519" t="str">
        <f t="array" ref="U416">XLOOKUP(LCARS_Off[AbilityID],RawOfficer[AbilityID],RawOfficer[AbilityModifier])</f>
        <v>IsolyticDamage</v>
      </c>
      <c r="V416" s="519" t="str">
        <f t="array" ref="V416">XLOOKUP(LCARS_Off[AbilityID],RawOfficer[AbilityID],RawOfficer[AbilityAttributes])</f>
        <v>num_rounds=1</v>
      </c>
      <c r="W416" s="520" t="str">
        <f t="array" ref="W416">XLOOKUP(LCARS_Off[AbilityID],RawOfficer[AbilityID],RawOfficer[AbilityConditions])</f>
        <v>SelfInterceptor, EnemyPlayer, TargetHasHullBreach</v>
      </c>
      <c r="X416" s="519" t="str">
        <f t="array" ref="X416">XLOOKUP(LCARS_Off[AbilityID],RawOfficer[AbilityID],RawOfficer[AbilityTrigger])</f>
        <v>RoundStart</v>
      </c>
      <c r="Y416" s="519" t="str">
        <f t="array" ref="Y416">XLOOKUP(LCARS_Off[AbilityID],RawOfficer[AbilityID],RawOfficer[AbilityTarget])</f>
        <v>SelfShip</v>
      </c>
      <c r="Z416" s="519" t="str">
        <f t="array" ref="Z416">XLOOKUP(LCARS_Off[AbilityID],RawOfficer[AbilityID],RawOfficer[AbilityOperation])</f>
        <v>MultiplyAdd</v>
      </c>
      <c r="AA416" s="521" t="str">
        <f t="array" ref="AA416">XLOOKUP(LCARS_Off[AbilityID],RawOfficer[AbilityID],RawOfficer[AbilityDescription])</f>
        <v>On round start, if on an Interceptor and enemy player has Hull Breach, Andy Billups increases your Isolytic Cascade damage by X for 1 round. -- Isolytic Cascade multiplies your total damage, including Isolytic Damage, and all research and other bonuses.</v>
      </c>
      <c r="AB416" s="429" t="b">
        <v>0</v>
      </c>
      <c r="AC416" s="522" t="str">
        <f t="array" ref="AC416">XLOOKUP(LCARS_Off[AbilityID],RawOfficer[AbilityID],RawOfficer[AbilityDescriptionShort])</f>
        <v>Increase Isolytic Cascade damage by X for 1 round on an Interceptor versus players with a Hull Breach.</v>
      </c>
      <c r="AD416" s="523"/>
      <c r="AE416" s="524"/>
      <c r="AF416" s="524"/>
      <c r="AG416" s="525" t="str">
        <f t="array" ref="AG416">XLOOKUP(LCARS_Off[AbilityID],RawOfficer[AbilityID],RawOfficer[AbilityChances])</f>
        <v>1.0, 1.0, 1.0, 1.0, 1.0</v>
      </c>
      <c r="AH416" s="525" t="str">
        <f t="array" ref="AH416">XLOOKUP(LCARS_Off[AbilityID],RawOfficer[AbilityID],RawOfficer[AbilityValues])</f>
        <v>0.6, 0.75, 0.9, 1.1, 1.3</v>
      </c>
      <c r="AI416" s="428" t="b">
        <f t="array" ref="AI416">XLOOKUP(LCARS_Off[AbilityID],RawOfficer[AbilityID],RawOfficer[AbilityHasChance])</f>
        <v>0</v>
      </c>
      <c r="AJ416" s="428" t="b">
        <f t="array" ref="AJ416">XLOOKUP(LCARS_Off[AbilityID],RawOfficer[AbilityID],RawOfficer[AbilityShowPercentage])</f>
        <v>1</v>
      </c>
      <c r="AK416" s="429">
        <f t="array" ref="AK416">XLOOKUP(LCARS_Off[AbilityID],RawOfficer[AbilityID],RawOfficer[OfficerArt])</f>
        <v>252</v>
      </c>
      <c r="AL416" s="430">
        <v>2.795968688E9</v>
      </c>
      <c r="AM416" s="430">
        <f t="array" ref="AM416">XLOOKUP(LCARS_Off[AbilityID],RawOfficer[AbilityID],RawOfficer[Default Order])</f>
        <v>413</v>
      </c>
    </row>
    <row r="417">
      <c r="A417" s="429" t="str">
        <f t="array" ref="A417">LEFT(XLOOKUP(LCARS_Off[AbilityID],RawOfficer[AbilityID],RawOfficer[OfficerRarity]), 1)</f>
        <v>E</v>
      </c>
      <c r="B417" s="429"/>
      <c r="C417" s="514" t="str">
        <f t="array" ref="C417">HYPERLINK("https://stfc.space/officers/" &amp; XLOOKUP(LCARS_Off[AbilityID],RawOfficer[AbilityID],RawOfficer[OfficerId]), XLOOKUP(LCARS_Off[AbilityID],RawOfficer[AbilityID],RawOfficer[OfficerName]))</f>
        <v>ANDY BILLUPS</v>
      </c>
      <c r="D417" s="515" t="str">
        <f t="array" ref="D417">XLOOKUP(LCARS_Off[AbilityID],RawOfficer[AbilityID],RawOfficer[AbilityType])</f>
        <v>BDA</v>
      </c>
      <c r="E417" s="516" t="str">
        <f t="array" ref="E417">XLOOKUP(LCARS_Off[AbilityID],RawOfficer[AbilityID],RawOfficer[Tag_PvPinSpace])</f>
        <v>✴️</v>
      </c>
      <c r="F417" s="516" t="str">
        <f t="array" ref="F417">XLOOKUP(LCARS_Off[AbilityID],RawOfficer[AbilityID],RawOfficer[Tag_PvPStation])</f>
        <v>✴️</v>
      </c>
      <c r="G417" s="516" t="str">
        <f t="array" ref="G417">XLOOKUP(LCARS_Off[AbilityID],RawOfficer[AbilityID],RawOfficer[Tag_NonArmadaHostiles])</f>
        <v>➖</v>
      </c>
      <c r="H417" s="516" t="str">
        <f t="array" ref="H417">XLOOKUP(LCARS_Off[AbilityID],RawOfficer[AbilityID],RawOfficer[Tag_WaveDefense])</f>
        <v>➖</v>
      </c>
      <c r="I417" s="516" t="str">
        <f t="array" ref="I417">XLOOKUP(LCARS_Off[AbilityID],RawOfficer[AbilityID],RawOfficer[Tag_QTrial])</f>
        <v>➖</v>
      </c>
      <c r="J417" s="516" t="str">
        <f t="array" ref="J417">XLOOKUP(LCARS_Off[AbilityID],RawOfficer[AbilityID],RawOfficer[Tag_MissionBosses])</f>
        <v>➖</v>
      </c>
      <c r="K417" s="516" t="str">
        <f t="array" ref="K417">XLOOKUP(LCARS_Off[AbilityID],RawOfficer[AbilityID],RawOfficer[Tag_GroupArmadas])</f>
        <v>➖</v>
      </c>
      <c r="L417" s="516" t="str">
        <f t="array" ref="L417">XLOOKUP(LCARS_Off[AbilityID],RawOfficer[AbilityID],RawOfficer[Tag_SoloArmadas])</f>
        <v>➖</v>
      </c>
      <c r="M417" s="516" t="str">
        <f t="array" ref="M417">XLOOKUP(LCARS_Off[AbilityID],RawOfficer[AbilityID],RawOfficer[Tag_InvadingEntities])</f>
        <v>➖</v>
      </c>
      <c r="N417" s="516" t="str">
        <f t="array" ref="N417">XLOOKUP(LCARS_Off[AbilityID],RawOfficer[AbilityID],RawOfficer[Tag_Assaults])</f>
        <v>➖</v>
      </c>
      <c r="O417" s="516" t="str">
        <f t="array" ref="O417">XLOOKUP(LCARS_Off[AbilityID],RawOfficer[AbilityID],RawOfficer[Tag_OutpostArmadas])</f>
        <v>➖</v>
      </c>
      <c r="P417" s="516" t="str">
        <f t="array" ref="P417">XLOOKUP(LCARS_Off[AbilityID],RawOfficer[AbilityID],RawOfficer[Tag_OutpostRetaliators])</f>
        <v>➖</v>
      </c>
      <c r="Q417" s="517" t="str">
        <f t="array" ref="Q417">XLOOKUP(LCARS_Off[AbilityID],RawOfficer[AbilityID],RawOfficer[Conditional_Reason])</f>
        <v>SelfBattleship, TargetHasBurning</v>
      </c>
      <c r="R417" s="518" t="str">
        <f t="array" ref="R417">XLOOKUP(LCARS_Off[AbilityID],RawOfficer[AbilityID],RawOfficer[Tag_Loot])</f>
        <v>➖</v>
      </c>
      <c r="S417" s="516" t="str">
        <f t="array" ref="S417">XLOOKUP(LCARS_Off[AbilityID],RawOfficer[AbilityID],RawOfficer[Tag_Utility])</f>
        <v>➖</v>
      </c>
      <c r="T417" s="429" t="str">
        <f t="array" ref="T417">XLOOKUP(LCARS_Off[AbilityID],RawOfficer[AbilityID],RawOfficer[OfficerSynergy])</f>
        <v>INTERCEPTOR STRIKE TEAM</v>
      </c>
      <c r="U417" s="519" t="str">
        <f t="array" ref="U417">XLOOKUP(LCARS_Off[AbilityID],RawOfficer[AbilityID],RawOfficer[AbilityModifier])</f>
        <v>IsolyticDefense</v>
      </c>
      <c r="V417" s="519" t="str">
        <f t="array" ref="V417">XLOOKUP(LCARS_Off[AbilityID],RawOfficer[AbilityID],RawOfficer[AbilityAttributes])</f>
        <v>num_rounds=1</v>
      </c>
      <c r="W417" s="520" t="str">
        <f t="array" ref="W417">XLOOKUP(LCARS_Off[AbilityID],RawOfficer[AbilityID],RawOfficer[AbilityConditions])</f>
        <v>SelfBattleship, EnemyPlayer, TargetHasBurning</v>
      </c>
      <c r="X417" s="519" t="str">
        <f t="array" ref="X417">XLOOKUP(LCARS_Off[AbilityID],RawOfficer[AbilityID],RawOfficer[AbilityTrigger])</f>
        <v>RoundStart</v>
      </c>
      <c r="Y417" s="519" t="str">
        <f t="array" ref="Y417">XLOOKUP(LCARS_Off[AbilityID],RawOfficer[AbilityID],RawOfficer[AbilityTarget])</f>
        <v>SelfShip</v>
      </c>
      <c r="Z417" s="519" t="str">
        <f t="array" ref="Z417">XLOOKUP(LCARS_Off[AbilityID],RawOfficer[AbilityID],RawOfficer[AbilityOperation])</f>
        <v>Add</v>
      </c>
      <c r="AA417" s="521" t="str">
        <f t="array" ref="AA417">XLOOKUP(LCARS_Off[AbilityID],RawOfficer[AbilityID],RawOfficer[AbilityDescription])</f>
        <v>On round start, if on a Battleship and enemy player has Burning, Andy Billups increases your Isolytic Defense by X for 1 round.</v>
      </c>
      <c r="AB417" s="429" t="b">
        <v>0</v>
      </c>
      <c r="AC417" s="522" t="str">
        <f t="array" ref="AC417">XLOOKUP(LCARS_Off[AbilityID],RawOfficer[AbilityID],RawOfficer[AbilityDescriptionShort])</f>
        <v>Increase Isolytic Defense by X for 1 round on a Battleship versus players with Burning.</v>
      </c>
      <c r="AD417" s="523"/>
      <c r="AE417" s="524"/>
      <c r="AF417" s="524"/>
      <c r="AG417" s="525" t="str">
        <f t="array" ref="AG417">XLOOKUP(LCARS_Off[AbilityID],RawOfficer[AbilityID],RawOfficer[AbilityChances])</f>
        <v>1.0, 1.0, 1.0, 1.0, 1.0</v>
      </c>
      <c r="AH417" s="525" t="str">
        <f t="array" ref="AH417">XLOOKUP(LCARS_Off[AbilityID],RawOfficer[AbilityID],RawOfficer[AbilityValues])</f>
        <v>0.4, 0.5, 0.65, 0.85, 1.0</v>
      </c>
      <c r="AI417" s="428" t="b">
        <f t="array" ref="AI417">XLOOKUP(LCARS_Off[AbilityID],RawOfficer[AbilityID],RawOfficer[AbilityHasChance])</f>
        <v>0</v>
      </c>
      <c r="AJ417" s="428" t="b">
        <f t="array" ref="AJ417">XLOOKUP(LCARS_Off[AbilityID],RawOfficer[AbilityID],RawOfficer[AbilityShowPercentage])</f>
        <v>1</v>
      </c>
      <c r="AK417" s="429">
        <f t="array" ref="AK417">XLOOKUP(LCARS_Off[AbilityID],RawOfficer[AbilityID],RawOfficer[OfficerArt])</f>
        <v>252</v>
      </c>
      <c r="AL417" s="430">
        <v>3.479467907E9</v>
      </c>
      <c r="AM417" s="430">
        <f t="array" ref="AM417">XLOOKUP(LCARS_Off[AbilityID],RawOfficer[AbilityID],RawOfficer[Default Order])</f>
        <v>414</v>
      </c>
    </row>
    <row r="418">
      <c r="A418" s="429" t="str">
        <f t="array" ref="A418">LEFT(XLOOKUP(LCARS_Off[AbilityID],RawOfficer[AbilityID],RawOfficer[OfficerRarity]), 1)</f>
        <v>E</v>
      </c>
      <c r="B418" s="429"/>
      <c r="C418" s="514" t="str">
        <f t="array" ref="C418">HYPERLINK("https://stfc.space/officers/" &amp; XLOOKUP(LCARS_Off[AbilityID],RawOfficer[AbilityID],RawOfficer[OfficerId]), XLOOKUP(LCARS_Off[AbilityID],RawOfficer[AbilityID],RawOfficer[OfficerName]))</f>
        <v>SHAXS</v>
      </c>
      <c r="D418" s="515" t="str">
        <f t="array" ref="D418">XLOOKUP(LCARS_Off[AbilityID],RawOfficer[AbilityID],RawOfficer[AbilityType])</f>
        <v>OA</v>
      </c>
      <c r="E418" s="516" t="str">
        <f t="array" ref="E418">XLOOKUP(LCARS_Off[AbilityID],RawOfficer[AbilityID],RawOfficer[Tag_PvPinSpace])</f>
        <v>✴️</v>
      </c>
      <c r="F418" s="516" t="str">
        <f t="array" ref="F418">XLOOKUP(LCARS_Off[AbilityID],RawOfficer[AbilityID],RawOfficer[Tag_PvPStation])</f>
        <v>✴️</v>
      </c>
      <c r="G418" s="516" t="str">
        <f t="array" ref="G418">XLOOKUP(LCARS_Off[AbilityID],RawOfficer[AbilityID],RawOfficer[Tag_NonArmadaHostiles])</f>
        <v>➖</v>
      </c>
      <c r="H418" s="516" t="str">
        <f t="array" ref="H418">XLOOKUP(LCARS_Off[AbilityID],RawOfficer[AbilityID],RawOfficer[Tag_WaveDefense])</f>
        <v>➖</v>
      </c>
      <c r="I418" s="516" t="str">
        <f t="array" ref="I418">XLOOKUP(LCARS_Off[AbilityID],RawOfficer[AbilityID],RawOfficer[Tag_QTrial])</f>
        <v>➖</v>
      </c>
      <c r="J418" s="516" t="str">
        <f t="array" ref="J418">XLOOKUP(LCARS_Off[AbilityID],RawOfficer[AbilityID],RawOfficer[Tag_MissionBosses])</f>
        <v>➖</v>
      </c>
      <c r="K418" s="516" t="str">
        <f t="array" ref="K418">XLOOKUP(LCARS_Off[AbilityID],RawOfficer[AbilityID],RawOfficer[Tag_GroupArmadas])</f>
        <v>➖</v>
      </c>
      <c r="L418" s="516" t="str">
        <f t="array" ref="L418">XLOOKUP(LCARS_Off[AbilityID],RawOfficer[AbilityID],RawOfficer[Tag_SoloArmadas])</f>
        <v>➖</v>
      </c>
      <c r="M418" s="516" t="str">
        <f t="array" ref="M418">XLOOKUP(LCARS_Off[AbilityID],RawOfficer[AbilityID],RawOfficer[Tag_InvadingEntities])</f>
        <v>➖</v>
      </c>
      <c r="N418" s="516" t="str">
        <f t="array" ref="N418">XLOOKUP(LCARS_Off[AbilityID],RawOfficer[AbilityID],RawOfficer[Tag_Assaults])</f>
        <v>➖</v>
      </c>
      <c r="O418" s="516" t="str">
        <f t="array" ref="O418">XLOOKUP(LCARS_Off[AbilityID],RawOfficer[AbilityID],RawOfficer[Tag_OutpostArmadas])</f>
        <v>➖</v>
      </c>
      <c r="P418" s="516" t="str">
        <f t="array" ref="P418">XLOOKUP(LCARS_Off[AbilityID],RawOfficer[AbilityID],RawOfficer[Tag_OutpostRetaliators])</f>
        <v>➖</v>
      </c>
      <c r="Q418" s="517" t="str">
        <f t="array" ref="Q418">XLOOKUP(LCARS_Off[AbilityID],RawOfficer[AbilityID],RawOfficer[Conditional_Reason])</f>
        <v>SelfBattleship, TargetHasBurning</v>
      </c>
      <c r="R418" s="518" t="str">
        <f t="array" ref="R418">XLOOKUP(LCARS_Off[AbilityID],RawOfficer[AbilityID],RawOfficer[Tag_Loot])</f>
        <v>➖</v>
      </c>
      <c r="S418" s="516" t="str">
        <f t="array" ref="S418">XLOOKUP(LCARS_Off[AbilityID],RawOfficer[AbilityID],RawOfficer[Tag_Utility])</f>
        <v>➖</v>
      </c>
      <c r="T418" s="429" t="str">
        <f t="array" ref="T418">XLOOKUP(LCARS_Off[AbilityID],RawOfficer[AbilityID],RawOfficer[OfficerSynergy])</f>
        <v>BATTLESHIP STRIKE TEAM</v>
      </c>
      <c r="U418" s="519" t="str">
        <f t="array" ref="U418">XLOOKUP(LCARS_Off[AbilityID],RawOfficer[AbilityID],RawOfficer[AbilityModifier])</f>
        <v>IsolyticDamage</v>
      </c>
      <c r="V418" s="519" t="str">
        <f t="array" ref="V418">XLOOKUP(LCARS_Off[AbilityID],RawOfficer[AbilityID],RawOfficer[AbilityAttributes])</f>
        <v>num_rounds=1</v>
      </c>
      <c r="W418" s="520" t="str">
        <f t="array" ref="W418">XLOOKUP(LCARS_Off[AbilityID],RawOfficer[AbilityID],RawOfficer[AbilityConditions])</f>
        <v>SelfBattleship, EnemyPlayer, TargetHasBurning</v>
      </c>
      <c r="X418" s="519" t="str">
        <f t="array" ref="X418">XLOOKUP(LCARS_Off[AbilityID],RawOfficer[AbilityID],RawOfficer[AbilityTrigger])</f>
        <v>RoundStart</v>
      </c>
      <c r="Y418" s="519" t="str">
        <f t="array" ref="Y418">XLOOKUP(LCARS_Off[AbilityID],RawOfficer[AbilityID],RawOfficer[AbilityTarget])</f>
        <v>SelfShip</v>
      </c>
      <c r="Z418" s="519" t="str">
        <f t="array" ref="Z418">XLOOKUP(LCARS_Off[AbilityID],RawOfficer[AbilityID],RawOfficer[AbilityOperation])</f>
        <v>MultiplyAdd</v>
      </c>
      <c r="AA418" s="521" t="str">
        <f t="array" ref="AA418">XLOOKUP(LCARS_Off[AbilityID],RawOfficer[AbilityID],RawOfficer[AbilityDescription])</f>
        <v>On round start, if on a Battleship and enemy player has Burning, Shaxs increases your Isolytic Cascade damage by X for 1 round. -- Isolytic Cascade multiplies your total damage, including Isolytic Damage, and all research and other bonuses.</v>
      </c>
      <c r="AB418" s="429" t="b">
        <v>0</v>
      </c>
      <c r="AC418" s="522" t="str">
        <f t="array" ref="AC418">XLOOKUP(LCARS_Off[AbilityID],RawOfficer[AbilityID],RawOfficer[AbilityDescriptionShort])</f>
        <v>Increase Isolytic Cascade damage by X for 1 round on a Battleship versus players with Burning.</v>
      </c>
      <c r="AD418" s="523"/>
      <c r="AE418" s="524"/>
      <c r="AF418" s="524"/>
      <c r="AG418" s="525" t="str">
        <f t="array" ref="AG418">XLOOKUP(LCARS_Off[AbilityID],RawOfficer[AbilityID],RawOfficer[AbilityChances])</f>
        <v>1.0, 1.0, 1.0, 1.0, 1.0</v>
      </c>
      <c r="AH418" s="525" t="str">
        <f t="array" ref="AH418">XLOOKUP(LCARS_Off[AbilityID],RawOfficer[AbilityID],RawOfficer[AbilityValues])</f>
        <v>0.6, 0.75, 0.9, 1.1, 1.3</v>
      </c>
      <c r="AI418" s="428" t="b">
        <f t="array" ref="AI418">XLOOKUP(LCARS_Off[AbilityID],RawOfficer[AbilityID],RawOfficer[AbilityHasChance])</f>
        <v>0</v>
      </c>
      <c r="AJ418" s="428" t="b">
        <f t="array" ref="AJ418">XLOOKUP(LCARS_Off[AbilityID],RawOfficer[AbilityID],RawOfficer[AbilityShowPercentage])</f>
        <v>1</v>
      </c>
      <c r="AK418" s="429">
        <f t="array" ref="AK418">XLOOKUP(LCARS_Off[AbilityID],RawOfficer[AbilityID],RawOfficer[OfficerArt])</f>
        <v>254</v>
      </c>
      <c r="AL418" s="430">
        <v>3.055093161E9</v>
      </c>
      <c r="AM418" s="430">
        <f t="array" ref="AM418">XLOOKUP(LCARS_Off[AbilityID],RawOfficer[AbilityID],RawOfficer[Default Order])</f>
        <v>415</v>
      </c>
    </row>
    <row r="419">
      <c r="A419" s="429" t="str">
        <f t="array" ref="A419">LEFT(XLOOKUP(LCARS_Off[AbilityID],RawOfficer[AbilityID],RawOfficer[OfficerRarity]), 1)</f>
        <v>E</v>
      </c>
      <c r="B419" s="429"/>
      <c r="C419" s="514" t="str">
        <f t="array" ref="C419">HYPERLINK("https://stfc.space/officers/" &amp; XLOOKUP(LCARS_Off[AbilityID],RawOfficer[AbilityID],RawOfficer[OfficerId]), XLOOKUP(LCARS_Off[AbilityID],RawOfficer[AbilityID],RawOfficer[OfficerName]))</f>
        <v>SHAXS</v>
      </c>
      <c r="D419" s="515" t="str">
        <f t="array" ref="D419">XLOOKUP(LCARS_Off[AbilityID],RawOfficer[AbilityID],RawOfficer[AbilityType])</f>
        <v>BDA</v>
      </c>
      <c r="E419" s="516" t="str">
        <f t="array" ref="E419">XLOOKUP(LCARS_Off[AbilityID],RawOfficer[AbilityID],RawOfficer[Tag_PvPinSpace])</f>
        <v>✴️</v>
      </c>
      <c r="F419" s="516" t="str">
        <f t="array" ref="F419">XLOOKUP(LCARS_Off[AbilityID],RawOfficer[AbilityID],RawOfficer[Tag_PvPStation])</f>
        <v>✴️</v>
      </c>
      <c r="G419" s="516" t="str">
        <f t="array" ref="G419">XLOOKUP(LCARS_Off[AbilityID],RawOfficer[AbilityID],RawOfficer[Tag_NonArmadaHostiles])</f>
        <v>➖</v>
      </c>
      <c r="H419" s="516" t="str">
        <f t="array" ref="H419">XLOOKUP(LCARS_Off[AbilityID],RawOfficer[AbilityID],RawOfficer[Tag_WaveDefense])</f>
        <v>➖</v>
      </c>
      <c r="I419" s="516" t="str">
        <f t="array" ref="I419">XLOOKUP(LCARS_Off[AbilityID],RawOfficer[AbilityID],RawOfficer[Tag_QTrial])</f>
        <v>➖</v>
      </c>
      <c r="J419" s="516" t="str">
        <f t="array" ref="J419">XLOOKUP(LCARS_Off[AbilityID],RawOfficer[AbilityID],RawOfficer[Tag_MissionBosses])</f>
        <v>➖</v>
      </c>
      <c r="K419" s="516" t="str">
        <f t="array" ref="K419">XLOOKUP(LCARS_Off[AbilityID],RawOfficer[AbilityID],RawOfficer[Tag_GroupArmadas])</f>
        <v>➖</v>
      </c>
      <c r="L419" s="516" t="str">
        <f t="array" ref="L419">XLOOKUP(LCARS_Off[AbilityID],RawOfficer[AbilityID],RawOfficer[Tag_SoloArmadas])</f>
        <v>➖</v>
      </c>
      <c r="M419" s="516" t="str">
        <f t="array" ref="M419">XLOOKUP(LCARS_Off[AbilityID],RawOfficer[AbilityID],RawOfficer[Tag_InvadingEntities])</f>
        <v>➖</v>
      </c>
      <c r="N419" s="516" t="str">
        <f t="array" ref="N419">XLOOKUP(LCARS_Off[AbilityID],RawOfficer[AbilityID],RawOfficer[Tag_Assaults])</f>
        <v>➖</v>
      </c>
      <c r="O419" s="516" t="str">
        <f t="array" ref="O419">XLOOKUP(LCARS_Off[AbilityID],RawOfficer[AbilityID],RawOfficer[Tag_OutpostArmadas])</f>
        <v>➖</v>
      </c>
      <c r="P419" s="516" t="str">
        <f t="array" ref="P419">XLOOKUP(LCARS_Off[AbilityID],RawOfficer[AbilityID],RawOfficer[Tag_OutpostRetaliators])</f>
        <v>➖</v>
      </c>
      <c r="Q419" s="517" t="str">
        <f t="array" ref="Q419">XLOOKUP(LCARS_Off[AbilityID],RawOfficer[AbilityID],RawOfficer[Conditional_Reason])</f>
        <v>SelfExplorer, SelfHasMorale</v>
      </c>
      <c r="R419" s="518" t="str">
        <f t="array" ref="R419">XLOOKUP(LCARS_Off[AbilityID],RawOfficer[AbilityID],RawOfficer[Tag_Loot])</f>
        <v>➖</v>
      </c>
      <c r="S419" s="516" t="str">
        <f t="array" ref="S419">XLOOKUP(LCARS_Off[AbilityID],RawOfficer[AbilityID],RawOfficer[Tag_Utility])</f>
        <v>➖</v>
      </c>
      <c r="T419" s="429" t="str">
        <f t="array" ref="T419">XLOOKUP(LCARS_Off[AbilityID],RawOfficer[AbilityID],RawOfficer[OfficerSynergy])</f>
        <v>BATTLESHIP STRIKE TEAM</v>
      </c>
      <c r="U419" s="519" t="str">
        <f t="array" ref="U419">XLOOKUP(LCARS_Off[AbilityID],RawOfficer[AbilityID],RawOfficer[AbilityModifier])</f>
        <v>IsolyticDefense</v>
      </c>
      <c r="V419" s="519" t="str">
        <f t="array" ref="V419">XLOOKUP(LCARS_Off[AbilityID],RawOfficer[AbilityID],RawOfficer[AbilityAttributes])</f>
        <v>num_rounds=1</v>
      </c>
      <c r="W419" s="520" t="str">
        <f t="array" ref="W419">XLOOKUP(LCARS_Off[AbilityID],RawOfficer[AbilityID],RawOfficer[AbilityConditions])</f>
        <v>SelfExplorer, SelfHasMorale, EnemyPlayer</v>
      </c>
      <c r="X419" s="519" t="str">
        <f t="array" ref="X419">XLOOKUP(LCARS_Off[AbilityID],RawOfficer[AbilityID],RawOfficer[AbilityTrigger])</f>
        <v>RoundStart</v>
      </c>
      <c r="Y419" s="519" t="str">
        <f t="array" ref="Y419">XLOOKUP(LCARS_Off[AbilityID],RawOfficer[AbilityID],RawOfficer[AbilityTarget])</f>
        <v>SelfShip</v>
      </c>
      <c r="Z419" s="519" t="str">
        <f t="array" ref="Z419">XLOOKUP(LCARS_Off[AbilityID],RawOfficer[AbilityID],RawOfficer[AbilityOperation])</f>
        <v>Add</v>
      </c>
      <c r="AA419" s="521" t="str">
        <f t="array" ref="AA419">XLOOKUP(LCARS_Off[AbilityID],RawOfficer[AbilityID],RawOfficer[AbilityDescription])</f>
        <v>On round start, if on an Explorer with Morale, Shaxs increases your Isolytic Defense by X for 1 round against players.</v>
      </c>
      <c r="AB419" s="429" t="b">
        <v>0</v>
      </c>
      <c r="AC419" s="522" t="str">
        <f t="array" ref="AC419">XLOOKUP(LCARS_Off[AbilityID],RawOfficer[AbilityID],RawOfficer[AbilityDescriptionShort])</f>
        <v>On an Explorer with Morale, increase your Isolytic Defense by X for 1 round versus players.</v>
      </c>
      <c r="AD419" s="523"/>
      <c r="AE419" s="524"/>
      <c r="AF419" s="524"/>
      <c r="AG419" s="525" t="str">
        <f t="array" ref="AG419">XLOOKUP(LCARS_Off[AbilityID],RawOfficer[AbilityID],RawOfficer[AbilityChances])</f>
        <v>1.0, 1.0, 1.0, 1.0, 1.0</v>
      </c>
      <c r="AH419" s="525" t="str">
        <f t="array" ref="AH419">XLOOKUP(LCARS_Off[AbilityID],RawOfficer[AbilityID],RawOfficer[AbilityValues])</f>
        <v>0.4, 0.5, 0.65, 0.85, 1.0</v>
      </c>
      <c r="AI419" s="428" t="b">
        <f t="array" ref="AI419">XLOOKUP(LCARS_Off[AbilityID],RawOfficer[AbilityID],RawOfficer[AbilityHasChance])</f>
        <v>0</v>
      </c>
      <c r="AJ419" s="428" t="b">
        <f t="array" ref="AJ419">XLOOKUP(LCARS_Off[AbilityID],RawOfficer[AbilityID],RawOfficer[AbilityShowPercentage])</f>
        <v>1</v>
      </c>
      <c r="AK419" s="429">
        <f t="array" ref="AK419">XLOOKUP(LCARS_Off[AbilityID],RawOfficer[AbilityID],RawOfficer[OfficerArt])</f>
        <v>254</v>
      </c>
      <c r="AL419" s="430">
        <v>2.855453718E9</v>
      </c>
      <c r="AM419" s="430">
        <f t="array" ref="AM419">XLOOKUP(LCARS_Off[AbilityID],RawOfficer[AbilityID],RawOfficer[Default Order])</f>
        <v>416</v>
      </c>
    </row>
    <row r="420">
      <c r="A420" s="429" t="str">
        <f t="array" ref="A420">LEFT(XLOOKUP(LCARS_Off[AbilityID],RawOfficer[AbilityID],RawOfficer[OfficerRarity]), 1)</f>
        <v>E</v>
      </c>
      <c r="B420" s="429"/>
      <c r="C420" s="514" t="str">
        <f t="array" ref="C420">HYPERLINK("https://stfc.space/officers/" &amp; XLOOKUP(LCARS_Off[AbilityID],RawOfficer[AbilityID],RawOfficer[OfficerId]), XLOOKUP(LCARS_Off[AbilityID],RawOfficer[AbilityID],RawOfficer[OfficerName]))</f>
        <v>DOCTOR T'ANA</v>
      </c>
      <c r="D420" s="515" t="str">
        <f t="array" ref="D420">XLOOKUP(LCARS_Off[AbilityID],RawOfficer[AbilityID],RawOfficer[AbilityType])</f>
        <v>OA</v>
      </c>
      <c r="E420" s="516" t="str">
        <f t="array" ref="E420">XLOOKUP(LCARS_Off[AbilityID],RawOfficer[AbilityID],RawOfficer[Tag_PvPinSpace])</f>
        <v>✅</v>
      </c>
      <c r="F420" s="516" t="str">
        <f t="array" ref="F420">XLOOKUP(LCARS_Off[AbilityID],RawOfficer[AbilityID],RawOfficer[Tag_PvPStation])</f>
        <v>✅</v>
      </c>
      <c r="G420" s="516" t="str">
        <f t="array" ref="G420">XLOOKUP(LCARS_Off[AbilityID],RawOfficer[AbilityID],RawOfficer[Tag_NonArmadaHostiles])</f>
        <v>➖</v>
      </c>
      <c r="H420" s="516" t="str">
        <f t="array" ref="H420">XLOOKUP(LCARS_Off[AbilityID],RawOfficer[AbilityID],RawOfficer[Tag_WaveDefense])</f>
        <v>➖</v>
      </c>
      <c r="I420" s="516" t="str">
        <f t="array" ref="I420">XLOOKUP(LCARS_Off[AbilityID],RawOfficer[AbilityID],RawOfficer[Tag_QTrial])</f>
        <v>➖</v>
      </c>
      <c r="J420" s="516" t="str">
        <f t="array" ref="J420">XLOOKUP(LCARS_Off[AbilityID],RawOfficer[AbilityID],RawOfficer[Tag_MissionBosses])</f>
        <v>➖</v>
      </c>
      <c r="K420" s="516" t="str">
        <f t="array" ref="K420">XLOOKUP(LCARS_Off[AbilityID],RawOfficer[AbilityID],RawOfficer[Tag_GroupArmadas])</f>
        <v>➖</v>
      </c>
      <c r="L420" s="516" t="str">
        <f t="array" ref="L420">XLOOKUP(LCARS_Off[AbilityID],RawOfficer[AbilityID],RawOfficer[Tag_SoloArmadas])</f>
        <v>➖</v>
      </c>
      <c r="M420" s="516" t="str">
        <f t="array" ref="M420">XLOOKUP(LCARS_Off[AbilityID],RawOfficer[AbilityID],RawOfficer[Tag_InvadingEntities])</f>
        <v>➖</v>
      </c>
      <c r="N420" s="516" t="str">
        <f t="array" ref="N420">XLOOKUP(LCARS_Off[AbilityID],RawOfficer[AbilityID],RawOfficer[Tag_Assaults])</f>
        <v>➖</v>
      </c>
      <c r="O420" s="516" t="str">
        <f t="array" ref="O420">XLOOKUP(LCARS_Off[AbilityID],RawOfficer[AbilityID],RawOfficer[Tag_OutpostArmadas])</f>
        <v>➖</v>
      </c>
      <c r="P420" s="516" t="str">
        <f t="array" ref="P420">XLOOKUP(LCARS_Off[AbilityID],RawOfficer[AbilityID],RawOfficer[Tag_OutpostRetaliators])</f>
        <v>➖</v>
      </c>
      <c r="Q420" s="517" t="str">
        <f t="array" ref="Q420">XLOOKUP(LCARS_Off[AbilityID],RawOfficer[AbilityID],RawOfficer[Conditional_Reason])</f>
        <v/>
      </c>
      <c r="R420" s="518" t="str">
        <f t="array" ref="R420">XLOOKUP(LCARS_Off[AbilityID],RawOfficer[AbilityID],RawOfficer[Tag_Loot])</f>
        <v>➖</v>
      </c>
      <c r="S420" s="516" t="str">
        <f t="array" ref="S420">XLOOKUP(LCARS_Off[AbilityID],RawOfficer[AbilityID],RawOfficer[Tag_Utility])</f>
        <v>➖</v>
      </c>
      <c r="T420" s="429" t="str">
        <f t="array" ref="T420">XLOOKUP(LCARS_Off[AbilityID],RawOfficer[AbilityID],RawOfficer[OfficerSynergy])</f>
        <v>LOWER DECKS CREW</v>
      </c>
      <c r="U420" s="519" t="str">
        <f t="array" ref="U420">XLOOKUP(LCARS_Off[AbilityID],RawOfficer[AbilityID],RawOfficer[AbilityModifier])</f>
        <v>AddRandomState</v>
      </c>
      <c r="V420" s="519" t="str">
        <f t="array" ref="V420">XLOOKUP(LCARS_Off[AbilityID],RawOfficer[AbilityID],RawOfficer[AbilityAttributes])</f>
        <v>multi_state=[8, 4, 2], num_rounds=3</v>
      </c>
      <c r="W420" s="520" t="str">
        <f t="array" ref="W420">XLOOKUP(LCARS_Off[AbilityID],RawOfficer[AbilityID],RawOfficer[AbilityConditions])</f>
        <v>EnemyPlayer</v>
      </c>
      <c r="X420" s="519" t="str">
        <f t="array" ref="X420">XLOOKUP(LCARS_Off[AbilityID],RawOfficer[AbilityID],RawOfficer[AbilityTrigger])</f>
        <v>RoundStart</v>
      </c>
      <c r="Y420" s="519" t="str">
        <f t="array" ref="Y420">XLOOKUP(LCARS_Off[AbilityID],RawOfficer[AbilityID],RawOfficer[AbilityTarget])</f>
        <v>EnemyShip</v>
      </c>
      <c r="Z420" s="519" t="str">
        <f t="array" ref="Z420">XLOOKUP(LCARS_Off[AbilityID],RawOfficer[AbilityID],RawOfficer[AbilityOperation])</f>
        <v>Set</v>
      </c>
      <c r="AA420" s="521" t="str">
        <f t="array" ref="AA420">XLOOKUP(LCARS_Off[AbilityID],RawOfficer[AbilityID],RawOfficer[AbilityDescription])</f>
        <v>On round start, Dr. T'Ana has X chance to apply a random State to the enemy player's ship for 3 rounds. -- Random States: Morale, Burning, Hull Breach</v>
      </c>
      <c r="AB420" s="429" t="b">
        <v>0</v>
      </c>
      <c r="AC420" s="522" t="str">
        <f t="array" ref="AC420">XLOOKUP(LCARS_Off[AbilityID],RawOfficer[AbilityID],RawOfficer[AbilityDescriptionShort])</f>
        <v>X chance to apply a random State to a player's ship for 3 rounds.</v>
      </c>
      <c r="AD420" s="523"/>
      <c r="AE420" s="524"/>
      <c r="AF420" s="524"/>
      <c r="AG420" s="525" t="str">
        <f t="array" ref="AG420">XLOOKUP(LCARS_Off[AbilityID],RawOfficer[AbilityID],RawOfficer[AbilityChances])</f>
        <v>0.4, 0.45, 0.55, 0.75, 1.0</v>
      </c>
      <c r="AH420" s="525" t="str">
        <f t="array" ref="AH420">XLOOKUP(LCARS_Off[AbilityID],RawOfficer[AbilityID],RawOfficer[AbilityValues])</f>
        <v>1.0, 1.0, 1.0, 1.0, 1.0</v>
      </c>
      <c r="AI420" s="428" t="b">
        <f t="array" ref="AI420">XLOOKUP(LCARS_Off[AbilityID],RawOfficer[AbilityID],RawOfficer[AbilityHasChance])</f>
        <v>1</v>
      </c>
      <c r="AJ420" s="428" t="b">
        <f t="array" ref="AJ420">XLOOKUP(LCARS_Off[AbilityID],RawOfficer[AbilityID],RawOfficer[AbilityShowPercentage])</f>
        <v>1</v>
      </c>
      <c r="AK420" s="429">
        <f t="array" ref="AK420">XLOOKUP(LCARS_Off[AbilityID],RawOfficer[AbilityID],RawOfficer[OfficerArt])</f>
        <v>255</v>
      </c>
      <c r="AL420" s="430">
        <v>1.275347566E9</v>
      </c>
      <c r="AM420" s="430">
        <f t="array" ref="AM420">XLOOKUP(LCARS_Off[AbilityID],RawOfficer[AbilityID],RawOfficer[Default Order])</f>
        <v>417</v>
      </c>
    </row>
    <row r="421">
      <c r="A421" s="429" t="str">
        <f t="array" ref="A421">LEFT(XLOOKUP(LCARS_Off[AbilityID],RawOfficer[AbilityID],RawOfficer[OfficerRarity]), 1)</f>
        <v>E</v>
      </c>
      <c r="B421" s="429"/>
      <c r="C421" s="514" t="str">
        <f t="array" ref="C421">HYPERLINK("https://stfc.space/officers/" &amp; XLOOKUP(LCARS_Off[AbilityID],RawOfficer[AbilityID],RawOfficer[OfficerId]), XLOOKUP(LCARS_Off[AbilityID],RawOfficer[AbilityID],RawOfficer[OfficerName]))</f>
        <v>DOCTOR T'ANA</v>
      </c>
      <c r="D421" s="515" t="str">
        <f t="array" ref="D421">XLOOKUP(LCARS_Off[AbilityID],RawOfficer[AbilityID],RawOfficer[AbilityType])</f>
        <v>BDA</v>
      </c>
      <c r="E421" s="516" t="str">
        <f t="array" ref="E421">XLOOKUP(LCARS_Off[AbilityID],RawOfficer[AbilityID],RawOfficer[Tag_PvPinSpace])</f>
        <v>✅</v>
      </c>
      <c r="F421" s="516" t="str">
        <f t="array" ref="F421">XLOOKUP(LCARS_Off[AbilityID],RawOfficer[AbilityID],RawOfficer[Tag_PvPStation])</f>
        <v>✅</v>
      </c>
      <c r="G421" s="516" t="str">
        <f t="array" ref="G421">XLOOKUP(LCARS_Off[AbilityID],RawOfficer[AbilityID],RawOfficer[Tag_NonArmadaHostiles])</f>
        <v>➖</v>
      </c>
      <c r="H421" s="516" t="str">
        <f t="array" ref="H421">XLOOKUP(LCARS_Off[AbilityID],RawOfficer[AbilityID],RawOfficer[Tag_WaveDefense])</f>
        <v>➖</v>
      </c>
      <c r="I421" s="516" t="str">
        <f t="array" ref="I421">XLOOKUP(LCARS_Off[AbilityID],RawOfficer[AbilityID],RawOfficer[Tag_QTrial])</f>
        <v>➖</v>
      </c>
      <c r="J421" s="516" t="str">
        <f t="array" ref="J421">XLOOKUP(LCARS_Off[AbilityID],RawOfficer[AbilityID],RawOfficer[Tag_MissionBosses])</f>
        <v>➖</v>
      </c>
      <c r="K421" s="516" t="str">
        <f t="array" ref="K421">XLOOKUP(LCARS_Off[AbilityID],RawOfficer[AbilityID],RawOfficer[Tag_GroupArmadas])</f>
        <v>➖</v>
      </c>
      <c r="L421" s="516" t="str">
        <f t="array" ref="L421">XLOOKUP(LCARS_Off[AbilityID],RawOfficer[AbilityID],RawOfficer[Tag_SoloArmadas])</f>
        <v>➖</v>
      </c>
      <c r="M421" s="516" t="str">
        <f t="array" ref="M421">XLOOKUP(LCARS_Off[AbilityID],RawOfficer[AbilityID],RawOfficer[Tag_InvadingEntities])</f>
        <v>➖</v>
      </c>
      <c r="N421" s="516" t="str">
        <f t="array" ref="N421">XLOOKUP(LCARS_Off[AbilityID],RawOfficer[AbilityID],RawOfficer[Tag_Assaults])</f>
        <v>➖</v>
      </c>
      <c r="O421" s="516" t="str">
        <f t="array" ref="O421">XLOOKUP(LCARS_Off[AbilityID],RawOfficer[AbilityID],RawOfficer[Tag_OutpostArmadas])</f>
        <v>➖</v>
      </c>
      <c r="P421" s="516" t="str">
        <f t="array" ref="P421">XLOOKUP(LCARS_Off[AbilityID],RawOfficer[AbilityID],RawOfficer[Tag_OutpostRetaliators])</f>
        <v>➖</v>
      </c>
      <c r="Q421" s="517" t="str">
        <f t="array" ref="Q421">XLOOKUP(LCARS_Off[AbilityID],RawOfficer[AbilityID],RawOfficer[Conditional_Reason])</f>
        <v/>
      </c>
      <c r="R421" s="518" t="str">
        <f t="array" ref="R421">XLOOKUP(LCARS_Off[AbilityID],RawOfficer[AbilityID],RawOfficer[Tag_Loot])</f>
        <v>➖</v>
      </c>
      <c r="S421" s="516" t="str">
        <f t="array" ref="S421">XLOOKUP(LCARS_Off[AbilityID],RawOfficer[AbilityID],RawOfficer[Tag_Utility])</f>
        <v>➖</v>
      </c>
      <c r="T421" s="429" t="str">
        <f t="array" ref="T421">XLOOKUP(LCARS_Off[AbilityID],RawOfficer[AbilityID],RawOfficer[OfficerSynergy])</f>
        <v>LOWER DECKS CREW</v>
      </c>
      <c r="U421" s="519" t="str">
        <f t="array" ref="U421">XLOOKUP(LCARS_Off[AbilityID],RawOfficer[AbilityID],RawOfficer[AbilityModifier])</f>
        <v>IsolyticDefense</v>
      </c>
      <c r="V421" s="519" t="str">
        <f t="array" ref="V421">XLOOKUP(LCARS_Off[AbilityID],RawOfficer[AbilityID],RawOfficer[AbilityAttributes])</f>
        <v>num_rounds=1</v>
      </c>
      <c r="W421" s="520" t="str">
        <f t="array" ref="W421">XLOOKUP(LCARS_Off[AbilityID],RawOfficer[AbilityID],RawOfficer[AbilityConditions])</f>
        <v>EnemyPlayer</v>
      </c>
      <c r="X421" s="519" t="str">
        <f t="array" ref="X421">XLOOKUP(LCARS_Off[AbilityID],RawOfficer[AbilityID],RawOfficer[AbilityTrigger])</f>
        <v>RoundStart</v>
      </c>
      <c r="Y421" s="519" t="str">
        <f t="array" ref="Y421">XLOOKUP(LCARS_Off[AbilityID],RawOfficer[AbilityID],RawOfficer[AbilityTarget])</f>
        <v>SelfShip</v>
      </c>
      <c r="Z421" s="519" t="str">
        <f t="array" ref="Z421">XLOOKUP(LCARS_Off[AbilityID],RawOfficer[AbilityID],RawOfficer[AbilityOperation])</f>
        <v>Add</v>
      </c>
      <c r="AA421" s="521" t="str">
        <f t="array" ref="AA421">XLOOKUP(LCARS_Off[AbilityID],RawOfficer[AbilityID],RawOfficer[AbilityDescription])</f>
        <v>On round start against players, Dr. T'Ana increases your Isolytic Defense by X for 1 round.</v>
      </c>
      <c r="AB421" s="429" t="b">
        <v>0</v>
      </c>
      <c r="AC421" s="522" t="str">
        <f t="array" ref="AC421">XLOOKUP(LCARS_Off[AbilityID],RawOfficer[AbilityID],RawOfficer[AbilityDescriptionShort])</f>
        <v>Increase Isolytic Defense against players by X for 1 round.</v>
      </c>
      <c r="AD421" s="523"/>
      <c r="AE421" s="524"/>
      <c r="AF421" s="524"/>
      <c r="AG421" s="525" t="str">
        <f t="array" ref="AG421">XLOOKUP(LCARS_Off[AbilityID],RawOfficer[AbilityID],RawOfficer[AbilityChances])</f>
        <v>1.0, 1.0, 1.0, 1.0, 1.0</v>
      </c>
      <c r="AH421" s="525" t="str">
        <f t="array" ref="AH421">XLOOKUP(LCARS_Off[AbilityID],RawOfficer[AbilityID],RawOfficer[AbilityValues])</f>
        <v>0.5, 0.8, 1.2, 1.8, 2.5</v>
      </c>
      <c r="AI421" s="428" t="b">
        <f t="array" ref="AI421">XLOOKUP(LCARS_Off[AbilityID],RawOfficer[AbilityID],RawOfficer[AbilityHasChance])</f>
        <v>0</v>
      </c>
      <c r="AJ421" s="428" t="b">
        <f t="array" ref="AJ421">XLOOKUP(LCARS_Off[AbilityID],RawOfficer[AbilityID],RawOfficer[AbilityShowPercentage])</f>
        <v>1</v>
      </c>
      <c r="AK421" s="429">
        <f t="array" ref="AK421">XLOOKUP(LCARS_Off[AbilityID],RawOfficer[AbilityID],RawOfficer[OfficerArt])</f>
        <v>255</v>
      </c>
      <c r="AL421" s="430">
        <v>1166803.0</v>
      </c>
      <c r="AM421" s="430">
        <f t="array" ref="AM421">XLOOKUP(LCARS_Off[AbilityID],RawOfficer[AbilityID],RawOfficer[Default Order])</f>
        <v>418</v>
      </c>
    </row>
    <row r="422">
      <c r="A422" s="429" t="str">
        <f t="array" ref="A422">LEFT(XLOOKUP(LCARS_Off[AbilityID],RawOfficer[AbilityID],RawOfficer[OfficerRarity]), 1)</f>
        <v>R</v>
      </c>
      <c r="B422" s="429"/>
      <c r="C422" s="514" t="str">
        <f t="array" ref="C422">HYPERLINK("https://stfc.space/officers/" &amp; XLOOKUP(LCARS_Off[AbilityID],RawOfficer[AbilityID],RawOfficer[OfficerId]), XLOOKUP(LCARS_Off[AbilityID],RawOfficer[AbilityID],RawOfficer[OfficerName]))</f>
        <v>ALONZO FREEMAN</v>
      </c>
      <c r="D422" s="515" t="str">
        <f t="array" ref="D422">XLOOKUP(LCARS_Off[AbilityID],RawOfficer[AbilityID],RawOfficer[AbilityType])</f>
        <v>OA</v>
      </c>
      <c r="E422" s="516" t="str">
        <f t="array" ref="E422">XLOOKUP(LCARS_Off[AbilityID],RawOfficer[AbilityID],RawOfficer[Tag_PvPinSpace])</f>
        <v>➖</v>
      </c>
      <c r="F422" s="516" t="str">
        <f t="array" ref="F422">XLOOKUP(LCARS_Off[AbilityID],RawOfficer[AbilityID],RawOfficer[Tag_PvPStation])</f>
        <v>➖</v>
      </c>
      <c r="G422" s="516" t="str">
        <f t="array" ref="G422">XLOOKUP(LCARS_Off[AbilityID],RawOfficer[AbilityID],RawOfficer[Tag_NonArmadaHostiles])</f>
        <v>➖</v>
      </c>
      <c r="H422" s="516" t="str">
        <f t="array" ref="H422">XLOOKUP(LCARS_Off[AbilityID],RawOfficer[AbilityID],RawOfficer[Tag_WaveDefense])</f>
        <v>➖</v>
      </c>
      <c r="I422" s="516" t="str">
        <f t="array" ref="I422">XLOOKUP(LCARS_Off[AbilityID],RawOfficer[AbilityID],RawOfficer[Tag_QTrial])</f>
        <v>➖</v>
      </c>
      <c r="J422" s="516" t="str">
        <f t="array" ref="J422">XLOOKUP(LCARS_Off[AbilityID],RawOfficer[AbilityID],RawOfficer[Tag_MissionBosses])</f>
        <v>➖</v>
      </c>
      <c r="K422" s="516" t="str">
        <f t="array" ref="K422">XLOOKUP(LCARS_Off[AbilityID],RawOfficer[AbilityID],RawOfficer[Tag_GroupArmadas])</f>
        <v>➖</v>
      </c>
      <c r="L422" s="516" t="str">
        <f t="array" ref="L422">XLOOKUP(LCARS_Off[AbilityID],RawOfficer[AbilityID],RawOfficer[Tag_SoloArmadas])</f>
        <v>➖</v>
      </c>
      <c r="M422" s="516" t="str">
        <f t="array" ref="M422">XLOOKUP(LCARS_Off[AbilityID],RawOfficer[AbilityID],RawOfficer[Tag_InvadingEntities])</f>
        <v>➖</v>
      </c>
      <c r="N422" s="516" t="str">
        <f t="array" ref="N422">XLOOKUP(LCARS_Off[AbilityID],RawOfficer[AbilityID],RawOfficer[Tag_Assaults])</f>
        <v>➖</v>
      </c>
      <c r="O422" s="516" t="str">
        <f t="array" ref="O422">XLOOKUP(LCARS_Off[AbilityID],RawOfficer[AbilityID],RawOfficer[Tag_OutpostArmadas])</f>
        <v>➖</v>
      </c>
      <c r="P422" s="516" t="str">
        <f t="array" ref="P422">XLOOKUP(LCARS_Off[AbilityID],RawOfficer[AbilityID],RawOfficer[Tag_OutpostRetaliators])</f>
        <v>➖</v>
      </c>
      <c r="Q422" s="517" t="str">
        <f t="array" ref="Q422">XLOOKUP(LCARS_Off[AbilityID],RawOfficer[AbilityID],RawOfficer[Conditional_Reason])</f>
        <v/>
      </c>
      <c r="R422" s="518" t="str">
        <f t="array" ref="R422">XLOOKUP(LCARS_Off[AbilityID],RawOfficer[AbilityID],RawOfficer[Tag_Loot])</f>
        <v>➖</v>
      </c>
      <c r="S422" s="516" t="str">
        <f t="array" ref="S422">XLOOKUP(LCARS_Off[AbilityID],RawOfficer[AbilityID],RawOfficer[Tag_Utility])</f>
        <v>✅</v>
      </c>
      <c r="T422" s="429" t="str">
        <f t="array" ref="T422">XLOOKUP(LCARS_Off[AbilityID],RawOfficer[AbilityID],RawOfficer[OfficerSynergy])</f>
        <v>LOWER DECKS CREW</v>
      </c>
      <c r="U422" s="519" t="str">
        <f t="array" ref="U422">XLOOKUP(LCARS_Off[AbilityID],RawOfficer[AbilityID],RawOfficer[AbilityModifier])</f>
        <v>CargoCapacity</v>
      </c>
      <c r="V422" s="519" t="str">
        <f t="array" ref="V422">XLOOKUP(LCARS_Off[AbilityID],RawOfficer[AbilityID],RawOfficer[AbilityAttributes])</f>
        <v/>
      </c>
      <c r="W422" s="520" t="str">
        <f t="array" ref="W422">XLOOKUP(LCARS_Off[AbilityID],RawOfficer[AbilityID],RawOfficer[AbilityConditions])</f>
        <v/>
      </c>
      <c r="X422" s="519" t="str">
        <f t="array" ref="X422">XLOOKUP(LCARS_Off[AbilityID],RawOfficer[AbilityID],RawOfficer[AbilityTrigger])</f>
        <v>ShipLaunched</v>
      </c>
      <c r="Y422" s="519" t="str">
        <f t="array" ref="Y422">XLOOKUP(LCARS_Off[AbilityID],RawOfficer[AbilityID],RawOfficer[AbilityTarget])</f>
        <v>SelfShip</v>
      </c>
      <c r="Z422" s="519" t="str">
        <f t="array" ref="Z422">XLOOKUP(LCARS_Off[AbilityID],RawOfficer[AbilityID],RawOfficer[AbilityOperation])</f>
        <v>MultiplyAdd</v>
      </c>
      <c r="AA422" s="521" t="str">
        <f t="array" ref="AA422">XLOOKUP(LCARS_Off[AbilityID],RawOfficer[AbilityID],RawOfficer[AbilityDescription])</f>
        <v>Alonzo Freeman increases the Cargo size of the ship by X.</v>
      </c>
      <c r="AB422" s="429" t="b">
        <v>0</v>
      </c>
      <c r="AC422" s="522" t="str">
        <f t="array" ref="AC422">XLOOKUP(LCARS_Off[AbilityID],RawOfficer[AbilityID],RawOfficer[AbilityDescriptionShort])</f>
        <v>Increase the Cargo size of the ship by X.</v>
      </c>
      <c r="AD422" s="523"/>
      <c r="AE422" s="524"/>
      <c r="AF422" s="524"/>
      <c r="AG422" s="525" t="str">
        <f t="array" ref="AG422">XLOOKUP(LCARS_Off[AbilityID],RawOfficer[AbilityID],RawOfficer[AbilityChances])</f>
        <v>1.0, 1.0, 1.0, 1.0, 1.0</v>
      </c>
      <c r="AH422" s="525" t="str">
        <f t="array" ref="AH422">XLOOKUP(LCARS_Off[AbilityID],RawOfficer[AbilityID],RawOfficer[AbilityValues])</f>
        <v>0.2, 0.35, 0.4, 0.45, 0.55</v>
      </c>
      <c r="AI422" s="428" t="b">
        <f t="array" ref="AI422">XLOOKUP(LCARS_Off[AbilityID],RawOfficer[AbilityID],RawOfficer[AbilityHasChance])</f>
        <v>0</v>
      </c>
      <c r="AJ422" s="428" t="b">
        <f t="array" ref="AJ422">XLOOKUP(LCARS_Off[AbilityID],RawOfficer[AbilityID],RawOfficer[AbilityShowPercentage])</f>
        <v>1</v>
      </c>
      <c r="AK422" s="429">
        <f t="array" ref="AK422">XLOOKUP(LCARS_Off[AbilityID],RawOfficer[AbilityID],RawOfficer[OfficerArt])</f>
        <v>256</v>
      </c>
      <c r="AL422" s="430">
        <v>1.928045499E9</v>
      </c>
      <c r="AM422" s="430">
        <f t="array" ref="AM422">XLOOKUP(LCARS_Off[AbilityID],RawOfficer[AbilityID],RawOfficer[Default Order])</f>
        <v>419</v>
      </c>
    </row>
    <row r="423">
      <c r="A423" s="429" t="str">
        <f t="array" ref="A423">LEFT(XLOOKUP(LCARS_Off[AbilityID],RawOfficer[AbilityID],RawOfficer[OfficerRarity]), 1)</f>
        <v>R</v>
      </c>
      <c r="B423" s="429"/>
      <c r="C423" s="514" t="str">
        <f t="array" ref="C423">HYPERLINK("https://stfc.space/officers/" &amp; XLOOKUP(LCARS_Off[AbilityID],RawOfficer[AbilityID],RawOfficer[OfficerId]), XLOOKUP(LCARS_Off[AbilityID],RawOfficer[AbilityID],RawOfficer[OfficerName]))</f>
        <v>ALONZO FREEMAN</v>
      </c>
      <c r="D423" s="515" t="str">
        <f t="array" ref="D423">XLOOKUP(LCARS_Off[AbilityID],RawOfficer[AbilityID],RawOfficer[AbilityType])</f>
        <v>BDA</v>
      </c>
      <c r="E423" s="516" t="str">
        <f t="array" ref="E423">XLOOKUP(LCARS_Off[AbilityID],RawOfficer[AbilityID],RawOfficer[Tag_PvPinSpace])</f>
        <v>➖</v>
      </c>
      <c r="F423" s="516" t="str">
        <f t="array" ref="F423">XLOOKUP(LCARS_Off[AbilityID],RawOfficer[AbilityID],RawOfficer[Tag_PvPStation])</f>
        <v>➖</v>
      </c>
      <c r="G423" s="516" t="str">
        <f t="array" ref="G423">XLOOKUP(LCARS_Off[AbilityID],RawOfficer[AbilityID],RawOfficer[Tag_NonArmadaHostiles])</f>
        <v>✴️</v>
      </c>
      <c r="H423" s="516" t="str">
        <f t="array" ref="H423">XLOOKUP(LCARS_Off[AbilityID],RawOfficer[AbilityID],RawOfficer[Tag_WaveDefense])</f>
        <v>➖</v>
      </c>
      <c r="I423" s="516" t="str">
        <f t="array" ref="I423">XLOOKUP(LCARS_Off[AbilityID],RawOfficer[AbilityID],RawOfficer[Tag_QTrial])</f>
        <v>➖</v>
      </c>
      <c r="J423" s="516" t="str">
        <f t="array" ref="J423">XLOOKUP(LCARS_Off[AbilityID],RawOfficer[AbilityID],RawOfficer[Tag_MissionBosses])</f>
        <v>➖</v>
      </c>
      <c r="K423" s="516" t="str">
        <f t="array" ref="K423">XLOOKUP(LCARS_Off[AbilityID],RawOfficer[AbilityID],RawOfficer[Tag_GroupArmadas])</f>
        <v>✴️</v>
      </c>
      <c r="L423" s="516" t="str">
        <f t="array" ref="L423">XLOOKUP(LCARS_Off[AbilityID],RawOfficer[AbilityID],RawOfficer[Tag_SoloArmadas])</f>
        <v>✴️</v>
      </c>
      <c r="M423" s="516" t="str">
        <f t="array" ref="M423">XLOOKUP(LCARS_Off[AbilityID],RawOfficer[AbilityID],RawOfficer[Tag_InvadingEntities])</f>
        <v>➖</v>
      </c>
      <c r="N423" s="516" t="str">
        <f t="array" ref="N423">XLOOKUP(LCARS_Off[AbilityID],RawOfficer[AbilityID],RawOfficer[Tag_Assaults])</f>
        <v>➖</v>
      </c>
      <c r="O423" s="516" t="str">
        <f t="array" ref="O423">XLOOKUP(LCARS_Off[AbilityID],RawOfficer[AbilityID],RawOfficer[Tag_OutpostArmadas])</f>
        <v>➖</v>
      </c>
      <c r="P423" s="516" t="str">
        <f t="array" ref="P423">XLOOKUP(LCARS_Off[AbilityID],RawOfficer[AbilityID],RawOfficer[Tag_OutpostRetaliators])</f>
        <v>➖</v>
      </c>
      <c r="Q423" s="517" t="str">
        <f t="array" ref="Q423">XLOOKUP(LCARS_Off[AbilityID],RawOfficer[AbilityID],RawOfficer[Conditional_Reason])</f>
        <v>FactionPointsGain</v>
      </c>
      <c r="R423" s="518" t="str">
        <f t="array" ref="R423">XLOOKUP(LCARS_Off[AbilityID],RawOfficer[AbilityID],RawOfficer[Tag_Loot])</f>
        <v>✅</v>
      </c>
      <c r="S423" s="516" t="str">
        <f t="array" ref="S423">XLOOKUP(LCARS_Off[AbilityID],RawOfficer[AbilityID],RawOfficer[Tag_Utility])</f>
        <v>➖</v>
      </c>
      <c r="T423" s="429" t="str">
        <f t="array" ref="T423">XLOOKUP(LCARS_Off[AbilityID],RawOfficer[AbilityID],RawOfficer[OfficerSynergy])</f>
        <v>LOWER DECKS CREW</v>
      </c>
      <c r="U423" s="519" t="str">
        <f t="array" ref="U423">XLOOKUP(LCARS_Off[AbilityID],RawOfficer[AbilityID],RawOfficer[AbilityModifier])</f>
        <v>FactionPointsGain</v>
      </c>
      <c r="V423" s="519" t="str">
        <f t="array" ref="V423">XLOOKUP(LCARS_Off[AbilityID],RawOfficer[AbilityID],RawOfficer[AbilityAttributes])</f>
        <v/>
      </c>
      <c r="W423" s="520" t="str">
        <f t="array" ref="W423">XLOOKUP(LCARS_Off[AbilityID],RawOfficer[AbilityID],RawOfficer[AbilityConditions])</f>
        <v/>
      </c>
      <c r="X423" s="519" t="str">
        <f t="array" ref="X423">XLOOKUP(LCARS_Off[AbilityID],RawOfficer[AbilityID],RawOfficer[AbilityTrigger])</f>
        <v>ShipLaunched</v>
      </c>
      <c r="Y423" s="519" t="str">
        <f t="array" ref="Y423">XLOOKUP(LCARS_Off[AbilityID],RawOfficer[AbilityID],RawOfficer[AbilityTarget])</f>
        <v>SelfShip</v>
      </c>
      <c r="Z423" s="519" t="str">
        <f t="array" ref="Z423">XLOOKUP(LCARS_Off[AbilityID],RawOfficer[AbilityID],RawOfficer[AbilityOperation])</f>
        <v>MultiplyAdd</v>
      </c>
      <c r="AA423" s="521" t="str">
        <f t="array" ref="AA423">XLOOKUP(LCARS_Off[AbilityID],RawOfficer[AbilityID],RawOfficer[AbilityDescription])</f>
        <v>Alonzo Freeman increases the base amount of positive Federation, Romulan and Klingon reputation gained from defeating hostiles by X.</v>
      </c>
      <c r="AB423" s="429" t="b">
        <v>1</v>
      </c>
      <c r="AC423" s="522" t="str">
        <f t="array" ref="AC423">XLOOKUP(LCARS_Off[AbilityID],RawOfficer[AbilityID],RawOfficer[AbilityDescriptionShort])</f>
        <v>Increases all positive FKR reputation by X.</v>
      </c>
      <c r="AD423" s="523"/>
      <c r="AE423" s="521" t="s">
        <v>578</v>
      </c>
      <c r="AF423" s="521" t="s">
        <v>576</v>
      </c>
      <c r="AG423" s="525" t="str">
        <f t="array" ref="AG423">XLOOKUP(LCARS_Off[AbilityID],RawOfficer[AbilityID],RawOfficer[AbilityChances])</f>
        <v>1.0, 1.0, 1.0, 1.0, 1.0</v>
      </c>
      <c r="AH423" s="525" t="str">
        <f t="array" ref="AH423">XLOOKUP(LCARS_Off[AbilityID],RawOfficer[AbilityID],RawOfficer[AbilityValues])</f>
        <v>0.1, 0.2, 0.3, 0.4, 0.5</v>
      </c>
      <c r="AI423" s="428" t="b">
        <f t="array" ref="AI423">XLOOKUP(LCARS_Off[AbilityID],RawOfficer[AbilityID],RawOfficer[AbilityHasChance])</f>
        <v>0</v>
      </c>
      <c r="AJ423" s="428" t="b">
        <f t="array" ref="AJ423">XLOOKUP(LCARS_Off[AbilityID],RawOfficer[AbilityID],RawOfficer[AbilityShowPercentage])</f>
        <v>1</v>
      </c>
      <c r="AK423" s="429">
        <f t="array" ref="AK423">XLOOKUP(LCARS_Off[AbilityID],RawOfficer[AbilityID],RawOfficer[OfficerArt])</f>
        <v>256</v>
      </c>
      <c r="AL423" s="430">
        <v>2.910275817E9</v>
      </c>
      <c r="AM423" s="430">
        <f t="array" ref="AM423">XLOOKUP(LCARS_Off[AbilityID],RawOfficer[AbilityID],RawOfficer[Default Order])</f>
        <v>420</v>
      </c>
    </row>
    <row r="424">
      <c r="A424" s="429" t="str">
        <f t="array" ref="A424">LEFT(XLOOKUP(LCARS_Off[AbilityID],RawOfficer[AbilityID],RawOfficer[OfficerRarity]), 1)</f>
        <v>E</v>
      </c>
      <c r="B424" s="429"/>
      <c r="C424" s="514" t="str">
        <f t="array" ref="C424">HYPERLINK("https://stfc.space/officers/" &amp; XLOOKUP(LCARS_Off[AbilityID],RawOfficer[AbilityID],RawOfficer[OfficerId]), XLOOKUP(LCARS_Off[AbilityID],RawOfficer[AbilityID],RawOfficer[OfficerName]))</f>
        <v>ENT-E PICARD</v>
      </c>
      <c r="D424" s="515" t="str">
        <f t="array" ref="D424">XLOOKUP(LCARS_Off[AbilityID],RawOfficer[AbilityID],RawOfficer[AbilityType])</f>
        <v>CM</v>
      </c>
      <c r="E424" s="516" t="str">
        <f t="array" ref="E424">XLOOKUP(LCARS_Off[AbilityID],RawOfficer[AbilityID],RawOfficer[Tag_PvPinSpace])</f>
        <v>➖</v>
      </c>
      <c r="F424" s="516" t="str">
        <f t="array" ref="F424">XLOOKUP(LCARS_Off[AbilityID],RawOfficer[AbilityID],RawOfficer[Tag_PvPStation])</f>
        <v>➖</v>
      </c>
      <c r="G424" s="516" t="str">
        <f t="array" ref="G424">XLOOKUP(LCARS_Off[AbilityID],RawOfficer[AbilityID],RawOfficer[Tag_NonArmadaHostiles])</f>
        <v>✅</v>
      </c>
      <c r="H424" s="516" t="str">
        <f t="array" ref="H424">XLOOKUP(LCARS_Off[AbilityID],RawOfficer[AbilityID],RawOfficer[Tag_WaveDefense])</f>
        <v>➖</v>
      </c>
      <c r="I424" s="516" t="str">
        <f t="array" ref="I424">XLOOKUP(LCARS_Off[AbilityID],RawOfficer[AbilityID],RawOfficer[Tag_QTrial])</f>
        <v>➖</v>
      </c>
      <c r="J424" s="516" t="str">
        <f t="array" ref="J424">XLOOKUP(LCARS_Off[AbilityID],RawOfficer[AbilityID],RawOfficer[Tag_MissionBosses])</f>
        <v>➖</v>
      </c>
      <c r="K424" s="516" t="str">
        <f t="array" ref="K424">XLOOKUP(LCARS_Off[AbilityID],RawOfficer[AbilityID],RawOfficer[Tag_GroupArmadas])</f>
        <v>✅</v>
      </c>
      <c r="L424" s="516" t="str">
        <f t="array" ref="L424">XLOOKUP(LCARS_Off[AbilityID],RawOfficer[AbilityID],RawOfficer[Tag_SoloArmadas])</f>
        <v>✅</v>
      </c>
      <c r="M424" s="516" t="str">
        <f t="array" ref="M424">XLOOKUP(LCARS_Off[AbilityID],RawOfficer[AbilityID],RawOfficer[Tag_InvadingEntities])</f>
        <v>✅</v>
      </c>
      <c r="N424" s="516" t="str">
        <f t="array" ref="N424">XLOOKUP(LCARS_Off[AbilityID],RawOfficer[AbilityID],RawOfficer[Tag_Assaults])</f>
        <v>➖</v>
      </c>
      <c r="O424" s="516" t="str">
        <f t="array" ref="O424">XLOOKUP(LCARS_Off[AbilityID],RawOfficer[AbilityID],RawOfficer[Tag_OutpostArmadas])</f>
        <v>✅</v>
      </c>
      <c r="P424" s="516" t="str">
        <f t="array" ref="P424">XLOOKUP(LCARS_Off[AbilityID],RawOfficer[AbilityID],RawOfficer[Tag_OutpostRetaliators])</f>
        <v>✅</v>
      </c>
      <c r="Q424" s="517" t="str">
        <f t="array" ref="Q424">XLOOKUP(LCARS_Off[AbilityID],RawOfficer[AbilityID],RawOfficer[Conditional_Reason])</f>
        <v/>
      </c>
      <c r="R424" s="518" t="str">
        <f t="array" ref="R424">XLOOKUP(LCARS_Off[AbilityID],RawOfficer[AbilityID],RawOfficer[Tag_Loot])</f>
        <v>✅</v>
      </c>
      <c r="S424" s="516" t="str">
        <f t="array" ref="S424">XLOOKUP(LCARS_Off[AbilityID],RawOfficer[AbilityID],RawOfficer[Tag_Utility])</f>
        <v>➖</v>
      </c>
      <c r="T424" s="429" t="str">
        <f t="array" ref="T424">XLOOKUP(LCARS_Off[AbilityID],RawOfficer[AbilityID],RawOfficer[OfficerSynergy])</f>
        <v>ENTERPRISE-E</v>
      </c>
      <c r="U424" s="519" t="str">
        <f t="array" ref="U424">XLOOKUP(LCARS_Off[AbilityID],RawOfficer[AbilityID],RawOfficer[AbilityModifier])</f>
        <v>CombatPveRewards</v>
      </c>
      <c r="V424" s="519" t="str">
        <f t="array" ref="V424">XLOOKUP(LCARS_Off[AbilityID],RawOfficer[AbilityID],RawOfficer[AbilityAttributes])</f>
        <v/>
      </c>
      <c r="W424" s="520" t="str">
        <f t="array" ref="W424">XLOOKUP(LCARS_Off[AbilityID],RawOfficer[AbilityID],RawOfficer[AbilityConditions])</f>
        <v/>
      </c>
      <c r="X424" s="519" t="str">
        <f t="array" ref="X424">XLOOKUP(LCARS_Off[AbilityID],RawOfficer[AbilityID],RawOfficer[AbilityTrigger])</f>
        <v>ShipLaunched</v>
      </c>
      <c r="Y424" s="519" t="str">
        <f t="array" ref="Y424">XLOOKUP(LCARS_Off[AbilityID],RawOfficer[AbilityID],RawOfficer[AbilityTarget])</f>
        <v>SelfShip</v>
      </c>
      <c r="Z424" s="519" t="str">
        <f t="array" ref="Z424">XLOOKUP(LCARS_Off[AbilityID],RawOfficer[AbilityID],RawOfficer[AbilityOperation])</f>
        <v>MultiplyAdd</v>
      </c>
      <c r="AA424" s="521" t="str">
        <f t="array" ref="AA424">XLOOKUP(LCARS_Off[AbilityID],RawOfficer[AbilityID],RawOfficer[AbilityDescription])</f>
        <v>Increases the rewards gained from Hostiles, Armadas and Outposts by X of base.</v>
      </c>
      <c r="AB424" s="429" t="b">
        <v>1</v>
      </c>
      <c r="AC424" s="522" t="str">
        <f t="array" ref="AC424">XLOOKUP(LCARS_Off[AbilityID],RawOfficer[AbilityID],RawOfficer[AbilityDescriptionShort])</f>
        <v>+X to rewards gained from Hostiles, Armadas and Outposts.</v>
      </c>
      <c r="AD424" s="523"/>
      <c r="AE424" s="521" t="s">
        <v>542</v>
      </c>
      <c r="AF424" s="521" t="s">
        <v>543</v>
      </c>
      <c r="AG424" s="525" t="str">
        <f t="array" ref="AG424">XLOOKUP(LCARS_Off[AbilityID],RawOfficer[AbilityID],RawOfficer[AbilityChances])</f>
        <v>1.0, 1.0, 1.0</v>
      </c>
      <c r="AH424" s="525" t="str">
        <f t="array" ref="AH424">XLOOKUP(LCARS_Off[AbilityID],RawOfficer[AbilityID],RawOfficer[AbilityValues])</f>
        <v>0.6, 0.2, 0.4</v>
      </c>
      <c r="AI424" s="428" t="b">
        <f t="array" ref="AI424">XLOOKUP(LCARS_Off[AbilityID],RawOfficer[AbilityID],RawOfficer[AbilityHasChance])</f>
        <v>0</v>
      </c>
      <c r="AJ424" s="428" t="b">
        <f t="array" ref="AJ424">XLOOKUP(LCARS_Off[AbilityID],RawOfficer[AbilityID],RawOfficer[AbilityShowPercentage])</f>
        <v>1</v>
      </c>
      <c r="AK424" s="429">
        <f t="array" ref="AK424">XLOOKUP(LCARS_Off[AbilityID],RawOfficer[AbilityID],RawOfficer[OfficerArt])</f>
        <v>257</v>
      </c>
      <c r="AL424" s="430">
        <v>3.330196976E9</v>
      </c>
      <c r="AM424" s="430">
        <f t="array" ref="AM424">XLOOKUP(LCARS_Off[AbilityID],RawOfficer[AbilityID],RawOfficer[Default Order])</f>
        <v>421</v>
      </c>
    </row>
    <row r="425">
      <c r="A425" s="429" t="str">
        <f t="array" ref="A425">LEFT(XLOOKUP(LCARS_Off[AbilityID],RawOfficer[AbilityID],RawOfficer[OfficerRarity]), 1)</f>
        <v>E</v>
      </c>
      <c r="B425" s="429"/>
      <c r="C425" s="514" t="str">
        <f t="array" ref="C425">HYPERLINK("https://stfc.space/officers/" &amp; XLOOKUP(LCARS_Off[AbilityID],RawOfficer[AbilityID],RawOfficer[OfficerId]), XLOOKUP(LCARS_Off[AbilityID],RawOfficer[AbilityID],RawOfficer[OfficerName]))</f>
        <v>ENT-E PICARD</v>
      </c>
      <c r="D425" s="515" t="str">
        <f t="array" ref="D425">XLOOKUP(LCARS_Off[AbilityID],RawOfficer[AbilityID],RawOfficer[AbilityType])</f>
        <v>OA</v>
      </c>
      <c r="E425" s="516" t="str">
        <f t="array" ref="E425">XLOOKUP(LCARS_Off[AbilityID],RawOfficer[AbilityID],RawOfficer[Tag_PvPinSpace])</f>
        <v>➖</v>
      </c>
      <c r="F425" s="516" t="str">
        <f t="array" ref="F425">XLOOKUP(LCARS_Off[AbilityID],RawOfficer[AbilityID],RawOfficer[Tag_PvPStation])</f>
        <v>➖</v>
      </c>
      <c r="G425" s="516" t="str">
        <f t="array" ref="G425">XLOOKUP(LCARS_Off[AbilityID],RawOfficer[AbilityID],RawOfficer[Tag_NonArmadaHostiles])</f>
        <v>✅</v>
      </c>
      <c r="H425" s="516" t="str">
        <f t="array" ref="H425">XLOOKUP(LCARS_Off[AbilityID],RawOfficer[AbilityID],RawOfficer[Tag_WaveDefense])</f>
        <v>✅</v>
      </c>
      <c r="I425" s="516" t="str">
        <f t="array" ref="I425">XLOOKUP(LCARS_Off[AbilityID],RawOfficer[AbilityID],RawOfficer[Tag_QTrial])</f>
        <v>✅</v>
      </c>
      <c r="J425" s="516" t="str">
        <f t="array" ref="J425">XLOOKUP(LCARS_Off[AbilityID],RawOfficer[AbilityID],RawOfficer[Tag_MissionBosses])</f>
        <v>➖</v>
      </c>
      <c r="K425" s="516" t="str">
        <f t="array" ref="K425">XLOOKUP(LCARS_Off[AbilityID],RawOfficer[AbilityID],RawOfficer[Tag_GroupArmadas])</f>
        <v>➖</v>
      </c>
      <c r="L425" s="516" t="str">
        <f t="array" ref="L425">XLOOKUP(LCARS_Off[AbilityID],RawOfficer[AbilityID],RawOfficer[Tag_SoloArmadas])</f>
        <v>➖</v>
      </c>
      <c r="M425" s="516" t="str">
        <f t="array" ref="M425">XLOOKUP(LCARS_Off[AbilityID],RawOfficer[AbilityID],RawOfficer[Tag_InvadingEntities])</f>
        <v>➖</v>
      </c>
      <c r="N425" s="516" t="str">
        <f t="array" ref="N425">XLOOKUP(LCARS_Off[AbilityID],RawOfficer[AbilityID],RawOfficer[Tag_Assaults])</f>
        <v>➖</v>
      </c>
      <c r="O425" s="516" t="str">
        <f t="array" ref="O425">XLOOKUP(LCARS_Off[AbilityID],RawOfficer[AbilityID],RawOfficer[Tag_OutpostArmadas])</f>
        <v>➖</v>
      </c>
      <c r="P425" s="516" t="str">
        <f t="array" ref="P425">XLOOKUP(LCARS_Off[AbilityID],RawOfficer[AbilityID],RawOfficer[Tag_OutpostRetaliators])</f>
        <v>➖</v>
      </c>
      <c r="Q425" s="517" t="str">
        <f t="array" ref="Q425">XLOOKUP(LCARS_Off[AbilityID],RawOfficer[AbilityID],RawOfficer[Conditional_Reason])</f>
        <v/>
      </c>
      <c r="R425" s="518" t="str">
        <f t="array" ref="R425">XLOOKUP(LCARS_Off[AbilityID],RawOfficer[AbilityID],RawOfficer[Tag_Loot])</f>
        <v>➖</v>
      </c>
      <c r="S425" s="516" t="str">
        <f t="array" ref="S425">XLOOKUP(LCARS_Off[AbilityID],RawOfficer[AbilityID],RawOfficer[Tag_Utility])</f>
        <v>➖</v>
      </c>
      <c r="T425" s="429" t="str">
        <f t="array" ref="T425">XLOOKUP(LCARS_Off[AbilityID],RawOfficer[AbilityID],RawOfficer[OfficerSynergy])</f>
        <v>ENTERPRISE-E</v>
      </c>
      <c r="U425" s="519" t="str">
        <f t="array" ref="U425">XLOOKUP(LCARS_Off[AbilityID],RawOfficer[AbilityID],RawOfficer[AbilityModifier])</f>
        <v>IsolyticDamage</v>
      </c>
      <c r="V425" s="519" t="str">
        <f t="array" ref="V425">XLOOKUP(LCARS_Off[AbilityID],RawOfficer[AbilityID],RawOfficer[AbilityAttributes])</f>
        <v>num_rounds=3</v>
      </c>
      <c r="W425" s="520" t="str">
        <f t="array" ref="W425">XLOOKUP(LCARS_Off[AbilityID],RawOfficer[AbilityID],RawOfficer[AbilityConditions])</f>
        <v>EnemyHostile, TargetNotArmada</v>
      </c>
      <c r="X425" s="519" t="str">
        <f t="array" ref="X425">XLOOKUP(LCARS_Off[AbilityID],RawOfficer[AbilityID],RawOfficer[AbilityTrigger])</f>
        <v>EnemyTakesHit</v>
      </c>
      <c r="Y425" s="519" t="str">
        <f t="array" ref="Y425">XLOOKUP(LCARS_Off[AbilityID],RawOfficer[AbilityID],RawOfficer[AbilityTarget])</f>
        <v>SelfShip</v>
      </c>
      <c r="Z425" s="519" t="str">
        <f t="array" ref="Z425">XLOOKUP(LCARS_Off[AbilityID],RawOfficer[AbilityID],RawOfficer[AbilityOperation])</f>
        <v>MultiplyAdd</v>
      </c>
      <c r="AA425" s="521" t="str">
        <f t="array" ref="AA425">XLOOKUP(LCARS_Off[AbilityID],RawOfficer[AbilityID],RawOfficer[AbilityDescription])</f>
        <v>Increases Isolytic Cascade Damage by X for 3 rounds each time you hit a non-Armada Hostile (once per weapon). -- Isolytic Cascade multiplies your total damage, including Isolytic Damage, and all research and other bonuses.</v>
      </c>
      <c r="AB425" s="429" t="b">
        <v>0</v>
      </c>
      <c r="AC425" s="522" t="str">
        <f t="array" ref="AC425">XLOOKUP(LCARS_Off[AbilityID],RawOfficer[AbilityID],RawOfficer[AbilityDescriptionShort])</f>
        <v>+X to Isolytic Cascade Damage for 3 rounds after hitting a non-Armada Hostile.</v>
      </c>
      <c r="AD425" s="523"/>
      <c r="AE425" s="524"/>
      <c r="AF425" s="524"/>
      <c r="AG425" s="525" t="str">
        <f t="array" ref="AG425">XLOOKUP(LCARS_Off[AbilityID],RawOfficer[AbilityID],RawOfficer[AbilityChances])</f>
        <v>1.0, 1.0, 1.0, 1.0, 1.0</v>
      </c>
      <c r="AH425" s="525" t="str">
        <f t="array" ref="AH425">XLOOKUP(LCARS_Off[AbilityID],RawOfficer[AbilityID],RawOfficer[AbilityValues])</f>
        <v>0.03, 0.05, 0.07, 0.1, 0.15</v>
      </c>
      <c r="AI425" s="428" t="b">
        <f t="array" ref="AI425">XLOOKUP(LCARS_Off[AbilityID],RawOfficer[AbilityID],RawOfficer[AbilityHasChance])</f>
        <v>0</v>
      </c>
      <c r="AJ425" s="428" t="b">
        <f t="array" ref="AJ425">XLOOKUP(LCARS_Off[AbilityID],RawOfficer[AbilityID],RawOfficer[AbilityShowPercentage])</f>
        <v>1</v>
      </c>
      <c r="AK425" s="429">
        <f t="array" ref="AK425">XLOOKUP(LCARS_Off[AbilityID],RawOfficer[AbilityID],RawOfficer[OfficerArt])</f>
        <v>257</v>
      </c>
      <c r="AL425" s="430">
        <v>2.171230488E9</v>
      </c>
      <c r="AM425" s="430">
        <f t="array" ref="AM425">XLOOKUP(LCARS_Off[AbilityID],RawOfficer[AbilityID],RawOfficer[Default Order])</f>
        <v>422</v>
      </c>
    </row>
    <row r="426">
      <c r="A426" s="429" t="str">
        <f t="array" ref="A426">LEFT(XLOOKUP(LCARS_Off[AbilityID],RawOfficer[AbilityID],RawOfficer[OfficerRarity]), 1)</f>
        <v>R</v>
      </c>
      <c r="B426" s="429"/>
      <c r="C426" s="514" t="str">
        <f t="array" ref="C426">HYPERLINK("https://stfc.space/officers/" &amp; XLOOKUP(LCARS_Off[AbilityID],RawOfficer[AbilityID],RawOfficer[OfficerId]), XLOOKUP(LCARS_Off[AbilityID],RawOfficer[AbilityID],RawOfficer[OfficerName]))</f>
        <v>ENT-E DATA</v>
      </c>
      <c r="D426" s="515" t="str">
        <f t="array" ref="D426">XLOOKUP(LCARS_Off[AbilityID],RawOfficer[AbilityID],RawOfficer[AbilityType])</f>
        <v>BDA</v>
      </c>
      <c r="E426" s="516" t="str">
        <f t="array" ref="E426">XLOOKUP(LCARS_Off[AbilityID],RawOfficer[AbilityID],RawOfficer[Tag_PvPinSpace])</f>
        <v>➖</v>
      </c>
      <c r="F426" s="516" t="str">
        <f t="array" ref="F426">XLOOKUP(LCARS_Off[AbilityID],RawOfficer[AbilityID],RawOfficer[Tag_PvPStation])</f>
        <v>➖</v>
      </c>
      <c r="G426" s="516" t="str">
        <f t="array" ref="G426">XLOOKUP(LCARS_Off[AbilityID],RawOfficer[AbilityID],RawOfficer[Tag_NonArmadaHostiles])</f>
        <v>➖</v>
      </c>
      <c r="H426" s="516" t="str">
        <f t="array" ref="H426">XLOOKUP(LCARS_Off[AbilityID],RawOfficer[AbilityID],RawOfficer[Tag_WaveDefense])</f>
        <v>➖</v>
      </c>
      <c r="I426" s="516" t="str">
        <f t="array" ref="I426">XLOOKUP(LCARS_Off[AbilityID],RawOfficer[AbilityID],RawOfficer[Tag_QTrial])</f>
        <v>➖</v>
      </c>
      <c r="J426" s="516" t="str">
        <f t="array" ref="J426">XLOOKUP(LCARS_Off[AbilityID],RawOfficer[AbilityID],RawOfficer[Tag_MissionBosses])</f>
        <v>➖</v>
      </c>
      <c r="K426" s="516" t="str">
        <f t="array" ref="K426">XLOOKUP(LCARS_Off[AbilityID],RawOfficer[AbilityID],RawOfficer[Tag_GroupArmadas])</f>
        <v>➖</v>
      </c>
      <c r="L426" s="516" t="str">
        <f t="array" ref="L426">XLOOKUP(LCARS_Off[AbilityID],RawOfficer[AbilityID],RawOfficer[Tag_SoloArmadas])</f>
        <v>➖</v>
      </c>
      <c r="M426" s="516" t="str">
        <f t="array" ref="M426">XLOOKUP(LCARS_Off[AbilityID],RawOfficer[AbilityID],RawOfficer[Tag_InvadingEntities])</f>
        <v>➖</v>
      </c>
      <c r="N426" s="516" t="str">
        <f t="array" ref="N426">XLOOKUP(LCARS_Off[AbilityID],RawOfficer[AbilityID],RawOfficer[Tag_Assaults])</f>
        <v>➖</v>
      </c>
      <c r="O426" s="516" t="str">
        <f t="array" ref="O426">XLOOKUP(LCARS_Off[AbilityID],RawOfficer[AbilityID],RawOfficer[Tag_OutpostArmadas])</f>
        <v>➖</v>
      </c>
      <c r="P426" s="516" t="str">
        <f t="array" ref="P426">XLOOKUP(LCARS_Off[AbilityID],RawOfficer[AbilityID],RawOfficer[Tag_OutpostRetaliators])</f>
        <v>➖</v>
      </c>
      <c r="Q426" s="517" t="str">
        <f t="array" ref="Q426">XLOOKUP(LCARS_Off[AbilityID],RawOfficer[AbilityID],RawOfficer[Conditional_Reason])</f>
        <v/>
      </c>
      <c r="R426" s="518" t="str">
        <f t="array" ref="R426">XLOOKUP(LCARS_Off[AbilityID],RawOfficer[AbilityID],RawOfficer[Tag_Loot])</f>
        <v>➖</v>
      </c>
      <c r="S426" s="516" t="str">
        <f t="array" ref="S426">XLOOKUP(LCARS_Off[AbilityID],RawOfficer[AbilityID],RawOfficer[Tag_Utility])</f>
        <v>✅</v>
      </c>
      <c r="T426" s="429" t="str">
        <f t="array" ref="T426">XLOOKUP(LCARS_Off[AbilityID],RawOfficer[AbilityID],RawOfficer[OfficerSynergy])</f>
        <v>ENTERPRISE-E</v>
      </c>
      <c r="U426" s="519" t="str">
        <f t="array" ref="U426">XLOOKUP(LCARS_Off[AbilityID],RawOfficer[AbilityID],RawOfficer[AbilityModifier])</f>
        <v>CargoCapacity</v>
      </c>
      <c r="V426" s="519" t="str">
        <f t="array" ref="V426">XLOOKUP(LCARS_Off[AbilityID],RawOfficer[AbilityID],RawOfficer[AbilityAttributes])</f>
        <v/>
      </c>
      <c r="W426" s="520" t="str">
        <f t="array" ref="W426">XLOOKUP(LCARS_Off[AbilityID],RawOfficer[AbilityID],RawOfficer[AbilityConditions])</f>
        <v/>
      </c>
      <c r="X426" s="519" t="str">
        <f t="array" ref="X426">XLOOKUP(LCARS_Off[AbilityID],RawOfficer[AbilityID],RawOfficer[AbilityTrigger])</f>
        <v>ShipLaunched</v>
      </c>
      <c r="Y426" s="519" t="str">
        <f t="array" ref="Y426">XLOOKUP(LCARS_Off[AbilityID],RawOfficer[AbilityID],RawOfficer[AbilityTarget])</f>
        <v>SelfShip</v>
      </c>
      <c r="Z426" s="519" t="str">
        <f t="array" ref="Z426">XLOOKUP(LCARS_Off[AbilityID],RawOfficer[AbilityID],RawOfficer[AbilityOperation])</f>
        <v>MultiplyAdd</v>
      </c>
      <c r="AA426" s="521" t="str">
        <f t="array" ref="AA426">XLOOKUP(LCARS_Off[AbilityID],RawOfficer[AbilityID],RawOfficer[AbilityDescription])</f>
        <v>Increases your ship’s Max Cargo by X of base.</v>
      </c>
      <c r="AB426" s="429" t="b">
        <v>0</v>
      </c>
      <c r="AC426" s="522" t="str">
        <f t="array" ref="AC426">XLOOKUP(LCARS_Off[AbilityID],RawOfficer[AbilityID],RawOfficer[AbilityDescriptionShort])</f>
        <v>+X to Max Cargo.</v>
      </c>
      <c r="AD426" s="523"/>
      <c r="AE426" s="524"/>
      <c r="AF426" s="524"/>
      <c r="AG426" s="525" t="str">
        <f t="array" ref="AG426">XLOOKUP(LCARS_Off[AbilityID],RawOfficer[AbilityID],RawOfficer[AbilityChances])</f>
        <v>1.0, 1.0, 1.0, 1.0, 1.0</v>
      </c>
      <c r="AH426" s="525" t="str">
        <f t="array" ref="AH426">XLOOKUP(LCARS_Off[AbilityID],RawOfficer[AbilityID],RawOfficer[AbilityValues])</f>
        <v>0.2, 0.3, 0.4, 0.55, 0.7</v>
      </c>
      <c r="AI426" s="428" t="b">
        <f t="array" ref="AI426">XLOOKUP(LCARS_Off[AbilityID],RawOfficer[AbilityID],RawOfficer[AbilityHasChance])</f>
        <v>0</v>
      </c>
      <c r="AJ426" s="428" t="b">
        <f t="array" ref="AJ426">XLOOKUP(LCARS_Off[AbilityID],RawOfficer[AbilityID],RawOfficer[AbilityShowPercentage])</f>
        <v>1</v>
      </c>
      <c r="AK426" s="429">
        <f t="array" ref="AK426">XLOOKUP(LCARS_Off[AbilityID],RawOfficer[AbilityID],RawOfficer[OfficerArt])</f>
        <v>258</v>
      </c>
      <c r="AL426" s="430">
        <v>1.868996366E9</v>
      </c>
      <c r="AM426" s="430">
        <f t="array" ref="AM426">XLOOKUP(LCARS_Off[AbilityID],RawOfficer[AbilityID],RawOfficer[Default Order])</f>
        <v>423</v>
      </c>
    </row>
    <row r="427">
      <c r="A427" s="429" t="str">
        <f t="array" ref="A427">LEFT(XLOOKUP(LCARS_Off[AbilityID],RawOfficer[AbilityID],RawOfficer[OfficerRarity]), 1)</f>
        <v>R</v>
      </c>
      <c r="B427" s="429"/>
      <c r="C427" s="514" t="str">
        <f t="array" ref="C427">HYPERLINK("https://stfc.space/officers/" &amp; XLOOKUP(LCARS_Off[AbilityID],RawOfficer[AbilityID],RawOfficer[OfficerId]), XLOOKUP(LCARS_Off[AbilityID],RawOfficer[AbilityID],RawOfficer[OfficerName]))</f>
        <v>ENT-E DATA</v>
      </c>
      <c r="D427" s="515" t="str">
        <f t="array" ref="D427">XLOOKUP(LCARS_Off[AbilityID],RawOfficer[AbilityID],RawOfficer[AbilityType])</f>
        <v>OA</v>
      </c>
      <c r="E427" s="516" t="str">
        <f t="array" ref="E427">XLOOKUP(LCARS_Off[AbilityID],RawOfficer[AbilityID],RawOfficer[Tag_PvPinSpace])</f>
        <v>➖</v>
      </c>
      <c r="F427" s="516" t="str">
        <f t="array" ref="F427">XLOOKUP(LCARS_Off[AbilityID],RawOfficer[AbilityID],RawOfficer[Tag_PvPStation])</f>
        <v>➖</v>
      </c>
      <c r="G427" s="516" t="str">
        <f t="array" ref="G427">XLOOKUP(LCARS_Off[AbilityID],RawOfficer[AbilityID],RawOfficer[Tag_NonArmadaHostiles])</f>
        <v>✅</v>
      </c>
      <c r="H427" s="516" t="str">
        <f t="array" ref="H427">XLOOKUP(LCARS_Off[AbilityID],RawOfficer[AbilityID],RawOfficer[Tag_WaveDefense])</f>
        <v>✅</v>
      </c>
      <c r="I427" s="516" t="str">
        <f t="array" ref="I427">XLOOKUP(LCARS_Off[AbilityID],RawOfficer[AbilityID],RawOfficer[Tag_QTrial])</f>
        <v>✅</v>
      </c>
      <c r="J427" s="516" t="str">
        <f t="array" ref="J427">XLOOKUP(LCARS_Off[AbilityID],RawOfficer[AbilityID],RawOfficer[Tag_MissionBosses])</f>
        <v>➖</v>
      </c>
      <c r="K427" s="516" t="str">
        <f t="array" ref="K427">XLOOKUP(LCARS_Off[AbilityID],RawOfficer[AbilityID],RawOfficer[Tag_GroupArmadas])</f>
        <v>➖</v>
      </c>
      <c r="L427" s="516" t="str">
        <f t="array" ref="L427">XLOOKUP(LCARS_Off[AbilityID],RawOfficer[AbilityID],RawOfficer[Tag_SoloArmadas])</f>
        <v>➖</v>
      </c>
      <c r="M427" s="516" t="str">
        <f t="array" ref="M427">XLOOKUP(LCARS_Off[AbilityID],RawOfficer[AbilityID],RawOfficer[Tag_InvadingEntities])</f>
        <v>➖</v>
      </c>
      <c r="N427" s="516" t="str">
        <f t="array" ref="N427">XLOOKUP(LCARS_Off[AbilityID],RawOfficer[AbilityID],RawOfficer[Tag_Assaults])</f>
        <v>➖</v>
      </c>
      <c r="O427" s="516" t="str">
        <f t="array" ref="O427">XLOOKUP(LCARS_Off[AbilityID],RawOfficer[AbilityID],RawOfficer[Tag_OutpostArmadas])</f>
        <v>➖</v>
      </c>
      <c r="P427" s="516" t="str">
        <f t="array" ref="P427">XLOOKUP(LCARS_Off[AbilityID],RawOfficer[AbilityID],RawOfficer[Tag_OutpostRetaliators])</f>
        <v>➖</v>
      </c>
      <c r="Q427" s="517" t="str">
        <f t="array" ref="Q427">XLOOKUP(LCARS_Off[AbilityID],RawOfficer[AbilityID],RawOfficer[Conditional_Reason])</f>
        <v/>
      </c>
      <c r="R427" s="518" t="str">
        <f t="array" ref="R427">XLOOKUP(LCARS_Off[AbilityID],RawOfficer[AbilityID],RawOfficer[Tag_Loot])</f>
        <v>➖</v>
      </c>
      <c r="S427" s="516" t="str">
        <f t="array" ref="S427">XLOOKUP(LCARS_Off[AbilityID],RawOfficer[AbilityID],RawOfficer[Tag_Utility])</f>
        <v>➖</v>
      </c>
      <c r="T427" s="429" t="str">
        <f t="array" ref="T427">XLOOKUP(LCARS_Off[AbilityID],RawOfficer[AbilityID],RawOfficer[OfficerSynergy])</f>
        <v>ENTERPRISE-E</v>
      </c>
      <c r="U427" s="519" t="str">
        <f t="array" ref="U427">XLOOKUP(LCARS_Off[AbilityID],RawOfficer[AbilityID],RawOfficer[AbilityModifier])</f>
        <v>IsolyticDamage</v>
      </c>
      <c r="V427" s="519" t="str">
        <f t="array" ref="V427">XLOOKUP(LCARS_Off[AbilityID],RawOfficer[AbilityID],RawOfficer[AbilityAttributes])</f>
        <v/>
      </c>
      <c r="W427" s="520" t="str">
        <f t="array" ref="W427">XLOOKUP(LCARS_Off[AbilityID],RawOfficer[AbilityID],RawOfficer[AbilityConditions])</f>
        <v>EnemyHostile, TargetNotArmada</v>
      </c>
      <c r="X427" s="519" t="str">
        <f t="array" ref="X427">XLOOKUP(LCARS_Off[AbilityID],RawOfficer[AbilityID],RawOfficer[AbilityTrigger])</f>
        <v>CombatStart</v>
      </c>
      <c r="Y427" s="519" t="str">
        <f t="array" ref="Y427">XLOOKUP(LCARS_Off[AbilityID],RawOfficer[AbilityID],RawOfficer[AbilityTarget])</f>
        <v>SelfShip</v>
      </c>
      <c r="Z427" s="519" t="str">
        <f t="array" ref="Z427">XLOOKUP(LCARS_Off[AbilityID],RawOfficer[AbilityID],RawOfficer[AbilityOperation])</f>
        <v>MultiplyAdd</v>
      </c>
      <c r="AA427" s="521" t="str">
        <f t="array" ref="AA427">XLOOKUP(LCARS_Off[AbilityID],RawOfficer[AbilityID],RawOfficer[AbilityDescription])</f>
        <v>Increases Isolytic Cascade Damage by X versus non-Armada Hostiles -- Isolytic Cascade multiplies your total damage, including Isolytic Damage, and all research and other bonuses.</v>
      </c>
      <c r="AB427" s="429" t="b">
        <v>0</v>
      </c>
      <c r="AC427" s="522" t="str">
        <f t="array" ref="AC427">XLOOKUP(LCARS_Off[AbilityID],RawOfficer[AbilityID],RawOfficer[AbilityDescriptionShort])</f>
        <v>+X to Isolytic Cascade Damage vs non-Armada Hostiles</v>
      </c>
      <c r="AD427" s="523"/>
      <c r="AE427" s="524"/>
      <c r="AF427" s="524"/>
      <c r="AG427" s="525" t="str">
        <f t="array" ref="AG427">XLOOKUP(LCARS_Off[AbilityID],RawOfficer[AbilityID],RawOfficer[AbilityChances])</f>
        <v>1.0, 1.0, 1.0, 1.0, 1.0</v>
      </c>
      <c r="AH427" s="525" t="str">
        <f t="array" ref="AH427">XLOOKUP(LCARS_Off[AbilityID],RawOfficer[AbilityID],RawOfficer[AbilityValues])</f>
        <v>0.1, 0.15, 0.2, 0.3, 0.4</v>
      </c>
      <c r="AI427" s="428" t="b">
        <f t="array" ref="AI427">XLOOKUP(LCARS_Off[AbilityID],RawOfficer[AbilityID],RawOfficer[AbilityHasChance])</f>
        <v>0</v>
      </c>
      <c r="AJ427" s="428" t="b">
        <f t="array" ref="AJ427">XLOOKUP(LCARS_Off[AbilityID],RawOfficer[AbilityID],RawOfficer[AbilityShowPercentage])</f>
        <v>1</v>
      </c>
      <c r="AK427" s="429">
        <f t="array" ref="AK427">XLOOKUP(LCARS_Off[AbilityID],RawOfficer[AbilityID],RawOfficer[OfficerArt])</f>
        <v>258</v>
      </c>
      <c r="AL427" s="430">
        <v>1.705525993E9</v>
      </c>
      <c r="AM427" s="430">
        <f t="array" ref="AM427">XLOOKUP(LCARS_Off[AbilityID],RawOfficer[AbilityID],RawOfficer[Default Order])</f>
        <v>424</v>
      </c>
    </row>
    <row r="428">
      <c r="A428" s="429" t="str">
        <f t="array" ref="A428">LEFT(XLOOKUP(LCARS_Off[AbilityID],RawOfficer[AbilityID],RawOfficer[OfficerRarity]), 1)</f>
        <v>E</v>
      </c>
      <c r="B428" s="429"/>
      <c r="C428" s="514" t="str">
        <f t="array" ref="C428">HYPERLINK("https://stfc.space/officers/" &amp; XLOOKUP(LCARS_Off[AbilityID],RawOfficer[AbilityID],RawOfficer[OfficerId]), XLOOKUP(LCARS_Off[AbilityID],RawOfficer[AbilityID],RawOfficer[OfficerName]))</f>
        <v>ENT-E RIKER</v>
      </c>
      <c r="D428" s="515" t="str">
        <f t="array" ref="D428">XLOOKUP(LCARS_Off[AbilityID],RawOfficer[AbilityID],RawOfficer[AbilityType])</f>
        <v>CM</v>
      </c>
      <c r="E428" s="516" t="str">
        <f t="array" ref="E428">XLOOKUP(LCARS_Off[AbilityID],RawOfficer[AbilityID],RawOfficer[Tag_PvPinSpace])</f>
        <v>➖</v>
      </c>
      <c r="F428" s="516" t="str">
        <f t="array" ref="F428">XLOOKUP(LCARS_Off[AbilityID],RawOfficer[AbilityID],RawOfficer[Tag_PvPStation])</f>
        <v>➖</v>
      </c>
      <c r="G428" s="516" t="str">
        <f t="array" ref="G428">XLOOKUP(LCARS_Off[AbilityID],RawOfficer[AbilityID],RawOfficer[Tag_NonArmadaHostiles])</f>
        <v>➖</v>
      </c>
      <c r="H428" s="516" t="str">
        <f t="array" ref="H428">XLOOKUP(LCARS_Off[AbilityID],RawOfficer[AbilityID],RawOfficer[Tag_WaveDefense])</f>
        <v>➖</v>
      </c>
      <c r="I428" s="516" t="str">
        <f t="array" ref="I428">XLOOKUP(LCARS_Off[AbilityID],RawOfficer[AbilityID],RawOfficer[Tag_QTrial])</f>
        <v>➖</v>
      </c>
      <c r="J428" s="516" t="str">
        <f t="array" ref="J428">XLOOKUP(LCARS_Off[AbilityID],RawOfficer[AbilityID],RawOfficer[Tag_MissionBosses])</f>
        <v>➖</v>
      </c>
      <c r="K428" s="516" t="str">
        <f t="array" ref="K428">XLOOKUP(LCARS_Off[AbilityID],RawOfficer[AbilityID],RawOfficer[Tag_GroupArmadas])</f>
        <v>➖</v>
      </c>
      <c r="L428" s="516" t="str">
        <f t="array" ref="L428">XLOOKUP(LCARS_Off[AbilityID],RawOfficer[AbilityID],RawOfficer[Tag_SoloArmadas])</f>
        <v>➖</v>
      </c>
      <c r="M428" s="516" t="str">
        <f t="array" ref="M428">XLOOKUP(LCARS_Off[AbilityID],RawOfficer[AbilityID],RawOfficer[Tag_InvadingEntities])</f>
        <v>➖</v>
      </c>
      <c r="N428" s="516" t="str">
        <f t="array" ref="N428">XLOOKUP(LCARS_Off[AbilityID],RawOfficer[AbilityID],RawOfficer[Tag_Assaults])</f>
        <v>➖</v>
      </c>
      <c r="O428" s="516" t="str">
        <f t="array" ref="O428">XLOOKUP(LCARS_Off[AbilityID],RawOfficer[AbilityID],RawOfficer[Tag_OutpostArmadas])</f>
        <v>➖</v>
      </c>
      <c r="P428" s="516" t="str">
        <f t="array" ref="P428">XLOOKUP(LCARS_Off[AbilityID],RawOfficer[AbilityID],RawOfficer[Tag_OutpostRetaliators])</f>
        <v>➖</v>
      </c>
      <c r="Q428" s="517" t="str">
        <f t="array" ref="Q428">XLOOKUP(LCARS_Off[AbilityID],RawOfficer[AbilityID],RawOfficer[Conditional_Reason])</f>
        <v/>
      </c>
      <c r="R428" s="518" t="str">
        <f t="array" ref="R428">XLOOKUP(LCARS_Off[AbilityID],RawOfficer[AbilityID],RawOfficer[Tag_Loot])</f>
        <v>➖</v>
      </c>
      <c r="S428" s="516" t="str">
        <f t="array" ref="S428">XLOOKUP(LCARS_Off[AbilityID],RawOfficer[AbilityID],RawOfficer[Tag_Utility])</f>
        <v>✅</v>
      </c>
      <c r="T428" s="429" t="str">
        <f t="array" ref="T428">XLOOKUP(LCARS_Off[AbilityID],RawOfficer[AbilityID],RawOfficer[OfficerSynergy])</f>
        <v>ENTERPRISE-E</v>
      </c>
      <c r="U428" s="519" t="str">
        <f t="array" ref="U428">XLOOKUP(LCARS_Off[AbilityID],RawOfficer[AbilityID],RawOfficer[AbilityModifier])</f>
        <v>ImpulseSpeed</v>
      </c>
      <c r="V428" s="519" t="str">
        <f t="array" ref="V428">XLOOKUP(LCARS_Off[AbilityID],RawOfficer[AbilityID],RawOfficer[AbilityAttributes])</f>
        <v/>
      </c>
      <c r="W428" s="520" t="str">
        <f t="array" ref="W428">XLOOKUP(LCARS_Off[AbilityID],RawOfficer[AbilityID],RawOfficer[AbilityConditions])</f>
        <v/>
      </c>
      <c r="X428" s="519" t="str">
        <f t="array" ref="X428">XLOOKUP(LCARS_Off[AbilityID],RawOfficer[AbilityID],RawOfficer[AbilityTrigger])</f>
        <v>ShipLaunched</v>
      </c>
      <c r="Y428" s="519" t="str">
        <f t="array" ref="Y428">XLOOKUP(LCARS_Off[AbilityID],RawOfficer[AbilityID],RawOfficer[AbilityTarget])</f>
        <v>SelfShip</v>
      </c>
      <c r="Z428" s="519" t="str">
        <f t="array" ref="Z428">XLOOKUP(LCARS_Off[AbilityID],RawOfficer[AbilityID],RawOfficer[AbilityOperation])</f>
        <v>MultiplyAdd</v>
      </c>
      <c r="AA428" s="521" t="str">
        <f t="array" ref="AA428">XLOOKUP(LCARS_Off[AbilityID],RawOfficer[AbilityID],RawOfficer[AbilityDescription])</f>
        <v>Increases your ship’s base Impulse Speed by X.</v>
      </c>
      <c r="AB428" s="429" t="b">
        <v>0</v>
      </c>
      <c r="AC428" s="522" t="str">
        <f t="array" ref="AC428">XLOOKUP(LCARS_Off[AbilityID],RawOfficer[AbilityID],RawOfficer[AbilityDescriptionShort])</f>
        <v>+X to Impulse Speed.</v>
      </c>
      <c r="AD428" s="523"/>
      <c r="AE428" s="524"/>
      <c r="AF428" s="524"/>
      <c r="AG428" s="525" t="str">
        <f t="array" ref="AG428">XLOOKUP(LCARS_Off[AbilityID],RawOfficer[AbilityID],RawOfficer[AbilityChances])</f>
        <v>1.0, 1.0, 1.0</v>
      </c>
      <c r="AH428" s="525" t="str">
        <f t="array" ref="AH428">XLOOKUP(LCARS_Off[AbilityID],RawOfficer[AbilityID],RawOfficer[AbilityValues])</f>
        <v>0.5, 0.05, 0.1</v>
      </c>
      <c r="AI428" s="428" t="b">
        <f t="array" ref="AI428">XLOOKUP(LCARS_Off[AbilityID],RawOfficer[AbilityID],RawOfficer[AbilityHasChance])</f>
        <v>0</v>
      </c>
      <c r="AJ428" s="428" t="b">
        <f t="array" ref="AJ428">XLOOKUP(LCARS_Off[AbilityID],RawOfficer[AbilityID],RawOfficer[AbilityShowPercentage])</f>
        <v>1</v>
      </c>
      <c r="AK428" s="429">
        <f t="array" ref="AK428">XLOOKUP(LCARS_Off[AbilityID],RawOfficer[AbilityID],RawOfficer[OfficerArt])</f>
        <v>259</v>
      </c>
      <c r="AL428" s="430">
        <v>1.295176865E9</v>
      </c>
      <c r="AM428" s="430">
        <f t="array" ref="AM428">XLOOKUP(LCARS_Off[AbilityID],RawOfficer[AbilityID],RawOfficer[Default Order])</f>
        <v>425</v>
      </c>
    </row>
    <row r="429">
      <c r="A429" s="429" t="str">
        <f t="array" ref="A429">LEFT(XLOOKUP(LCARS_Off[AbilityID],RawOfficer[AbilityID],RawOfficer[OfficerRarity]), 1)</f>
        <v>E</v>
      </c>
      <c r="B429" s="429"/>
      <c r="C429" s="514" t="str">
        <f t="array" ref="C429">HYPERLINK("https://stfc.space/officers/" &amp; XLOOKUP(LCARS_Off[AbilityID],RawOfficer[AbilityID],RawOfficer[OfficerId]), XLOOKUP(LCARS_Off[AbilityID],RawOfficer[AbilityID],RawOfficer[OfficerName]))</f>
        <v>ENT-E RIKER</v>
      </c>
      <c r="D429" s="515" t="str">
        <f t="array" ref="D429">XLOOKUP(LCARS_Off[AbilityID],RawOfficer[AbilityID],RawOfficer[AbilityType])</f>
        <v>OA</v>
      </c>
      <c r="E429" s="516" t="str">
        <f t="array" ref="E429">XLOOKUP(LCARS_Off[AbilityID],RawOfficer[AbilityID],RawOfficer[Tag_PvPinSpace])</f>
        <v>✅</v>
      </c>
      <c r="F429" s="516" t="str">
        <f t="array" ref="F429">XLOOKUP(LCARS_Off[AbilityID],RawOfficer[AbilityID],RawOfficer[Tag_PvPStation])</f>
        <v>✅</v>
      </c>
      <c r="G429" s="516" t="str">
        <f t="array" ref="G429">XLOOKUP(LCARS_Off[AbilityID],RawOfficer[AbilityID],RawOfficer[Tag_NonArmadaHostiles])</f>
        <v>✅</v>
      </c>
      <c r="H429" s="516" t="str">
        <f t="array" ref="H429">XLOOKUP(LCARS_Off[AbilityID],RawOfficer[AbilityID],RawOfficer[Tag_WaveDefense])</f>
        <v>✅</v>
      </c>
      <c r="I429" s="516" t="str">
        <f t="array" ref="I429">XLOOKUP(LCARS_Off[AbilityID],RawOfficer[AbilityID],RawOfficer[Tag_QTrial])</f>
        <v>✅</v>
      </c>
      <c r="J429" s="516" t="str">
        <f t="array" ref="J429">XLOOKUP(LCARS_Off[AbilityID],RawOfficer[AbilityID],RawOfficer[Tag_MissionBosses])</f>
        <v>✅</v>
      </c>
      <c r="K429" s="516" t="str">
        <f t="array" ref="K429">XLOOKUP(LCARS_Off[AbilityID],RawOfficer[AbilityID],RawOfficer[Tag_GroupArmadas])</f>
        <v>✅</v>
      </c>
      <c r="L429" s="516" t="str">
        <f t="array" ref="L429">XLOOKUP(LCARS_Off[AbilityID],RawOfficer[AbilityID],RawOfficer[Tag_SoloArmadas])</f>
        <v>✅</v>
      </c>
      <c r="M429" s="516" t="str">
        <f t="array" ref="M429">XLOOKUP(LCARS_Off[AbilityID],RawOfficer[AbilityID],RawOfficer[Tag_InvadingEntities])</f>
        <v>✅</v>
      </c>
      <c r="N429" s="516" t="str">
        <f t="array" ref="N429">XLOOKUP(LCARS_Off[AbilityID],RawOfficer[AbilityID],RawOfficer[Tag_Assaults])</f>
        <v>✅</v>
      </c>
      <c r="O429" s="516" t="str">
        <f t="array" ref="O429">XLOOKUP(LCARS_Off[AbilityID],RawOfficer[AbilityID],RawOfficer[Tag_OutpostArmadas])</f>
        <v>✅</v>
      </c>
      <c r="P429" s="516" t="str">
        <f t="array" ref="P429">XLOOKUP(LCARS_Off[AbilityID],RawOfficer[AbilityID],RawOfficer[Tag_OutpostRetaliators])</f>
        <v>✅</v>
      </c>
      <c r="Q429" s="517" t="str">
        <f t="array" ref="Q429">XLOOKUP(LCARS_Off[AbilityID],RawOfficer[AbilityID],RawOfficer[Conditional_Reason])</f>
        <v/>
      </c>
      <c r="R429" s="518" t="str">
        <f t="array" ref="R429">XLOOKUP(LCARS_Off[AbilityID],RawOfficer[AbilityID],RawOfficer[Tag_Loot])</f>
        <v>➖</v>
      </c>
      <c r="S429" s="516" t="str">
        <f t="array" ref="S429">XLOOKUP(LCARS_Off[AbilityID],RawOfficer[AbilityID],RawOfficer[Tag_Utility])</f>
        <v>➖</v>
      </c>
      <c r="T429" s="429" t="str">
        <f t="array" ref="T429">XLOOKUP(LCARS_Off[AbilityID],RawOfficer[AbilityID],RawOfficer[OfficerSynergy])</f>
        <v>ENTERPRISE-E</v>
      </c>
      <c r="U429" s="519" t="str">
        <f t="array" ref="U429">XLOOKUP(LCARS_Off[AbilityID],RawOfficer[AbilityID],RawOfficer[AbilityModifier])</f>
        <v>CritChance</v>
      </c>
      <c r="V429" s="519" t="str">
        <f t="array" ref="V429">XLOOKUP(LCARS_Off[AbilityID],RawOfficer[AbilityID],RawOfficer[AbilityAttributes])</f>
        <v>num_rounds=4</v>
      </c>
      <c r="W429" s="520" t="str">
        <f t="array" ref="W429">XLOOKUP(LCARS_Off[AbilityID],RawOfficer[AbilityID],RawOfficer[AbilityConditions])</f>
        <v/>
      </c>
      <c r="X429" s="519" t="str">
        <f t="array" ref="X429">XLOOKUP(LCARS_Off[AbilityID],RawOfficer[AbilityID],RawOfficer[AbilityTrigger])</f>
        <v>EnemyTakesHit</v>
      </c>
      <c r="Y429" s="519" t="str">
        <f t="array" ref="Y429">XLOOKUP(LCARS_Off[AbilityID],RawOfficer[AbilityID],RawOfficer[AbilityTarget])</f>
        <v>SelfShip</v>
      </c>
      <c r="Z429" s="519" t="str">
        <f t="array" ref="Z429">XLOOKUP(LCARS_Off[AbilityID],RawOfficer[AbilityID],RawOfficer[AbilityOperation])</f>
        <v>Add</v>
      </c>
      <c r="AA429" s="521" t="str">
        <f t="array" ref="AA429">XLOOKUP(LCARS_Off[AbilityID],RawOfficer[AbilityID],RawOfficer[AbilityDescription])</f>
        <v>Increases Critical Hit Chance by X for 4 rounds each time you score a hit (Once per weapon).</v>
      </c>
      <c r="AB429" s="429" t="b">
        <v>0</v>
      </c>
      <c r="AC429" s="522" t="str">
        <f t="array" ref="AC429">XLOOKUP(LCARS_Off[AbilityID],RawOfficer[AbilityID],RawOfficer[AbilityDescriptionShort])</f>
        <v>+X to Crit Chance for 4 rounds each time you score a hit.</v>
      </c>
      <c r="AD429" s="523"/>
      <c r="AE429" s="524"/>
      <c r="AF429" s="524"/>
      <c r="AG429" s="525" t="str">
        <f t="array" ref="AG429">XLOOKUP(LCARS_Off[AbilityID],RawOfficer[AbilityID],RawOfficer[AbilityChances])</f>
        <v>1.0, 1.0, 1.0, 1.0, 1.0</v>
      </c>
      <c r="AH429" s="525" t="str">
        <f t="array" ref="AH429">XLOOKUP(LCARS_Off[AbilityID],RawOfficer[AbilityID],RawOfficer[AbilityValues])</f>
        <v>0.02, 0.04, 0.06, 0.08, 0.1</v>
      </c>
      <c r="AI429" s="428" t="b">
        <f t="array" ref="AI429">XLOOKUP(LCARS_Off[AbilityID],RawOfficer[AbilityID],RawOfficer[AbilityHasChance])</f>
        <v>0</v>
      </c>
      <c r="AJ429" s="428" t="b">
        <f t="array" ref="AJ429">XLOOKUP(LCARS_Off[AbilityID],RawOfficer[AbilityID],RawOfficer[AbilityShowPercentage])</f>
        <v>1</v>
      </c>
      <c r="AK429" s="429">
        <f t="array" ref="AK429">XLOOKUP(LCARS_Off[AbilityID],RawOfficer[AbilityID],RawOfficer[OfficerArt])</f>
        <v>259</v>
      </c>
      <c r="AL429" s="430">
        <v>2.481912459E9</v>
      </c>
      <c r="AM429" s="430">
        <f t="array" ref="AM429">XLOOKUP(LCARS_Off[AbilityID],RawOfficer[AbilityID],RawOfficer[Default Order])</f>
        <v>426</v>
      </c>
    </row>
    <row r="430">
      <c r="A430" s="429" t="str">
        <f t="array" ref="A430">LEFT(XLOOKUP(LCARS_Off[AbilityID],RawOfficer[AbilityID],RawOfficer[OfficerRarity]), 1)</f>
        <v>R</v>
      </c>
      <c r="B430" s="429"/>
      <c r="C430" s="514" t="str">
        <f t="array" ref="C430">HYPERLINK("https://stfc.space/officers/" &amp; XLOOKUP(LCARS_Off[AbilityID],RawOfficer[AbilityID],RawOfficer[OfficerId]), XLOOKUP(LCARS_Off[AbilityID],RawOfficer[AbilityID],RawOfficer[OfficerName]))</f>
        <v>ENT-E TROI</v>
      </c>
      <c r="D430" s="515" t="str">
        <f t="array" ref="D430">XLOOKUP(LCARS_Off[AbilityID],RawOfficer[AbilityID],RawOfficer[AbilityType])</f>
        <v>OA</v>
      </c>
      <c r="E430" s="516" t="str">
        <f t="array" ref="E430">XLOOKUP(LCARS_Off[AbilityID],RawOfficer[AbilityID],RawOfficer[Tag_PvPinSpace])</f>
        <v>➖</v>
      </c>
      <c r="F430" s="516" t="str">
        <f t="array" ref="F430">XLOOKUP(LCARS_Off[AbilityID],RawOfficer[AbilityID],RawOfficer[Tag_PvPStation])</f>
        <v>➖</v>
      </c>
      <c r="G430" s="516" t="str">
        <f t="array" ref="G430">XLOOKUP(LCARS_Off[AbilityID],RawOfficer[AbilityID],RawOfficer[Tag_NonArmadaHostiles])</f>
        <v>✅</v>
      </c>
      <c r="H430" s="516" t="str">
        <f t="array" ref="H430">XLOOKUP(LCARS_Off[AbilityID],RawOfficer[AbilityID],RawOfficer[Tag_WaveDefense])</f>
        <v>✅</v>
      </c>
      <c r="I430" s="516" t="str">
        <f t="array" ref="I430">XLOOKUP(LCARS_Off[AbilityID],RawOfficer[AbilityID],RawOfficer[Tag_QTrial])</f>
        <v>✅</v>
      </c>
      <c r="J430" s="516" t="str">
        <f t="array" ref="J430">XLOOKUP(LCARS_Off[AbilityID],RawOfficer[AbilityID],RawOfficer[Tag_MissionBosses])</f>
        <v>➖</v>
      </c>
      <c r="K430" s="516" t="str">
        <f t="array" ref="K430">XLOOKUP(LCARS_Off[AbilityID],RawOfficer[AbilityID],RawOfficer[Tag_GroupArmadas])</f>
        <v>➖</v>
      </c>
      <c r="L430" s="516" t="str">
        <f t="array" ref="L430">XLOOKUP(LCARS_Off[AbilityID],RawOfficer[AbilityID],RawOfficer[Tag_SoloArmadas])</f>
        <v>➖</v>
      </c>
      <c r="M430" s="516" t="str">
        <f t="array" ref="M430">XLOOKUP(LCARS_Off[AbilityID],RawOfficer[AbilityID],RawOfficer[Tag_InvadingEntities])</f>
        <v>➖</v>
      </c>
      <c r="N430" s="516" t="str">
        <f t="array" ref="N430">XLOOKUP(LCARS_Off[AbilityID],RawOfficer[AbilityID],RawOfficer[Tag_Assaults])</f>
        <v>➖</v>
      </c>
      <c r="O430" s="516" t="str">
        <f t="array" ref="O430">XLOOKUP(LCARS_Off[AbilityID],RawOfficer[AbilityID],RawOfficer[Tag_OutpostArmadas])</f>
        <v>➖</v>
      </c>
      <c r="P430" s="516" t="str">
        <f t="array" ref="P430">XLOOKUP(LCARS_Off[AbilityID],RawOfficer[AbilityID],RawOfficer[Tag_OutpostRetaliators])</f>
        <v>➖</v>
      </c>
      <c r="Q430" s="517" t="str">
        <f t="array" ref="Q430">XLOOKUP(LCARS_Off[AbilityID],RawOfficer[AbilityID],RawOfficer[Conditional_Reason])</f>
        <v/>
      </c>
      <c r="R430" s="518" t="str">
        <f t="array" ref="R430">XLOOKUP(LCARS_Off[AbilityID],RawOfficer[AbilityID],RawOfficer[Tag_Loot])</f>
        <v>➖</v>
      </c>
      <c r="S430" s="516" t="str">
        <f t="array" ref="S430">XLOOKUP(LCARS_Off[AbilityID],RawOfficer[AbilityID],RawOfficer[Tag_Utility])</f>
        <v>➖</v>
      </c>
      <c r="T430" s="429" t="str">
        <f t="array" ref="T430">XLOOKUP(LCARS_Off[AbilityID],RawOfficer[AbilityID],RawOfficer[OfficerSynergy])</f>
        <v>ENTERPRISE-E</v>
      </c>
      <c r="U430" s="519" t="str">
        <f t="array" ref="U430">XLOOKUP(LCARS_Off[AbilityID],RawOfficer[AbilityID],RawOfficer[AbilityModifier])</f>
        <v>ShieldHPRepair</v>
      </c>
      <c r="V430" s="519" t="str">
        <f t="array" ref="V430">XLOOKUP(LCARS_Off[AbilityID],RawOfficer[AbilityID],RawOfficer[AbilityAttributes])</f>
        <v>officer_stat=1</v>
      </c>
      <c r="W430" s="520" t="str">
        <f t="array" ref="W430">XLOOKUP(LCARS_Off[AbilityID],RawOfficer[AbilityID],RawOfficer[AbilityConditions])</f>
        <v>EnemyHostile, TargetNotArmada</v>
      </c>
      <c r="X430" s="519" t="str">
        <f t="array" ref="X430">XLOOKUP(LCARS_Off[AbilityID],RawOfficer[AbilityID],RawOfficer[AbilityTrigger])</f>
        <v>RoundStart</v>
      </c>
      <c r="Y430" s="519" t="str">
        <f t="array" ref="Y430">XLOOKUP(LCARS_Off[AbilityID],RawOfficer[AbilityID],RawOfficer[AbilityTarget])</f>
        <v>EnemyShip</v>
      </c>
      <c r="Z430" s="519" t="str">
        <f t="array" ref="Z430">XLOOKUP(LCARS_Off[AbilityID],RawOfficer[AbilityID],RawOfficer[AbilityOperation])</f>
        <v>MultiplyBaseSub</v>
      </c>
      <c r="AA430" s="521" t="str">
        <f t="array" ref="AA430">XLOOKUP(LCARS_Off[AbilityID],RawOfficer[AbilityID],RawOfficer[AbilityDescription])</f>
        <v>Reduces the opponent’s Shield Health by X of total Officer Attack at the beginning of each round versus non-Armada Hostiles.</v>
      </c>
      <c r="AB430" s="429" t="b">
        <v>0</v>
      </c>
      <c r="AC430" s="522" t="str">
        <f t="array" ref="AC430">XLOOKUP(LCARS_Off[AbilityID],RawOfficer[AbilityID],RawOfficer[AbilityDescriptionShort])</f>
        <v>-X of Attack to the opponent's Shield Health each round vs non-Armada Hostiles.</v>
      </c>
      <c r="AD430" s="523"/>
      <c r="AE430" s="524"/>
      <c r="AF430" s="524"/>
      <c r="AG430" s="525" t="str">
        <f t="array" ref="AG430">XLOOKUP(LCARS_Off[AbilityID],RawOfficer[AbilityID],RawOfficer[AbilityChances])</f>
        <v>1.0, 1.0, 1.0, 1.0, 1.0</v>
      </c>
      <c r="AH430" s="525" t="str">
        <f t="array" ref="AH430">XLOOKUP(LCARS_Off[AbilityID],RawOfficer[AbilityID],RawOfficer[AbilityValues])</f>
        <v>4.0, 6.0, 8.0, 12.0, 16.0</v>
      </c>
      <c r="AI430" s="428" t="b">
        <f t="array" ref="AI430">XLOOKUP(LCARS_Off[AbilityID],RawOfficer[AbilityID],RawOfficer[AbilityHasChance])</f>
        <v>0</v>
      </c>
      <c r="AJ430" s="428" t="b">
        <f t="array" ref="AJ430">XLOOKUP(LCARS_Off[AbilityID],RawOfficer[AbilityID],RawOfficer[AbilityShowPercentage])</f>
        <v>1</v>
      </c>
      <c r="AK430" s="429">
        <f t="array" ref="AK430">XLOOKUP(LCARS_Off[AbilityID],RawOfficer[AbilityID],RawOfficer[OfficerArt])</f>
        <v>260</v>
      </c>
      <c r="AL430" s="430">
        <v>2.298455942E9</v>
      </c>
      <c r="AM430" s="430">
        <f t="array" ref="AM430">XLOOKUP(LCARS_Off[AbilityID],RawOfficer[AbilityID],RawOfficer[Default Order])</f>
        <v>427</v>
      </c>
    </row>
    <row r="431">
      <c r="A431" s="429" t="str">
        <f t="array" ref="A431">LEFT(XLOOKUP(LCARS_Off[AbilityID],RawOfficer[AbilityID],RawOfficer[OfficerRarity]), 1)</f>
        <v>R</v>
      </c>
      <c r="B431" s="429"/>
      <c r="C431" s="514" t="str">
        <f t="array" ref="C431">HYPERLINK("https://stfc.space/officers/" &amp; XLOOKUP(LCARS_Off[AbilityID],RawOfficer[AbilityID],RawOfficer[OfficerId]), XLOOKUP(LCARS_Off[AbilityID],RawOfficer[AbilityID],RawOfficer[OfficerName]))</f>
        <v>ENT-E TROI</v>
      </c>
      <c r="D431" s="515" t="str">
        <f t="array" ref="D431">XLOOKUP(LCARS_Off[AbilityID],RawOfficer[AbilityID],RawOfficer[AbilityType])</f>
        <v>BDA</v>
      </c>
      <c r="E431" s="516" t="str">
        <f t="array" ref="E431">XLOOKUP(LCARS_Off[AbilityID],RawOfficer[AbilityID],RawOfficer[Tag_PvPinSpace])</f>
        <v>➖</v>
      </c>
      <c r="F431" s="516" t="str">
        <f t="array" ref="F431">XLOOKUP(LCARS_Off[AbilityID],RawOfficer[AbilityID],RawOfficer[Tag_PvPStation])</f>
        <v>➖</v>
      </c>
      <c r="G431" s="516" t="str">
        <f t="array" ref="G431">XLOOKUP(LCARS_Off[AbilityID],RawOfficer[AbilityID],RawOfficer[Tag_NonArmadaHostiles])</f>
        <v>✅</v>
      </c>
      <c r="H431" s="516" t="str">
        <f t="array" ref="H431">XLOOKUP(LCARS_Off[AbilityID],RawOfficer[AbilityID],RawOfficer[Tag_WaveDefense])</f>
        <v>✅</v>
      </c>
      <c r="I431" s="516" t="str">
        <f t="array" ref="I431">XLOOKUP(LCARS_Off[AbilityID],RawOfficer[AbilityID],RawOfficer[Tag_QTrial])</f>
        <v>✅</v>
      </c>
      <c r="J431" s="516" t="str">
        <f t="array" ref="J431">XLOOKUP(LCARS_Off[AbilityID],RawOfficer[AbilityID],RawOfficer[Tag_MissionBosses])</f>
        <v>➖</v>
      </c>
      <c r="K431" s="516" t="str">
        <f t="array" ref="K431">XLOOKUP(LCARS_Off[AbilityID],RawOfficer[AbilityID],RawOfficer[Tag_GroupArmadas])</f>
        <v>✅</v>
      </c>
      <c r="L431" s="516" t="str">
        <f t="array" ref="L431">XLOOKUP(LCARS_Off[AbilityID],RawOfficer[AbilityID],RawOfficer[Tag_SoloArmadas])</f>
        <v>✅</v>
      </c>
      <c r="M431" s="516" t="str">
        <f t="array" ref="M431">XLOOKUP(LCARS_Off[AbilityID],RawOfficer[AbilityID],RawOfficer[Tag_InvadingEntities])</f>
        <v>✅</v>
      </c>
      <c r="N431" s="516" t="str">
        <f t="array" ref="N431">XLOOKUP(LCARS_Off[AbilityID],RawOfficer[AbilityID],RawOfficer[Tag_Assaults])</f>
        <v>➖</v>
      </c>
      <c r="O431" s="516" t="str">
        <f t="array" ref="O431">XLOOKUP(LCARS_Off[AbilityID],RawOfficer[AbilityID],RawOfficer[Tag_OutpostArmadas])</f>
        <v>➖</v>
      </c>
      <c r="P431" s="516" t="str">
        <f t="array" ref="P431">XLOOKUP(LCARS_Off[AbilityID],RawOfficer[AbilityID],RawOfficer[Tag_OutpostRetaliators])</f>
        <v>➖</v>
      </c>
      <c r="Q431" s="517" t="str">
        <f t="array" ref="Q431">XLOOKUP(LCARS_Off[AbilityID],RawOfficer[AbilityID],RawOfficer[Conditional_Reason])</f>
        <v/>
      </c>
      <c r="R431" s="518" t="str">
        <f t="array" ref="R431">XLOOKUP(LCARS_Off[AbilityID],RawOfficer[AbilityID],RawOfficer[Tag_Loot])</f>
        <v>➖</v>
      </c>
      <c r="S431" s="516" t="str">
        <f t="array" ref="S431">XLOOKUP(LCARS_Off[AbilityID],RawOfficer[AbilityID],RawOfficer[Tag_Utility])</f>
        <v>➖</v>
      </c>
      <c r="T431" s="429" t="str">
        <f t="array" ref="T431">XLOOKUP(LCARS_Off[AbilityID],RawOfficer[AbilityID],RawOfficer[OfficerSynergy])</f>
        <v>ENTERPRISE-E</v>
      </c>
      <c r="U431" s="519" t="str">
        <f t="array" ref="U431">XLOOKUP(LCARS_Off[AbilityID],RawOfficer[AbilityID],RawOfficer[AbilityModifier])</f>
        <v>CritDamage</v>
      </c>
      <c r="V431" s="519" t="str">
        <f t="array" ref="V431">XLOOKUP(LCARS_Off[AbilityID],RawOfficer[AbilityID],RawOfficer[AbilityAttributes])</f>
        <v/>
      </c>
      <c r="W431" s="520" t="str">
        <f t="array" ref="W431">XLOOKUP(LCARS_Off[AbilityID],RawOfficer[AbilityID],RawOfficer[AbilityConditions])</f>
        <v>EnemyHostile</v>
      </c>
      <c r="X431" s="519" t="str">
        <f t="array" ref="X431">XLOOKUP(LCARS_Off[AbilityID],RawOfficer[AbilityID],RawOfficer[AbilityTrigger])</f>
        <v>CombatStart</v>
      </c>
      <c r="Y431" s="519" t="str">
        <f t="array" ref="Y431">XLOOKUP(LCARS_Off[AbilityID],RawOfficer[AbilityID],RawOfficer[AbilityTarget])</f>
        <v>SelfShip</v>
      </c>
      <c r="Z431" s="519" t="str">
        <f t="array" ref="Z431">XLOOKUP(LCARS_Off[AbilityID],RawOfficer[AbilityID],RawOfficer[AbilityOperation])</f>
        <v>Add</v>
      </c>
      <c r="AA431" s="521" t="str">
        <f t="array" ref="AA431">XLOOKUP(LCARS_Off[AbilityID],RawOfficer[AbilityID],RawOfficer[AbilityDescription])</f>
        <v>Increases Critical Hit Damage by X versus Armadas and Hostiles.</v>
      </c>
      <c r="AB431" s="429" t="b">
        <v>0</v>
      </c>
      <c r="AC431" s="522" t="str">
        <f t="array" ref="AC431">XLOOKUP(LCARS_Off[AbilityID],RawOfficer[AbilityID],RawOfficer[AbilityDescriptionShort])</f>
        <v>+X to Critical Hit Damage vs Armadas and Hostiles.</v>
      </c>
      <c r="AD431" s="523"/>
      <c r="AE431" s="524"/>
      <c r="AF431" s="524"/>
      <c r="AG431" s="525" t="str">
        <f t="array" ref="AG431">XLOOKUP(LCARS_Off[AbilityID],RawOfficer[AbilityID],RawOfficer[AbilityChances])</f>
        <v>1.0, 1.0, 1.0, 1.0, 1.0</v>
      </c>
      <c r="AH431" s="525" t="str">
        <f t="array" ref="AH431">XLOOKUP(LCARS_Off[AbilityID],RawOfficer[AbilityID],RawOfficer[AbilityValues])</f>
        <v>0.2, 0.3, 0.45, 0.65, 0.9</v>
      </c>
      <c r="AI431" s="428" t="b">
        <f t="array" ref="AI431">XLOOKUP(LCARS_Off[AbilityID],RawOfficer[AbilityID],RawOfficer[AbilityHasChance])</f>
        <v>0</v>
      </c>
      <c r="AJ431" s="428" t="b">
        <f t="array" ref="AJ431">XLOOKUP(LCARS_Off[AbilityID],RawOfficer[AbilityID],RawOfficer[AbilityShowPercentage])</f>
        <v>1</v>
      </c>
      <c r="AK431" s="429">
        <f t="array" ref="AK431">XLOOKUP(LCARS_Off[AbilityID],RawOfficer[AbilityID],RawOfficer[OfficerArt])</f>
        <v>260</v>
      </c>
      <c r="AL431" s="430">
        <v>5.4855508E8</v>
      </c>
      <c r="AM431" s="430">
        <f t="array" ref="AM431">XLOOKUP(LCARS_Off[AbilityID],RawOfficer[AbilityID],RawOfficer[Default Order])</f>
        <v>428</v>
      </c>
    </row>
    <row r="432">
      <c r="A432" s="429" t="str">
        <f t="array" ref="A432">LEFT(XLOOKUP(LCARS_Off[AbilityID],RawOfficer[AbilityID],RawOfficer[OfficerRarity]), 1)</f>
        <v>E</v>
      </c>
      <c r="B432" s="429"/>
      <c r="C432" s="514" t="str">
        <f t="array" ref="C432">HYPERLINK("https://stfc.space/officers/" &amp; XLOOKUP(LCARS_Off[AbilityID],RawOfficer[AbilityID],RawOfficer[OfficerId]), XLOOKUP(LCARS_Off[AbilityID],RawOfficer[AbilityID],RawOfficer[OfficerName]))</f>
        <v>TRIP TUCKER</v>
      </c>
      <c r="D432" s="515" t="str">
        <f t="array" ref="D432">XLOOKUP(LCARS_Off[AbilityID],RawOfficer[AbilityID],RawOfficer[AbilityType])</f>
        <v>OA</v>
      </c>
      <c r="E432" s="516" t="str">
        <f t="array" ref="E432">XLOOKUP(LCARS_Off[AbilityID],RawOfficer[AbilityID],RawOfficer[Tag_PvPinSpace])</f>
        <v>✅</v>
      </c>
      <c r="F432" s="516" t="str">
        <f t="array" ref="F432">XLOOKUP(LCARS_Off[AbilityID],RawOfficer[AbilityID],RawOfficer[Tag_PvPStation])</f>
        <v>✅</v>
      </c>
      <c r="G432" s="516" t="str">
        <f t="array" ref="G432">XLOOKUP(LCARS_Off[AbilityID],RawOfficer[AbilityID],RawOfficer[Tag_NonArmadaHostiles])</f>
        <v>✅</v>
      </c>
      <c r="H432" s="516" t="str">
        <f t="array" ref="H432">XLOOKUP(LCARS_Off[AbilityID],RawOfficer[AbilityID],RawOfficer[Tag_WaveDefense])</f>
        <v>✅</v>
      </c>
      <c r="I432" s="516" t="str">
        <f t="array" ref="I432">XLOOKUP(LCARS_Off[AbilityID],RawOfficer[AbilityID],RawOfficer[Tag_QTrial])</f>
        <v>✅</v>
      </c>
      <c r="J432" s="516" t="str">
        <f t="array" ref="J432">XLOOKUP(LCARS_Off[AbilityID],RawOfficer[AbilityID],RawOfficer[Tag_MissionBosses])</f>
        <v>✅</v>
      </c>
      <c r="K432" s="516" t="str">
        <f t="array" ref="K432">XLOOKUP(LCARS_Off[AbilityID],RawOfficer[AbilityID],RawOfficer[Tag_GroupArmadas])</f>
        <v>➖</v>
      </c>
      <c r="L432" s="516" t="str">
        <f t="array" ref="L432">XLOOKUP(LCARS_Off[AbilityID],RawOfficer[AbilityID],RawOfficer[Tag_SoloArmadas])</f>
        <v>➖</v>
      </c>
      <c r="M432" s="516" t="str">
        <f t="array" ref="M432">XLOOKUP(LCARS_Off[AbilityID],RawOfficer[AbilityID],RawOfficer[Tag_InvadingEntities])</f>
        <v>➖</v>
      </c>
      <c r="N432" s="516" t="str">
        <f t="array" ref="N432">XLOOKUP(LCARS_Off[AbilityID],RawOfficer[AbilityID],RawOfficer[Tag_Assaults])</f>
        <v>➖</v>
      </c>
      <c r="O432" s="516" t="str">
        <f t="array" ref="O432">XLOOKUP(LCARS_Off[AbilityID],RawOfficer[AbilityID],RawOfficer[Tag_OutpostArmadas])</f>
        <v>✅</v>
      </c>
      <c r="P432" s="516" t="str">
        <f t="array" ref="P432">XLOOKUP(LCARS_Off[AbilityID],RawOfficer[AbilityID],RawOfficer[Tag_OutpostRetaliators])</f>
        <v>✅</v>
      </c>
      <c r="Q432" s="517" t="str">
        <f t="array" ref="Q432">XLOOKUP(LCARS_Off[AbilityID],RawOfficer[AbilityID],RawOfficer[Conditional_Reason])</f>
        <v/>
      </c>
      <c r="R432" s="518" t="str">
        <f t="array" ref="R432">XLOOKUP(LCARS_Off[AbilityID],RawOfficer[AbilityID],RawOfficer[Tag_Loot])</f>
        <v>➖</v>
      </c>
      <c r="S432" s="516" t="str">
        <f t="array" ref="S432">XLOOKUP(LCARS_Off[AbilityID],RawOfficer[AbilityID],RawOfficer[Tag_Utility])</f>
        <v>➖</v>
      </c>
      <c r="T432" s="429" t="str">
        <f t="array" ref="T432">XLOOKUP(LCARS_Off[AbilityID],RawOfficer[AbilityID],RawOfficer[OfficerSynergy])</f>
        <v>ENTERPRISE NX-01</v>
      </c>
      <c r="U432" s="519" t="str">
        <f t="array" ref="U432">XLOOKUP(LCARS_Off[AbilityID],RawOfficer[AbilityID],RawOfficer[AbilityModifier])</f>
        <v>CritDamage</v>
      </c>
      <c r="V432" s="519" t="str">
        <f t="array" ref="V432">XLOOKUP(LCARS_Off[AbilityID],RawOfficer[AbilityID],RawOfficer[AbilityAttributes])</f>
        <v>num_rounds=2</v>
      </c>
      <c r="W432" s="520" t="str">
        <f t="array" ref="W432">XLOOKUP(LCARS_Off[AbilityID],RawOfficer[AbilityID],RawOfficer[AbilityConditions])</f>
        <v>TargetNotArmada, TargetNotASB</v>
      </c>
      <c r="X432" s="519" t="str">
        <f t="array" ref="X432">XLOOKUP(LCARS_Off[AbilityID],RawOfficer[AbilityID],RawOfficer[AbilityTrigger])</f>
        <v>HitTaken</v>
      </c>
      <c r="Y432" s="519" t="str">
        <f t="array" ref="Y432">XLOOKUP(LCARS_Off[AbilityID],RawOfficer[AbilityID],RawOfficer[AbilityTarget])</f>
        <v>EnemyAllShips</v>
      </c>
      <c r="Z432" s="519" t="str">
        <f t="array" ref="Z432">XLOOKUP(LCARS_Off[AbilityID],RawOfficer[AbilityID],RawOfficer[AbilityOperation])</f>
        <v>Sub</v>
      </c>
      <c r="AA432" s="521" t="str">
        <f t="array" ref="AA432">XLOOKUP(LCARS_Off[AbilityID],RawOfficer[AbilityID],RawOfficer[AbilityDescription])</f>
        <v>When you take damage from a hostile or another player, Trip Tucker decreases your opponent's critical damage by X for 2 rounds. (This ability can stack) (Does not trigger at Armadas or Assaults) (Weapons with multiple shots will only trigger this ability once per attack)</v>
      </c>
      <c r="AB432" s="429" t="b">
        <v>0</v>
      </c>
      <c r="AC432" s="522" t="str">
        <f t="array" ref="AC432">XLOOKUP(LCARS_Off[AbilityID],RawOfficer[AbilityID],RawOfficer[AbilityDescriptionShort])</f>
        <v>Decreases your opponent's critical damage by X for 2 rounds when hit.</v>
      </c>
      <c r="AD432" s="523"/>
      <c r="AE432" s="524"/>
      <c r="AF432" s="524"/>
      <c r="AG432" s="525" t="str">
        <f t="array" ref="AG432">XLOOKUP(LCARS_Off[AbilityID],RawOfficer[AbilityID],RawOfficer[AbilityChances])</f>
        <v>1.0, 1.0, 1.0, 1.0, 1.0</v>
      </c>
      <c r="AH432" s="525" t="str">
        <f t="array" ref="AH432">XLOOKUP(LCARS_Off[AbilityID],RawOfficer[AbilityID],RawOfficer[AbilityValues])</f>
        <v>0.5, 0.8, 1.2, 1.8, 2.5</v>
      </c>
      <c r="AI432" s="428" t="b">
        <f t="array" ref="AI432">XLOOKUP(LCARS_Off[AbilityID],RawOfficer[AbilityID],RawOfficer[AbilityHasChance])</f>
        <v>0</v>
      </c>
      <c r="AJ432" s="428" t="b">
        <f t="array" ref="AJ432">XLOOKUP(LCARS_Off[AbilityID],RawOfficer[AbilityID],RawOfficer[AbilityShowPercentage])</f>
        <v>1</v>
      </c>
      <c r="AK432" s="429">
        <f t="array" ref="AK432">XLOOKUP(LCARS_Off[AbilityID],RawOfficer[AbilityID],RawOfficer[OfficerArt])</f>
        <v>262</v>
      </c>
      <c r="AL432" s="430">
        <v>1.036449255E9</v>
      </c>
      <c r="AM432" s="430">
        <f t="array" ref="AM432">XLOOKUP(LCARS_Off[AbilityID],RawOfficer[AbilityID],RawOfficer[Default Order])</f>
        <v>429</v>
      </c>
    </row>
    <row r="433">
      <c r="A433" s="429" t="str">
        <f t="array" ref="A433">LEFT(XLOOKUP(LCARS_Off[AbilityID],RawOfficer[AbilityID],RawOfficer[OfficerRarity]), 1)</f>
        <v>E</v>
      </c>
      <c r="B433" s="429"/>
      <c r="C433" s="514" t="str">
        <f t="array" ref="C433">HYPERLINK("https://stfc.space/officers/" &amp; XLOOKUP(LCARS_Off[AbilityID],RawOfficer[AbilityID],RawOfficer[OfficerId]), XLOOKUP(LCARS_Off[AbilityID],RawOfficer[AbilityID],RawOfficer[OfficerName]))</f>
        <v>TRIP TUCKER</v>
      </c>
      <c r="D433" s="515" t="str">
        <f t="array" ref="D433">XLOOKUP(LCARS_Off[AbilityID],RawOfficer[AbilityID],RawOfficer[AbilityType])</f>
        <v>BDA</v>
      </c>
      <c r="E433" s="516" t="str">
        <f t="array" ref="E433">XLOOKUP(LCARS_Off[AbilityID],RawOfficer[AbilityID],RawOfficer[Tag_PvPinSpace])</f>
        <v>➖</v>
      </c>
      <c r="F433" s="516" t="str">
        <f t="array" ref="F433">XLOOKUP(LCARS_Off[AbilityID],RawOfficer[AbilityID],RawOfficer[Tag_PvPStation])</f>
        <v>➖</v>
      </c>
      <c r="G433" s="516" t="str">
        <f t="array" ref="G433">XLOOKUP(LCARS_Off[AbilityID],RawOfficer[AbilityID],RawOfficer[Tag_NonArmadaHostiles])</f>
        <v>✴️</v>
      </c>
      <c r="H433" s="516" t="str">
        <f t="array" ref="H433">XLOOKUP(LCARS_Off[AbilityID],RawOfficer[AbilityID],RawOfficer[Tag_WaveDefense])</f>
        <v>➖</v>
      </c>
      <c r="I433" s="516" t="str">
        <f t="array" ref="I433">XLOOKUP(LCARS_Off[AbilityID],RawOfficer[AbilityID],RawOfficer[Tag_QTrial])</f>
        <v>➖</v>
      </c>
      <c r="J433" s="516" t="str">
        <f t="array" ref="J433">XLOOKUP(LCARS_Off[AbilityID],RawOfficer[AbilityID],RawOfficer[Tag_MissionBosses])</f>
        <v>➖</v>
      </c>
      <c r="K433" s="516" t="str">
        <f t="array" ref="K433">XLOOKUP(LCARS_Off[AbilityID],RawOfficer[AbilityID],RawOfficer[Tag_GroupArmadas])</f>
        <v>➖</v>
      </c>
      <c r="L433" s="516" t="str">
        <f t="array" ref="L433">XLOOKUP(LCARS_Off[AbilityID],RawOfficer[AbilityID],RawOfficer[Tag_SoloArmadas])</f>
        <v>➖</v>
      </c>
      <c r="M433" s="516" t="str">
        <f t="array" ref="M433">XLOOKUP(LCARS_Off[AbilityID],RawOfficer[AbilityID],RawOfficer[Tag_InvadingEntities])</f>
        <v>➖</v>
      </c>
      <c r="N433" s="516" t="str">
        <f t="array" ref="N433">XLOOKUP(LCARS_Off[AbilityID],RawOfficer[AbilityID],RawOfficer[Tag_Assaults])</f>
        <v>➖</v>
      </c>
      <c r="O433" s="516" t="str">
        <f t="array" ref="O433">XLOOKUP(LCARS_Off[AbilityID],RawOfficer[AbilityID],RawOfficer[Tag_OutpostArmadas])</f>
        <v>➖</v>
      </c>
      <c r="P433" s="516" t="str">
        <f t="array" ref="P433">XLOOKUP(LCARS_Off[AbilityID],RawOfficer[AbilityID],RawOfficer[Tag_OutpostRetaliators])</f>
        <v>➖</v>
      </c>
      <c r="Q433" s="517" t="str">
        <f t="array" ref="Q433">XLOOKUP(LCARS_Off[AbilityID],RawOfficer[AbilityID],RawOfficer[Conditional_Reason])</f>
        <v>HirogenRelicAndBiotoxinLoot</v>
      </c>
      <c r="R433" s="518" t="str">
        <f t="array" ref="R433">XLOOKUP(LCARS_Off[AbilityID],RawOfficer[AbilityID],RawOfficer[Tag_Loot])</f>
        <v>✅</v>
      </c>
      <c r="S433" s="516" t="str">
        <f t="array" ref="S433">XLOOKUP(LCARS_Off[AbilityID],RawOfficer[AbilityID],RawOfficer[Tag_Utility])</f>
        <v>➖</v>
      </c>
      <c r="T433" s="429" t="str">
        <f t="array" ref="T433">XLOOKUP(LCARS_Off[AbilityID],RawOfficer[AbilityID],RawOfficer[OfficerSynergy])</f>
        <v>ENTERPRISE NX-01</v>
      </c>
      <c r="U433" s="519" t="str">
        <f t="array" ref="U433">XLOOKUP(LCARS_Off[AbilityID],RawOfficer[AbilityID],RawOfficer[AbilityModifier])</f>
        <v>HirogenRelicAndBiotoxinLoot</v>
      </c>
      <c r="V433" s="519" t="str">
        <f t="array" ref="V433">XLOOKUP(LCARS_Off[AbilityID],RawOfficer[AbilityID],RawOfficer[AbilityAttributes])</f>
        <v/>
      </c>
      <c r="W433" s="520" t="str">
        <f t="array" ref="W433">XLOOKUP(LCARS_Off[AbilityID],RawOfficer[AbilityID],RawOfficer[AbilityConditions])</f>
        <v/>
      </c>
      <c r="X433" s="519" t="str">
        <f t="array" ref="X433">XLOOKUP(LCARS_Off[AbilityID],RawOfficer[AbilityID],RawOfficer[AbilityTrigger])</f>
        <v>ShipLaunched</v>
      </c>
      <c r="Y433" s="519" t="str">
        <f t="array" ref="Y433">XLOOKUP(LCARS_Off[AbilityID],RawOfficer[AbilityID],RawOfficer[AbilityTarget])</f>
        <v>SelfShip</v>
      </c>
      <c r="Z433" s="519" t="str">
        <f t="array" ref="Z433">XLOOKUP(LCARS_Off[AbilityID],RawOfficer[AbilityID],RawOfficer[AbilityOperation])</f>
        <v>MultiplyAdd</v>
      </c>
      <c r="AA433" s="521" t="str">
        <f t="array" ref="AA433">XLOOKUP(LCARS_Off[AbilityID],RawOfficer[AbilityID],RawOfficer[AbilityDescription])</f>
        <v>Increases the amount of resources you get from destroying Hirogen and Species 8472 hostiles by X.</v>
      </c>
      <c r="AB433" s="429" t="b">
        <v>0</v>
      </c>
      <c r="AC433" s="522" t="str">
        <f t="array" ref="AC433">XLOOKUP(LCARS_Off[AbilityID],RawOfficer[AbilityID],RawOfficer[AbilityDescriptionShort])</f>
        <v>+X to resources dropped by Hirogen and Species 8472 hostiles.</v>
      </c>
      <c r="AD433" s="523"/>
      <c r="AE433" s="524"/>
      <c r="AF433" s="524"/>
      <c r="AG433" s="525" t="str">
        <f t="array" ref="AG433">XLOOKUP(LCARS_Off[AbilityID],RawOfficer[AbilityID],RawOfficer[AbilityChances])</f>
        <v>1.0, 1.0, 1.0, 1.0, 1.0</v>
      </c>
      <c r="AH433" s="525" t="str">
        <f t="array" ref="AH433">XLOOKUP(LCARS_Off[AbilityID],RawOfficer[AbilityID],RawOfficer[AbilityValues])</f>
        <v>0.3, 0.6, 0.8, 1.0, 1.5</v>
      </c>
      <c r="AI433" s="428" t="b">
        <f t="array" ref="AI433">XLOOKUP(LCARS_Off[AbilityID],RawOfficer[AbilityID],RawOfficer[AbilityHasChance])</f>
        <v>0</v>
      </c>
      <c r="AJ433" s="428" t="b">
        <f t="array" ref="AJ433">XLOOKUP(LCARS_Off[AbilityID],RawOfficer[AbilityID],RawOfficer[AbilityShowPercentage])</f>
        <v>1</v>
      </c>
      <c r="AK433" s="429">
        <f t="array" ref="AK433">XLOOKUP(LCARS_Off[AbilityID],RawOfficer[AbilityID],RawOfficer[OfficerArt])</f>
        <v>262</v>
      </c>
      <c r="AL433" s="430">
        <v>1.226535821E9</v>
      </c>
      <c r="AM433" s="430">
        <f t="array" ref="AM433">XLOOKUP(LCARS_Off[AbilityID],RawOfficer[AbilityID],RawOfficer[Default Order])</f>
        <v>430</v>
      </c>
    </row>
    <row r="434">
      <c r="A434" s="429" t="str">
        <f t="array" ref="A434">LEFT(XLOOKUP(LCARS_Off[AbilityID],RawOfficer[AbilityID],RawOfficer[OfficerRarity]), 1)</f>
        <v>R</v>
      </c>
      <c r="B434" s="429"/>
      <c r="C434" s="514" t="str">
        <f t="array" ref="C434">HYPERLINK("https://stfc.space/officers/" &amp; XLOOKUP(LCARS_Off[AbilityID],RawOfficer[AbilityID],RawOfficer[OfficerId]), XLOOKUP(LCARS_Off[AbilityID],RawOfficer[AbilityID],RawOfficer[OfficerName]))</f>
        <v>T'POL</v>
      </c>
      <c r="D434" s="515" t="str">
        <f t="array" ref="D434">XLOOKUP(LCARS_Off[AbilityID],RawOfficer[AbilityID],RawOfficer[AbilityType])</f>
        <v>OA</v>
      </c>
      <c r="E434" s="516" t="str">
        <f t="array" ref="E434">XLOOKUP(LCARS_Off[AbilityID],RawOfficer[AbilityID],RawOfficer[Tag_PvPinSpace])</f>
        <v>➖</v>
      </c>
      <c r="F434" s="516" t="str">
        <f t="array" ref="F434">XLOOKUP(LCARS_Off[AbilityID],RawOfficer[AbilityID],RawOfficer[Tag_PvPStation])</f>
        <v>➖</v>
      </c>
      <c r="G434" s="516" t="str">
        <f t="array" ref="G434">XLOOKUP(LCARS_Off[AbilityID],RawOfficer[AbilityID],RawOfficer[Tag_NonArmadaHostiles])</f>
        <v>➖</v>
      </c>
      <c r="H434" s="516" t="str">
        <f t="array" ref="H434">XLOOKUP(LCARS_Off[AbilityID],RawOfficer[AbilityID],RawOfficer[Tag_WaveDefense])</f>
        <v>➖</v>
      </c>
      <c r="I434" s="516" t="str">
        <f t="array" ref="I434">XLOOKUP(LCARS_Off[AbilityID],RawOfficer[AbilityID],RawOfficer[Tag_QTrial])</f>
        <v>➖</v>
      </c>
      <c r="J434" s="516" t="str">
        <f t="array" ref="J434">XLOOKUP(LCARS_Off[AbilityID],RawOfficer[AbilityID],RawOfficer[Tag_MissionBosses])</f>
        <v>➖</v>
      </c>
      <c r="K434" s="516" t="str">
        <f t="array" ref="K434">XLOOKUP(LCARS_Off[AbilityID],RawOfficer[AbilityID],RawOfficer[Tag_GroupArmadas])</f>
        <v>➖</v>
      </c>
      <c r="L434" s="516" t="str">
        <f t="array" ref="L434">XLOOKUP(LCARS_Off[AbilityID],RawOfficer[AbilityID],RawOfficer[Tag_SoloArmadas])</f>
        <v>➖</v>
      </c>
      <c r="M434" s="516" t="str">
        <f t="array" ref="M434">XLOOKUP(LCARS_Off[AbilityID],RawOfficer[AbilityID],RawOfficer[Tag_InvadingEntities])</f>
        <v>➖</v>
      </c>
      <c r="N434" s="516" t="str">
        <f t="array" ref="N434">XLOOKUP(LCARS_Off[AbilityID],RawOfficer[AbilityID],RawOfficer[Tag_Assaults])</f>
        <v>➖</v>
      </c>
      <c r="O434" s="516" t="str">
        <f t="array" ref="O434">XLOOKUP(LCARS_Off[AbilityID],RawOfficer[AbilityID],RawOfficer[Tag_OutpostArmadas])</f>
        <v>➖</v>
      </c>
      <c r="P434" s="516" t="str">
        <f t="array" ref="P434">XLOOKUP(LCARS_Off[AbilityID],RawOfficer[AbilityID],RawOfficer[Tag_OutpostRetaliators])</f>
        <v>➖</v>
      </c>
      <c r="Q434" s="517" t="str">
        <f t="array" ref="Q434">XLOOKUP(LCARS_Off[AbilityID],RawOfficer[AbilityID],RawOfficer[Conditional_Reason])</f>
        <v/>
      </c>
      <c r="R434" s="518" t="str">
        <f t="array" ref="R434">XLOOKUP(LCARS_Off[AbilityID],RawOfficer[AbilityID],RawOfficer[Tag_Loot])</f>
        <v>➖</v>
      </c>
      <c r="S434" s="516" t="str">
        <f t="array" ref="S434">XLOOKUP(LCARS_Off[AbilityID],RawOfficer[AbilityID],RawOfficer[Tag_Utility])</f>
        <v>✅</v>
      </c>
      <c r="T434" s="429" t="str">
        <f t="array" ref="T434">XLOOKUP(LCARS_Off[AbilityID],RawOfficer[AbilityID],RawOfficer[OfficerSynergy])</f>
        <v>ENTERPRISE NX-01</v>
      </c>
      <c r="U434" s="519" t="str">
        <f t="array" ref="U434">XLOOKUP(LCARS_Off[AbilityID],RawOfficer[AbilityID],RawOfficer[AbilityModifier])</f>
        <v>CargoProtection</v>
      </c>
      <c r="V434" s="519" t="str">
        <f t="array" ref="V434">XLOOKUP(LCARS_Off[AbilityID],RawOfficer[AbilityID],RawOfficer[AbilityAttributes])</f>
        <v/>
      </c>
      <c r="W434" s="520" t="str">
        <f t="array" ref="W434">XLOOKUP(LCARS_Off[AbilityID],RawOfficer[AbilityID],RawOfficer[AbilityConditions])</f>
        <v/>
      </c>
      <c r="X434" s="519" t="str">
        <f t="array" ref="X434">XLOOKUP(LCARS_Off[AbilityID],RawOfficer[AbilityID],RawOfficer[AbilityTrigger])</f>
        <v>ShipLaunched</v>
      </c>
      <c r="Y434" s="519" t="str">
        <f t="array" ref="Y434">XLOOKUP(LCARS_Off[AbilityID],RawOfficer[AbilityID],RawOfficer[AbilityTarget])</f>
        <v>SelfShip</v>
      </c>
      <c r="Z434" s="519" t="str">
        <f t="array" ref="Z434">XLOOKUP(LCARS_Off[AbilityID],RawOfficer[AbilityID],RawOfficer[AbilityOperation])</f>
        <v>MultiplyAdd</v>
      </c>
      <c r="AA434" s="521" t="str">
        <f t="array" ref="AA434">XLOOKUP(LCARS_Off[AbilityID],RawOfficer[AbilityID],RawOfficer[AbilityDescription])</f>
        <v>T'Pol increases Protected Cargo by X of base.</v>
      </c>
      <c r="AB434" s="429" t="b">
        <v>0</v>
      </c>
      <c r="AC434" s="522" t="str">
        <f t="array" ref="AC434">XLOOKUP(LCARS_Off[AbilityID],RawOfficer[AbilityID],RawOfficer[AbilityDescriptionShort])</f>
        <v>T'Pol increases Protected Cargo by X of base.</v>
      </c>
      <c r="AD434" s="523"/>
      <c r="AE434" s="524"/>
      <c r="AF434" s="524"/>
      <c r="AG434" s="525" t="str">
        <f t="array" ref="AG434">XLOOKUP(LCARS_Off[AbilityID],RawOfficer[AbilityID],RawOfficer[AbilityChances])</f>
        <v>1.0, 1.0, 1.0, 1.0, 1.0</v>
      </c>
      <c r="AH434" s="525" t="str">
        <f t="array" ref="AH434">XLOOKUP(LCARS_Off[AbilityID],RawOfficer[AbilityID],RawOfficer[AbilityValues])</f>
        <v>0.7, 1.3, 2.0, 2.5, 3.5</v>
      </c>
      <c r="AI434" s="428" t="b">
        <f t="array" ref="AI434">XLOOKUP(LCARS_Off[AbilityID],RawOfficer[AbilityID],RawOfficer[AbilityHasChance])</f>
        <v>0</v>
      </c>
      <c r="AJ434" s="428" t="b">
        <f t="array" ref="AJ434">XLOOKUP(LCARS_Off[AbilityID],RawOfficer[AbilityID],RawOfficer[AbilityShowPercentage])</f>
        <v>1</v>
      </c>
      <c r="AK434" s="429">
        <f t="array" ref="AK434">XLOOKUP(LCARS_Off[AbilityID],RawOfficer[AbilityID],RawOfficer[OfficerArt])</f>
        <v>261</v>
      </c>
      <c r="AL434" s="430">
        <v>3.928724152E9</v>
      </c>
      <c r="AM434" s="430">
        <f t="array" ref="AM434">XLOOKUP(LCARS_Off[AbilityID],RawOfficer[AbilityID],RawOfficer[Default Order])</f>
        <v>431</v>
      </c>
    </row>
    <row r="435">
      <c r="A435" s="429" t="str">
        <f t="array" ref="A435">LEFT(XLOOKUP(LCARS_Off[AbilityID],RawOfficer[AbilityID],RawOfficer[OfficerRarity]), 1)</f>
        <v>R</v>
      </c>
      <c r="B435" s="429"/>
      <c r="C435" s="514" t="str">
        <f t="array" ref="C435">HYPERLINK("https://stfc.space/officers/" &amp; XLOOKUP(LCARS_Off[AbilityID],RawOfficer[AbilityID],RawOfficer[OfficerId]), XLOOKUP(LCARS_Off[AbilityID],RawOfficer[AbilityID],RawOfficer[OfficerName]))</f>
        <v>T'POL</v>
      </c>
      <c r="D435" s="515" t="str">
        <f t="array" ref="D435">XLOOKUP(LCARS_Off[AbilityID],RawOfficer[AbilityID],RawOfficer[AbilityType])</f>
        <v>BDA</v>
      </c>
      <c r="E435" s="516" t="str">
        <f t="array" ref="E435">XLOOKUP(LCARS_Off[AbilityID],RawOfficer[AbilityID],RawOfficer[Tag_PvPinSpace])</f>
        <v>➖</v>
      </c>
      <c r="F435" s="516" t="str">
        <f t="array" ref="F435">XLOOKUP(LCARS_Off[AbilityID],RawOfficer[AbilityID],RawOfficer[Tag_PvPStation])</f>
        <v>➖</v>
      </c>
      <c r="G435" s="516" t="str">
        <f t="array" ref="G435">XLOOKUP(LCARS_Off[AbilityID],RawOfficer[AbilityID],RawOfficer[Tag_NonArmadaHostiles])</f>
        <v>➖</v>
      </c>
      <c r="H435" s="516" t="str">
        <f t="array" ref="H435">XLOOKUP(LCARS_Off[AbilityID],RawOfficer[AbilityID],RawOfficer[Tag_WaveDefense])</f>
        <v>➖</v>
      </c>
      <c r="I435" s="516" t="str">
        <f t="array" ref="I435">XLOOKUP(LCARS_Off[AbilityID],RawOfficer[AbilityID],RawOfficer[Tag_QTrial])</f>
        <v>➖</v>
      </c>
      <c r="J435" s="516" t="str">
        <f t="array" ref="J435">XLOOKUP(LCARS_Off[AbilityID],RawOfficer[AbilityID],RawOfficer[Tag_MissionBosses])</f>
        <v>➖</v>
      </c>
      <c r="K435" s="516" t="str">
        <f t="array" ref="K435">XLOOKUP(LCARS_Off[AbilityID],RawOfficer[AbilityID],RawOfficer[Tag_GroupArmadas])</f>
        <v>➖</v>
      </c>
      <c r="L435" s="516" t="str">
        <f t="array" ref="L435">XLOOKUP(LCARS_Off[AbilityID],RawOfficer[AbilityID],RawOfficer[Tag_SoloArmadas])</f>
        <v>➖</v>
      </c>
      <c r="M435" s="516" t="str">
        <f t="array" ref="M435">XLOOKUP(LCARS_Off[AbilityID],RawOfficer[AbilityID],RawOfficer[Tag_InvadingEntities])</f>
        <v>➖</v>
      </c>
      <c r="N435" s="516" t="str">
        <f t="array" ref="N435">XLOOKUP(LCARS_Off[AbilityID],RawOfficer[AbilityID],RawOfficer[Tag_Assaults])</f>
        <v>➖</v>
      </c>
      <c r="O435" s="516" t="str">
        <f t="array" ref="O435">XLOOKUP(LCARS_Off[AbilityID],RawOfficer[AbilityID],RawOfficer[Tag_OutpostArmadas])</f>
        <v>➖</v>
      </c>
      <c r="P435" s="516" t="str">
        <f t="array" ref="P435">XLOOKUP(LCARS_Off[AbilityID],RawOfficer[AbilityID],RawOfficer[Tag_OutpostRetaliators])</f>
        <v>➖</v>
      </c>
      <c r="Q435" s="517" t="str">
        <f t="array" ref="Q435">XLOOKUP(LCARS_Off[AbilityID],RawOfficer[AbilityID],RawOfficer[Conditional_Reason])</f>
        <v/>
      </c>
      <c r="R435" s="518" t="str">
        <f t="array" ref="R435">XLOOKUP(LCARS_Off[AbilityID],RawOfficer[AbilityID],RawOfficer[Tag_Loot])</f>
        <v>➖</v>
      </c>
      <c r="S435" s="516" t="str">
        <f t="array" ref="S435">XLOOKUP(LCARS_Off[AbilityID],RawOfficer[AbilityID],RawOfficer[Tag_Utility])</f>
        <v>✅</v>
      </c>
      <c r="T435" s="429" t="str">
        <f t="array" ref="T435">XLOOKUP(LCARS_Off[AbilityID],RawOfficer[AbilityID],RawOfficer[OfficerSynergy])</f>
        <v>ENTERPRISE NX-01</v>
      </c>
      <c r="U435" s="519" t="str">
        <f t="array" ref="U435">XLOOKUP(LCARS_Off[AbilityID],RawOfficer[AbilityID],RawOfficer[AbilityModifier])</f>
        <v>MiningRate</v>
      </c>
      <c r="V435" s="519" t="str">
        <f t="array" ref="V435">XLOOKUP(LCARS_Off[AbilityID],RawOfficer[AbilityID],RawOfficer[AbilityAttributes])</f>
        <v>resources=[1908242242, 84292608, 802509572, 2905009151, 3842158911, 1586478890]</v>
      </c>
      <c r="W435" s="520" t="str">
        <f t="array" ref="W435">XLOOKUP(LCARS_Off[AbilityID],RawOfficer[AbilityID],RawOfficer[AbilityConditions])</f>
        <v/>
      </c>
      <c r="X435" s="519" t="str">
        <f t="array" ref="X435">XLOOKUP(LCARS_Off[AbilityID],RawOfficer[AbilityID],RawOfficer[AbilityTrigger])</f>
        <v>ShipLaunched</v>
      </c>
      <c r="Y435" s="519" t="str">
        <f t="array" ref="Y435">XLOOKUP(LCARS_Off[AbilityID],RawOfficer[AbilityID],RawOfficer[AbilityTarget])</f>
        <v>SelfShip</v>
      </c>
      <c r="Z435" s="519" t="str">
        <f t="array" ref="Z435">XLOOKUP(LCARS_Off[AbilityID],RawOfficer[AbilityID],RawOfficer[AbilityOperation])</f>
        <v>MultiplyAdd</v>
      </c>
      <c r="AA435" s="521" t="str">
        <f t="array" ref="AA435">XLOOKUP(LCARS_Off[AbilityID],RawOfficer[AbilityID],RawOfficer[AbilityDescription])</f>
        <v>T'Pol increases Ore mining speed by X of base.</v>
      </c>
      <c r="AB435" s="429" t="b">
        <v>0</v>
      </c>
      <c r="AC435" s="522" t="str">
        <f t="array" ref="AC435">XLOOKUP(LCARS_Off[AbilityID],RawOfficer[AbilityID],RawOfficer[AbilityDescriptionShort])</f>
        <v>T'Pol increases Ore mining speed by X of base.</v>
      </c>
      <c r="AD435" s="523"/>
      <c r="AE435" s="524"/>
      <c r="AF435" s="524"/>
      <c r="AG435" s="525" t="str">
        <f t="array" ref="AG435">XLOOKUP(LCARS_Off[AbilityID],RawOfficer[AbilityID],RawOfficer[AbilityChances])</f>
        <v>1.0, 1.0, 1.0, 1.0, 1.0</v>
      </c>
      <c r="AH435" s="525" t="str">
        <f t="array" ref="AH435">XLOOKUP(LCARS_Off[AbilityID],RawOfficer[AbilityID],RawOfficer[AbilityValues])</f>
        <v>0.5, 1.0, 2.0, 3.0, 5.0</v>
      </c>
      <c r="AI435" s="428" t="b">
        <f t="array" ref="AI435">XLOOKUP(LCARS_Off[AbilityID],RawOfficer[AbilityID],RawOfficer[AbilityHasChance])</f>
        <v>0</v>
      </c>
      <c r="AJ435" s="428" t="b">
        <f t="array" ref="AJ435">XLOOKUP(LCARS_Off[AbilityID],RawOfficer[AbilityID],RawOfficer[AbilityShowPercentage])</f>
        <v>1</v>
      </c>
      <c r="AK435" s="429">
        <f t="array" ref="AK435">XLOOKUP(LCARS_Off[AbilityID],RawOfficer[AbilityID],RawOfficer[OfficerArt])</f>
        <v>261</v>
      </c>
      <c r="AL435" s="430">
        <v>2.260526141E9</v>
      </c>
      <c r="AM435" s="430">
        <f t="array" ref="AM435">XLOOKUP(LCARS_Off[AbilityID],RawOfficer[AbilityID],RawOfficer[Default Order])</f>
        <v>432</v>
      </c>
    </row>
    <row r="436">
      <c r="A436" s="429" t="str">
        <f t="array" ref="A436">LEFT(XLOOKUP(LCARS_Off[AbilityID],RawOfficer[AbilityID],RawOfficer[OfficerRarity]), 1)</f>
        <v>E</v>
      </c>
      <c r="B436" s="429"/>
      <c r="C436" s="514" t="str">
        <f t="array" ref="C436">HYPERLINK("https://stfc.space/officers/" &amp; XLOOKUP(LCARS_Off[AbilityID],RawOfficer[AbilityID],RawOfficer[OfficerId]), XLOOKUP(LCARS_Off[AbilityID],RawOfficer[AbilityID],RawOfficer[OfficerName]))</f>
        <v>JONATHAN ARCHER</v>
      </c>
      <c r="D436" s="515" t="str">
        <f t="array" ref="D436">XLOOKUP(LCARS_Off[AbilityID],RawOfficer[AbilityID],RawOfficer[AbilityType])</f>
        <v>CM</v>
      </c>
      <c r="E436" s="516" t="str">
        <f t="array" ref="E436">XLOOKUP(LCARS_Off[AbilityID],RawOfficer[AbilityID],RawOfficer[Tag_PvPinSpace])</f>
        <v>➖</v>
      </c>
      <c r="F436" s="516" t="str">
        <f t="array" ref="F436">XLOOKUP(LCARS_Off[AbilityID],RawOfficer[AbilityID],RawOfficer[Tag_PvPStation])</f>
        <v>➖</v>
      </c>
      <c r="G436" s="516" t="str">
        <f t="array" ref="G436">XLOOKUP(LCARS_Off[AbilityID],RawOfficer[AbilityID],RawOfficer[Tag_NonArmadaHostiles])</f>
        <v>✴️</v>
      </c>
      <c r="H436" s="516" t="str">
        <f t="array" ref="H436">XLOOKUP(LCARS_Off[AbilityID],RawOfficer[AbilityID],RawOfficer[Tag_WaveDefense])</f>
        <v>➖</v>
      </c>
      <c r="I436" s="516" t="str">
        <f t="array" ref="I436">XLOOKUP(LCARS_Off[AbilityID],RawOfficer[AbilityID],RawOfficer[Tag_QTrial])</f>
        <v>➖</v>
      </c>
      <c r="J436" s="516" t="str">
        <f t="array" ref="J436">XLOOKUP(LCARS_Off[AbilityID],RawOfficer[AbilityID],RawOfficer[Tag_MissionBosses])</f>
        <v>➖</v>
      </c>
      <c r="K436" s="516" t="str">
        <f t="array" ref="K436">XLOOKUP(LCARS_Off[AbilityID],RawOfficer[AbilityID],RawOfficer[Tag_GroupArmadas])</f>
        <v>➖</v>
      </c>
      <c r="L436" s="516" t="str">
        <f t="array" ref="L436">XLOOKUP(LCARS_Off[AbilityID],RawOfficer[AbilityID],RawOfficer[Tag_SoloArmadas])</f>
        <v>➖</v>
      </c>
      <c r="M436" s="516" t="str">
        <f t="array" ref="M436">XLOOKUP(LCARS_Off[AbilityID],RawOfficer[AbilityID],RawOfficer[Tag_InvadingEntities])</f>
        <v>➖</v>
      </c>
      <c r="N436" s="516" t="str">
        <f t="array" ref="N436">XLOOKUP(LCARS_Off[AbilityID],RawOfficer[AbilityID],RawOfficer[Tag_Assaults])</f>
        <v>➖</v>
      </c>
      <c r="O436" s="516" t="str">
        <f t="array" ref="O436">XLOOKUP(LCARS_Off[AbilityID],RawOfficer[AbilityID],RawOfficer[Tag_OutpostArmadas])</f>
        <v>➖</v>
      </c>
      <c r="P436" s="516" t="str">
        <f t="array" ref="P436">XLOOKUP(LCARS_Off[AbilityID],RawOfficer[AbilityID],RawOfficer[Tag_OutpostRetaliators])</f>
        <v>➖</v>
      </c>
      <c r="Q436" s="517" t="str">
        <f t="array" ref="Q436">XLOOKUP(LCARS_Off[AbilityID],RawOfficer[AbilityID],RawOfficer[Conditional_Reason])</f>
        <v>XindiHostileLoot</v>
      </c>
      <c r="R436" s="518" t="str">
        <f t="array" ref="R436">XLOOKUP(LCARS_Off[AbilityID],RawOfficer[AbilityID],RawOfficer[Tag_Loot])</f>
        <v>✅</v>
      </c>
      <c r="S436" s="516" t="str">
        <f t="array" ref="S436">XLOOKUP(LCARS_Off[AbilityID],RawOfficer[AbilityID],RawOfficer[Tag_Utility])</f>
        <v>➖</v>
      </c>
      <c r="T436" s="429" t="str">
        <f t="array" ref="T436">XLOOKUP(LCARS_Off[AbilityID],RawOfficer[AbilityID],RawOfficer[OfficerSynergy])</f>
        <v>ENTERPRISE NX-01</v>
      </c>
      <c r="U436" s="519" t="str">
        <f t="array" ref="U436">XLOOKUP(LCARS_Off[AbilityID],RawOfficer[AbilityID],RawOfficer[AbilityModifier])</f>
        <v>XindiHostileLoot</v>
      </c>
      <c r="V436" s="519" t="str">
        <f t="array" ref="V436">XLOOKUP(LCARS_Off[AbilityID],RawOfficer[AbilityID],RawOfficer[AbilityAttributes])</f>
        <v/>
      </c>
      <c r="W436" s="520" t="str">
        <f t="array" ref="W436">XLOOKUP(LCARS_Off[AbilityID],RawOfficer[AbilityID],RawOfficer[AbilityConditions])</f>
        <v/>
      </c>
      <c r="X436" s="519" t="str">
        <f t="array" ref="X436">XLOOKUP(LCARS_Off[AbilityID],RawOfficer[AbilityID],RawOfficer[AbilityTrigger])</f>
        <v>ShipLaunched</v>
      </c>
      <c r="Y436" s="519" t="str">
        <f t="array" ref="Y436">XLOOKUP(LCARS_Off[AbilityID],RawOfficer[AbilityID],RawOfficer[AbilityTarget])</f>
        <v>SelfShip</v>
      </c>
      <c r="Z436" s="519" t="str">
        <f t="array" ref="Z436">XLOOKUP(LCARS_Off[AbilityID],RawOfficer[AbilityID],RawOfficer[AbilityOperation])</f>
        <v>MultiplyAdd</v>
      </c>
      <c r="AA436" s="521" t="str">
        <f t="array" ref="AA436">XLOOKUP(LCARS_Off[AbilityID],RawOfficer[AbilityID],RawOfficer[AbilityDescription])</f>
        <v>Increases the amount of resources you get from destroying Xindi hostiles by X.</v>
      </c>
      <c r="AB436" s="429" t="b">
        <v>0</v>
      </c>
      <c r="AC436" s="522" t="str">
        <f t="array" ref="AC436">XLOOKUP(LCARS_Off[AbilityID],RawOfficer[AbilityID],RawOfficer[AbilityDescriptionShort])</f>
        <v>Increases the amount of resources you get from destroying Xindi hostiles by X.</v>
      </c>
      <c r="AD436" s="523"/>
      <c r="AE436" s="524"/>
      <c r="AF436" s="524"/>
      <c r="AG436" s="525" t="str">
        <f t="array" ref="AG436">XLOOKUP(LCARS_Off[AbilityID],RawOfficer[AbilityID],RawOfficer[AbilityChances])</f>
        <v>1.0, 1.0, 1.0</v>
      </c>
      <c r="AH436" s="525" t="str">
        <f t="array" ref="AH436">XLOOKUP(LCARS_Off[AbilityID],RawOfficer[AbilityID],RawOfficer[AbilityValues])</f>
        <v>3.0, 0.5, 1.0</v>
      </c>
      <c r="AI436" s="428" t="b">
        <f t="array" ref="AI436">XLOOKUP(LCARS_Off[AbilityID],RawOfficer[AbilityID],RawOfficer[AbilityHasChance])</f>
        <v>0</v>
      </c>
      <c r="AJ436" s="428" t="b">
        <f t="array" ref="AJ436">XLOOKUP(LCARS_Off[AbilityID],RawOfficer[AbilityID],RawOfficer[AbilityShowPercentage])</f>
        <v>1</v>
      </c>
      <c r="AK436" s="429">
        <f t="array" ref="AK436">XLOOKUP(LCARS_Off[AbilityID],RawOfficer[AbilityID],RawOfficer[OfficerArt])</f>
        <v>263</v>
      </c>
      <c r="AL436" s="430">
        <v>4.50725998E8</v>
      </c>
      <c r="AM436" s="430">
        <f t="array" ref="AM436">XLOOKUP(LCARS_Off[AbilityID],RawOfficer[AbilityID],RawOfficer[Default Order])</f>
        <v>433</v>
      </c>
    </row>
    <row r="437">
      <c r="A437" s="429" t="str">
        <f t="array" ref="A437">LEFT(XLOOKUP(LCARS_Off[AbilityID],RawOfficer[AbilityID],RawOfficer[OfficerRarity]), 1)</f>
        <v>E</v>
      </c>
      <c r="B437" s="429"/>
      <c r="C437" s="514" t="str">
        <f t="array" ref="C437">HYPERLINK("https://stfc.space/officers/" &amp; XLOOKUP(LCARS_Off[AbilityID],RawOfficer[AbilityID],RawOfficer[OfficerId]), XLOOKUP(LCARS_Off[AbilityID],RawOfficer[AbilityID],RawOfficer[OfficerName]))</f>
        <v>JONATHAN ARCHER</v>
      </c>
      <c r="D437" s="515" t="str">
        <f t="array" ref="D437">XLOOKUP(LCARS_Off[AbilityID],RawOfficer[AbilityID],RawOfficer[AbilityType])</f>
        <v>OA</v>
      </c>
      <c r="E437" s="516" t="str">
        <f t="array" ref="E437">XLOOKUP(LCARS_Off[AbilityID],RawOfficer[AbilityID],RawOfficer[Tag_PvPinSpace])</f>
        <v>✅</v>
      </c>
      <c r="F437" s="516" t="str">
        <f t="array" ref="F437">XLOOKUP(LCARS_Off[AbilityID],RawOfficer[AbilityID],RawOfficer[Tag_PvPStation])</f>
        <v>✅</v>
      </c>
      <c r="G437" s="516" t="str">
        <f t="array" ref="G437">XLOOKUP(LCARS_Off[AbilityID],RawOfficer[AbilityID],RawOfficer[Tag_NonArmadaHostiles])</f>
        <v>✅</v>
      </c>
      <c r="H437" s="516" t="str">
        <f t="array" ref="H437">XLOOKUP(LCARS_Off[AbilityID],RawOfficer[AbilityID],RawOfficer[Tag_WaveDefense])</f>
        <v>✅</v>
      </c>
      <c r="I437" s="516" t="str">
        <f t="array" ref="I437">XLOOKUP(LCARS_Off[AbilityID],RawOfficer[AbilityID],RawOfficer[Tag_QTrial])</f>
        <v>✅</v>
      </c>
      <c r="J437" s="516" t="str">
        <f t="array" ref="J437">XLOOKUP(LCARS_Off[AbilityID],RawOfficer[AbilityID],RawOfficer[Tag_MissionBosses])</f>
        <v>✅</v>
      </c>
      <c r="K437" s="516" t="str">
        <f t="array" ref="K437">XLOOKUP(LCARS_Off[AbilityID],RawOfficer[AbilityID],RawOfficer[Tag_GroupArmadas])</f>
        <v>➖</v>
      </c>
      <c r="L437" s="516" t="str">
        <f t="array" ref="L437">XLOOKUP(LCARS_Off[AbilityID],RawOfficer[AbilityID],RawOfficer[Tag_SoloArmadas])</f>
        <v>➖</v>
      </c>
      <c r="M437" s="516" t="str">
        <f t="array" ref="M437">XLOOKUP(LCARS_Off[AbilityID],RawOfficer[AbilityID],RawOfficer[Tag_InvadingEntities])</f>
        <v>➖</v>
      </c>
      <c r="N437" s="516" t="str">
        <f t="array" ref="N437">XLOOKUP(LCARS_Off[AbilityID],RawOfficer[AbilityID],RawOfficer[Tag_Assaults])</f>
        <v>➖</v>
      </c>
      <c r="O437" s="516" t="str">
        <f t="array" ref="O437">XLOOKUP(LCARS_Off[AbilityID],RawOfficer[AbilityID],RawOfficer[Tag_OutpostArmadas])</f>
        <v>✅</v>
      </c>
      <c r="P437" s="516" t="str">
        <f t="array" ref="P437">XLOOKUP(LCARS_Off[AbilityID],RawOfficer[AbilityID],RawOfficer[Tag_OutpostRetaliators])</f>
        <v>✅</v>
      </c>
      <c r="Q437" s="517" t="str">
        <f t="array" ref="Q437">XLOOKUP(LCARS_Off[AbilityID],RawOfficer[AbilityID],RawOfficer[Conditional_Reason])</f>
        <v/>
      </c>
      <c r="R437" s="518" t="str">
        <f t="array" ref="R437">XLOOKUP(LCARS_Off[AbilityID],RawOfficer[AbilityID],RawOfficer[Tag_Loot])</f>
        <v>➖</v>
      </c>
      <c r="S437" s="516" t="str">
        <f t="array" ref="S437">XLOOKUP(LCARS_Off[AbilityID],RawOfficer[AbilityID],RawOfficer[Tag_Utility])</f>
        <v>➖</v>
      </c>
      <c r="T437" s="429" t="str">
        <f t="array" ref="T437">XLOOKUP(LCARS_Off[AbilityID],RawOfficer[AbilityID],RawOfficer[OfficerSynergy])</f>
        <v>ENTERPRISE NX-01</v>
      </c>
      <c r="U437" s="519" t="str">
        <f t="array" ref="U437">XLOOKUP(LCARS_Off[AbilityID],RawOfficer[AbilityID],RawOfficer[AbilityModifier])</f>
        <v>CritDamage</v>
      </c>
      <c r="V437" s="519" t="str">
        <f t="array" ref="V437">XLOOKUP(LCARS_Off[AbilityID],RawOfficer[AbilityID],RawOfficer[AbilityAttributes])</f>
        <v>num_rounds=2</v>
      </c>
      <c r="W437" s="520" t="str">
        <f t="array" ref="W437">XLOOKUP(LCARS_Off[AbilityID],RawOfficer[AbilityID],RawOfficer[AbilityConditions])</f>
        <v>TargetNotArmada, TargetNotASB</v>
      </c>
      <c r="X437" s="519" t="str">
        <f t="array" ref="X437">XLOOKUP(LCARS_Off[AbilityID],RawOfficer[AbilityID],RawOfficer[AbilityTrigger])</f>
        <v>HitTaken</v>
      </c>
      <c r="Y437" s="519" t="str">
        <f t="array" ref="Y437">XLOOKUP(LCARS_Off[AbilityID],RawOfficer[AbilityID],RawOfficer[AbilityTarget])</f>
        <v>SelfShip</v>
      </c>
      <c r="Z437" s="519" t="str">
        <f t="array" ref="Z437">XLOOKUP(LCARS_Off[AbilityID],RawOfficer[AbilityID],RawOfficer[AbilityOperation])</f>
        <v>Add</v>
      </c>
      <c r="AA437" s="521" t="str">
        <f t="array" ref="AA437">XLOOKUP(LCARS_Off[AbilityID],RawOfficer[AbilityID],RawOfficer[AbilityDescription])</f>
        <v>When you take damage from a hostile or another player, Jonathan Archer increases your Critical Hit damage by X (X at rank X) for 2 rounds. (This ability can stack) (Does not trigger at Armadas or Assaults) (Weapons with multiple shots will only trigger this ability once per attack)</v>
      </c>
      <c r="AB437" s="429" t="b">
        <v>0</v>
      </c>
      <c r="AC437" s="522" t="str">
        <f t="array" ref="AC437">XLOOKUP(LCARS_Off[AbilityID],RawOfficer[AbilityID],RawOfficer[AbilityDescriptionShort])</f>
        <v>Increase your Critical Hit damage by X for 2 rounds when hit. Effects are cumulative.</v>
      </c>
      <c r="AD437" s="523"/>
      <c r="AE437" s="524"/>
      <c r="AF437" s="524"/>
      <c r="AG437" s="525" t="str">
        <f t="array" ref="AG437">XLOOKUP(LCARS_Off[AbilityID],RawOfficer[AbilityID],RawOfficer[AbilityChances])</f>
        <v>1.0, 1.0, 1.0, 1.0, 1.0</v>
      </c>
      <c r="AH437" s="525" t="str">
        <f t="array" ref="AH437">XLOOKUP(LCARS_Off[AbilityID],RawOfficer[AbilityID],RawOfficer[AbilityValues])</f>
        <v>0.05, 0.1, 0.2, 0.3, 0.5</v>
      </c>
      <c r="AI437" s="428" t="b">
        <f t="array" ref="AI437">XLOOKUP(LCARS_Off[AbilityID],RawOfficer[AbilityID],RawOfficer[AbilityHasChance])</f>
        <v>0</v>
      </c>
      <c r="AJ437" s="428" t="b">
        <f t="array" ref="AJ437">XLOOKUP(LCARS_Off[AbilityID],RawOfficer[AbilityID],RawOfficer[AbilityShowPercentage])</f>
        <v>1</v>
      </c>
      <c r="AK437" s="429">
        <f t="array" ref="AK437">XLOOKUP(LCARS_Off[AbilityID],RawOfficer[AbilityID],RawOfficer[OfficerArt])</f>
        <v>263</v>
      </c>
      <c r="AL437" s="430">
        <v>1.001707675E9</v>
      </c>
      <c r="AM437" s="430">
        <f t="array" ref="AM437">XLOOKUP(LCARS_Off[AbilityID],RawOfficer[AbilityID],RawOfficer[Default Order])</f>
        <v>434</v>
      </c>
    </row>
    <row r="438">
      <c r="A438" s="429" t="str">
        <f t="array" ref="A438">LEFT(XLOOKUP(LCARS_Off[AbilityID],RawOfficer[AbilityID],RawOfficer[OfficerRarity]), 1)</f>
        <v>R</v>
      </c>
      <c r="B438" s="429"/>
      <c r="C438" s="514" t="str">
        <f t="array" ref="C438">HYPERLINK("https://stfc.space/officers/" &amp; XLOOKUP(LCARS_Off[AbilityID],RawOfficer[AbilityID],RawOfficer[OfficerId]), XLOOKUP(LCARS_Off[AbilityID],RawOfficer[AbilityID],RawOfficer[OfficerName]))</f>
        <v>SHRAN</v>
      </c>
      <c r="D438" s="515" t="str">
        <f t="array" ref="D438">XLOOKUP(LCARS_Off[AbilityID],RawOfficer[AbilityID],RawOfficer[AbilityType])</f>
        <v>OA</v>
      </c>
      <c r="E438" s="516" t="str">
        <f t="array" ref="E438">XLOOKUP(LCARS_Off[AbilityID],RawOfficer[AbilityID],RawOfficer[Tag_PvPinSpace])</f>
        <v>➖</v>
      </c>
      <c r="F438" s="516" t="str">
        <f t="array" ref="F438">XLOOKUP(LCARS_Off[AbilityID],RawOfficer[AbilityID],RawOfficer[Tag_PvPStation])</f>
        <v>➖</v>
      </c>
      <c r="G438" s="516" t="str">
        <f t="array" ref="G438">XLOOKUP(LCARS_Off[AbilityID],RawOfficer[AbilityID],RawOfficer[Tag_NonArmadaHostiles])</f>
        <v>➖</v>
      </c>
      <c r="H438" s="516" t="str">
        <f t="array" ref="H438">XLOOKUP(LCARS_Off[AbilityID],RawOfficer[AbilityID],RawOfficer[Tag_WaveDefense])</f>
        <v>➖</v>
      </c>
      <c r="I438" s="516" t="str">
        <f t="array" ref="I438">XLOOKUP(LCARS_Off[AbilityID],RawOfficer[AbilityID],RawOfficer[Tag_QTrial])</f>
        <v>➖</v>
      </c>
      <c r="J438" s="516" t="str">
        <f t="array" ref="J438">XLOOKUP(LCARS_Off[AbilityID],RawOfficer[AbilityID],RawOfficer[Tag_MissionBosses])</f>
        <v>➖</v>
      </c>
      <c r="K438" s="516" t="str">
        <f t="array" ref="K438">XLOOKUP(LCARS_Off[AbilityID],RawOfficer[AbilityID],RawOfficer[Tag_GroupArmadas])</f>
        <v>➖</v>
      </c>
      <c r="L438" s="516" t="str">
        <f t="array" ref="L438">XLOOKUP(LCARS_Off[AbilityID],RawOfficer[AbilityID],RawOfficer[Tag_SoloArmadas])</f>
        <v>➖</v>
      </c>
      <c r="M438" s="516" t="str">
        <f t="array" ref="M438">XLOOKUP(LCARS_Off[AbilityID],RawOfficer[AbilityID],RawOfficer[Tag_InvadingEntities])</f>
        <v>➖</v>
      </c>
      <c r="N438" s="516" t="str">
        <f t="array" ref="N438">XLOOKUP(LCARS_Off[AbilityID],RawOfficer[AbilityID],RawOfficer[Tag_Assaults])</f>
        <v>➖</v>
      </c>
      <c r="O438" s="516" t="str">
        <f t="array" ref="O438">XLOOKUP(LCARS_Off[AbilityID],RawOfficer[AbilityID],RawOfficer[Tag_OutpostArmadas])</f>
        <v>➖</v>
      </c>
      <c r="P438" s="516" t="str">
        <f t="array" ref="P438">XLOOKUP(LCARS_Off[AbilityID],RawOfficer[AbilityID],RawOfficer[Tag_OutpostRetaliators])</f>
        <v>➖</v>
      </c>
      <c r="Q438" s="517" t="str">
        <f t="array" ref="Q438">XLOOKUP(LCARS_Off[AbilityID],RawOfficer[AbilityID],RawOfficer[Conditional_Reason])</f>
        <v/>
      </c>
      <c r="R438" s="518" t="str">
        <f t="array" ref="R438">XLOOKUP(LCARS_Off[AbilityID],RawOfficer[AbilityID],RawOfficer[Tag_Loot])</f>
        <v>➖</v>
      </c>
      <c r="S438" s="516" t="str">
        <f t="array" ref="S438">XLOOKUP(LCARS_Off[AbilityID],RawOfficer[AbilityID],RawOfficer[Tag_Utility])</f>
        <v>✅</v>
      </c>
      <c r="T438" s="429" t="str">
        <f t="array" ref="T438">XLOOKUP(LCARS_Off[AbilityID],RawOfficer[AbilityID],RawOfficer[OfficerSynergy])</f>
        <v>ENTERPRISE NX-01</v>
      </c>
      <c r="U438" s="519" t="str">
        <f t="array" ref="U438">XLOOKUP(LCARS_Off[AbilityID],RawOfficer[AbilityID],RawOfficer[AbilityModifier])</f>
        <v>WarpSpeed</v>
      </c>
      <c r="V438" s="519" t="str">
        <f t="array" ref="V438">XLOOKUP(LCARS_Off[AbilityID],RawOfficer[AbilityID],RawOfficer[AbilityAttributes])</f>
        <v/>
      </c>
      <c r="W438" s="520" t="str">
        <f t="array" ref="W438">XLOOKUP(LCARS_Off[AbilityID],RawOfficer[AbilityID],RawOfficer[AbilityConditions])</f>
        <v/>
      </c>
      <c r="X438" s="519" t="str">
        <f t="array" ref="X438">XLOOKUP(LCARS_Off[AbilityID],RawOfficer[AbilityID],RawOfficer[AbilityTrigger])</f>
        <v>ShipLaunched</v>
      </c>
      <c r="Y438" s="519" t="str">
        <f t="array" ref="Y438">XLOOKUP(LCARS_Off[AbilityID],RawOfficer[AbilityID],RawOfficer[AbilityTarget])</f>
        <v>SelfShip</v>
      </c>
      <c r="Z438" s="519" t="str">
        <f t="array" ref="Z438">XLOOKUP(LCARS_Off[AbilityID],RawOfficer[AbilityID],RawOfficer[AbilityOperation])</f>
        <v>MultiplyAdd</v>
      </c>
      <c r="AA438" s="521" t="str">
        <f t="array" ref="AA438">XLOOKUP(LCARS_Off[AbilityID],RawOfficer[AbilityID],RawOfficer[AbilityDescription])</f>
        <v>Shran increases base Warp Speed by X (X at rank X).</v>
      </c>
      <c r="AB438" s="429" t="b">
        <v>0</v>
      </c>
      <c r="AC438" s="522" t="str">
        <f t="array" ref="AC438">XLOOKUP(LCARS_Off[AbilityID],RawOfficer[AbilityID],RawOfficer[AbilityDescriptionShort])</f>
        <v>Shran increases base Warp Speed by X.</v>
      </c>
      <c r="AD438" s="523"/>
      <c r="AE438" s="524"/>
      <c r="AF438" s="524"/>
      <c r="AG438" s="525" t="str">
        <f t="array" ref="AG438">XLOOKUP(LCARS_Off[AbilityID],RawOfficer[AbilityID],RawOfficer[AbilityChances])</f>
        <v>1.0, 1.0, 1.0, 1.0, 1.0</v>
      </c>
      <c r="AH438" s="525" t="str">
        <f t="array" ref="AH438">XLOOKUP(LCARS_Off[AbilityID],RawOfficer[AbilityID],RawOfficer[AbilityValues])</f>
        <v>0.6, 0.9, 1.2, 1.6, 2.0</v>
      </c>
      <c r="AI438" s="428" t="b">
        <f t="array" ref="AI438">XLOOKUP(LCARS_Off[AbilityID],RawOfficer[AbilityID],RawOfficer[AbilityHasChance])</f>
        <v>0</v>
      </c>
      <c r="AJ438" s="428" t="b">
        <f t="array" ref="AJ438">XLOOKUP(LCARS_Off[AbilityID],RawOfficer[AbilityID],RawOfficer[AbilityShowPercentage])</f>
        <v>1</v>
      </c>
      <c r="AK438" s="429">
        <f t="array" ref="AK438">XLOOKUP(LCARS_Off[AbilityID],RawOfficer[AbilityID],RawOfficer[OfficerArt])</f>
        <v>264</v>
      </c>
      <c r="AL438" s="430">
        <v>2.449610397E9</v>
      </c>
      <c r="AM438" s="430">
        <f t="array" ref="AM438">XLOOKUP(LCARS_Off[AbilityID],RawOfficer[AbilityID],RawOfficer[Default Order])</f>
        <v>435</v>
      </c>
    </row>
    <row r="439">
      <c r="A439" s="429" t="str">
        <f t="array" ref="A439">LEFT(XLOOKUP(LCARS_Off[AbilityID],RawOfficer[AbilityID],RawOfficer[OfficerRarity]), 1)</f>
        <v>R</v>
      </c>
      <c r="B439" s="429"/>
      <c r="C439" s="514" t="str">
        <f t="array" ref="C439">HYPERLINK("https://stfc.space/officers/" &amp; XLOOKUP(LCARS_Off[AbilityID],RawOfficer[AbilityID],RawOfficer[OfficerId]), XLOOKUP(LCARS_Off[AbilityID],RawOfficer[AbilityID],RawOfficer[OfficerName]))</f>
        <v>SHRAN</v>
      </c>
      <c r="D439" s="515" t="str">
        <f t="array" ref="D439">XLOOKUP(LCARS_Off[AbilityID],RawOfficer[AbilityID],RawOfficer[AbilityType])</f>
        <v>BDA</v>
      </c>
      <c r="E439" s="516" t="str">
        <f t="array" ref="E439">XLOOKUP(LCARS_Off[AbilityID],RawOfficer[AbilityID],RawOfficer[Tag_PvPinSpace])</f>
        <v>➖</v>
      </c>
      <c r="F439" s="516" t="str">
        <f t="array" ref="F439">XLOOKUP(LCARS_Off[AbilityID],RawOfficer[AbilityID],RawOfficer[Tag_PvPStation])</f>
        <v>➖</v>
      </c>
      <c r="G439" s="516" t="str">
        <f t="array" ref="G439">XLOOKUP(LCARS_Off[AbilityID],RawOfficer[AbilityID],RawOfficer[Tag_NonArmadaHostiles])</f>
        <v>➖</v>
      </c>
      <c r="H439" s="516" t="str">
        <f t="array" ref="H439">XLOOKUP(LCARS_Off[AbilityID],RawOfficer[AbilityID],RawOfficer[Tag_WaveDefense])</f>
        <v>➖</v>
      </c>
      <c r="I439" s="516" t="str">
        <f t="array" ref="I439">XLOOKUP(LCARS_Off[AbilityID],RawOfficer[AbilityID],RawOfficer[Tag_QTrial])</f>
        <v>➖</v>
      </c>
      <c r="J439" s="516" t="str">
        <f t="array" ref="J439">XLOOKUP(LCARS_Off[AbilityID],RawOfficer[AbilityID],RawOfficer[Tag_MissionBosses])</f>
        <v>➖</v>
      </c>
      <c r="K439" s="516" t="str">
        <f t="array" ref="K439">XLOOKUP(LCARS_Off[AbilityID],RawOfficer[AbilityID],RawOfficer[Tag_GroupArmadas])</f>
        <v>➖</v>
      </c>
      <c r="L439" s="516" t="str">
        <f t="array" ref="L439">XLOOKUP(LCARS_Off[AbilityID],RawOfficer[AbilityID],RawOfficer[Tag_SoloArmadas])</f>
        <v>➖</v>
      </c>
      <c r="M439" s="516" t="str">
        <f t="array" ref="M439">XLOOKUP(LCARS_Off[AbilityID],RawOfficer[AbilityID],RawOfficer[Tag_InvadingEntities])</f>
        <v>➖</v>
      </c>
      <c r="N439" s="516" t="str">
        <f t="array" ref="N439">XLOOKUP(LCARS_Off[AbilityID],RawOfficer[AbilityID],RawOfficer[Tag_Assaults])</f>
        <v>➖</v>
      </c>
      <c r="O439" s="516" t="str">
        <f t="array" ref="O439">XLOOKUP(LCARS_Off[AbilityID],RawOfficer[AbilityID],RawOfficer[Tag_OutpostArmadas])</f>
        <v>➖</v>
      </c>
      <c r="P439" s="516" t="str">
        <f t="array" ref="P439">XLOOKUP(LCARS_Off[AbilityID],RawOfficer[AbilityID],RawOfficer[Tag_OutpostRetaliators])</f>
        <v>➖</v>
      </c>
      <c r="Q439" s="517" t="str">
        <f t="array" ref="Q439">XLOOKUP(LCARS_Off[AbilityID],RawOfficer[AbilityID],RawOfficer[Conditional_Reason])</f>
        <v/>
      </c>
      <c r="R439" s="518" t="str">
        <f t="array" ref="R439">XLOOKUP(LCARS_Off[AbilityID],RawOfficer[AbilityID],RawOfficer[Tag_Loot])</f>
        <v>➖</v>
      </c>
      <c r="S439" s="516" t="str">
        <f t="array" ref="S439">XLOOKUP(LCARS_Off[AbilityID],RawOfficer[AbilityID],RawOfficer[Tag_Utility])</f>
        <v>✅</v>
      </c>
      <c r="T439" s="429" t="str">
        <f t="array" ref="T439">XLOOKUP(LCARS_Off[AbilityID],RawOfficer[AbilityID],RawOfficer[OfficerSynergy])</f>
        <v>ENTERPRISE NX-01</v>
      </c>
      <c r="U439" s="519" t="str">
        <f t="array" ref="U439">XLOOKUP(LCARS_Off[AbilityID],RawOfficer[AbilityID],RawOfficer[AbilityModifier])</f>
        <v>MiningRate</v>
      </c>
      <c r="V439" s="519" t="str">
        <f t="array" ref="V439">XLOOKUP(LCARS_Off[AbilityID],RawOfficer[AbilityID],RawOfficer[AbilityAttributes])</f>
        <v>resources=[1371898528, 680796905, 3735331456, 3598797204, 3739531165, 2285412015]</v>
      </c>
      <c r="W439" s="520" t="str">
        <f t="array" ref="W439">XLOOKUP(LCARS_Off[AbilityID],RawOfficer[AbilityID],RawOfficer[AbilityConditions])</f>
        <v/>
      </c>
      <c r="X439" s="519" t="str">
        <f t="array" ref="X439">XLOOKUP(LCARS_Off[AbilityID],RawOfficer[AbilityID],RawOfficer[AbilityTrigger])</f>
        <v>ShipLaunched</v>
      </c>
      <c r="Y439" s="519" t="str">
        <f t="array" ref="Y439">XLOOKUP(LCARS_Off[AbilityID],RawOfficer[AbilityID],RawOfficer[AbilityTarget])</f>
        <v>SelfShip</v>
      </c>
      <c r="Z439" s="519" t="str">
        <f t="array" ref="Z439">XLOOKUP(LCARS_Off[AbilityID],RawOfficer[AbilityID],RawOfficer[AbilityOperation])</f>
        <v>MultiplyAdd</v>
      </c>
      <c r="AA439" s="521" t="str">
        <f t="array" ref="AA439">XLOOKUP(LCARS_Off[AbilityID],RawOfficer[AbilityID],RawOfficer[AbilityDescription])</f>
        <v>Shran increases Crystal mining speed by X (X at rank X) of base.</v>
      </c>
      <c r="AB439" s="429" t="b">
        <v>0</v>
      </c>
      <c r="AC439" s="522" t="str">
        <f t="array" ref="AC439">XLOOKUP(LCARS_Off[AbilityID],RawOfficer[AbilityID],RawOfficer[AbilityDescriptionShort])</f>
        <v>Shran increases Crystal mining speed by X of base.</v>
      </c>
      <c r="AD439" s="523"/>
      <c r="AE439" s="524"/>
      <c r="AF439" s="524"/>
      <c r="AG439" s="525" t="str">
        <f t="array" ref="AG439">XLOOKUP(LCARS_Off[AbilityID],RawOfficer[AbilityID],RawOfficer[AbilityChances])</f>
        <v>1.0, 1.0, 1.0, 1.0, 1.0</v>
      </c>
      <c r="AH439" s="525" t="str">
        <f t="array" ref="AH439">XLOOKUP(LCARS_Off[AbilityID],RawOfficer[AbilityID],RawOfficer[AbilityValues])</f>
        <v>0.5, 1.0, 2.0, 3.0, 5.0</v>
      </c>
      <c r="AI439" s="428" t="b">
        <f t="array" ref="AI439">XLOOKUP(LCARS_Off[AbilityID],RawOfficer[AbilityID],RawOfficer[AbilityHasChance])</f>
        <v>0</v>
      </c>
      <c r="AJ439" s="428" t="b">
        <f t="array" ref="AJ439">XLOOKUP(LCARS_Off[AbilityID],RawOfficer[AbilityID],RawOfficer[AbilityShowPercentage])</f>
        <v>1</v>
      </c>
      <c r="AK439" s="429">
        <f t="array" ref="AK439">XLOOKUP(LCARS_Off[AbilityID],RawOfficer[AbilityID],RawOfficer[OfficerArt])</f>
        <v>264</v>
      </c>
      <c r="AL439" s="430">
        <v>1.499364395E9</v>
      </c>
      <c r="AM439" s="430">
        <f t="array" ref="AM439">XLOOKUP(LCARS_Off[AbilityID],RawOfficer[AbilityID],RawOfficer[Default Order])</f>
        <v>436</v>
      </c>
    </row>
    <row r="440">
      <c r="A440" s="429" t="str">
        <f t="array" ref="A440">LEFT(XLOOKUP(LCARS_Off[AbilityID],RawOfficer[AbilityID],RawOfficer[OfficerRarity]), 1)</f>
        <v>E</v>
      </c>
      <c r="B440" s="429"/>
      <c r="C440" s="514" t="str">
        <f t="array" ref="C440">HYPERLINK("https://stfc.space/officers/" &amp; XLOOKUP(LCARS_Off[AbilityID],RawOfficer[AbilityID],RawOfficer[OfficerId]), XLOOKUP(LCARS_Off[AbilityID],RawOfficer[AbilityID],RawOfficer[OfficerName]))</f>
        <v>PIC HUGH</v>
      </c>
      <c r="D440" s="515" t="str">
        <f t="array" ref="D440">XLOOKUP(LCARS_Off[AbilityID],RawOfficer[AbilityID],RawOfficer[AbilityType])</f>
        <v>OA</v>
      </c>
      <c r="E440" s="516" t="str">
        <f t="array" ref="E440">XLOOKUP(LCARS_Off[AbilityID],RawOfficer[AbilityID],RawOfficer[Tag_PvPinSpace])</f>
        <v>➖</v>
      </c>
      <c r="F440" s="516" t="str">
        <f t="array" ref="F440">XLOOKUP(LCARS_Off[AbilityID],RawOfficer[AbilityID],RawOfficer[Tag_PvPStation])</f>
        <v>➖</v>
      </c>
      <c r="G440" s="516" t="str">
        <f t="array" ref="G440">XLOOKUP(LCARS_Off[AbilityID],RawOfficer[AbilityID],RawOfficer[Tag_NonArmadaHostiles])</f>
        <v>➖</v>
      </c>
      <c r="H440" s="516" t="str">
        <f t="array" ref="H440">XLOOKUP(LCARS_Off[AbilityID],RawOfficer[AbilityID],RawOfficer[Tag_WaveDefense])</f>
        <v>➖</v>
      </c>
      <c r="I440" s="516" t="str">
        <f t="array" ref="I440">XLOOKUP(LCARS_Off[AbilityID],RawOfficer[AbilityID],RawOfficer[Tag_QTrial])</f>
        <v>➖</v>
      </c>
      <c r="J440" s="516" t="str">
        <f t="array" ref="J440">XLOOKUP(LCARS_Off[AbilityID],RawOfficer[AbilityID],RawOfficer[Tag_MissionBosses])</f>
        <v>➖</v>
      </c>
      <c r="K440" s="516" t="str">
        <f t="array" ref="K440">XLOOKUP(LCARS_Off[AbilityID],RawOfficer[AbilityID],RawOfficer[Tag_GroupArmadas])</f>
        <v>➖</v>
      </c>
      <c r="L440" s="516" t="str">
        <f t="array" ref="L440">XLOOKUP(LCARS_Off[AbilityID],RawOfficer[AbilityID],RawOfficer[Tag_SoloArmadas])</f>
        <v>➖</v>
      </c>
      <c r="M440" s="516" t="str">
        <f t="array" ref="M440">XLOOKUP(LCARS_Off[AbilityID],RawOfficer[AbilityID],RawOfficer[Tag_InvadingEntities])</f>
        <v>➖</v>
      </c>
      <c r="N440" s="516" t="str">
        <f t="array" ref="N440">XLOOKUP(LCARS_Off[AbilityID],RawOfficer[AbilityID],RawOfficer[Tag_Assaults])</f>
        <v>➖</v>
      </c>
      <c r="O440" s="516" t="str">
        <f t="array" ref="O440">XLOOKUP(LCARS_Off[AbilityID],RawOfficer[AbilityID],RawOfficer[Tag_OutpostArmadas])</f>
        <v>➖</v>
      </c>
      <c r="P440" s="516" t="str">
        <f t="array" ref="P440">XLOOKUP(LCARS_Off[AbilityID],RawOfficer[AbilityID],RawOfficer[Tag_OutpostRetaliators])</f>
        <v>➖</v>
      </c>
      <c r="Q440" s="517" t="str">
        <f t="array" ref="Q440">XLOOKUP(LCARS_Off[AbilityID],RawOfficer[AbilityID],RawOfficer[Conditional_Reason])</f>
        <v/>
      </c>
      <c r="R440" s="518" t="str">
        <f t="array" ref="R440">XLOOKUP(LCARS_Off[AbilityID],RawOfficer[AbilityID],RawOfficer[Tag_Loot])</f>
        <v>➖</v>
      </c>
      <c r="S440" s="516" t="str">
        <f t="array" ref="S440">XLOOKUP(LCARS_Off[AbilityID],RawOfficer[AbilityID],RawOfficer[Tag_Utility])</f>
        <v>✅</v>
      </c>
      <c r="T440" s="429" t="str">
        <f t="array" ref="T440">XLOOKUP(LCARS_Off[AbilityID],RawOfficer[AbilityID],RawOfficer[OfficerSynergy])</f>
        <v>EX-BORG</v>
      </c>
      <c r="U440" s="519" t="str">
        <f t="array" ref="U440">XLOOKUP(LCARS_Off[AbilityID],RawOfficer[AbilityID],RawOfficer[AbilityModifier])</f>
        <v>MiningReward</v>
      </c>
      <c r="V440" s="519" t="str">
        <f t="array" ref="V440">XLOOKUP(LCARS_Off[AbilityID],RawOfficer[AbilityID],RawOfficer[AbilityAttributes])</f>
        <v>resources=[1371898528, 680796905, 3735331456, 3598797204, 3739531165, 96209859, 1779416627, 2964093937, 1349464922, 2002611017, 1908242242, 84292608, 802509572, 2905009151, 3842158911, 1586478890, 296474010, 2285412015]</v>
      </c>
      <c r="W440" s="520" t="str">
        <f t="array" ref="W440">XLOOKUP(LCARS_Off[AbilityID],RawOfficer[AbilityID],RawOfficer[AbilityConditions])</f>
        <v/>
      </c>
      <c r="X440" s="519" t="str">
        <f t="array" ref="X440">XLOOKUP(LCARS_Off[AbilityID],RawOfficer[AbilityID],RawOfficer[AbilityTrigger])</f>
        <v>ShipLaunched</v>
      </c>
      <c r="Y440" s="519" t="str">
        <f t="array" ref="Y440">XLOOKUP(LCARS_Off[AbilityID],RawOfficer[AbilityID],RawOfficer[AbilityTarget])</f>
        <v>SelfShip</v>
      </c>
      <c r="Z440" s="519" t="str">
        <f t="array" ref="Z440">XLOOKUP(LCARS_Off[AbilityID],RawOfficer[AbilityID],RawOfficer[AbilityOperation])</f>
        <v>MultiplyAdd</v>
      </c>
      <c r="AA440" s="521" t="str">
        <f t="array" ref="AA440">XLOOKUP(LCARS_Off[AbilityID],RawOfficer[AbilityID],RawOfficer[AbilityDescription])</f>
        <v>Increase the amount of raw Ore, Crystal and Gas collected while mining with any ship by an extra X (X at rank X), without draining the mining node faster.</v>
      </c>
      <c r="AB440" s="429" t="b">
        <v>0</v>
      </c>
      <c r="AC440" s="522" t="str">
        <f t="array" ref="AC440">XLOOKUP(LCARS_Off[AbilityID],RawOfficer[AbilityID],RawOfficer[AbilityDescriptionShort])</f>
        <v>Increase the amount of raw Ore, Crystal or Gas mined by an extra X, without draining the mining node faster.</v>
      </c>
      <c r="AD440" s="523"/>
      <c r="AE440" s="524"/>
      <c r="AF440" s="524"/>
      <c r="AG440" s="525" t="str">
        <f t="array" ref="AG440">XLOOKUP(LCARS_Off[AbilityID],RawOfficer[AbilityID],RawOfficer[AbilityChances])</f>
        <v>1.0, 1.0, 1.0, 1.0, 1.0</v>
      </c>
      <c r="AH440" s="525" t="str">
        <f t="array" ref="AH440">XLOOKUP(LCARS_Off[AbilityID],RawOfficer[AbilityID],RawOfficer[AbilityValues])</f>
        <v>0.05, 0.07, 0.1, 0.15, 0.25</v>
      </c>
      <c r="AI440" s="428" t="b">
        <f t="array" ref="AI440">XLOOKUP(LCARS_Off[AbilityID],RawOfficer[AbilityID],RawOfficer[AbilityHasChance])</f>
        <v>0</v>
      </c>
      <c r="AJ440" s="428" t="b">
        <f t="array" ref="AJ440">XLOOKUP(LCARS_Off[AbilityID],RawOfficer[AbilityID],RawOfficer[AbilityShowPercentage])</f>
        <v>1</v>
      </c>
      <c r="AK440" s="429">
        <f t="array" ref="AK440">XLOOKUP(LCARS_Off[AbilityID],RawOfficer[AbilityID],RawOfficer[OfficerArt])</f>
        <v>267</v>
      </c>
      <c r="AL440" s="430">
        <v>7.44425105E8</v>
      </c>
      <c r="AM440" s="430">
        <f t="array" ref="AM440">XLOOKUP(LCARS_Off[AbilityID],RawOfficer[AbilityID],RawOfficer[Default Order])</f>
        <v>437</v>
      </c>
    </row>
    <row r="441">
      <c r="A441" s="429" t="str">
        <f t="array" ref="A441">LEFT(XLOOKUP(LCARS_Off[AbilityID],RawOfficer[AbilityID],RawOfficer[OfficerRarity]), 1)</f>
        <v>E</v>
      </c>
      <c r="B441" s="429"/>
      <c r="C441" s="514" t="str">
        <f t="array" ref="C441">HYPERLINK("https://stfc.space/officers/" &amp; XLOOKUP(LCARS_Off[AbilityID],RawOfficer[AbilityID],RawOfficer[OfficerId]), XLOOKUP(LCARS_Off[AbilityID],RawOfficer[AbilityID],RawOfficer[OfficerName]))</f>
        <v>PIC HUGH</v>
      </c>
      <c r="D441" s="515" t="str">
        <f t="array" ref="D441">XLOOKUP(LCARS_Off[AbilityID],RawOfficer[AbilityID],RawOfficer[AbilityType])</f>
        <v>BDA</v>
      </c>
      <c r="E441" s="516" t="str">
        <f t="array" ref="E441">XLOOKUP(LCARS_Off[AbilityID],RawOfficer[AbilityID],RawOfficer[Tag_PvPinSpace])</f>
        <v>✅</v>
      </c>
      <c r="F441" s="516" t="str">
        <f t="array" ref="F441">XLOOKUP(LCARS_Off[AbilityID],RawOfficer[AbilityID],RawOfficer[Tag_PvPStation])</f>
        <v>✅</v>
      </c>
      <c r="G441" s="516" t="str">
        <f t="array" ref="G441">XLOOKUP(LCARS_Off[AbilityID],RawOfficer[AbilityID],RawOfficer[Tag_NonArmadaHostiles])</f>
        <v>✅</v>
      </c>
      <c r="H441" s="516" t="str">
        <f t="array" ref="H441">XLOOKUP(LCARS_Off[AbilityID],RawOfficer[AbilityID],RawOfficer[Tag_WaveDefense])</f>
        <v>✅</v>
      </c>
      <c r="I441" s="516" t="str">
        <f t="array" ref="I441">XLOOKUP(LCARS_Off[AbilityID],RawOfficer[AbilityID],RawOfficer[Tag_QTrial])</f>
        <v>✅</v>
      </c>
      <c r="J441" s="516" t="str">
        <f t="array" ref="J441">XLOOKUP(LCARS_Off[AbilityID],RawOfficer[AbilityID],RawOfficer[Tag_MissionBosses])</f>
        <v>✅</v>
      </c>
      <c r="K441" s="516" t="str">
        <f t="array" ref="K441">XLOOKUP(LCARS_Off[AbilityID],RawOfficer[AbilityID],RawOfficer[Tag_GroupArmadas])</f>
        <v>✅</v>
      </c>
      <c r="L441" s="516" t="str">
        <f t="array" ref="L441">XLOOKUP(LCARS_Off[AbilityID],RawOfficer[AbilityID],RawOfficer[Tag_SoloArmadas])</f>
        <v>✅</v>
      </c>
      <c r="M441" s="516" t="str">
        <f t="array" ref="M441">XLOOKUP(LCARS_Off[AbilityID],RawOfficer[AbilityID],RawOfficer[Tag_InvadingEntities])</f>
        <v>✅</v>
      </c>
      <c r="N441" s="516" t="str">
        <f t="array" ref="N441">XLOOKUP(LCARS_Off[AbilityID],RawOfficer[AbilityID],RawOfficer[Tag_Assaults])</f>
        <v>✅</v>
      </c>
      <c r="O441" s="516" t="str">
        <f t="array" ref="O441">XLOOKUP(LCARS_Off[AbilityID],RawOfficer[AbilityID],RawOfficer[Tag_OutpostArmadas])</f>
        <v>✅</v>
      </c>
      <c r="P441" s="516" t="str">
        <f t="array" ref="P441">XLOOKUP(LCARS_Off[AbilityID],RawOfficer[AbilityID],RawOfficer[Tag_OutpostRetaliators])</f>
        <v>✅</v>
      </c>
      <c r="Q441" s="517" t="str">
        <f t="array" ref="Q441">XLOOKUP(LCARS_Off[AbilityID],RawOfficer[AbilityID],RawOfficer[Conditional_Reason])</f>
        <v/>
      </c>
      <c r="R441" s="518" t="str">
        <f t="array" ref="R441">XLOOKUP(LCARS_Off[AbilityID],RawOfficer[AbilityID],RawOfficer[Tag_Loot])</f>
        <v>➖</v>
      </c>
      <c r="S441" s="516" t="str">
        <f t="array" ref="S441">XLOOKUP(LCARS_Off[AbilityID],RawOfficer[AbilityID],RawOfficer[Tag_Utility])</f>
        <v>➖</v>
      </c>
      <c r="T441" s="429" t="str">
        <f t="array" ref="T441">XLOOKUP(LCARS_Off[AbilityID],RawOfficer[AbilityID],RawOfficer[OfficerSynergy])</f>
        <v>EX-BORG</v>
      </c>
      <c r="U441" s="519" t="str">
        <f t="array" ref="U441">XLOOKUP(LCARS_Off[AbilityID],RawOfficer[AbilityID],RawOfficer[AbilityModifier])</f>
        <v>HullRepair</v>
      </c>
      <c r="V441" s="519" t="str">
        <f t="array" ref="V441">XLOOKUP(LCARS_Off[AbilityID],RawOfficer[AbilityID],RawOfficer[AbilityAttributes])</f>
        <v/>
      </c>
      <c r="W441" s="520" t="str">
        <f t="array" ref="W441">XLOOKUP(LCARS_Off[AbilityID],RawOfficer[AbilityID],RawOfficer[AbilityConditions])</f>
        <v/>
      </c>
      <c r="X441" s="519" t="str">
        <f t="array" ref="X441">XLOOKUP(LCARS_Off[AbilityID],RawOfficer[AbilityID],RawOfficer[AbilityTrigger])</f>
        <v>RoundEnd</v>
      </c>
      <c r="Y441" s="519" t="str">
        <f t="array" ref="Y441">XLOOKUP(LCARS_Off[AbilityID],RawOfficer[AbilityID],RawOfficer[AbilityTarget])</f>
        <v>SelfShip</v>
      </c>
      <c r="Z441" s="519" t="str">
        <f t="array" ref="Z441">XLOOKUP(LCARS_Off[AbilityID],RawOfficer[AbilityID],RawOfficer[AbilityOperation])</f>
        <v>MultiplyAdd</v>
      </c>
      <c r="AA441" s="521" t="str">
        <f t="array" ref="AA441">XLOOKUP(LCARS_Off[AbilityID],RawOfficer[AbilityID],RawOfficer[AbilityDescription])</f>
        <v>At the beginning of each round of combat Hugh repairs X (X at rank X) of hull damage taken in the previous round of combat.</v>
      </c>
      <c r="AB441" s="429" t="b">
        <v>0</v>
      </c>
      <c r="AC441" s="522" t="str">
        <f t="array" ref="AC441">XLOOKUP(LCARS_Off[AbilityID],RawOfficer[AbilityID],RawOfficer[AbilityDescriptionShort])</f>
        <v>On round start, repair +X of hull damage taken in the previous round of combat</v>
      </c>
      <c r="AD441" s="523"/>
      <c r="AE441" s="524"/>
      <c r="AF441" s="524"/>
      <c r="AG441" s="525" t="str">
        <f t="array" ref="AG441">XLOOKUP(LCARS_Off[AbilityID],RawOfficer[AbilityID],RawOfficer[AbilityChances])</f>
        <v>1.0, 1.0, 1.0, 1.0, 1.0</v>
      </c>
      <c r="AH441" s="525" t="str">
        <f t="array" ref="AH441">XLOOKUP(LCARS_Off[AbilityID],RawOfficer[AbilityID],RawOfficer[AbilityValues])</f>
        <v>0.05, 0.1, 0.15, 0.2, 0.35</v>
      </c>
      <c r="AI441" s="428" t="b">
        <f t="array" ref="AI441">XLOOKUP(LCARS_Off[AbilityID],RawOfficer[AbilityID],RawOfficer[AbilityHasChance])</f>
        <v>0</v>
      </c>
      <c r="AJ441" s="428" t="b">
        <f t="array" ref="AJ441">XLOOKUP(LCARS_Off[AbilityID],RawOfficer[AbilityID],RawOfficer[AbilityShowPercentage])</f>
        <v>1</v>
      </c>
      <c r="AK441" s="429">
        <f t="array" ref="AK441">XLOOKUP(LCARS_Off[AbilityID],RawOfficer[AbilityID],RawOfficer[OfficerArt])</f>
        <v>267</v>
      </c>
      <c r="AL441" s="430">
        <v>2.974230331E9</v>
      </c>
      <c r="AM441" s="430">
        <f t="array" ref="AM441">XLOOKUP(LCARS_Off[AbilityID],RawOfficer[AbilityID],RawOfficer[Default Order])</f>
        <v>438</v>
      </c>
    </row>
    <row r="442">
      <c r="A442" s="429" t="str">
        <f t="array" ref="A442">LEFT(XLOOKUP(LCARS_Off[AbilityID],RawOfficer[AbilityID],RawOfficer[OfficerRarity]), 1)</f>
        <v>R</v>
      </c>
      <c r="B442" s="429"/>
      <c r="C442" s="514" t="str">
        <f t="array" ref="C442">HYPERLINK("https://stfc.space/officers/" &amp; XLOOKUP(LCARS_Off[AbilityID],RawOfficer[AbilityID],RawOfficer[OfficerId]), XLOOKUP(LCARS_Off[AbilityID],RawOfficer[AbilityID],RawOfficer[OfficerName]))</f>
        <v>HOSHI SATO</v>
      </c>
      <c r="D442" s="515" t="str">
        <f t="array" ref="D442">XLOOKUP(LCARS_Off[AbilityID],RawOfficer[AbilityID],RawOfficer[AbilityType])</f>
        <v>OA</v>
      </c>
      <c r="E442" s="516" t="str">
        <f t="array" ref="E442">XLOOKUP(LCARS_Off[AbilityID],RawOfficer[AbilityID],RawOfficer[Tag_PvPinSpace])</f>
        <v>➖</v>
      </c>
      <c r="F442" s="516" t="str">
        <f t="array" ref="F442">XLOOKUP(LCARS_Off[AbilityID],RawOfficer[AbilityID],RawOfficer[Tag_PvPStation])</f>
        <v>➖</v>
      </c>
      <c r="G442" s="516" t="str">
        <f t="array" ref="G442">XLOOKUP(LCARS_Off[AbilityID],RawOfficer[AbilityID],RawOfficer[Tag_NonArmadaHostiles])</f>
        <v>➖</v>
      </c>
      <c r="H442" s="516" t="str">
        <f t="array" ref="H442">XLOOKUP(LCARS_Off[AbilityID],RawOfficer[AbilityID],RawOfficer[Tag_WaveDefense])</f>
        <v>➖</v>
      </c>
      <c r="I442" s="516" t="str">
        <f t="array" ref="I442">XLOOKUP(LCARS_Off[AbilityID],RawOfficer[AbilityID],RawOfficer[Tag_QTrial])</f>
        <v>➖</v>
      </c>
      <c r="J442" s="516" t="str">
        <f t="array" ref="J442">XLOOKUP(LCARS_Off[AbilityID],RawOfficer[AbilityID],RawOfficer[Tag_MissionBosses])</f>
        <v>➖</v>
      </c>
      <c r="K442" s="516" t="str">
        <f t="array" ref="K442">XLOOKUP(LCARS_Off[AbilityID],RawOfficer[AbilityID],RawOfficer[Tag_GroupArmadas])</f>
        <v>➖</v>
      </c>
      <c r="L442" s="516" t="str">
        <f t="array" ref="L442">XLOOKUP(LCARS_Off[AbilityID],RawOfficer[AbilityID],RawOfficer[Tag_SoloArmadas])</f>
        <v>➖</v>
      </c>
      <c r="M442" s="516" t="str">
        <f t="array" ref="M442">XLOOKUP(LCARS_Off[AbilityID],RawOfficer[AbilityID],RawOfficer[Tag_InvadingEntities])</f>
        <v>➖</v>
      </c>
      <c r="N442" s="516" t="str">
        <f t="array" ref="N442">XLOOKUP(LCARS_Off[AbilityID],RawOfficer[AbilityID],RawOfficer[Tag_Assaults])</f>
        <v>➖</v>
      </c>
      <c r="O442" s="516" t="str">
        <f t="array" ref="O442">XLOOKUP(LCARS_Off[AbilityID],RawOfficer[AbilityID],RawOfficer[Tag_OutpostArmadas])</f>
        <v>➖</v>
      </c>
      <c r="P442" s="516" t="str">
        <f t="array" ref="P442">XLOOKUP(LCARS_Off[AbilityID],RawOfficer[AbilityID],RawOfficer[Tag_OutpostRetaliators])</f>
        <v>➖</v>
      </c>
      <c r="Q442" s="517" t="str">
        <f t="array" ref="Q442">XLOOKUP(LCARS_Off[AbilityID],RawOfficer[AbilityID],RawOfficer[Conditional_Reason])</f>
        <v/>
      </c>
      <c r="R442" s="518" t="str">
        <f t="array" ref="R442">XLOOKUP(LCARS_Off[AbilityID],RawOfficer[AbilityID],RawOfficer[Tag_Loot])</f>
        <v>➖</v>
      </c>
      <c r="S442" s="516" t="str">
        <f t="array" ref="S442">XLOOKUP(LCARS_Off[AbilityID],RawOfficer[AbilityID],RawOfficer[Tag_Utility])</f>
        <v>✅</v>
      </c>
      <c r="T442" s="429" t="str">
        <f t="array" ref="T442">XLOOKUP(LCARS_Off[AbilityID],RawOfficer[AbilityID],RawOfficer[OfficerSynergy])</f>
        <v>ENTERPRISE NX-01</v>
      </c>
      <c r="U442" s="519" t="str">
        <f t="array" ref="U442">XLOOKUP(LCARS_Off[AbilityID],RawOfficer[AbilityID],RawOfficer[AbilityModifier])</f>
        <v>CargoCapacity</v>
      </c>
      <c r="V442" s="519" t="str">
        <f t="array" ref="V442">XLOOKUP(LCARS_Off[AbilityID],RawOfficer[AbilityID],RawOfficer[AbilityAttributes])</f>
        <v/>
      </c>
      <c r="W442" s="520" t="str">
        <f t="array" ref="W442">XLOOKUP(LCARS_Off[AbilityID],RawOfficer[AbilityID],RawOfficer[AbilityConditions])</f>
        <v/>
      </c>
      <c r="X442" s="519" t="str">
        <f t="array" ref="X442">XLOOKUP(LCARS_Off[AbilityID],RawOfficer[AbilityID],RawOfficer[AbilityTrigger])</f>
        <v>ShipLaunched</v>
      </c>
      <c r="Y442" s="519" t="str">
        <f t="array" ref="Y442">XLOOKUP(LCARS_Off[AbilityID],RawOfficer[AbilityID],RawOfficer[AbilityTarget])</f>
        <v>SelfShip</v>
      </c>
      <c r="Z442" s="519" t="str">
        <f t="array" ref="Z442">XLOOKUP(LCARS_Off[AbilityID],RawOfficer[AbilityID],RawOfficer[AbilityOperation])</f>
        <v>MultiplyAdd</v>
      </c>
      <c r="AA442" s="521" t="str">
        <f t="array" ref="AA442">XLOOKUP(LCARS_Off[AbilityID],RawOfficer[AbilityID],RawOfficer[AbilityDescription])</f>
        <v>Hoshi Sato increases the Cargo size of the ship by X (X at rank X) of base.</v>
      </c>
      <c r="AB442" s="429" t="b">
        <v>0</v>
      </c>
      <c r="AC442" s="522" t="str">
        <f t="array" ref="AC442">XLOOKUP(LCARS_Off[AbilityID],RawOfficer[AbilityID],RawOfficer[AbilityDescriptionShort])</f>
        <v>Increases the Cargo size of the ship by X of base.</v>
      </c>
      <c r="AD442" s="523"/>
      <c r="AE442" s="524"/>
      <c r="AF442" s="524"/>
      <c r="AG442" s="525" t="str">
        <f t="array" ref="AG442">XLOOKUP(LCARS_Off[AbilityID],RawOfficer[AbilityID],RawOfficer[AbilityChances])</f>
        <v>1.0, 1.0, 1.0, 1.0, 1.0</v>
      </c>
      <c r="AH442" s="525" t="str">
        <f t="array" ref="AH442">XLOOKUP(LCARS_Off[AbilityID],RawOfficer[AbilityID],RawOfficer[AbilityValues])</f>
        <v>0.2, 0.3, 0.35, 0.45, 0.55</v>
      </c>
      <c r="AI442" s="428" t="b">
        <f t="array" ref="AI442">XLOOKUP(LCARS_Off[AbilityID],RawOfficer[AbilityID],RawOfficer[AbilityHasChance])</f>
        <v>0</v>
      </c>
      <c r="AJ442" s="428" t="b">
        <f t="array" ref="AJ442">XLOOKUP(LCARS_Off[AbilityID],RawOfficer[AbilityID],RawOfficer[AbilityShowPercentage])</f>
        <v>1</v>
      </c>
      <c r="AK442" s="429">
        <f t="array" ref="AK442">XLOOKUP(LCARS_Off[AbilityID],RawOfficer[AbilityID],RawOfficer[OfficerArt])</f>
        <v>266</v>
      </c>
      <c r="AL442" s="430">
        <v>3.603994169E9</v>
      </c>
      <c r="AM442" s="430">
        <f t="array" ref="AM442">XLOOKUP(LCARS_Off[AbilityID],RawOfficer[AbilityID],RawOfficer[Default Order])</f>
        <v>439</v>
      </c>
    </row>
    <row r="443">
      <c r="A443" s="429" t="str">
        <f t="array" ref="A443">LEFT(XLOOKUP(LCARS_Off[AbilityID],RawOfficer[AbilityID],RawOfficer[OfficerRarity]), 1)</f>
        <v>R</v>
      </c>
      <c r="B443" s="429"/>
      <c r="C443" s="514" t="str">
        <f t="array" ref="C443">HYPERLINK("https://stfc.space/officers/" &amp; XLOOKUP(LCARS_Off[AbilityID],RawOfficer[AbilityID],RawOfficer[OfficerId]), XLOOKUP(LCARS_Off[AbilityID],RawOfficer[AbilityID],RawOfficer[OfficerName]))</f>
        <v>HOSHI SATO</v>
      </c>
      <c r="D443" s="515" t="str">
        <f t="array" ref="D443">XLOOKUP(LCARS_Off[AbilityID],RawOfficer[AbilityID],RawOfficer[AbilityType])</f>
        <v>BDA</v>
      </c>
      <c r="E443" s="516" t="str">
        <f t="array" ref="E443">XLOOKUP(LCARS_Off[AbilityID],RawOfficer[AbilityID],RawOfficer[Tag_PvPinSpace])</f>
        <v>➖</v>
      </c>
      <c r="F443" s="516" t="str">
        <f t="array" ref="F443">XLOOKUP(LCARS_Off[AbilityID],RawOfficer[AbilityID],RawOfficer[Tag_PvPStation])</f>
        <v>➖</v>
      </c>
      <c r="G443" s="516" t="str">
        <f t="array" ref="G443">XLOOKUP(LCARS_Off[AbilityID],RawOfficer[AbilityID],RawOfficer[Tag_NonArmadaHostiles])</f>
        <v>➖</v>
      </c>
      <c r="H443" s="516" t="str">
        <f t="array" ref="H443">XLOOKUP(LCARS_Off[AbilityID],RawOfficer[AbilityID],RawOfficer[Tag_WaveDefense])</f>
        <v>➖</v>
      </c>
      <c r="I443" s="516" t="str">
        <f t="array" ref="I443">XLOOKUP(LCARS_Off[AbilityID],RawOfficer[AbilityID],RawOfficer[Tag_QTrial])</f>
        <v>➖</v>
      </c>
      <c r="J443" s="516" t="str">
        <f t="array" ref="J443">XLOOKUP(LCARS_Off[AbilityID],RawOfficer[AbilityID],RawOfficer[Tag_MissionBosses])</f>
        <v>➖</v>
      </c>
      <c r="K443" s="516" t="str">
        <f t="array" ref="K443">XLOOKUP(LCARS_Off[AbilityID],RawOfficer[AbilityID],RawOfficer[Tag_GroupArmadas])</f>
        <v>➖</v>
      </c>
      <c r="L443" s="516" t="str">
        <f t="array" ref="L443">XLOOKUP(LCARS_Off[AbilityID],RawOfficer[AbilityID],RawOfficer[Tag_SoloArmadas])</f>
        <v>➖</v>
      </c>
      <c r="M443" s="516" t="str">
        <f t="array" ref="M443">XLOOKUP(LCARS_Off[AbilityID],RawOfficer[AbilityID],RawOfficer[Tag_InvadingEntities])</f>
        <v>➖</v>
      </c>
      <c r="N443" s="516" t="str">
        <f t="array" ref="N443">XLOOKUP(LCARS_Off[AbilityID],RawOfficer[AbilityID],RawOfficer[Tag_Assaults])</f>
        <v>➖</v>
      </c>
      <c r="O443" s="516" t="str">
        <f t="array" ref="O443">XLOOKUP(LCARS_Off[AbilityID],RawOfficer[AbilityID],RawOfficer[Tag_OutpostArmadas])</f>
        <v>➖</v>
      </c>
      <c r="P443" s="516" t="str">
        <f t="array" ref="P443">XLOOKUP(LCARS_Off[AbilityID],RawOfficer[AbilityID],RawOfficer[Tag_OutpostRetaliators])</f>
        <v>➖</v>
      </c>
      <c r="Q443" s="517" t="str">
        <f t="array" ref="Q443">XLOOKUP(LCARS_Off[AbilityID],RawOfficer[AbilityID],RawOfficer[Conditional_Reason])</f>
        <v/>
      </c>
      <c r="R443" s="518" t="str">
        <f t="array" ref="R443">XLOOKUP(LCARS_Off[AbilityID],RawOfficer[AbilityID],RawOfficer[Tag_Loot])</f>
        <v>➖</v>
      </c>
      <c r="S443" s="516" t="str">
        <f t="array" ref="S443">XLOOKUP(LCARS_Off[AbilityID],RawOfficer[AbilityID],RawOfficer[Tag_Utility])</f>
        <v>✅</v>
      </c>
      <c r="T443" s="429" t="str">
        <f t="array" ref="T443">XLOOKUP(LCARS_Off[AbilityID],RawOfficer[AbilityID],RawOfficer[OfficerSynergy])</f>
        <v>ENTERPRISE NX-01</v>
      </c>
      <c r="U443" s="519" t="str">
        <f t="array" ref="U443">XLOOKUP(LCARS_Off[AbilityID],RawOfficer[AbilityID],RawOfficer[AbilityModifier])</f>
        <v>MiningRate</v>
      </c>
      <c r="V443" s="519" t="str">
        <f t="array" ref="V443">XLOOKUP(LCARS_Off[AbilityID],RawOfficer[AbilityID],RawOfficer[AbilityAttributes])</f>
        <v>resources=[96209859, 1779416627, 2964093937, 1349464922, 2002611017, 296474010]</v>
      </c>
      <c r="W443" s="520" t="str">
        <f t="array" ref="W443">XLOOKUP(LCARS_Off[AbilityID],RawOfficer[AbilityID],RawOfficer[AbilityConditions])</f>
        <v/>
      </c>
      <c r="X443" s="519" t="str">
        <f t="array" ref="X443">XLOOKUP(LCARS_Off[AbilityID],RawOfficer[AbilityID],RawOfficer[AbilityTrigger])</f>
        <v>ShipLaunched</v>
      </c>
      <c r="Y443" s="519" t="str">
        <f t="array" ref="Y443">XLOOKUP(LCARS_Off[AbilityID],RawOfficer[AbilityID],RawOfficer[AbilityTarget])</f>
        <v>SelfShip</v>
      </c>
      <c r="Z443" s="519" t="str">
        <f t="array" ref="Z443">XLOOKUP(LCARS_Off[AbilityID],RawOfficer[AbilityID],RawOfficer[AbilityOperation])</f>
        <v>MultiplyAdd</v>
      </c>
      <c r="AA443" s="521" t="str">
        <f t="array" ref="AA443">XLOOKUP(LCARS_Off[AbilityID],RawOfficer[AbilityID],RawOfficer[AbilityDescription])</f>
        <v>Hoshi Sato increases Gas mining speed by X (X at rank X) of base.</v>
      </c>
      <c r="AB443" s="429" t="b">
        <v>0</v>
      </c>
      <c r="AC443" s="522" t="str">
        <f t="array" ref="AC443">XLOOKUP(LCARS_Off[AbilityID],RawOfficer[AbilityID],RawOfficer[AbilityDescriptionShort])</f>
        <v>Increases Gas mining speed by X of base.</v>
      </c>
      <c r="AD443" s="523"/>
      <c r="AE443" s="524"/>
      <c r="AF443" s="524"/>
      <c r="AG443" s="525" t="str">
        <f t="array" ref="AG443">XLOOKUP(LCARS_Off[AbilityID],RawOfficer[AbilityID],RawOfficer[AbilityChances])</f>
        <v>1.0, 1.0, 1.0, 1.0, 1.0</v>
      </c>
      <c r="AH443" s="525" t="str">
        <f t="array" ref="AH443">XLOOKUP(LCARS_Off[AbilityID],RawOfficer[AbilityID],RawOfficer[AbilityValues])</f>
        <v>0.5, 1.0, 2.0, 3.0, 5.0</v>
      </c>
      <c r="AI443" s="428" t="b">
        <f t="array" ref="AI443">XLOOKUP(LCARS_Off[AbilityID],RawOfficer[AbilityID],RawOfficer[AbilityHasChance])</f>
        <v>0</v>
      </c>
      <c r="AJ443" s="428" t="b">
        <f t="array" ref="AJ443">XLOOKUP(LCARS_Off[AbilityID],RawOfficer[AbilityID],RawOfficer[AbilityShowPercentage])</f>
        <v>1</v>
      </c>
      <c r="AK443" s="429">
        <f t="array" ref="AK443">XLOOKUP(LCARS_Off[AbilityID],RawOfficer[AbilityID],RawOfficer[OfficerArt])</f>
        <v>266</v>
      </c>
      <c r="AL443" s="430">
        <v>2.226051516E9</v>
      </c>
      <c r="AM443" s="430">
        <f t="array" ref="AM443">XLOOKUP(LCARS_Off[AbilityID],RawOfficer[AbilityID],RawOfficer[Default Order])</f>
        <v>440</v>
      </c>
    </row>
    <row r="444">
      <c r="A444" s="429" t="str">
        <f t="array" ref="A444">LEFT(XLOOKUP(LCARS_Off[AbilityID],RawOfficer[AbilityID],RawOfficer[OfficerRarity]), 1)</f>
        <v>E</v>
      </c>
      <c r="B444" s="429"/>
      <c r="C444" s="514" t="str">
        <f t="array" ref="C444">HYPERLINK("https://stfc.space/officers/" &amp; XLOOKUP(LCARS_Off[AbilityID],RawOfficer[AbilityID],RawOfficer[OfficerId]), XLOOKUP(LCARS_Off[AbilityID],RawOfficer[AbilityID],RawOfficer[OfficerName]))</f>
        <v>PHLOX</v>
      </c>
      <c r="D444" s="515" t="str">
        <f t="array" ref="D444">XLOOKUP(LCARS_Off[AbilityID],RawOfficer[AbilityID],RawOfficer[AbilityType])</f>
        <v>OA</v>
      </c>
      <c r="E444" s="516" t="str">
        <f t="array" ref="E444">XLOOKUP(LCARS_Off[AbilityID],RawOfficer[AbilityID],RawOfficer[Tag_PvPinSpace])</f>
        <v>✅</v>
      </c>
      <c r="F444" s="516" t="str">
        <f t="array" ref="F444">XLOOKUP(LCARS_Off[AbilityID],RawOfficer[AbilityID],RawOfficer[Tag_PvPStation])</f>
        <v>➖</v>
      </c>
      <c r="G444" s="516" t="str">
        <f t="array" ref="G444">XLOOKUP(LCARS_Off[AbilityID],RawOfficer[AbilityID],RawOfficer[Tag_NonArmadaHostiles])</f>
        <v>✅</v>
      </c>
      <c r="H444" s="516" t="str">
        <f t="array" ref="H444">XLOOKUP(LCARS_Off[AbilityID],RawOfficer[AbilityID],RawOfficer[Tag_WaveDefense])</f>
        <v>✅</v>
      </c>
      <c r="I444" s="516" t="str">
        <f t="array" ref="I444">XLOOKUP(LCARS_Off[AbilityID],RawOfficer[AbilityID],RawOfficer[Tag_QTrial])</f>
        <v>✅</v>
      </c>
      <c r="J444" s="516" t="str">
        <f t="array" ref="J444">XLOOKUP(LCARS_Off[AbilityID],RawOfficer[AbilityID],RawOfficer[Tag_MissionBosses])</f>
        <v>✅</v>
      </c>
      <c r="K444" s="516" t="str">
        <f t="array" ref="K444">XLOOKUP(LCARS_Off[AbilityID],RawOfficer[AbilityID],RawOfficer[Tag_GroupArmadas])</f>
        <v>➖</v>
      </c>
      <c r="L444" s="516" t="str">
        <f t="array" ref="L444">XLOOKUP(LCARS_Off[AbilityID],RawOfficer[AbilityID],RawOfficer[Tag_SoloArmadas])</f>
        <v>➖</v>
      </c>
      <c r="M444" s="516" t="str">
        <f t="array" ref="M444">XLOOKUP(LCARS_Off[AbilityID],RawOfficer[AbilityID],RawOfficer[Tag_InvadingEntities])</f>
        <v>➖</v>
      </c>
      <c r="N444" s="516" t="str">
        <f t="array" ref="N444">XLOOKUP(LCARS_Off[AbilityID],RawOfficer[AbilityID],RawOfficer[Tag_Assaults])</f>
        <v>➖</v>
      </c>
      <c r="O444" s="516" t="str">
        <f t="array" ref="O444">XLOOKUP(LCARS_Off[AbilityID],RawOfficer[AbilityID],RawOfficer[Tag_OutpostArmadas])</f>
        <v>✅</v>
      </c>
      <c r="P444" s="516" t="str">
        <f t="array" ref="P444">XLOOKUP(LCARS_Off[AbilityID],RawOfficer[AbilityID],RawOfficer[Tag_OutpostRetaliators])</f>
        <v>✅</v>
      </c>
      <c r="Q444" s="517" t="str">
        <f t="array" ref="Q444">XLOOKUP(LCARS_Off[AbilityID],RawOfficer[AbilityID],RawOfficer[Conditional_Reason])</f>
        <v/>
      </c>
      <c r="R444" s="518" t="str">
        <f t="array" ref="R444">XLOOKUP(LCARS_Off[AbilityID],RawOfficer[AbilityID],RawOfficer[Tag_Loot])</f>
        <v>➖</v>
      </c>
      <c r="S444" s="516" t="str">
        <f t="array" ref="S444">XLOOKUP(LCARS_Off[AbilityID],RawOfficer[AbilityID],RawOfficer[Tag_Utility])</f>
        <v>➖</v>
      </c>
      <c r="T444" s="429" t="str">
        <f t="array" ref="T444">XLOOKUP(LCARS_Off[AbilityID],RawOfficer[AbilityID],RawOfficer[OfficerSynergy])</f>
        <v>ENTERPRISE NX-01</v>
      </c>
      <c r="U444" s="519" t="str">
        <f t="array" ref="U444">XLOOKUP(LCARS_Off[AbilityID],RawOfficer[AbilityID],RawOfficer[AbilityModifier])</f>
        <v>CritChance</v>
      </c>
      <c r="V444" s="519" t="str">
        <f t="array" ref="V444">XLOOKUP(LCARS_Off[AbilityID],RawOfficer[AbilityID],RawOfficer[AbilityAttributes])</f>
        <v>num_rounds=8</v>
      </c>
      <c r="W444" s="520" t="str">
        <f t="array" ref="W444">XLOOKUP(LCARS_Off[AbilityID],RawOfficer[AbilityID],RawOfficer[AbilityConditions])</f>
        <v>TargetNotPlayerStation, TargetNotArmada, TargetNotASB</v>
      </c>
      <c r="X444" s="519" t="str">
        <f t="array" ref="X444">XLOOKUP(LCARS_Off[AbilityID],RawOfficer[AbilityID],RawOfficer[AbilityTrigger])</f>
        <v>CombatStart</v>
      </c>
      <c r="Y444" s="519" t="str">
        <f t="array" ref="Y444">XLOOKUP(LCARS_Off[AbilityID],RawOfficer[AbilityID],RawOfficer[AbilityTarget])</f>
        <v>EnemyShip</v>
      </c>
      <c r="Z444" s="519" t="str">
        <f t="array" ref="Z444">XLOOKUP(LCARS_Off[AbilityID],RawOfficer[AbilityID],RawOfficer[AbilityOperation])</f>
        <v>Sub</v>
      </c>
      <c r="AA444" s="521" t="str">
        <f t="array" ref="AA444">XLOOKUP(LCARS_Off[AbilityID],RawOfficer[AbilityID],RawOfficer[AbilityDescription])</f>
        <v>On combat start against players and hostiles, Phlox reduces the opponent's Critical Hit Chance by X (X at rank X), for 8 rounds. (Does not trigger at Armadas, Assaults or Station Combat).</v>
      </c>
      <c r="AB444" s="429" t="b">
        <v>0</v>
      </c>
      <c r="AC444" s="522" t="str">
        <f t="array" ref="AC444">XLOOKUP(LCARS_Off[AbilityID],RawOfficer[AbilityID],RawOfficer[AbilityDescriptionShort])</f>
        <v>Reduces player and Hostile opponent's Critical Hit Chance by X, for 8 rounds.</v>
      </c>
      <c r="AD444" s="523"/>
      <c r="AE444" s="524"/>
      <c r="AF444" s="524"/>
      <c r="AG444" s="525" t="str">
        <f t="array" ref="AG444">XLOOKUP(LCARS_Off[AbilityID],RawOfficer[AbilityID],RawOfficer[AbilityChances])</f>
        <v>1.0, 1.0, 1.0, 1.0, 1.0</v>
      </c>
      <c r="AH444" s="525" t="str">
        <f t="array" ref="AH444">XLOOKUP(LCARS_Off[AbilityID],RawOfficer[AbilityID],RawOfficer[AbilityValues])</f>
        <v>0.45, 0.5, 0.6, 0.75, 1.0</v>
      </c>
      <c r="AI444" s="428" t="b">
        <f t="array" ref="AI444">XLOOKUP(LCARS_Off[AbilityID],RawOfficer[AbilityID],RawOfficer[AbilityHasChance])</f>
        <v>0</v>
      </c>
      <c r="AJ444" s="428" t="b">
        <f t="array" ref="AJ444">XLOOKUP(LCARS_Off[AbilityID],RawOfficer[AbilityID],RawOfficer[AbilityShowPercentage])</f>
        <v>1</v>
      </c>
      <c r="AK444" s="429">
        <f t="array" ref="AK444">XLOOKUP(LCARS_Off[AbilityID],RawOfficer[AbilityID],RawOfficer[OfficerArt])</f>
        <v>265</v>
      </c>
      <c r="AL444" s="430">
        <v>4.57058544E8</v>
      </c>
      <c r="AM444" s="430">
        <f t="array" ref="AM444">XLOOKUP(LCARS_Off[AbilityID],RawOfficer[AbilityID],RawOfficer[Default Order])</f>
        <v>441</v>
      </c>
    </row>
    <row r="445">
      <c r="A445" s="429" t="str">
        <f t="array" ref="A445">LEFT(XLOOKUP(LCARS_Off[AbilityID],RawOfficer[AbilityID],RawOfficer[OfficerRarity]), 1)</f>
        <v>E</v>
      </c>
      <c r="B445" s="429"/>
      <c r="C445" s="514" t="str">
        <f t="array" ref="C445">HYPERLINK("https://stfc.space/officers/" &amp; XLOOKUP(LCARS_Off[AbilityID],RawOfficer[AbilityID],RawOfficer[OfficerId]), XLOOKUP(LCARS_Off[AbilityID],RawOfficer[AbilityID],RawOfficer[OfficerName]))</f>
        <v>PHLOX</v>
      </c>
      <c r="D445" s="515" t="str">
        <f t="array" ref="D445">XLOOKUP(LCARS_Off[AbilityID],RawOfficer[AbilityID],RawOfficer[AbilityType])</f>
        <v>BDA</v>
      </c>
      <c r="E445" s="516" t="str">
        <f t="array" ref="E445">XLOOKUP(LCARS_Off[AbilityID],RawOfficer[AbilityID],RawOfficer[Tag_PvPinSpace])</f>
        <v>✅</v>
      </c>
      <c r="F445" s="516" t="str">
        <f t="array" ref="F445">XLOOKUP(LCARS_Off[AbilityID],RawOfficer[AbilityID],RawOfficer[Tag_PvPStation])</f>
        <v>✅</v>
      </c>
      <c r="G445" s="516" t="str">
        <f t="array" ref="G445">XLOOKUP(LCARS_Off[AbilityID],RawOfficer[AbilityID],RawOfficer[Tag_NonArmadaHostiles])</f>
        <v>✅</v>
      </c>
      <c r="H445" s="516" t="str">
        <f t="array" ref="H445">XLOOKUP(LCARS_Off[AbilityID],RawOfficer[AbilityID],RawOfficer[Tag_WaveDefense])</f>
        <v>✅</v>
      </c>
      <c r="I445" s="516" t="str">
        <f t="array" ref="I445">XLOOKUP(LCARS_Off[AbilityID],RawOfficer[AbilityID],RawOfficer[Tag_QTrial])</f>
        <v>✅</v>
      </c>
      <c r="J445" s="516" t="str">
        <f t="array" ref="J445">XLOOKUP(LCARS_Off[AbilityID],RawOfficer[AbilityID],RawOfficer[Tag_MissionBosses])</f>
        <v>✅</v>
      </c>
      <c r="K445" s="516" t="str">
        <f t="array" ref="K445">XLOOKUP(LCARS_Off[AbilityID],RawOfficer[AbilityID],RawOfficer[Tag_GroupArmadas])</f>
        <v>✅</v>
      </c>
      <c r="L445" s="516" t="str">
        <f t="array" ref="L445">XLOOKUP(LCARS_Off[AbilityID],RawOfficer[AbilityID],RawOfficer[Tag_SoloArmadas])</f>
        <v>✅</v>
      </c>
      <c r="M445" s="516" t="str">
        <f t="array" ref="M445">XLOOKUP(LCARS_Off[AbilityID],RawOfficer[AbilityID],RawOfficer[Tag_InvadingEntities])</f>
        <v>✅</v>
      </c>
      <c r="N445" s="516" t="str">
        <f t="array" ref="N445">XLOOKUP(LCARS_Off[AbilityID],RawOfficer[AbilityID],RawOfficer[Tag_Assaults])</f>
        <v>✅</v>
      </c>
      <c r="O445" s="516" t="str">
        <f t="array" ref="O445">XLOOKUP(LCARS_Off[AbilityID],RawOfficer[AbilityID],RawOfficer[Tag_OutpostArmadas])</f>
        <v>✅</v>
      </c>
      <c r="P445" s="516" t="str">
        <f t="array" ref="P445">XLOOKUP(LCARS_Off[AbilityID],RawOfficer[AbilityID],RawOfficer[Tag_OutpostRetaliators])</f>
        <v>✅</v>
      </c>
      <c r="Q445" s="517" t="str">
        <f t="array" ref="Q445">XLOOKUP(LCARS_Off[AbilityID],RawOfficer[AbilityID],RawOfficer[Conditional_Reason])</f>
        <v/>
      </c>
      <c r="R445" s="518" t="str">
        <f t="array" ref="R445">XLOOKUP(LCARS_Off[AbilityID],RawOfficer[AbilityID],RawOfficer[Tag_Loot])</f>
        <v>➖</v>
      </c>
      <c r="S445" s="516" t="str">
        <f t="array" ref="S445">XLOOKUP(LCARS_Off[AbilityID],RawOfficer[AbilityID],RawOfficer[Tag_Utility])</f>
        <v>➖</v>
      </c>
      <c r="T445" s="429" t="str">
        <f t="array" ref="T445">XLOOKUP(LCARS_Off[AbilityID],RawOfficer[AbilityID],RawOfficer[OfficerSynergy])</f>
        <v>ENTERPRISE NX-01</v>
      </c>
      <c r="U445" s="519" t="str">
        <f t="array" ref="U445">XLOOKUP(LCARS_Off[AbilityID],RawOfficer[AbilityID],RawOfficer[AbilityModifier])</f>
        <v>SkillCuttingBeamAbilityCost</v>
      </c>
      <c r="V445" s="519" t="str">
        <f t="array" ref="V445">XLOOKUP(LCARS_Off[AbilityID],RawOfficer[AbilityID],RawOfficer[AbilityAttributes])</f>
        <v/>
      </c>
      <c r="W445" s="520" t="str">
        <f t="array" ref="W445">XLOOKUP(LCARS_Off[AbilityID],RawOfficer[AbilityID],RawOfficer[AbilityConditions])</f>
        <v/>
      </c>
      <c r="X445" s="519" t="str">
        <f t="array" ref="X445">XLOOKUP(LCARS_Off[AbilityID],RawOfficer[AbilityID],RawOfficer[AbilityTrigger])</f>
        <v>ShipLaunched</v>
      </c>
      <c r="Y445" s="519" t="str">
        <f t="array" ref="Y445">XLOOKUP(LCARS_Off[AbilityID],RawOfficer[AbilityID],RawOfficer[AbilityTarget])</f>
        <v>SelfShip</v>
      </c>
      <c r="Z445" s="519" t="str">
        <f t="array" ref="Z445">XLOOKUP(LCARS_Off[AbilityID],RawOfficer[AbilityID],RawOfficer[AbilityOperation])</f>
        <v>MultiplyAdd</v>
      </c>
      <c r="AA445" s="521" t="str">
        <f t="array" ref="AA445">XLOOKUP(LCARS_Off[AbilityID],RawOfficer[AbilityID],RawOfficer[AbilityDescription])</f>
        <v>Phlox increases the efficiency of charging the Borg Cube's Cutting Beam by X (X at rank X)</v>
      </c>
      <c r="AB445" s="429" t="b">
        <v>0</v>
      </c>
      <c r="AC445" s="522" t="str">
        <f t="array" ref="AC445">XLOOKUP(LCARS_Off[AbilityID],RawOfficer[AbilityID],RawOfficer[AbilityDescriptionShort])</f>
        <v>Phlox increases the efficiency of charging the Borg Cube's Cutting Beam by X</v>
      </c>
      <c r="AD445" s="523"/>
      <c r="AE445" s="524"/>
      <c r="AF445" s="524"/>
      <c r="AG445" s="525" t="str">
        <f t="array" ref="AG445">XLOOKUP(LCARS_Off[AbilityID],RawOfficer[AbilityID],RawOfficer[AbilityChances])</f>
        <v>1.0, 1.0, 1.0, 1.0, 1.0</v>
      </c>
      <c r="AH445" s="525" t="str">
        <f t="array" ref="AH445">XLOOKUP(LCARS_Off[AbilityID],RawOfficer[AbilityID],RawOfficer[AbilityValues])</f>
        <v>0.2, 0.4, 0.6, 0.8, 1.0</v>
      </c>
      <c r="AI445" s="428" t="b">
        <f t="array" ref="AI445">XLOOKUP(LCARS_Off[AbilityID],RawOfficer[AbilityID],RawOfficer[AbilityHasChance])</f>
        <v>0</v>
      </c>
      <c r="AJ445" s="428" t="b">
        <f t="array" ref="AJ445">XLOOKUP(LCARS_Off[AbilityID],RawOfficer[AbilityID],RawOfficer[AbilityShowPercentage])</f>
        <v>1</v>
      </c>
      <c r="AK445" s="429">
        <f t="array" ref="AK445">XLOOKUP(LCARS_Off[AbilityID],RawOfficer[AbilityID],RawOfficer[OfficerArt])</f>
        <v>265</v>
      </c>
      <c r="AL445" s="430">
        <v>1.685560011E9</v>
      </c>
      <c r="AM445" s="430">
        <f t="array" ref="AM445">XLOOKUP(LCARS_Off[AbilityID],RawOfficer[AbilityID],RawOfficer[Default Order])</f>
        <v>442</v>
      </c>
    </row>
    <row r="446">
      <c r="A446" s="429" t="str">
        <f t="array" ref="A446">LEFT(XLOOKUP(LCARS_Off[AbilityID],RawOfficer[AbilityID],RawOfficer[OfficerRarity]), 1)</f>
        <v>E</v>
      </c>
      <c r="B446" s="429"/>
      <c r="C446" s="514" t="str">
        <f t="array" ref="C446">HYPERLINK("https://stfc.space/officers/" &amp; XLOOKUP(LCARS_Off[AbilityID],RawOfficer[AbilityID],RawOfficer[OfficerId]), XLOOKUP(LCARS_Off[AbilityID],RawOfficer[AbilityID],RawOfficer[OfficerName]))</f>
        <v>SNW M’BENGA</v>
      </c>
      <c r="D446" s="515" t="str">
        <f t="array" ref="D446">XLOOKUP(LCARS_Off[AbilityID],RawOfficer[AbilityID],RawOfficer[AbilityType])</f>
        <v>CM</v>
      </c>
      <c r="E446" s="516" t="str">
        <f t="array" ref="E446">XLOOKUP(LCARS_Off[AbilityID],RawOfficer[AbilityID],RawOfficer[Tag_PvPinSpace])</f>
        <v>➖</v>
      </c>
      <c r="F446" s="516" t="str">
        <f t="array" ref="F446">XLOOKUP(LCARS_Off[AbilityID],RawOfficer[AbilityID],RawOfficer[Tag_PvPStation])</f>
        <v>➖</v>
      </c>
      <c r="G446" s="516" t="str">
        <f t="array" ref="G446">XLOOKUP(LCARS_Off[AbilityID],RawOfficer[AbilityID],RawOfficer[Tag_NonArmadaHostiles])</f>
        <v>✅</v>
      </c>
      <c r="H446" s="516" t="str">
        <f t="array" ref="H446">XLOOKUP(LCARS_Off[AbilityID],RawOfficer[AbilityID],RawOfficer[Tag_WaveDefense])</f>
        <v>✅</v>
      </c>
      <c r="I446" s="516" t="str">
        <f t="array" ref="I446">XLOOKUP(LCARS_Off[AbilityID],RawOfficer[AbilityID],RawOfficer[Tag_QTrial])</f>
        <v>✅</v>
      </c>
      <c r="J446" s="516" t="str">
        <f t="array" ref="J446">XLOOKUP(LCARS_Off[AbilityID],RawOfficer[AbilityID],RawOfficer[Tag_MissionBosses])</f>
        <v>➖</v>
      </c>
      <c r="K446" s="516" t="str">
        <f t="array" ref="K446">XLOOKUP(LCARS_Off[AbilityID],RawOfficer[AbilityID],RawOfficer[Tag_GroupArmadas])</f>
        <v>➖</v>
      </c>
      <c r="L446" s="516" t="str">
        <f t="array" ref="L446">XLOOKUP(LCARS_Off[AbilityID],RawOfficer[AbilityID],RawOfficer[Tag_SoloArmadas])</f>
        <v>➖</v>
      </c>
      <c r="M446" s="516" t="str">
        <f t="array" ref="M446">XLOOKUP(LCARS_Off[AbilityID],RawOfficer[AbilityID],RawOfficer[Tag_InvadingEntities])</f>
        <v>➖</v>
      </c>
      <c r="N446" s="516" t="str">
        <f t="array" ref="N446">XLOOKUP(LCARS_Off[AbilityID],RawOfficer[AbilityID],RawOfficer[Tag_Assaults])</f>
        <v>➖</v>
      </c>
      <c r="O446" s="516" t="str">
        <f t="array" ref="O446">XLOOKUP(LCARS_Off[AbilityID],RawOfficer[AbilityID],RawOfficer[Tag_OutpostArmadas])</f>
        <v>➖</v>
      </c>
      <c r="P446" s="516" t="str">
        <f t="array" ref="P446">XLOOKUP(LCARS_Off[AbilityID],RawOfficer[AbilityID],RawOfficer[Tag_OutpostRetaliators])</f>
        <v>➖</v>
      </c>
      <c r="Q446" s="517" t="str">
        <f t="array" ref="Q446">XLOOKUP(LCARS_Off[AbilityID],RawOfficer[AbilityID],RawOfficer[Conditional_Reason])</f>
        <v/>
      </c>
      <c r="R446" s="518" t="str">
        <f t="array" ref="R446">XLOOKUP(LCARS_Off[AbilityID],RawOfficer[AbilityID],RawOfficer[Tag_Loot])</f>
        <v>➖</v>
      </c>
      <c r="S446" s="516" t="str">
        <f t="array" ref="S446">XLOOKUP(LCARS_Off[AbilityID],RawOfficer[AbilityID],RawOfficer[Tag_Utility])</f>
        <v>➖</v>
      </c>
      <c r="T446" s="429" t="str">
        <f t="array" ref="T446">XLOOKUP(LCARS_Off[AbilityID],RawOfficer[AbilityID],RawOfficer[OfficerSynergy])</f>
        <v>STRANGE NEW WORLDS</v>
      </c>
      <c r="U446" s="519" t="str">
        <f t="array" ref="U446">XLOOKUP(LCARS_Off[AbilityID],RawOfficer[AbilityID],RawOfficer[AbilityModifier])</f>
        <v>AllDefenses</v>
      </c>
      <c r="V446" s="519" t="str">
        <f t="array" ref="V446">XLOOKUP(LCARS_Off[AbilityID],RawOfficer[AbilityID],RawOfficer[AbilityAttributes])</f>
        <v>officer_stat=3</v>
      </c>
      <c r="W446" s="520" t="str">
        <f t="array" ref="W446">XLOOKUP(LCARS_Off[AbilityID],RawOfficer[AbilityID],RawOfficer[AbilityConditions])</f>
        <v>EnemyHostile, TargetNotArmada</v>
      </c>
      <c r="X446" s="519" t="str">
        <f t="array" ref="X446">XLOOKUP(LCARS_Off[AbilityID],RawOfficer[AbilityID],RawOfficer[AbilityTrigger])</f>
        <v>CombatStart</v>
      </c>
      <c r="Y446" s="519" t="str">
        <f t="array" ref="Y446">XLOOKUP(LCARS_Off[AbilityID],RawOfficer[AbilityID],RawOfficer[AbilityTarget])</f>
        <v>SelfShip</v>
      </c>
      <c r="Z446" s="519" t="str">
        <f t="array" ref="Z446">XLOOKUP(LCARS_Off[AbilityID],RawOfficer[AbilityID],RawOfficer[AbilityOperation])</f>
        <v>MultiplyBaseAdd</v>
      </c>
      <c r="AA446" s="521" t="str">
        <f t="array" ref="AA446">XLOOKUP(LCARS_Off[AbilityID],RawOfficer[AbilityID],RawOfficer[AbilityDescription])</f>
        <v>SNW M'Benga increases all mitigation stats by  X of Officer Health vs non-Armada Hostiles</v>
      </c>
      <c r="AB446" s="429" t="b">
        <v>0</v>
      </c>
      <c r="AC446" s="522" t="str">
        <f t="array" ref="AC446">XLOOKUP(LCARS_Off[AbilityID],RawOfficer[AbilityID],RawOfficer[AbilityDescriptionShort])</f>
        <v>Increases all mitigation stats by +X of Officer Health vs non-Armada Hostiles.</v>
      </c>
      <c r="AD446" s="523"/>
      <c r="AE446" s="524"/>
      <c r="AF446" s="524"/>
      <c r="AG446" s="525" t="str">
        <f t="array" ref="AG446">XLOOKUP(LCARS_Off[AbilityID],RawOfficer[AbilityID],RawOfficer[AbilityChances])</f>
        <v>1.0, 1.0, 1.0</v>
      </c>
      <c r="AH446" s="525" t="str">
        <f t="array" ref="AH446">XLOOKUP(LCARS_Off[AbilityID],RawOfficer[AbilityID],RawOfficer[AbilityValues])</f>
        <v>15.0, 15.0, 25.0</v>
      </c>
      <c r="AI446" s="428" t="b">
        <f t="array" ref="AI446">XLOOKUP(LCARS_Off[AbilityID],RawOfficer[AbilityID],RawOfficer[AbilityHasChance])</f>
        <v>0</v>
      </c>
      <c r="AJ446" s="428" t="b">
        <f t="array" ref="AJ446">XLOOKUP(LCARS_Off[AbilityID],RawOfficer[AbilityID],RawOfficer[AbilityShowPercentage])</f>
        <v>1</v>
      </c>
      <c r="AK446" s="429">
        <f t="array" ref="AK446">XLOOKUP(LCARS_Off[AbilityID],RawOfficer[AbilityID],RawOfficer[OfficerArt])</f>
        <v>268</v>
      </c>
      <c r="AL446" s="430">
        <v>2.071759559E9</v>
      </c>
      <c r="AM446" s="430">
        <f t="array" ref="AM446">XLOOKUP(LCARS_Off[AbilityID],RawOfficer[AbilityID],RawOfficer[Default Order])</f>
        <v>443</v>
      </c>
    </row>
    <row r="447">
      <c r="A447" s="429" t="str">
        <f t="array" ref="A447">LEFT(XLOOKUP(LCARS_Off[AbilityID],RawOfficer[AbilityID],RawOfficer[OfficerRarity]), 1)</f>
        <v>E</v>
      </c>
      <c r="B447" s="429"/>
      <c r="C447" s="514" t="str">
        <f t="array" ref="C447">HYPERLINK("https://stfc.space/officers/" &amp; XLOOKUP(LCARS_Off[AbilityID],RawOfficer[AbilityID],RawOfficer[OfficerId]), XLOOKUP(LCARS_Off[AbilityID],RawOfficer[AbilityID],RawOfficer[OfficerName]))</f>
        <v>SNW M’BENGA</v>
      </c>
      <c r="D447" s="515" t="str">
        <f t="array" ref="D447">XLOOKUP(LCARS_Off[AbilityID],RawOfficer[AbilityID],RawOfficer[AbilityType])</f>
        <v>OA</v>
      </c>
      <c r="E447" s="516" t="str">
        <f t="array" ref="E447">XLOOKUP(LCARS_Off[AbilityID],RawOfficer[AbilityID],RawOfficer[Tag_PvPinSpace])</f>
        <v>➖</v>
      </c>
      <c r="F447" s="516" t="str">
        <f t="array" ref="F447">XLOOKUP(LCARS_Off[AbilityID],RawOfficer[AbilityID],RawOfficer[Tag_PvPStation])</f>
        <v>➖</v>
      </c>
      <c r="G447" s="516" t="str">
        <f t="array" ref="G447">XLOOKUP(LCARS_Off[AbilityID],RawOfficer[AbilityID],RawOfficer[Tag_NonArmadaHostiles])</f>
        <v>✅</v>
      </c>
      <c r="H447" s="516" t="str">
        <f t="array" ref="H447">XLOOKUP(LCARS_Off[AbilityID],RawOfficer[AbilityID],RawOfficer[Tag_WaveDefense])</f>
        <v>✅</v>
      </c>
      <c r="I447" s="516" t="str">
        <f t="array" ref="I447">XLOOKUP(LCARS_Off[AbilityID],RawOfficer[AbilityID],RawOfficer[Tag_QTrial])</f>
        <v>✅</v>
      </c>
      <c r="J447" s="516" t="str">
        <f t="array" ref="J447">XLOOKUP(LCARS_Off[AbilityID],RawOfficer[AbilityID],RawOfficer[Tag_MissionBosses])</f>
        <v>➖</v>
      </c>
      <c r="K447" s="516" t="str">
        <f t="array" ref="K447">XLOOKUP(LCARS_Off[AbilityID],RawOfficer[AbilityID],RawOfficer[Tag_GroupArmadas])</f>
        <v>➖</v>
      </c>
      <c r="L447" s="516" t="str">
        <f t="array" ref="L447">XLOOKUP(LCARS_Off[AbilityID],RawOfficer[AbilityID],RawOfficer[Tag_SoloArmadas])</f>
        <v>➖</v>
      </c>
      <c r="M447" s="516" t="str">
        <f t="array" ref="M447">XLOOKUP(LCARS_Off[AbilityID],RawOfficer[AbilityID],RawOfficer[Tag_InvadingEntities])</f>
        <v>➖</v>
      </c>
      <c r="N447" s="516" t="str">
        <f t="array" ref="N447">XLOOKUP(LCARS_Off[AbilityID],RawOfficer[AbilityID],RawOfficer[Tag_Assaults])</f>
        <v>➖</v>
      </c>
      <c r="O447" s="516" t="str">
        <f t="array" ref="O447">XLOOKUP(LCARS_Off[AbilityID],RawOfficer[AbilityID],RawOfficer[Tag_OutpostArmadas])</f>
        <v>➖</v>
      </c>
      <c r="P447" s="516" t="str">
        <f t="array" ref="P447">XLOOKUP(LCARS_Off[AbilityID],RawOfficer[AbilityID],RawOfficer[Tag_OutpostRetaliators])</f>
        <v>➖</v>
      </c>
      <c r="Q447" s="517" t="str">
        <f t="array" ref="Q447">XLOOKUP(LCARS_Off[AbilityID],RawOfficer[AbilityID],RawOfficer[Conditional_Reason])</f>
        <v/>
      </c>
      <c r="R447" s="518" t="str">
        <f t="array" ref="R447">XLOOKUP(LCARS_Off[AbilityID],RawOfficer[AbilityID],RawOfficer[Tag_Loot])</f>
        <v>➖</v>
      </c>
      <c r="S447" s="516" t="str">
        <f t="array" ref="S447">XLOOKUP(LCARS_Off[AbilityID],RawOfficer[AbilityID],RawOfficer[Tag_Utility])</f>
        <v>➖</v>
      </c>
      <c r="T447" s="429" t="str">
        <f t="array" ref="T447">XLOOKUP(LCARS_Off[AbilityID],RawOfficer[AbilityID],RawOfficer[OfficerSynergy])</f>
        <v>STRANGE NEW WORLDS</v>
      </c>
      <c r="U447" s="519" t="str">
        <f t="array" ref="U447">XLOOKUP(LCARS_Off[AbilityID],RawOfficer[AbilityID],RawOfficer[AbilityModifier])</f>
        <v>ShieldHPRepair</v>
      </c>
      <c r="V447" s="519" t="str">
        <f t="array" ref="V447">XLOOKUP(LCARS_Off[AbilityID],RawOfficer[AbilityID],RawOfficer[AbilityAttributes])</f>
        <v/>
      </c>
      <c r="W447" s="520" t="str">
        <f t="array" ref="W447">XLOOKUP(LCARS_Off[AbilityID],RawOfficer[AbilityID],RawOfficer[AbilityConditions])</f>
        <v>EnemyHostile, TargetNotArmada</v>
      </c>
      <c r="X447" s="519" t="str">
        <f t="array" ref="X447">XLOOKUP(LCARS_Off[AbilityID],RawOfficer[AbilityID],RawOfficer[AbilityTrigger])</f>
        <v>RoundStart</v>
      </c>
      <c r="Y447" s="519" t="str">
        <f t="array" ref="Y447">XLOOKUP(LCARS_Off[AbilityID],RawOfficer[AbilityID],RawOfficer[AbilityTarget])</f>
        <v>SelfShip</v>
      </c>
      <c r="Z447" s="519" t="str">
        <f t="array" ref="Z447">XLOOKUP(LCARS_Off[AbilityID],RawOfficer[AbilityID],RawOfficer[AbilityOperation])</f>
        <v>MultiplyAdd</v>
      </c>
      <c r="AA447" s="521" t="str">
        <f t="array" ref="AA447">XLOOKUP(LCARS_Off[AbilityID],RawOfficer[AbilityID],RawOfficer[AbilityDescription])</f>
        <v>SNW M'Benga increases SHP every round by X (X at rank X) vs non-Armada Hostiles</v>
      </c>
      <c r="AB447" s="429" t="b">
        <v>0</v>
      </c>
      <c r="AC447" s="522" t="str">
        <f t="array" ref="AC447">XLOOKUP(LCARS_Off[AbilityID],RawOfficer[AbilityID],RawOfficer[AbilityDescriptionShort])</f>
        <v>SNW M'Benga Increases SHP every round by X vs non-Armada Hostiles.</v>
      </c>
      <c r="AD447" s="523"/>
      <c r="AE447" s="524"/>
      <c r="AF447" s="524"/>
      <c r="AG447" s="525" t="str">
        <f t="array" ref="AG447">XLOOKUP(LCARS_Off[AbilityID],RawOfficer[AbilityID],RawOfficer[AbilityChances])</f>
        <v>1.0, 1.0, 1.0, 1.0, 1.0</v>
      </c>
      <c r="AH447" s="525" t="str">
        <f t="array" ref="AH447">XLOOKUP(LCARS_Off[AbilityID],RawOfficer[AbilityID],RawOfficer[AbilityValues])</f>
        <v>0.02, 0.04, 0.06, 0.08, 0.15</v>
      </c>
      <c r="AI447" s="428" t="b">
        <f t="array" ref="AI447">XLOOKUP(LCARS_Off[AbilityID],RawOfficer[AbilityID],RawOfficer[AbilityHasChance])</f>
        <v>0</v>
      </c>
      <c r="AJ447" s="428" t="b">
        <f t="array" ref="AJ447">XLOOKUP(LCARS_Off[AbilityID],RawOfficer[AbilityID],RawOfficer[AbilityShowPercentage])</f>
        <v>1</v>
      </c>
      <c r="AK447" s="429">
        <f t="array" ref="AK447">XLOOKUP(LCARS_Off[AbilityID],RawOfficer[AbilityID],RawOfficer[OfficerArt])</f>
        <v>268</v>
      </c>
      <c r="AL447" s="430">
        <v>3.634862157E9</v>
      </c>
      <c r="AM447" s="430">
        <f t="array" ref="AM447">XLOOKUP(LCARS_Off[AbilityID],RawOfficer[AbilityID],RawOfficer[Default Order])</f>
        <v>444</v>
      </c>
    </row>
    <row r="448">
      <c r="A448" s="429" t="str">
        <f t="array" ref="A448">LEFT(XLOOKUP(LCARS_Off[AbilityID],RawOfficer[AbilityID],RawOfficer[OfficerRarity]), 1)</f>
        <v>R</v>
      </c>
      <c r="B448" s="429"/>
      <c r="C448" s="514" t="str">
        <f t="array" ref="C448">HYPERLINK("https://stfc.space/officers/" &amp; XLOOKUP(LCARS_Off[AbilityID],RawOfficer[AbilityID],RawOfficer[OfficerId]), XLOOKUP(LCARS_Off[AbilityID],RawOfficer[AbilityID],RawOfficer[OfficerName]))</f>
        <v>SNW NURSE CHAPEL</v>
      </c>
      <c r="D448" s="515" t="str">
        <f t="array" ref="D448">XLOOKUP(LCARS_Off[AbilityID],RawOfficer[AbilityID],RawOfficer[AbilityType])</f>
        <v>OA</v>
      </c>
      <c r="E448" s="516" t="str">
        <f t="array" ref="E448">XLOOKUP(LCARS_Off[AbilityID],RawOfficer[AbilityID],RawOfficer[Tag_PvPinSpace])</f>
        <v>➖</v>
      </c>
      <c r="F448" s="516" t="str">
        <f t="array" ref="F448">XLOOKUP(LCARS_Off[AbilityID],RawOfficer[AbilityID],RawOfficer[Tag_PvPStation])</f>
        <v>➖</v>
      </c>
      <c r="G448" s="516" t="str">
        <f t="array" ref="G448">XLOOKUP(LCARS_Off[AbilityID],RawOfficer[AbilityID],RawOfficer[Tag_NonArmadaHostiles])</f>
        <v>✴️</v>
      </c>
      <c r="H448" s="516" t="str">
        <f t="array" ref="H448">XLOOKUP(LCARS_Off[AbilityID],RawOfficer[AbilityID],RawOfficer[Tag_WaveDefense])</f>
        <v>➖</v>
      </c>
      <c r="I448" s="516" t="str">
        <f t="array" ref="I448">XLOOKUP(LCARS_Off[AbilityID],RawOfficer[AbilityID],RawOfficer[Tag_QTrial])</f>
        <v>➖</v>
      </c>
      <c r="J448" s="516" t="str">
        <f t="array" ref="J448">XLOOKUP(LCARS_Off[AbilityID],RawOfficer[AbilityID],RawOfficer[Tag_MissionBosses])</f>
        <v>➖</v>
      </c>
      <c r="K448" s="516" t="str">
        <f t="array" ref="K448">XLOOKUP(LCARS_Off[AbilityID],RawOfficer[AbilityID],RawOfficer[Tag_GroupArmadas])</f>
        <v>➖</v>
      </c>
      <c r="L448" s="516" t="str">
        <f t="array" ref="L448">XLOOKUP(LCARS_Off[AbilityID],RawOfficer[AbilityID],RawOfficer[Tag_SoloArmadas])</f>
        <v>➖</v>
      </c>
      <c r="M448" s="516" t="str">
        <f t="array" ref="M448">XLOOKUP(LCARS_Off[AbilityID],RawOfficer[AbilityID],RawOfficer[Tag_InvadingEntities])</f>
        <v>➖</v>
      </c>
      <c r="N448" s="516" t="str">
        <f t="array" ref="N448">XLOOKUP(LCARS_Off[AbilityID],RawOfficer[AbilityID],RawOfficer[Tag_Assaults])</f>
        <v>➖</v>
      </c>
      <c r="O448" s="516" t="str">
        <f t="array" ref="O448">XLOOKUP(LCARS_Off[AbilityID],RawOfficer[AbilityID],RawOfficer[Tag_OutpostArmadas])</f>
        <v>➖</v>
      </c>
      <c r="P448" s="516" t="str">
        <f t="array" ref="P448">XLOOKUP(LCARS_Off[AbilityID],RawOfficer[AbilityID],RawOfficer[Tag_OutpostRetaliators])</f>
        <v>➖</v>
      </c>
      <c r="Q448" s="517" t="str">
        <f t="array" ref="Q448">XLOOKUP(LCARS_Off[AbilityID],RawOfficer[AbilityID],RawOfficer[Conditional_Reason])</f>
        <v>GornHostileVolatileLoot</v>
      </c>
      <c r="R448" s="518" t="str">
        <f t="array" ref="R448">XLOOKUP(LCARS_Off[AbilityID],RawOfficer[AbilityID],RawOfficer[Tag_Loot])</f>
        <v>✅</v>
      </c>
      <c r="S448" s="516" t="str">
        <f t="array" ref="S448">XLOOKUP(LCARS_Off[AbilityID],RawOfficer[AbilityID],RawOfficer[Tag_Utility])</f>
        <v>➖</v>
      </c>
      <c r="T448" s="429" t="str">
        <f t="array" ref="T448">XLOOKUP(LCARS_Off[AbilityID],RawOfficer[AbilityID],RawOfficer[OfficerSynergy])</f>
        <v>STRANGE NEW WORLDS</v>
      </c>
      <c r="U448" s="519" t="str">
        <f t="array" ref="U448">XLOOKUP(LCARS_Off[AbilityID],RawOfficer[AbilityID],RawOfficer[AbilityModifier])</f>
        <v>GornHostileVolatileLoot</v>
      </c>
      <c r="V448" s="519" t="str">
        <f t="array" ref="V448">XLOOKUP(LCARS_Off[AbilityID],RawOfficer[AbilityID],RawOfficer[AbilityAttributes])</f>
        <v/>
      </c>
      <c r="W448" s="520" t="str">
        <f t="array" ref="W448">XLOOKUP(LCARS_Off[AbilityID],RawOfficer[AbilityID],RawOfficer[AbilityConditions])</f>
        <v/>
      </c>
      <c r="X448" s="519" t="str">
        <f t="array" ref="X448">XLOOKUP(LCARS_Off[AbilityID],RawOfficer[AbilityID],RawOfficer[AbilityTrigger])</f>
        <v>ShipLaunched</v>
      </c>
      <c r="Y448" s="519" t="str">
        <f t="array" ref="Y448">XLOOKUP(LCARS_Off[AbilityID],RawOfficer[AbilityID],RawOfficer[AbilityTarget])</f>
        <v>SelfShip</v>
      </c>
      <c r="Z448" s="519" t="str">
        <f t="array" ref="Z448">XLOOKUP(LCARS_Off[AbilityID],RawOfficer[AbilityID],RawOfficer[AbilityOperation])</f>
        <v>MultiplyAdd</v>
      </c>
      <c r="AA448" s="521" t="str">
        <f t="array" ref="AA448">XLOOKUP(LCARS_Off[AbilityID],RawOfficer[AbilityID],RawOfficer[AbilityDescription])</f>
        <v>Increases the amount of Volatile Isomatter you get from destroying Gorn Hunters by X (X at rank X)</v>
      </c>
      <c r="AB448" s="429" t="b">
        <v>0</v>
      </c>
      <c r="AC448" s="522" t="str">
        <f t="array" ref="AC448">XLOOKUP(LCARS_Off[AbilityID],RawOfficer[AbilityID],RawOfficer[AbilityDescriptionShort])</f>
        <v>Increases the amount of Volatile Isomatter you get from destroying Gorn Hunters by X</v>
      </c>
      <c r="AD448" s="523"/>
      <c r="AE448" s="524"/>
      <c r="AF448" s="524"/>
      <c r="AG448" s="525" t="str">
        <f t="array" ref="AG448">XLOOKUP(LCARS_Off[AbilityID],RawOfficer[AbilityID],RawOfficer[AbilityChances])</f>
        <v>1.0, 1.0, 1.0, 1.0, 1.0</v>
      </c>
      <c r="AH448" s="525" t="str">
        <f t="array" ref="AH448">XLOOKUP(LCARS_Off[AbilityID],RawOfficer[AbilityID],RawOfficer[AbilityValues])</f>
        <v>0.25, 0.5, 0.9, 1.4, 2.0</v>
      </c>
      <c r="AI448" s="428" t="b">
        <f t="array" ref="AI448">XLOOKUP(LCARS_Off[AbilityID],RawOfficer[AbilityID],RawOfficer[AbilityHasChance])</f>
        <v>0</v>
      </c>
      <c r="AJ448" s="428" t="b">
        <f t="array" ref="AJ448">XLOOKUP(LCARS_Off[AbilityID],RawOfficer[AbilityID],RawOfficer[AbilityShowPercentage])</f>
        <v>1</v>
      </c>
      <c r="AK448" s="429">
        <f t="array" ref="AK448">XLOOKUP(LCARS_Off[AbilityID],RawOfficer[AbilityID],RawOfficer[OfficerArt])</f>
        <v>270</v>
      </c>
      <c r="AL448" s="430">
        <v>1.357755834E9</v>
      </c>
      <c r="AM448" s="430">
        <f t="array" ref="AM448">XLOOKUP(LCARS_Off[AbilityID],RawOfficer[AbilityID],RawOfficer[Default Order])</f>
        <v>445</v>
      </c>
    </row>
    <row r="449">
      <c r="A449" s="429" t="str">
        <f t="array" ref="A449">LEFT(XLOOKUP(LCARS_Off[AbilityID],RawOfficer[AbilityID],RawOfficer[OfficerRarity]), 1)</f>
        <v>R</v>
      </c>
      <c r="B449" s="429"/>
      <c r="C449" s="514" t="str">
        <f t="array" ref="C449">HYPERLINK("https://stfc.space/officers/" &amp; XLOOKUP(LCARS_Off[AbilityID],RawOfficer[AbilityID],RawOfficer[OfficerId]), XLOOKUP(LCARS_Off[AbilityID],RawOfficer[AbilityID],RawOfficer[OfficerName]))</f>
        <v>SNW NURSE CHAPEL</v>
      </c>
      <c r="D449" s="515" t="str">
        <f t="array" ref="D449">XLOOKUP(LCARS_Off[AbilityID],RawOfficer[AbilityID],RawOfficer[AbilityType])</f>
        <v>BDA</v>
      </c>
      <c r="E449" s="516" t="str">
        <f t="array" ref="E449">XLOOKUP(LCARS_Off[AbilityID],RawOfficer[AbilityID],RawOfficer[Tag_PvPinSpace])</f>
        <v>➖</v>
      </c>
      <c r="F449" s="516" t="str">
        <f t="array" ref="F449">XLOOKUP(LCARS_Off[AbilityID],RawOfficer[AbilityID],RawOfficer[Tag_PvPStation])</f>
        <v>➖</v>
      </c>
      <c r="G449" s="516" t="str">
        <f t="array" ref="G449">XLOOKUP(LCARS_Off[AbilityID],RawOfficer[AbilityID],RawOfficer[Tag_NonArmadaHostiles])</f>
        <v>✅</v>
      </c>
      <c r="H449" s="516" t="str">
        <f t="array" ref="H449">XLOOKUP(LCARS_Off[AbilityID],RawOfficer[AbilityID],RawOfficer[Tag_WaveDefense])</f>
        <v>✅</v>
      </c>
      <c r="I449" s="516" t="str">
        <f t="array" ref="I449">XLOOKUP(LCARS_Off[AbilityID],RawOfficer[AbilityID],RawOfficer[Tag_QTrial])</f>
        <v>✅</v>
      </c>
      <c r="J449" s="516" t="str">
        <f t="array" ref="J449">XLOOKUP(LCARS_Off[AbilityID],RawOfficer[AbilityID],RawOfficer[Tag_MissionBosses])</f>
        <v>➖</v>
      </c>
      <c r="K449" s="516" t="str">
        <f t="array" ref="K449">XLOOKUP(LCARS_Off[AbilityID],RawOfficer[AbilityID],RawOfficer[Tag_GroupArmadas])</f>
        <v>➖</v>
      </c>
      <c r="L449" s="516" t="str">
        <f t="array" ref="L449">XLOOKUP(LCARS_Off[AbilityID],RawOfficer[AbilityID],RawOfficer[Tag_SoloArmadas])</f>
        <v>➖</v>
      </c>
      <c r="M449" s="516" t="str">
        <f t="array" ref="M449">XLOOKUP(LCARS_Off[AbilityID],RawOfficer[AbilityID],RawOfficer[Tag_InvadingEntities])</f>
        <v>➖</v>
      </c>
      <c r="N449" s="516" t="str">
        <f t="array" ref="N449">XLOOKUP(LCARS_Off[AbilityID],RawOfficer[AbilityID],RawOfficer[Tag_Assaults])</f>
        <v>➖</v>
      </c>
      <c r="O449" s="516" t="str">
        <f t="array" ref="O449">XLOOKUP(LCARS_Off[AbilityID],RawOfficer[AbilityID],RawOfficer[Tag_OutpostArmadas])</f>
        <v>➖</v>
      </c>
      <c r="P449" s="516" t="str">
        <f t="array" ref="P449">XLOOKUP(LCARS_Off[AbilityID],RawOfficer[AbilityID],RawOfficer[Tag_OutpostRetaliators])</f>
        <v>➖</v>
      </c>
      <c r="Q449" s="517" t="str">
        <f t="array" ref="Q449">XLOOKUP(LCARS_Off[AbilityID],RawOfficer[AbilityID],RawOfficer[Conditional_Reason])</f>
        <v/>
      </c>
      <c r="R449" s="518" t="str">
        <f t="array" ref="R449">XLOOKUP(LCARS_Off[AbilityID],RawOfficer[AbilityID],RawOfficer[Tag_Loot])</f>
        <v>➖</v>
      </c>
      <c r="S449" s="516" t="str">
        <f t="array" ref="S449">XLOOKUP(LCARS_Off[AbilityID],RawOfficer[AbilityID],RawOfficer[Tag_Utility])</f>
        <v>➖</v>
      </c>
      <c r="T449" s="429" t="str">
        <f t="array" ref="T449">XLOOKUP(LCARS_Off[AbilityID],RawOfficer[AbilityID],RawOfficer[OfficerSynergy])</f>
        <v>STRANGE NEW WORLDS</v>
      </c>
      <c r="U449" s="519" t="str">
        <f t="array" ref="U449">XLOOKUP(LCARS_Off[AbilityID],RawOfficer[AbilityID],RawOfficer[AbilityModifier])</f>
        <v>IsolyticDamage</v>
      </c>
      <c r="V449" s="519" t="str">
        <f t="array" ref="V449">XLOOKUP(LCARS_Off[AbilityID],RawOfficer[AbilityID],RawOfficer[AbilityAttributes])</f>
        <v/>
      </c>
      <c r="W449" s="520" t="str">
        <f t="array" ref="W449">XLOOKUP(LCARS_Off[AbilityID],RawOfficer[AbilityID],RawOfficer[AbilityConditions])</f>
        <v>EnemyHostile, TargetNotArmada</v>
      </c>
      <c r="X449" s="519" t="str">
        <f t="array" ref="X449">XLOOKUP(LCARS_Off[AbilityID],RawOfficer[AbilityID],RawOfficer[AbilityTrigger])</f>
        <v>CombatStart</v>
      </c>
      <c r="Y449" s="519" t="str">
        <f t="array" ref="Y449">XLOOKUP(LCARS_Off[AbilityID],RawOfficer[AbilityID],RawOfficer[AbilityTarget])</f>
        <v>SelfShip</v>
      </c>
      <c r="Z449" s="519" t="str">
        <f t="array" ref="Z449">XLOOKUP(LCARS_Off[AbilityID],RawOfficer[AbilityID],RawOfficer[AbilityOperation])</f>
        <v>MultiplyAdd</v>
      </c>
      <c r="AA449" s="521" t="str">
        <f t="array" ref="AA449">XLOOKUP(LCARS_Off[AbilityID],RawOfficer[AbilityID],RawOfficer[AbilityDescription])</f>
        <v>At the start of combat, SNW Chapel increases Isolytic Cascade damage by X (X at rank X) vs non-Armada Hostiles. -- Isolytic Cascade multiplies your total damage, including Isolytic Damage, and all research and other bonuses.</v>
      </c>
      <c r="AB449" s="429" t="b">
        <v>0</v>
      </c>
      <c r="AC449" s="522" t="str">
        <f t="array" ref="AC449">XLOOKUP(LCARS_Off[AbilityID],RawOfficer[AbilityID],RawOfficer[AbilityDescriptionShort])</f>
        <v>At the start of combat, SNW Chapel increases Isolytic Cascade damage by X vs non-Armada Hostiles</v>
      </c>
      <c r="AD449" s="523"/>
      <c r="AE449" s="524"/>
      <c r="AF449" s="524"/>
      <c r="AG449" s="525" t="str">
        <f t="array" ref="AG449">XLOOKUP(LCARS_Off[AbilityID],RawOfficer[AbilityID],RawOfficer[AbilityChances])</f>
        <v>1.0, 1.0, 1.0, 1.0, 1.0</v>
      </c>
      <c r="AH449" s="525" t="str">
        <f t="array" ref="AH449">XLOOKUP(LCARS_Off[AbilityID],RawOfficer[AbilityID],RawOfficer[AbilityValues])</f>
        <v>0.05, 0.1, 0.15, 0.25, 0.4</v>
      </c>
      <c r="AI449" s="428" t="b">
        <f t="array" ref="AI449">XLOOKUP(LCARS_Off[AbilityID],RawOfficer[AbilityID],RawOfficer[AbilityHasChance])</f>
        <v>0</v>
      </c>
      <c r="AJ449" s="428" t="b">
        <f t="array" ref="AJ449">XLOOKUP(LCARS_Off[AbilityID],RawOfficer[AbilityID],RawOfficer[AbilityShowPercentage])</f>
        <v>1</v>
      </c>
      <c r="AK449" s="429">
        <f t="array" ref="AK449">XLOOKUP(LCARS_Off[AbilityID],RawOfficer[AbilityID],RawOfficer[OfficerArt])</f>
        <v>270</v>
      </c>
      <c r="AL449" s="430">
        <v>1.664636088E9</v>
      </c>
      <c r="AM449" s="430">
        <f t="array" ref="AM449">XLOOKUP(LCARS_Off[AbilityID],RawOfficer[AbilityID],RawOfficer[Default Order])</f>
        <v>446</v>
      </c>
    </row>
    <row r="450">
      <c r="A450" s="429" t="str">
        <f t="array" ref="A450">LEFT(XLOOKUP(LCARS_Off[AbilityID],RawOfficer[AbilityID],RawOfficer[OfficerRarity]), 1)</f>
        <v>E</v>
      </c>
      <c r="B450" s="429"/>
      <c r="C450" s="514" t="str">
        <f t="array" ref="C450">HYPERLINK("https://stfc.space/officers/" &amp; XLOOKUP(LCARS_Off[AbilityID],RawOfficer[AbilityID],RawOfficer[OfficerId]), XLOOKUP(LCARS_Off[AbilityID],RawOfficer[AbilityID],RawOfficer[OfficerName]))</f>
        <v>SNW SAM KIRK</v>
      </c>
      <c r="D450" s="515" t="str">
        <f t="array" ref="D450">XLOOKUP(LCARS_Off[AbilityID],RawOfficer[AbilityID],RawOfficer[AbilityType])</f>
        <v>CM</v>
      </c>
      <c r="E450" s="516" t="str">
        <f t="array" ref="E450">XLOOKUP(LCARS_Off[AbilityID],RawOfficer[AbilityID],RawOfficer[Tag_PvPinSpace])</f>
        <v>➖</v>
      </c>
      <c r="F450" s="516" t="str">
        <f t="array" ref="F450">XLOOKUP(LCARS_Off[AbilityID],RawOfficer[AbilityID],RawOfficer[Tag_PvPStation])</f>
        <v>➖</v>
      </c>
      <c r="G450" s="516" t="str">
        <f t="array" ref="G450">XLOOKUP(LCARS_Off[AbilityID],RawOfficer[AbilityID],RawOfficer[Tag_NonArmadaHostiles])</f>
        <v>✅</v>
      </c>
      <c r="H450" s="516" t="str">
        <f t="array" ref="H450">XLOOKUP(LCARS_Off[AbilityID],RawOfficer[AbilityID],RawOfficer[Tag_WaveDefense])</f>
        <v>✅</v>
      </c>
      <c r="I450" s="516" t="str">
        <f t="array" ref="I450">XLOOKUP(LCARS_Off[AbilityID],RawOfficer[AbilityID],RawOfficer[Tag_QTrial])</f>
        <v>✅</v>
      </c>
      <c r="J450" s="516" t="str">
        <f t="array" ref="J450">XLOOKUP(LCARS_Off[AbilityID],RawOfficer[AbilityID],RawOfficer[Tag_MissionBosses])</f>
        <v>➖</v>
      </c>
      <c r="K450" s="516" t="str">
        <f t="array" ref="K450">XLOOKUP(LCARS_Off[AbilityID],RawOfficer[AbilityID],RawOfficer[Tag_GroupArmadas])</f>
        <v>➖</v>
      </c>
      <c r="L450" s="516" t="str">
        <f t="array" ref="L450">XLOOKUP(LCARS_Off[AbilityID],RawOfficer[AbilityID],RawOfficer[Tag_SoloArmadas])</f>
        <v>➖</v>
      </c>
      <c r="M450" s="516" t="str">
        <f t="array" ref="M450">XLOOKUP(LCARS_Off[AbilityID],RawOfficer[AbilityID],RawOfficer[Tag_InvadingEntities])</f>
        <v>➖</v>
      </c>
      <c r="N450" s="516" t="str">
        <f t="array" ref="N450">XLOOKUP(LCARS_Off[AbilityID],RawOfficer[AbilityID],RawOfficer[Tag_Assaults])</f>
        <v>➖</v>
      </c>
      <c r="O450" s="516" t="str">
        <f t="array" ref="O450">XLOOKUP(LCARS_Off[AbilityID],RawOfficer[AbilityID],RawOfficer[Tag_OutpostArmadas])</f>
        <v>➖</v>
      </c>
      <c r="P450" s="516" t="str">
        <f t="array" ref="P450">XLOOKUP(LCARS_Off[AbilityID],RawOfficer[AbilityID],RawOfficer[Tag_OutpostRetaliators])</f>
        <v>➖</v>
      </c>
      <c r="Q450" s="517" t="str">
        <f t="array" ref="Q450">XLOOKUP(LCARS_Off[AbilityID],RawOfficer[AbilityID],RawOfficer[Conditional_Reason])</f>
        <v/>
      </c>
      <c r="R450" s="518" t="str">
        <f t="array" ref="R450">XLOOKUP(LCARS_Off[AbilityID],RawOfficer[AbilityID],RawOfficer[Tag_Loot])</f>
        <v>➖</v>
      </c>
      <c r="S450" s="516" t="str">
        <f t="array" ref="S450">XLOOKUP(LCARS_Off[AbilityID],RawOfficer[AbilityID],RawOfficer[Tag_Utility])</f>
        <v>➖</v>
      </c>
      <c r="T450" s="429" t="str">
        <f t="array" ref="T450">XLOOKUP(LCARS_Off[AbilityID],RawOfficer[AbilityID],RawOfficer[OfficerSynergy])</f>
        <v>STRANGE NEW WORLDS</v>
      </c>
      <c r="U450" s="519" t="str">
        <f t="array" ref="U450">XLOOKUP(LCARS_Off[AbilityID],RawOfficer[AbilityID],RawOfficer[AbilityModifier])</f>
        <v>ShieldHPRepair</v>
      </c>
      <c r="V450" s="519" t="str">
        <f t="array" ref="V450">XLOOKUP(LCARS_Off[AbilityID],RawOfficer[AbilityID],RawOfficer[AbilityAttributes])</f>
        <v/>
      </c>
      <c r="W450" s="520" t="str">
        <f t="array" ref="W450">XLOOKUP(LCARS_Off[AbilityID],RawOfficer[AbilityID],RawOfficer[AbilityConditions])</f>
        <v>EnemyHostile, TargetNotArmada</v>
      </c>
      <c r="X450" s="519" t="str">
        <f t="array" ref="X450">XLOOKUP(LCARS_Off[AbilityID],RawOfficer[AbilityID],RawOfficer[AbilityTrigger])</f>
        <v>RoundStart</v>
      </c>
      <c r="Y450" s="519" t="str">
        <f t="array" ref="Y450">XLOOKUP(LCARS_Off[AbilityID],RawOfficer[AbilityID],RawOfficer[AbilityTarget])</f>
        <v>EnemyShip</v>
      </c>
      <c r="Z450" s="519" t="str">
        <f t="array" ref="Z450">XLOOKUP(LCARS_Off[AbilityID],RawOfficer[AbilityID],RawOfficer[AbilityOperation])</f>
        <v>MultiplySub</v>
      </c>
      <c r="AA450" s="521" t="str">
        <f t="array" ref="AA450">XLOOKUP(LCARS_Off[AbilityID],RawOfficer[AbilityID],RawOfficer[AbilityDescription])</f>
        <v>SNW Sam Kirk reduces enemy SHP by X every round vs non-Armada Hostiles</v>
      </c>
      <c r="AB450" s="429" t="b">
        <v>0</v>
      </c>
      <c r="AC450" s="522" t="str">
        <f t="array" ref="AC450">XLOOKUP(LCARS_Off[AbilityID],RawOfficer[AbilityID],RawOfficer[AbilityDescriptionShort])</f>
        <v>SNW Sam Kirk reduces enemy SHP by X every round vs non-Armada Hostiles</v>
      </c>
      <c r="AD450" s="523"/>
      <c r="AE450" s="524"/>
      <c r="AF450" s="524"/>
      <c r="AG450" s="525" t="str">
        <f t="array" ref="AG450">XLOOKUP(LCARS_Off[AbilityID],RawOfficer[AbilityID],RawOfficer[AbilityChances])</f>
        <v>1.0, 1.0, 1.0</v>
      </c>
      <c r="AH450" s="525" t="str">
        <f t="array" ref="AH450">XLOOKUP(LCARS_Off[AbilityID],RawOfficer[AbilityID],RawOfficer[AbilityValues])</f>
        <v>0.1, 0.05, 0.08</v>
      </c>
      <c r="AI450" s="428" t="b">
        <f t="array" ref="AI450">XLOOKUP(LCARS_Off[AbilityID],RawOfficer[AbilityID],RawOfficer[AbilityHasChance])</f>
        <v>0</v>
      </c>
      <c r="AJ450" s="428" t="b">
        <f t="array" ref="AJ450">XLOOKUP(LCARS_Off[AbilityID],RawOfficer[AbilityID],RawOfficer[AbilityShowPercentage])</f>
        <v>1</v>
      </c>
      <c r="AK450" s="429">
        <f t="array" ref="AK450">XLOOKUP(LCARS_Off[AbilityID],RawOfficer[AbilityID],RawOfficer[OfficerArt])</f>
        <v>269</v>
      </c>
      <c r="AL450" s="430">
        <v>2.86142361E9</v>
      </c>
      <c r="AM450" s="430">
        <f t="array" ref="AM450">XLOOKUP(LCARS_Off[AbilityID],RawOfficer[AbilityID],RawOfficer[Default Order])</f>
        <v>447</v>
      </c>
    </row>
    <row r="451">
      <c r="A451" s="429" t="str">
        <f t="array" ref="A451">LEFT(XLOOKUP(LCARS_Off[AbilityID],RawOfficer[AbilityID],RawOfficer[OfficerRarity]), 1)</f>
        <v>E</v>
      </c>
      <c r="B451" s="429"/>
      <c r="C451" s="514" t="str">
        <f t="array" ref="C451">HYPERLINK("https://stfc.space/officers/" &amp; XLOOKUP(LCARS_Off[AbilityID],RawOfficer[AbilityID],RawOfficer[OfficerId]), XLOOKUP(LCARS_Off[AbilityID],RawOfficer[AbilityID],RawOfficer[OfficerName]))</f>
        <v>SNW SAM KIRK</v>
      </c>
      <c r="D451" s="515" t="str">
        <f t="array" ref="D451">XLOOKUP(LCARS_Off[AbilityID],RawOfficer[AbilityID],RawOfficer[AbilityType])</f>
        <v>OA</v>
      </c>
      <c r="E451" s="516" t="str">
        <f t="array" ref="E451">XLOOKUP(LCARS_Off[AbilityID],RawOfficer[AbilityID],RawOfficer[Tag_PvPinSpace])</f>
        <v>➖</v>
      </c>
      <c r="F451" s="516" t="str">
        <f t="array" ref="F451">XLOOKUP(LCARS_Off[AbilityID],RawOfficer[AbilityID],RawOfficer[Tag_PvPStation])</f>
        <v>➖</v>
      </c>
      <c r="G451" s="516" t="str">
        <f t="array" ref="G451">XLOOKUP(LCARS_Off[AbilityID],RawOfficer[AbilityID],RawOfficer[Tag_NonArmadaHostiles])</f>
        <v>✅</v>
      </c>
      <c r="H451" s="516" t="str">
        <f t="array" ref="H451">XLOOKUP(LCARS_Off[AbilityID],RawOfficer[AbilityID],RawOfficer[Tag_WaveDefense])</f>
        <v>✅</v>
      </c>
      <c r="I451" s="516" t="str">
        <f t="array" ref="I451">XLOOKUP(LCARS_Off[AbilityID],RawOfficer[AbilityID],RawOfficer[Tag_QTrial])</f>
        <v>✅</v>
      </c>
      <c r="J451" s="516" t="str">
        <f t="array" ref="J451">XLOOKUP(LCARS_Off[AbilityID],RawOfficer[AbilityID],RawOfficer[Tag_MissionBosses])</f>
        <v>➖</v>
      </c>
      <c r="K451" s="516" t="str">
        <f t="array" ref="K451">XLOOKUP(LCARS_Off[AbilityID],RawOfficer[AbilityID],RawOfficer[Tag_GroupArmadas])</f>
        <v>➖</v>
      </c>
      <c r="L451" s="516" t="str">
        <f t="array" ref="L451">XLOOKUP(LCARS_Off[AbilityID],RawOfficer[AbilityID],RawOfficer[Tag_SoloArmadas])</f>
        <v>➖</v>
      </c>
      <c r="M451" s="516" t="str">
        <f t="array" ref="M451">XLOOKUP(LCARS_Off[AbilityID],RawOfficer[AbilityID],RawOfficer[Tag_InvadingEntities])</f>
        <v>➖</v>
      </c>
      <c r="N451" s="516" t="str">
        <f t="array" ref="N451">XLOOKUP(LCARS_Off[AbilityID],RawOfficer[AbilityID],RawOfficer[Tag_Assaults])</f>
        <v>➖</v>
      </c>
      <c r="O451" s="516" t="str">
        <f t="array" ref="O451">XLOOKUP(LCARS_Off[AbilityID],RawOfficer[AbilityID],RawOfficer[Tag_OutpostArmadas])</f>
        <v>➖</v>
      </c>
      <c r="P451" s="516" t="str">
        <f t="array" ref="P451">XLOOKUP(LCARS_Off[AbilityID],RawOfficer[AbilityID],RawOfficer[Tag_OutpostRetaliators])</f>
        <v>➖</v>
      </c>
      <c r="Q451" s="517" t="str">
        <f t="array" ref="Q451">XLOOKUP(LCARS_Off[AbilityID],RawOfficer[AbilityID],RawOfficer[Conditional_Reason])</f>
        <v/>
      </c>
      <c r="R451" s="518" t="str">
        <f t="array" ref="R451">XLOOKUP(LCARS_Off[AbilityID],RawOfficer[AbilityID],RawOfficer[Tag_Loot])</f>
        <v>➖</v>
      </c>
      <c r="S451" s="516" t="str">
        <f t="array" ref="S451">XLOOKUP(LCARS_Off[AbilityID],RawOfficer[AbilityID],RawOfficer[Tag_Utility])</f>
        <v>➖</v>
      </c>
      <c r="T451" s="429" t="str">
        <f t="array" ref="T451">XLOOKUP(LCARS_Off[AbilityID],RawOfficer[AbilityID],RawOfficer[OfficerSynergy])</f>
        <v>STRANGE NEW WORLDS</v>
      </c>
      <c r="U451" s="519" t="str">
        <f t="array" ref="U451">XLOOKUP(LCARS_Off[AbilityID],RawOfficer[AbilityID],RawOfficer[AbilityModifier])</f>
        <v>CritDamage</v>
      </c>
      <c r="V451" s="519" t="str">
        <f t="array" ref="V451">XLOOKUP(LCARS_Off[AbilityID],RawOfficer[AbilityID],RawOfficer[AbilityAttributes])</f>
        <v/>
      </c>
      <c r="W451" s="520" t="str">
        <f t="array" ref="W451">XLOOKUP(LCARS_Off[AbilityID],RawOfficer[AbilityID],RawOfficer[AbilityConditions])</f>
        <v>EnemyHostile, TargetNotArmada</v>
      </c>
      <c r="X451" s="519" t="str">
        <f t="array" ref="X451">XLOOKUP(LCARS_Off[AbilityID],RawOfficer[AbilityID],RawOfficer[AbilityTrigger])</f>
        <v>CombatStart</v>
      </c>
      <c r="Y451" s="519" t="str">
        <f t="array" ref="Y451">XLOOKUP(LCARS_Off[AbilityID],RawOfficer[AbilityID],RawOfficer[AbilityTarget])</f>
        <v>SelfShip</v>
      </c>
      <c r="Z451" s="519" t="str">
        <f t="array" ref="Z451">XLOOKUP(LCARS_Off[AbilityID],RawOfficer[AbilityID],RawOfficer[AbilityOperation])</f>
        <v>Add</v>
      </c>
      <c r="AA451" s="521" t="str">
        <f t="array" ref="AA451">XLOOKUP(LCARS_Off[AbilityID],RawOfficer[AbilityID],RawOfficer[AbilityDescription])</f>
        <v>SNW Sam Kirk increases Critical Damage by X (X at rank X) vs non-Armada Hostiles</v>
      </c>
      <c r="AB451" s="429" t="b">
        <v>0</v>
      </c>
      <c r="AC451" s="522" t="str">
        <f t="array" ref="AC451">XLOOKUP(LCARS_Off[AbilityID],RawOfficer[AbilityID],RawOfficer[AbilityDescriptionShort])</f>
        <v>SNW Sam Kirk increases Critical Damage by X vs non-Armada Hostiles</v>
      </c>
      <c r="AD451" s="523"/>
      <c r="AE451" s="524"/>
      <c r="AF451" s="524"/>
      <c r="AG451" s="525" t="str">
        <f t="array" ref="AG451">XLOOKUP(LCARS_Off[AbilityID],RawOfficer[AbilityID],RawOfficer[AbilityChances])</f>
        <v>1.0, 1.0, 1.0, 1.0, 1.0</v>
      </c>
      <c r="AH451" s="525" t="str">
        <f t="array" ref="AH451">XLOOKUP(LCARS_Off[AbilityID],RawOfficer[AbilityID],RawOfficer[AbilityValues])</f>
        <v>0.4, 0.9, 1.5, 2.3, 3.5</v>
      </c>
      <c r="AI451" s="428" t="b">
        <f t="array" ref="AI451">XLOOKUP(LCARS_Off[AbilityID],RawOfficer[AbilityID],RawOfficer[AbilityHasChance])</f>
        <v>0</v>
      </c>
      <c r="AJ451" s="428" t="b">
        <f t="array" ref="AJ451">XLOOKUP(LCARS_Off[AbilityID],RawOfficer[AbilityID],RawOfficer[AbilityShowPercentage])</f>
        <v>1</v>
      </c>
      <c r="AK451" s="429">
        <f t="array" ref="AK451">XLOOKUP(LCARS_Off[AbilityID],RawOfficer[AbilityID],RawOfficer[OfficerArt])</f>
        <v>269</v>
      </c>
      <c r="AL451" s="430">
        <v>2.813724537E9</v>
      </c>
      <c r="AM451" s="430">
        <f t="array" ref="AM451">XLOOKUP(LCARS_Off[AbilityID],RawOfficer[AbilityID],RawOfficer[Default Order])</f>
        <v>448</v>
      </c>
    </row>
    <row r="452">
      <c r="A452" s="429" t="str">
        <f t="array" ref="A452">LEFT(XLOOKUP(LCARS_Off[AbilityID],RawOfficer[AbilityID],RawOfficer[OfficerRarity]), 1)</f>
        <v>E</v>
      </c>
      <c r="B452" s="429"/>
      <c r="C452" s="514" t="str">
        <f t="array" ref="C452">HYPERLINK("https://stfc.space/officers/" &amp; XLOOKUP(LCARS_Off[AbilityID],RawOfficer[AbilityID],RawOfficer[OfficerId]), XLOOKUP(LCARS_Off[AbilityID],RawOfficer[AbilityID],RawOfficer[OfficerName]))</f>
        <v>SNW JAMES KIRK</v>
      </c>
      <c r="D452" s="515" t="str">
        <f t="array" ref="D452">XLOOKUP(LCARS_Off[AbilityID],RawOfficer[AbilityID],RawOfficer[AbilityType])</f>
        <v>CM</v>
      </c>
      <c r="E452" s="516" t="str">
        <f t="array" ref="E452">XLOOKUP(LCARS_Off[AbilityID],RawOfficer[AbilityID],RawOfficer[Tag_PvPinSpace])</f>
        <v>➖</v>
      </c>
      <c r="F452" s="516" t="str">
        <f t="array" ref="F452">XLOOKUP(LCARS_Off[AbilityID],RawOfficer[AbilityID],RawOfficer[Tag_PvPStation])</f>
        <v>➖</v>
      </c>
      <c r="G452" s="516" t="str">
        <f t="array" ref="G452">XLOOKUP(LCARS_Off[AbilityID],RawOfficer[AbilityID],RawOfficer[Tag_NonArmadaHostiles])</f>
        <v>✅</v>
      </c>
      <c r="H452" s="516" t="str">
        <f t="array" ref="H452">XLOOKUP(LCARS_Off[AbilityID],RawOfficer[AbilityID],RawOfficer[Tag_WaveDefense])</f>
        <v>✅</v>
      </c>
      <c r="I452" s="516" t="str">
        <f t="array" ref="I452">XLOOKUP(LCARS_Off[AbilityID],RawOfficer[AbilityID],RawOfficer[Tag_QTrial])</f>
        <v>✅</v>
      </c>
      <c r="J452" s="516" t="str">
        <f t="array" ref="J452">XLOOKUP(LCARS_Off[AbilityID],RawOfficer[AbilityID],RawOfficer[Tag_MissionBosses])</f>
        <v>➖</v>
      </c>
      <c r="K452" s="516" t="str">
        <f t="array" ref="K452">XLOOKUP(LCARS_Off[AbilityID],RawOfficer[AbilityID],RawOfficer[Tag_GroupArmadas])</f>
        <v>➖</v>
      </c>
      <c r="L452" s="516" t="str">
        <f t="array" ref="L452">XLOOKUP(LCARS_Off[AbilityID],RawOfficer[AbilityID],RawOfficer[Tag_SoloArmadas])</f>
        <v>➖</v>
      </c>
      <c r="M452" s="516" t="str">
        <f t="array" ref="M452">XLOOKUP(LCARS_Off[AbilityID],RawOfficer[AbilityID],RawOfficer[Tag_InvadingEntities])</f>
        <v>➖</v>
      </c>
      <c r="N452" s="516" t="str">
        <f t="array" ref="N452">XLOOKUP(LCARS_Off[AbilityID],RawOfficer[AbilityID],RawOfficer[Tag_Assaults])</f>
        <v>➖</v>
      </c>
      <c r="O452" s="516" t="str">
        <f t="array" ref="O452">XLOOKUP(LCARS_Off[AbilityID],RawOfficer[AbilityID],RawOfficer[Tag_OutpostArmadas])</f>
        <v>➖</v>
      </c>
      <c r="P452" s="516" t="str">
        <f t="array" ref="P452">XLOOKUP(LCARS_Off[AbilityID],RawOfficer[AbilityID],RawOfficer[Tag_OutpostRetaliators])</f>
        <v>➖</v>
      </c>
      <c r="Q452" s="517" t="str">
        <f t="array" ref="Q452">XLOOKUP(LCARS_Off[AbilityID],RawOfficer[AbilityID],RawOfficer[Conditional_Reason])</f>
        <v/>
      </c>
      <c r="R452" s="518" t="str">
        <f t="array" ref="R452">XLOOKUP(LCARS_Off[AbilityID],RawOfficer[AbilityID],RawOfficer[Tag_Loot])</f>
        <v>➖</v>
      </c>
      <c r="S452" s="516" t="str">
        <f t="array" ref="S452">XLOOKUP(LCARS_Off[AbilityID],RawOfficer[AbilityID],RawOfficer[Tag_Utility])</f>
        <v>➖</v>
      </c>
      <c r="T452" s="429" t="str">
        <f t="array" ref="T452">XLOOKUP(LCARS_Off[AbilityID],RawOfficer[AbilityID],RawOfficer[OfficerSynergy])</f>
        <v>STRANGE NEW WORLDS</v>
      </c>
      <c r="U452" s="519" t="str">
        <f t="array" ref="U452">XLOOKUP(LCARS_Off[AbilityID],RawOfficer[AbilityID],RawOfficer[AbilityModifier])</f>
        <v>ShieldMitigation</v>
      </c>
      <c r="V452" s="519" t="str">
        <f t="array" ref="V452">XLOOKUP(LCARS_Off[AbilityID],RawOfficer[AbilityID],RawOfficer[AbilityAttributes])</f>
        <v/>
      </c>
      <c r="W452" s="520" t="str">
        <f t="array" ref="W452">XLOOKUP(LCARS_Off[AbilityID],RawOfficer[AbilityID],RawOfficer[AbilityConditions])</f>
        <v>EnemyHostile, TargetNotArmada</v>
      </c>
      <c r="X452" s="519" t="str">
        <f t="array" ref="X452">XLOOKUP(LCARS_Off[AbilityID],RawOfficer[AbilityID],RawOfficer[AbilityTrigger])</f>
        <v>CombatStart</v>
      </c>
      <c r="Y452" s="519" t="str">
        <f t="array" ref="Y452">XLOOKUP(LCARS_Off[AbilityID],RawOfficer[AbilityID],RawOfficer[AbilityTarget])</f>
        <v>EnemyShip</v>
      </c>
      <c r="Z452" s="519" t="str">
        <f t="array" ref="Z452">XLOOKUP(LCARS_Off[AbilityID],RawOfficer[AbilityID],RawOfficer[AbilityOperation])</f>
        <v>MultiplySub</v>
      </c>
      <c r="AA452" s="521" t="str">
        <f t="array" ref="AA452">XLOOKUP(LCARS_Off[AbilityID],RawOfficer[AbilityID],RawOfficer[AbilityDescription])</f>
        <v>SNW James Kirk reduces enemy Shield Mitigation by X vs non-Armada Hostiles</v>
      </c>
      <c r="AB452" s="429" t="b">
        <v>0</v>
      </c>
      <c r="AC452" s="522" t="str">
        <f t="array" ref="AC452">XLOOKUP(LCARS_Off[AbilityID],RawOfficer[AbilityID],RawOfficer[AbilityDescriptionShort])</f>
        <v>SNW James Kirk reduces enemy Shield Mitigation by X vs non-Armada Hostiles</v>
      </c>
      <c r="AD452" s="523"/>
      <c r="AE452" s="524"/>
      <c r="AF452" s="524"/>
      <c r="AG452" s="525" t="str">
        <f t="array" ref="AG452">XLOOKUP(LCARS_Off[AbilityID],RawOfficer[AbilityID],RawOfficer[AbilityChances])</f>
        <v>1.0, 1.0, 1.0</v>
      </c>
      <c r="AH452" s="525" t="str">
        <f t="array" ref="AH452">XLOOKUP(LCARS_Off[AbilityID],RawOfficer[AbilityID],RawOfficer[AbilityValues])</f>
        <v>0.4, 0.15, 0.3</v>
      </c>
      <c r="AI452" s="428" t="b">
        <f t="array" ref="AI452">XLOOKUP(LCARS_Off[AbilityID],RawOfficer[AbilityID],RawOfficer[AbilityHasChance])</f>
        <v>0</v>
      </c>
      <c r="AJ452" s="428" t="b">
        <f t="array" ref="AJ452">XLOOKUP(LCARS_Off[AbilityID],RawOfficer[AbilityID],RawOfficer[AbilityShowPercentage])</f>
        <v>1</v>
      </c>
      <c r="AK452" s="429">
        <f t="array" ref="AK452">XLOOKUP(LCARS_Off[AbilityID],RawOfficer[AbilityID],RawOfficer[OfficerArt])</f>
        <v>272</v>
      </c>
      <c r="AL452" s="430">
        <v>3.157017944E9</v>
      </c>
      <c r="AM452" s="430">
        <f t="array" ref="AM452">XLOOKUP(LCARS_Off[AbilityID],RawOfficer[AbilityID],RawOfficer[Default Order])</f>
        <v>449</v>
      </c>
    </row>
    <row r="453">
      <c r="A453" s="429" t="str">
        <f t="array" ref="A453">LEFT(XLOOKUP(LCARS_Off[AbilityID],RawOfficer[AbilityID],RawOfficer[OfficerRarity]), 1)</f>
        <v>E</v>
      </c>
      <c r="B453" s="429"/>
      <c r="C453" s="514" t="str">
        <f t="array" ref="C453">HYPERLINK("https://stfc.space/officers/" &amp; XLOOKUP(LCARS_Off[AbilityID],RawOfficer[AbilityID],RawOfficer[OfficerId]), XLOOKUP(LCARS_Off[AbilityID],RawOfficer[AbilityID],RawOfficer[OfficerName]))</f>
        <v>SNW JAMES KIRK</v>
      </c>
      <c r="D453" s="515" t="str">
        <f t="array" ref="D453">XLOOKUP(LCARS_Off[AbilityID],RawOfficer[AbilityID],RawOfficer[AbilityType])</f>
        <v>OA</v>
      </c>
      <c r="E453" s="516" t="str">
        <f t="array" ref="E453">XLOOKUP(LCARS_Off[AbilityID],RawOfficer[AbilityID],RawOfficer[Tag_PvPinSpace])</f>
        <v>➖</v>
      </c>
      <c r="F453" s="516" t="str">
        <f t="array" ref="F453">XLOOKUP(LCARS_Off[AbilityID],RawOfficer[AbilityID],RawOfficer[Tag_PvPStation])</f>
        <v>➖</v>
      </c>
      <c r="G453" s="516" t="str">
        <f t="array" ref="G453">XLOOKUP(LCARS_Off[AbilityID],RawOfficer[AbilityID],RawOfficer[Tag_NonArmadaHostiles])</f>
        <v>✅</v>
      </c>
      <c r="H453" s="516" t="str">
        <f t="array" ref="H453">XLOOKUP(LCARS_Off[AbilityID],RawOfficer[AbilityID],RawOfficer[Tag_WaveDefense])</f>
        <v>✅</v>
      </c>
      <c r="I453" s="516" t="str">
        <f t="array" ref="I453">XLOOKUP(LCARS_Off[AbilityID],RawOfficer[AbilityID],RawOfficer[Tag_QTrial])</f>
        <v>✅</v>
      </c>
      <c r="J453" s="516" t="str">
        <f t="array" ref="J453">XLOOKUP(LCARS_Off[AbilityID],RawOfficer[AbilityID],RawOfficer[Tag_MissionBosses])</f>
        <v>➖</v>
      </c>
      <c r="K453" s="516" t="str">
        <f t="array" ref="K453">XLOOKUP(LCARS_Off[AbilityID],RawOfficer[AbilityID],RawOfficer[Tag_GroupArmadas])</f>
        <v>➖</v>
      </c>
      <c r="L453" s="516" t="str">
        <f t="array" ref="L453">XLOOKUP(LCARS_Off[AbilityID],RawOfficer[AbilityID],RawOfficer[Tag_SoloArmadas])</f>
        <v>➖</v>
      </c>
      <c r="M453" s="516" t="str">
        <f t="array" ref="M453">XLOOKUP(LCARS_Off[AbilityID],RawOfficer[AbilityID],RawOfficer[Tag_InvadingEntities])</f>
        <v>➖</v>
      </c>
      <c r="N453" s="516" t="str">
        <f t="array" ref="N453">XLOOKUP(LCARS_Off[AbilityID],RawOfficer[AbilityID],RawOfficer[Tag_Assaults])</f>
        <v>➖</v>
      </c>
      <c r="O453" s="516" t="str">
        <f t="array" ref="O453">XLOOKUP(LCARS_Off[AbilityID],RawOfficer[AbilityID],RawOfficer[Tag_OutpostArmadas])</f>
        <v>➖</v>
      </c>
      <c r="P453" s="516" t="str">
        <f t="array" ref="P453">XLOOKUP(LCARS_Off[AbilityID],RawOfficer[AbilityID],RawOfficer[Tag_OutpostRetaliators])</f>
        <v>➖</v>
      </c>
      <c r="Q453" s="517" t="str">
        <f t="array" ref="Q453">XLOOKUP(LCARS_Off[AbilityID],RawOfficer[AbilityID],RawOfficer[Conditional_Reason])</f>
        <v/>
      </c>
      <c r="R453" s="518" t="str">
        <f t="array" ref="R453">XLOOKUP(LCARS_Off[AbilityID],RawOfficer[AbilityID],RawOfficer[Tag_Loot])</f>
        <v>➖</v>
      </c>
      <c r="S453" s="516" t="str">
        <f t="array" ref="S453">XLOOKUP(LCARS_Off[AbilityID],RawOfficer[AbilityID],RawOfficer[Tag_Utility])</f>
        <v>➖</v>
      </c>
      <c r="T453" s="429" t="str">
        <f t="array" ref="T453">XLOOKUP(LCARS_Off[AbilityID],RawOfficer[AbilityID],RawOfficer[OfficerSynergy])</f>
        <v>STRANGE NEW WORLDS</v>
      </c>
      <c r="U453" s="519" t="str">
        <f t="array" ref="U453">XLOOKUP(LCARS_Off[AbilityID],RawOfficer[AbilityID],RawOfficer[AbilityModifier])</f>
        <v>AllDamage</v>
      </c>
      <c r="V453" s="519" t="str">
        <f t="array" ref="V453">XLOOKUP(LCARS_Off[AbilityID],RawOfficer[AbilityID],RawOfficer[AbilityAttributes])</f>
        <v/>
      </c>
      <c r="W453" s="520" t="str">
        <f t="array" ref="W453">XLOOKUP(LCARS_Off[AbilityID],RawOfficer[AbilityID],RawOfficer[AbilityConditions])</f>
        <v>EnemyHostile, TargetNotArmada</v>
      </c>
      <c r="X453" s="519" t="str">
        <f t="array" ref="X453">XLOOKUP(LCARS_Off[AbilityID],RawOfficer[AbilityID],RawOfficer[AbilityTrigger])</f>
        <v>CombatStart</v>
      </c>
      <c r="Y453" s="519" t="str">
        <f t="array" ref="Y453">XLOOKUP(LCARS_Off[AbilityID],RawOfficer[AbilityID],RawOfficer[AbilityTarget])</f>
        <v>SelfShip</v>
      </c>
      <c r="Z453" s="519" t="str">
        <f t="array" ref="Z453">XLOOKUP(LCARS_Off[AbilityID],RawOfficer[AbilityID],RawOfficer[AbilityOperation])</f>
        <v>MultiplyAdd</v>
      </c>
      <c r="AA453" s="521" t="str">
        <f t="array" ref="AA453">XLOOKUP(LCARS_Off[AbilityID],RawOfficer[AbilityID],RawOfficer[AbilityDescription])</f>
        <v>SNW James Kirk increases base Weapon Damage by X vs non-Armada Hostiles</v>
      </c>
      <c r="AB453" s="429" t="b">
        <v>0</v>
      </c>
      <c r="AC453" s="522" t="str">
        <f t="array" ref="AC453">XLOOKUP(LCARS_Off[AbilityID],RawOfficer[AbilityID],RawOfficer[AbilityDescriptionShort])</f>
        <v>SNW James Kirk increases base Weapon Damage by X vs non-Armada Hostiles</v>
      </c>
      <c r="AD453" s="523"/>
      <c r="AE453" s="524"/>
      <c r="AF453" s="524"/>
      <c r="AG453" s="525" t="str">
        <f t="array" ref="AG453">XLOOKUP(LCARS_Off[AbilityID],RawOfficer[AbilityID],RawOfficer[AbilityChances])</f>
        <v>1.0, 1.0, 1.0, 1.0, 1.0</v>
      </c>
      <c r="AH453" s="525" t="str">
        <f t="array" ref="AH453">XLOOKUP(LCARS_Off[AbilityID],RawOfficer[AbilityID],RawOfficer[AbilityValues])</f>
        <v>2.0, 6.0, 12.0, 20.0, 35.0</v>
      </c>
      <c r="AI453" s="428" t="b">
        <f t="array" ref="AI453">XLOOKUP(LCARS_Off[AbilityID],RawOfficer[AbilityID],RawOfficer[AbilityHasChance])</f>
        <v>0</v>
      </c>
      <c r="AJ453" s="428" t="b">
        <f t="array" ref="AJ453">XLOOKUP(LCARS_Off[AbilityID],RawOfficer[AbilityID],RawOfficer[AbilityShowPercentage])</f>
        <v>1</v>
      </c>
      <c r="AK453" s="429">
        <f t="array" ref="AK453">XLOOKUP(LCARS_Off[AbilityID],RawOfficer[AbilityID],RawOfficer[OfficerArt])</f>
        <v>272</v>
      </c>
      <c r="AL453" s="430">
        <v>4.95017292E8</v>
      </c>
      <c r="AM453" s="430">
        <f t="array" ref="AM453">XLOOKUP(LCARS_Off[AbilityID],RawOfficer[AbilityID],RawOfficer[Default Order])</f>
        <v>450</v>
      </c>
    </row>
    <row r="454">
      <c r="A454" s="429" t="str">
        <f t="array" ref="A454">LEFT(XLOOKUP(LCARS_Off[AbilityID],RawOfficer[AbilityID],RawOfficer[OfficerRarity]), 1)</f>
        <v>R</v>
      </c>
      <c r="B454" s="429"/>
      <c r="C454" s="514" t="str">
        <f t="array" ref="C454">HYPERLINK("https://stfc.space/officers/" &amp; XLOOKUP(LCARS_Off[AbilityID],RawOfficer[AbilityID],RawOfficer[OfficerId]), XLOOKUP(LCARS_Off[AbilityID],RawOfficer[AbilityID],RawOfficer[OfficerName]))</f>
        <v>SNW PELIA</v>
      </c>
      <c r="D454" s="515" t="str">
        <f t="array" ref="D454">XLOOKUP(LCARS_Off[AbilityID],RawOfficer[AbilityID],RawOfficer[AbilityType])</f>
        <v>OA</v>
      </c>
      <c r="E454" s="516" t="str">
        <f t="array" ref="E454">XLOOKUP(LCARS_Off[AbilityID],RawOfficer[AbilityID],RawOfficer[Tag_PvPinSpace])</f>
        <v>➖</v>
      </c>
      <c r="F454" s="516" t="str">
        <f t="array" ref="F454">XLOOKUP(LCARS_Off[AbilityID],RawOfficer[AbilityID],RawOfficer[Tag_PvPStation])</f>
        <v>➖</v>
      </c>
      <c r="G454" s="516" t="str">
        <f t="array" ref="G454">XLOOKUP(LCARS_Off[AbilityID],RawOfficer[AbilityID],RawOfficer[Tag_NonArmadaHostiles])</f>
        <v>✅</v>
      </c>
      <c r="H454" s="516" t="str">
        <f t="array" ref="H454">XLOOKUP(LCARS_Off[AbilityID],RawOfficer[AbilityID],RawOfficer[Tag_WaveDefense])</f>
        <v>✅</v>
      </c>
      <c r="I454" s="516" t="str">
        <f t="array" ref="I454">XLOOKUP(LCARS_Off[AbilityID],RawOfficer[AbilityID],RawOfficer[Tag_QTrial])</f>
        <v>✅</v>
      </c>
      <c r="J454" s="516" t="str">
        <f t="array" ref="J454">XLOOKUP(LCARS_Off[AbilityID],RawOfficer[AbilityID],RawOfficer[Tag_MissionBosses])</f>
        <v>➖</v>
      </c>
      <c r="K454" s="516" t="str">
        <f t="array" ref="K454">XLOOKUP(LCARS_Off[AbilityID],RawOfficer[AbilityID],RawOfficer[Tag_GroupArmadas])</f>
        <v>➖</v>
      </c>
      <c r="L454" s="516" t="str">
        <f t="array" ref="L454">XLOOKUP(LCARS_Off[AbilityID],RawOfficer[AbilityID],RawOfficer[Tag_SoloArmadas])</f>
        <v>➖</v>
      </c>
      <c r="M454" s="516" t="str">
        <f t="array" ref="M454">XLOOKUP(LCARS_Off[AbilityID],RawOfficer[AbilityID],RawOfficer[Tag_InvadingEntities])</f>
        <v>➖</v>
      </c>
      <c r="N454" s="516" t="str">
        <f t="array" ref="N454">XLOOKUP(LCARS_Off[AbilityID],RawOfficer[AbilityID],RawOfficer[Tag_Assaults])</f>
        <v>➖</v>
      </c>
      <c r="O454" s="516" t="str">
        <f t="array" ref="O454">XLOOKUP(LCARS_Off[AbilityID],RawOfficer[AbilityID],RawOfficer[Tag_OutpostArmadas])</f>
        <v>➖</v>
      </c>
      <c r="P454" s="516" t="str">
        <f t="array" ref="P454">XLOOKUP(LCARS_Off[AbilityID],RawOfficer[AbilityID],RawOfficer[Tag_OutpostRetaliators])</f>
        <v>➖</v>
      </c>
      <c r="Q454" s="517" t="str">
        <f t="array" ref="Q454">XLOOKUP(LCARS_Off[AbilityID],RawOfficer[AbilityID],RawOfficer[Conditional_Reason])</f>
        <v/>
      </c>
      <c r="R454" s="518" t="str">
        <f t="array" ref="R454">XLOOKUP(LCARS_Off[AbilityID],RawOfficer[AbilityID],RawOfficer[Tag_Loot])</f>
        <v>➖</v>
      </c>
      <c r="S454" s="516" t="str">
        <f t="array" ref="S454">XLOOKUP(LCARS_Off[AbilityID],RawOfficer[AbilityID],RawOfficer[Tag_Utility])</f>
        <v>➖</v>
      </c>
      <c r="T454" s="429" t="str">
        <f t="array" ref="T454">XLOOKUP(LCARS_Off[AbilityID],RawOfficer[AbilityID],RawOfficer[OfficerSynergy])</f>
        <v>STRANGE NEW WORLDS</v>
      </c>
      <c r="U454" s="519" t="str">
        <f t="array" ref="U454">XLOOKUP(LCARS_Off[AbilityID],RawOfficer[AbilityID],RawOfficer[AbilityModifier])</f>
        <v>IsolyticDamage</v>
      </c>
      <c r="V454" s="519" t="str">
        <f t="array" ref="V454">XLOOKUP(LCARS_Off[AbilityID],RawOfficer[AbilityID],RawOfficer[AbilityAttributes])</f>
        <v/>
      </c>
      <c r="W454" s="520" t="str">
        <f t="array" ref="W454">XLOOKUP(LCARS_Off[AbilityID],RawOfficer[AbilityID],RawOfficer[AbilityConditions])</f>
        <v>EnemyHostile, TargetNotArmada</v>
      </c>
      <c r="X454" s="519" t="str">
        <f t="array" ref="X454">XLOOKUP(LCARS_Off[AbilityID],RawOfficer[AbilityID],RawOfficer[AbilityTrigger])</f>
        <v>CombatStart</v>
      </c>
      <c r="Y454" s="519" t="str">
        <f t="array" ref="Y454">XLOOKUP(LCARS_Off[AbilityID],RawOfficer[AbilityID],RawOfficer[AbilityTarget])</f>
        <v>EnemyShip</v>
      </c>
      <c r="Z454" s="519" t="str">
        <f t="array" ref="Z454">XLOOKUP(LCARS_Off[AbilityID],RawOfficer[AbilityID],RawOfficer[AbilityOperation])</f>
        <v>Sub</v>
      </c>
      <c r="AA454" s="521" t="str">
        <f t="array" ref="AA454">XLOOKUP(LCARS_Off[AbilityID],RawOfficer[AbilityID],RawOfficer[AbilityDescription])</f>
        <v>SNW Pelia reduces Isolytic Damage received from non-Armada hostiles by X (X at rank X)</v>
      </c>
      <c r="AB454" s="429" t="b">
        <v>0</v>
      </c>
      <c r="AC454" s="522" t="str">
        <f t="array" ref="AC454">XLOOKUP(LCARS_Off[AbilityID],RawOfficer[AbilityID],RawOfficer[AbilityDescriptionShort])</f>
        <v>SNW Pelia reduces Isolytic Damage received from non-Armada hostiles by X</v>
      </c>
      <c r="AD454" s="523"/>
      <c r="AE454" s="524"/>
      <c r="AF454" s="524"/>
      <c r="AG454" s="525" t="str">
        <f t="array" ref="AG454">XLOOKUP(LCARS_Off[AbilityID],RawOfficer[AbilityID],RawOfficer[AbilityChances])</f>
        <v>1.0, 1.0, 1.0, 1.0, 1.0</v>
      </c>
      <c r="AH454" s="525" t="str">
        <f t="array" ref="AH454">XLOOKUP(LCARS_Off[AbilityID],RawOfficer[AbilityID],RawOfficer[AbilityValues])</f>
        <v>0.02, 0.05, 0.1, 0.15, 0.2</v>
      </c>
      <c r="AI454" s="428" t="b">
        <f t="array" ref="AI454">XLOOKUP(LCARS_Off[AbilityID],RawOfficer[AbilityID],RawOfficer[AbilityHasChance])</f>
        <v>0</v>
      </c>
      <c r="AJ454" s="428" t="b">
        <f t="array" ref="AJ454">XLOOKUP(LCARS_Off[AbilityID],RawOfficer[AbilityID],RawOfficer[AbilityShowPercentage])</f>
        <v>1</v>
      </c>
      <c r="AK454" s="429">
        <f t="array" ref="AK454">XLOOKUP(LCARS_Off[AbilityID],RawOfficer[AbilityID],RawOfficer[OfficerArt])</f>
        <v>271</v>
      </c>
      <c r="AL454" s="430">
        <v>2.59537181E8</v>
      </c>
      <c r="AM454" s="430">
        <f t="array" ref="AM454">XLOOKUP(LCARS_Off[AbilityID],RawOfficer[AbilityID],RawOfficer[Default Order])</f>
        <v>451</v>
      </c>
    </row>
    <row r="455">
      <c r="A455" s="429" t="str">
        <f t="array" ref="A455">LEFT(XLOOKUP(LCARS_Off[AbilityID],RawOfficer[AbilityID],RawOfficer[OfficerRarity]), 1)</f>
        <v>R</v>
      </c>
      <c r="B455" s="429"/>
      <c r="C455" s="514" t="str">
        <f t="array" ref="C455">HYPERLINK("https://stfc.space/officers/" &amp; XLOOKUP(LCARS_Off[AbilityID],RawOfficer[AbilityID],RawOfficer[OfficerId]), XLOOKUP(LCARS_Off[AbilityID],RawOfficer[AbilityID],RawOfficer[OfficerName]))</f>
        <v>SNW PELIA</v>
      </c>
      <c r="D455" s="515" t="str">
        <f t="array" ref="D455">XLOOKUP(LCARS_Off[AbilityID],RawOfficer[AbilityID],RawOfficer[AbilityType])</f>
        <v>BDA</v>
      </c>
      <c r="E455" s="516" t="str">
        <f t="array" ref="E455">XLOOKUP(LCARS_Off[AbilityID],RawOfficer[AbilityID],RawOfficer[Tag_PvPinSpace])</f>
        <v>✅</v>
      </c>
      <c r="F455" s="516" t="str">
        <f t="array" ref="F455">XLOOKUP(LCARS_Off[AbilityID],RawOfficer[AbilityID],RawOfficer[Tag_PvPStation])</f>
        <v>✅</v>
      </c>
      <c r="G455" s="516" t="str">
        <f t="array" ref="G455">XLOOKUP(LCARS_Off[AbilityID],RawOfficer[AbilityID],RawOfficer[Tag_NonArmadaHostiles])</f>
        <v>✅</v>
      </c>
      <c r="H455" s="516" t="str">
        <f t="array" ref="H455">XLOOKUP(LCARS_Off[AbilityID],RawOfficer[AbilityID],RawOfficer[Tag_WaveDefense])</f>
        <v>✅</v>
      </c>
      <c r="I455" s="516" t="str">
        <f t="array" ref="I455">XLOOKUP(LCARS_Off[AbilityID],RawOfficer[AbilityID],RawOfficer[Tag_QTrial])</f>
        <v>✅</v>
      </c>
      <c r="J455" s="516" t="str">
        <f t="array" ref="J455">XLOOKUP(LCARS_Off[AbilityID],RawOfficer[AbilityID],RawOfficer[Tag_MissionBosses])</f>
        <v>✅</v>
      </c>
      <c r="K455" s="516" t="str">
        <f t="array" ref="K455">XLOOKUP(LCARS_Off[AbilityID],RawOfficer[AbilityID],RawOfficer[Tag_GroupArmadas])</f>
        <v>✅</v>
      </c>
      <c r="L455" s="516" t="str">
        <f t="array" ref="L455">XLOOKUP(LCARS_Off[AbilityID],RawOfficer[AbilityID],RawOfficer[Tag_SoloArmadas])</f>
        <v>✅</v>
      </c>
      <c r="M455" s="516" t="str">
        <f t="array" ref="M455">XLOOKUP(LCARS_Off[AbilityID],RawOfficer[AbilityID],RawOfficer[Tag_InvadingEntities])</f>
        <v>✅</v>
      </c>
      <c r="N455" s="516" t="str">
        <f t="array" ref="N455">XLOOKUP(LCARS_Off[AbilityID],RawOfficer[AbilityID],RawOfficer[Tag_Assaults])</f>
        <v>✅</v>
      </c>
      <c r="O455" s="516" t="str">
        <f t="array" ref="O455">XLOOKUP(LCARS_Off[AbilityID],RawOfficer[AbilityID],RawOfficer[Tag_OutpostArmadas])</f>
        <v>✅</v>
      </c>
      <c r="P455" s="516" t="str">
        <f t="array" ref="P455">XLOOKUP(LCARS_Off[AbilityID],RawOfficer[AbilityID],RawOfficer[Tag_OutpostRetaliators])</f>
        <v>✅</v>
      </c>
      <c r="Q455" s="517" t="str">
        <f t="array" ref="Q455">XLOOKUP(LCARS_Off[AbilityID],RawOfficer[AbilityID],RawOfficer[Conditional_Reason])</f>
        <v/>
      </c>
      <c r="R455" s="518" t="str">
        <f t="array" ref="R455">XLOOKUP(LCARS_Off[AbilityID],RawOfficer[AbilityID],RawOfficer[Tag_Loot])</f>
        <v>➖</v>
      </c>
      <c r="S455" s="516" t="str">
        <f t="array" ref="S455">XLOOKUP(LCARS_Off[AbilityID],RawOfficer[AbilityID],RawOfficer[Tag_Utility])</f>
        <v>➖</v>
      </c>
      <c r="T455" s="429" t="str">
        <f t="array" ref="T455">XLOOKUP(LCARS_Off[AbilityID],RawOfficer[AbilityID],RawOfficer[OfficerSynergy])</f>
        <v>STRANGE NEW WORLDS</v>
      </c>
      <c r="U455" s="519" t="str">
        <f t="array" ref="U455">XLOOKUP(LCARS_Off[AbilityID],RawOfficer[AbilityID],RawOfficer[AbilityModifier])</f>
        <v>IsolyticDefense</v>
      </c>
      <c r="V455" s="519" t="str">
        <f t="array" ref="V455">XLOOKUP(LCARS_Off[AbilityID],RawOfficer[AbilityID],RawOfficer[AbilityAttributes])</f>
        <v/>
      </c>
      <c r="W455" s="520" t="str">
        <f t="array" ref="W455">XLOOKUP(LCARS_Off[AbilityID],RawOfficer[AbilityID],RawOfficer[AbilityConditions])</f>
        <v/>
      </c>
      <c r="X455" s="519" t="str">
        <f t="array" ref="X455">XLOOKUP(LCARS_Off[AbilityID],RawOfficer[AbilityID],RawOfficer[AbilityTrigger])</f>
        <v>ShipLaunched</v>
      </c>
      <c r="Y455" s="519" t="str">
        <f t="array" ref="Y455">XLOOKUP(LCARS_Off[AbilityID],RawOfficer[AbilityID],RawOfficer[AbilityTarget])</f>
        <v>SelfShip</v>
      </c>
      <c r="Z455" s="519" t="str">
        <f t="array" ref="Z455">XLOOKUP(LCARS_Off[AbilityID],RawOfficer[AbilityID],RawOfficer[AbilityOperation])</f>
        <v>Add</v>
      </c>
      <c r="AA455" s="521" t="str">
        <f t="array" ref="AA455">XLOOKUP(LCARS_Off[AbilityID],RawOfficer[AbilityID],RawOfficer[AbilityDescription])</f>
        <v>SNW Pelia increases Isolytic Defense by X (X at rank X)</v>
      </c>
      <c r="AB455" s="429" t="b">
        <v>0</v>
      </c>
      <c r="AC455" s="522" t="str">
        <f t="array" ref="AC455">XLOOKUP(LCARS_Off[AbilityID],RawOfficer[AbilityID],RawOfficer[AbilityDescriptionShort])</f>
        <v>SNW Pelia increases Isolytic Defense by X</v>
      </c>
      <c r="AD455" s="523"/>
      <c r="AE455" s="524"/>
      <c r="AF455" s="524"/>
      <c r="AG455" s="525" t="str">
        <f t="array" ref="AG455">XLOOKUP(LCARS_Off[AbilityID],RawOfficer[AbilityID],RawOfficer[AbilityChances])</f>
        <v>1.0, 1.0, 1.0, 1.0, 1.0</v>
      </c>
      <c r="AH455" s="525" t="str">
        <f t="array" ref="AH455">XLOOKUP(LCARS_Off[AbilityID],RawOfficer[AbilityID],RawOfficer[AbilityValues])</f>
        <v>0.1, 0.25, 0.45, 0.7, 1.0</v>
      </c>
      <c r="AI455" s="428" t="b">
        <f t="array" ref="AI455">XLOOKUP(LCARS_Off[AbilityID],RawOfficer[AbilityID],RawOfficer[AbilityHasChance])</f>
        <v>0</v>
      </c>
      <c r="AJ455" s="428" t="b">
        <f t="array" ref="AJ455">XLOOKUP(LCARS_Off[AbilityID],RawOfficer[AbilityID],RawOfficer[AbilityShowPercentage])</f>
        <v>1</v>
      </c>
      <c r="AK455" s="429">
        <f t="array" ref="AK455">XLOOKUP(LCARS_Off[AbilityID],RawOfficer[AbilityID],RawOfficer[OfficerArt])</f>
        <v>271</v>
      </c>
      <c r="AL455" s="430">
        <v>5.06412383E8</v>
      </c>
      <c r="AM455" s="430">
        <f t="array" ref="AM455">XLOOKUP(LCARS_Off[AbilityID],RawOfficer[AbilityID],RawOfficer[Default Order])</f>
        <v>452</v>
      </c>
    </row>
    <row r="456">
      <c r="A456" s="429" t="str">
        <f t="array" ref="A456">LEFT(XLOOKUP(LCARS_Off[AbilityID],RawOfficer[AbilityID],RawOfficer[OfficerRarity]), 1)</f>
        <v>E</v>
      </c>
      <c r="B456" s="429"/>
      <c r="C456" s="514" t="str">
        <f t="array" ref="C456">HYPERLINK("https://stfc.space/officers/" &amp; XLOOKUP(LCARS_Off[AbilityID],RawOfficer[AbilityID],RawOfficer[OfficerId]), XLOOKUP(LCARS_Off[AbilityID],RawOfficer[AbilityID],RawOfficer[OfficerName]))</f>
        <v>MIRROR PICARD</v>
      </c>
      <c r="D456" s="515" t="str">
        <f t="array" ref="D456">XLOOKUP(LCARS_Off[AbilityID],RawOfficer[AbilityID],RawOfficer[AbilityType])</f>
        <v>CM</v>
      </c>
      <c r="E456" s="516" t="str">
        <f t="array" ref="E456">XLOOKUP(LCARS_Off[AbilityID],RawOfficer[AbilityID],RawOfficer[Tag_PvPinSpace])</f>
        <v>✅</v>
      </c>
      <c r="F456" s="516" t="str">
        <f t="array" ref="F456">XLOOKUP(LCARS_Off[AbilityID],RawOfficer[AbilityID],RawOfficer[Tag_PvPStation])</f>
        <v>✅</v>
      </c>
      <c r="G456" s="516" t="str">
        <f t="array" ref="G456">XLOOKUP(LCARS_Off[AbilityID],RawOfficer[AbilityID],RawOfficer[Tag_NonArmadaHostiles])</f>
        <v>➖</v>
      </c>
      <c r="H456" s="516" t="str">
        <f t="array" ref="H456">XLOOKUP(LCARS_Off[AbilityID],RawOfficer[AbilityID],RawOfficer[Tag_WaveDefense])</f>
        <v>➖</v>
      </c>
      <c r="I456" s="516" t="str">
        <f t="array" ref="I456">XLOOKUP(LCARS_Off[AbilityID],RawOfficer[AbilityID],RawOfficer[Tag_QTrial])</f>
        <v>➖</v>
      </c>
      <c r="J456" s="516" t="str">
        <f t="array" ref="J456">XLOOKUP(LCARS_Off[AbilityID],RawOfficer[AbilityID],RawOfficer[Tag_MissionBosses])</f>
        <v>➖</v>
      </c>
      <c r="K456" s="516" t="str">
        <f t="array" ref="K456">XLOOKUP(LCARS_Off[AbilityID],RawOfficer[AbilityID],RawOfficer[Tag_GroupArmadas])</f>
        <v>➖</v>
      </c>
      <c r="L456" s="516" t="str">
        <f t="array" ref="L456">XLOOKUP(LCARS_Off[AbilityID],RawOfficer[AbilityID],RawOfficer[Tag_SoloArmadas])</f>
        <v>➖</v>
      </c>
      <c r="M456" s="516" t="str">
        <f t="array" ref="M456">XLOOKUP(LCARS_Off[AbilityID],RawOfficer[AbilityID],RawOfficer[Tag_InvadingEntities])</f>
        <v>➖</v>
      </c>
      <c r="N456" s="516" t="str">
        <f t="array" ref="N456">XLOOKUP(LCARS_Off[AbilityID],RawOfficer[AbilityID],RawOfficer[Tag_Assaults])</f>
        <v>➖</v>
      </c>
      <c r="O456" s="516" t="str">
        <f t="array" ref="O456">XLOOKUP(LCARS_Off[AbilityID],RawOfficer[AbilityID],RawOfficer[Tag_OutpostArmadas])</f>
        <v>➖</v>
      </c>
      <c r="P456" s="516" t="str">
        <f t="array" ref="P456">XLOOKUP(LCARS_Off[AbilityID],RawOfficer[AbilityID],RawOfficer[Tag_OutpostRetaliators])</f>
        <v>➖</v>
      </c>
      <c r="Q456" s="517" t="str">
        <f t="array" ref="Q456">XLOOKUP(LCARS_Off[AbilityID],RawOfficer[AbilityID],RawOfficer[Conditional_Reason])</f>
        <v/>
      </c>
      <c r="R456" s="518" t="str">
        <f t="array" ref="R456">XLOOKUP(LCARS_Off[AbilityID],RawOfficer[AbilityID],RawOfficer[Tag_Loot])</f>
        <v>➖</v>
      </c>
      <c r="S456" s="516" t="str">
        <f t="array" ref="S456">XLOOKUP(LCARS_Off[AbilityID],RawOfficer[AbilityID],RawOfficer[Tag_Utility])</f>
        <v>➖</v>
      </c>
      <c r="T456" s="429" t="str">
        <f t="array" ref="T456">XLOOKUP(LCARS_Off[AbilityID],RawOfficer[AbilityID],RawOfficer[OfficerSynergy])</f>
        <v>MIRROR UNIVERSE</v>
      </c>
      <c r="U456" s="519" t="str">
        <f t="array" ref="U456">XLOOKUP(LCARS_Off[AbilityID],RawOfficer[AbilityID],RawOfficer[AbilityModifier])</f>
        <v>IsolyticDamage</v>
      </c>
      <c r="V456" s="519" t="str">
        <f t="array" ref="V456">XLOOKUP(LCARS_Off[AbilityID],RawOfficer[AbilityID],RawOfficer[AbilityAttributes])</f>
        <v>num_rounds=2</v>
      </c>
      <c r="W456" s="520" t="str">
        <f t="array" ref="W456">XLOOKUP(LCARS_Off[AbilityID],RawOfficer[AbilityID],RawOfficer[AbilityConditions])</f>
        <v>EnemyPlayer</v>
      </c>
      <c r="X456" s="519" t="str">
        <f t="array" ref="X456">XLOOKUP(LCARS_Off[AbilityID],RawOfficer[AbilityID],RawOfficer[AbilityTrigger])</f>
        <v>RoundStart</v>
      </c>
      <c r="Y456" s="519" t="str">
        <f t="array" ref="Y456">XLOOKUP(LCARS_Off[AbilityID],RawOfficer[AbilityID],RawOfficer[AbilityTarget])</f>
        <v>SelfShip</v>
      </c>
      <c r="Z456" s="519" t="str">
        <f t="array" ref="Z456">XLOOKUP(LCARS_Off[AbilityID],RawOfficer[AbilityID],RawOfficer[AbilityOperation])</f>
        <v>MultiplyAdd</v>
      </c>
      <c r="AA456" s="521" t="str">
        <f t="array" ref="AA456">XLOOKUP(LCARS_Off[AbilityID],RawOfficer[AbilityID],RawOfficer[AbilityDescription])</f>
        <v>On round start against players, Mirror Picard increases your Isolytic Cascade damage by X for 2 rounds. -- Isolytic Cascade multiplies your total damage, including Isolytic Damage, and all research and other bonuses.</v>
      </c>
      <c r="AB456" s="429" t="b">
        <v>0</v>
      </c>
      <c r="AC456" s="522" t="str">
        <f t="array" ref="AC456">XLOOKUP(LCARS_Off[AbilityID],RawOfficer[AbilityID],RawOfficer[AbilityDescriptionShort])</f>
        <v>On round start against players, Mirror Picard increases your Isolytic Cascade damage by X for 2 rounds.</v>
      </c>
      <c r="AD456" s="523"/>
      <c r="AE456" s="524"/>
      <c r="AF456" s="524"/>
      <c r="AG456" s="525" t="str">
        <f t="array" ref="AG456">XLOOKUP(LCARS_Off[AbilityID],RawOfficer[AbilityID],RawOfficer[AbilityChances])</f>
        <v>1.0, 1.0, 1.0</v>
      </c>
      <c r="AH456" s="525" t="str">
        <f t="array" ref="AH456">XLOOKUP(LCARS_Off[AbilityID],RawOfficer[AbilityID],RawOfficer[AbilityValues])</f>
        <v>0.5, 0.25, 0.5</v>
      </c>
      <c r="AI456" s="428" t="b">
        <f t="array" ref="AI456">XLOOKUP(LCARS_Off[AbilityID],RawOfficer[AbilityID],RawOfficer[AbilityHasChance])</f>
        <v>0</v>
      </c>
      <c r="AJ456" s="428" t="b">
        <f t="array" ref="AJ456">XLOOKUP(LCARS_Off[AbilityID],RawOfficer[AbilityID],RawOfficer[AbilityShowPercentage])</f>
        <v>1</v>
      </c>
      <c r="AK456" s="429">
        <f t="array" ref="AK456">XLOOKUP(LCARS_Off[AbilityID],RawOfficer[AbilityID],RawOfficer[OfficerArt])</f>
        <v>273</v>
      </c>
      <c r="AL456" s="430">
        <v>3.66412629E8</v>
      </c>
      <c r="AM456" s="430">
        <f t="array" ref="AM456">XLOOKUP(LCARS_Off[AbilityID],RawOfficer[AbilityID],RawOfficer[Default Order])</f>
        <v>453</v>
      </c>
    </row>
    <row r="457">
      <c r="A457" s="429" t="str">
        <f t="array" ref="A457">LEFT(XLOOKUP(LCARS_Off[AbilityID],RawOfficer[AbilityID],RawOfficer[OfficerRarity]), 1)</f>
        <v>E</v>
      </c>
      <c r="B457" s="429"/>
      <c r="C457" s="514" t="str">
        <f t="array" ref="C457">HYPERLINK("https://stfc.space/officers/" &amp; XLOOKUP(LCARS_Off[AbilityID],RawOfficer[AbilityID],RawOfficer[OfficerId]), XLOOKUP(LCARS_Off[AbilityID],RawOfficer[AbilityID],RawOfficer[OfficerName]))</f>
        <v>MIRROR PICARD</v>
      </c>
      <c r="D457" s="515" t="str">
        <f t="array" ref="D457">XLOOKUP(LCARS_Off[AbilityID],RawOfficer[AbilityID],RawOfficer[AbilityType])</f>
        <v>OA</v>
      </c>
      <c r="E457" s="516" t="str">
        <f t="array" ref="E457">XLOOKUP(LCARS_Off[AbilityID],RawOfficer[AbilityID],RawOfficer[Tag_PvPinSpace])</f>
        <v>✴️</v>
      </c>
      <c r="F457" s="516" t="str">
        <f t="array" ref="F457">XLOOKUP(LCARS_Off[AbilityID],RawOfficer[AbilityID],RawOfficer[Tag_PvPStation])</f>
        <v>✴️</v>
      </c>
      <c r="G457" s="516" t="str">
        <f t="array" ref="G457">XLOOKUP(LCARS_Off[AbilityID],RawOfficer[AbilityID],RawOfficer[Tag_NonArmadaHostiles])</f>
        <v>➖</v>
      </c>
      <c r="H457" s="516" t="str">
        <f t="array" ref="H457">XLOOKUP(LCARS_Off[AbilityID],RawOfficer[AbilityID],RawOfficer[Tag_WaveDefense])</f>
        <v>➖</v>
      </c>
      <c r="I457" s="516" t="str">
        <f t="array" ref="I457">XLOOKUP(LCARS_Off[AbilityID],RawOfficer[AbilityID],RawOfficer[Tag_QTrial])</f>
        <v>➖</v>
      </c>
      <c r="J457" s="516" t="str">
        <f t="array" ref="J457">XLOOKUP(LCARS_Off[AbilityID],RawOfficer[AbilityID],RawOfficer[Tag_MissionBosses])</f>
        <v>➖</v>
      </c>
      <c r="K457" s="516" t="str">
        <f t="array" ref="K457">XLOOKUP(LCARS_Off[AbilityID],RawOfficer[AbilityID],RawOfficer[Tag_GroupArmadas])</f>
        <v>➖</v>
      </c>
      <c r="L457" s="516" t="str">
        <f t="array" ref="L457">XLOOKUP(LCARS_Off[AbilityID],RawOfficer[AbilityID],RawOfficer[Tag_SoloArmadas])</f>
        <v>➖</v>
      </c>
      <c r="M457" s="516" t="str">
        <f t="array" ref="M457">XLOOKUP(LCARS_Off[AbilityID],RawOfficer[AbilityID],RawOfficer[Tag_InvadingEntities])</f>
        <v>➖</v>
      </c>
      <c r="N457" s="516" t="str">
        <f t="array" ref="N457">XLOOKUP(LCARS_Off[AbilityID],RawOfficer[AbilityID],RawOfficer[Tag_Assaults])</f>
        <v>➖</v>
      </c>
      <c r="O457" s="516" t="str">
        <f t="array" ref="O457">XLOOKUP(LCARS_Off[AbilityID],RawOfficer[AbilityID],RawOfficer[Tag_OutpostArmadas])</f>
        <v>➖</v>
      </c>
      <c r="P457" s="516" t="str">
        <f t="array" ref="P457">XLOOKUP(LCARS_Off[AbilityID],RawOfficer[AbilityID],RawOfficer[Tag_OutpostRetaliators])</f>
        <v>➖</v>
      </c>
      <c r="Q457" s="517" t="str">
        <f t="array" ref="Q457">XLOOKUP(LCARS_Off[AbilityID],RawOfficer[AbilityID],RawOfficer[Conditional_Reason])</f>
        <v>TargetHasAssimilated, SelfOfficerTalNotOnBridge</v>
      </c>
      <c r="R457" s="518" t="str">
        <f t="array" ref="R457">XLOOKUP(LCARS_Off[AbilityID],RawOfficer[AbilityID],RawOfficer[Tag_Loot])</f>
        <v>➖</v>
      </c>
      <c r="S457" s="516" t="str">
        <f t="array" ref="S457">XLOOKUP(LCARS_Off[AbilityID],RawOfficer[AbilityID],RawOfficer[Tag_Utility])</f>
        <v>➖</v>
      </c>
      <c r="T457" s="429" t="str">
        <f t="array" ref="T457">XLOOKUP(LCARS_Off[AbilityID],RawOfficer[AbilityID],RawOfficer[OfficerSynergy])</f>
        <v>MIRROR UNIVERSE</v>
      </c>
      <c r="U457" s="519" t="str">
        <f t="array" ref="U457">XLOOKUP(LCARS_Off[AbilityID],RawOfficer[AbilityID],RawOfficer[AbilityModifier])</f>
        <v>ApexBarrier</v>
      </c>
      <c r="V457" s="519" t="str">
        <f t="array" ref="V457">XLOOKUP(LCARS_Off[AbilityID],RawOfficer[AbilityID],RawOfficer[AbilityAttributes])</f>
        <v>num_rounds=1</v>
      </c>
      <c r="W457" s="520" t="str">
        <f t="array" ref="W457">XLOOKUP(LCARS_Off[AbilityID],RawOfficer[AbilityID],RawOfficer[AbilityConditions])</f>
        <v>EnemyPlayer, TargetHasAssimilated, SelfOfficerTalNotOnBridge</v>
      </c>
      <c r="X457" s="519" t="str">
        <f t="array" ref="X457">XLOOKUP(LCARS_Off[AbilityID],RawOfficer[AbilityID],RawOfficer[AbilityTrigger])</f>
        <v>RoundStart</v>
      </c>
      <c r="Y457" s="519" t="str">
        <f t="array" ref="Y457">XLOOKUP(LCARS_Off[AbilityID],RawOfficer[AbilityID],RawOfficer[AbilityTarget])</f>
        <v>SelfShip</v>
      </c>
      <c r="Z457" s="519" t="str">
        <f t="array" ref="Z457">XLOOKUP(LCARS_Off[AbilityID],RawOfficer[AbilityID],RawOfficer[AbilityOperation])</f>
        <v>Add</v>
      </c>
      <c r="AA457" s="521" t="str">
        <f t="array" ref="AA457">XLOOKUP(LCARS_Off[AbilityID],RawOfficer[AbilityID],RawOfficer[AbilityDescription])</f>
        <v>On round start against players with Assimilate, Mirror Picard increases your Apex Barrier by X (X at rank X) for 1 round. -- This ability does not trigger when Tal is assigned to the bridge of your ship.</v>
      </c>
      <c r="AB457" s="429" t="b">
        <v>0</v>
      </c>
      <c r="AC457" s="522" t="str">
        <f t="array" ref="AC457">XLOOKUP(LCARS_Off[AbilityID],RawOfficer[AbilityID],RawOfficer[AbilityDescriptionShort])</f>
        <v>On round start against players with Assimilate, Mirror Picard increases your Apex Barrier by X for 1 round.</v>
      </c>
      <c r="AD457" s="523"/>
      <c r="AE457" s="524"/>
      <c r="AF457" s="524"/>
      <c r="AG457" s="525" t="str">
        <f t="array" ref="AG457">XLOOKUP(LCARS_Off[AbilityID],RawOfficer[AbilityID],RawOfficer[AbilityChances])</f>
        <v>1.0, 1.0, 1.0, 1.0, 1.0</v>
      </c>
      <c r="AH457" s="525" t="str">
        <f t="array" ref="AH457">XLOOKUP(LCARS_Off[AbilityID],RawOfficer[AbilityID],RawOfficer[AbilityValues])</f>
        <v>10000.0, 13000.0, 17000.0, 22000.0, 30000.0</v>
      </c>
      <c r="AI457" s="428" t="b">
        <f t="array" ref="AI457">XLOOKUP(LCARS_Off[AbilityID],RawOfficer[AbilityID],RawOfficer[AbilityHasChance])</f>
        <v>0</v>
      </c>
      <c r="AJ457" s="428" t="b">
        <f t="array" ref="AJ457">XLOOKUP(LCARS_Off[AbilityID],RawOfficer[AbilityID],RawOfficer[AbilityShowPercentage])</f>
        <v>0</v>
      </c>
      <c r="AK457" s="429">
        <f t="array" ref="AK457">XLOOKUP(LCARS_Off[AbilityID],RawOfficer[AbilityID],RawOfficer[OfficerArt])</f>
        <v>273</v>
      </c>
      <c r="AL457" s="430">
        <v>9.6790018E8</v>
      </c>
      <c r="AM457" s="430">
        <f t="array" ref="AM457">XLOOKUP(LCARS_Off[AbilityID],RawOfficer[AbilityID],RawOfficer[Default Order])</f>
        <v>454</v>
      </c>
    </row>
    <row r="458">
      <c r="A458" s="429" t="str">
        <f t="array" ref="A458">LEFT(XLOOKUP(LCARS_Off[AbilityID],RawOfficer[AbilityID],RawOfficer[OfficerRarity]), 1)</f>
        <v>R</v>
      </c>
      <c r="B458" s="429"/>
      <c r="C458" s="514" t="str">
        <f t="array" ref="C458">HYPERLINK("https://stfc.space/officers/" &amp; XLOOKUP(LCARS_Off[AbilityID],RawOfficer[AbilityID],RawOfficer[OfficerId]), XLOOKUP(LCARS_Off[AbilityID],RawOfficer[AbilityID],RawOfficer[OfficerName]))</f>
        <v>MIRROR DATA</v>
      </c>
      <c r="D458" s="515" t="str">
        <f t="array" ref="D458">XLOOKUP(LCARS_Off[AbilityID],RawOfficer[AbilityID],RawOfficer[AbilityType])</f>
        <v>CM</v>
      </c>
      <c r="E458" s="516" t="str">
        <f t="array" ref="E458">XLOOKUP(LCARS_Off[AbilityID],RawOfficer[AbilityID],RawOfficer[Tag_PvPinSpace])</f>
        <v>✴️</v>
      </c>
      <c r="F458" s="516" t="str">
        <f t="array" ref="F458">XLOOKUP(LCARS_Off[AbilityID],RawOfficer[AbilityID],RawOfficer[Tag_PvPStation])</f>
        <v>✴️</v>
      </c>
      <c r="G458" s="516" t="str">
        <f t="array" ref="G458">XLOOKUP(LCARS_Off[AbilityID],RawOfficer[AbilityID],RawOfficer[Tag_NonArmadaHostiles])</f>
        <v>➖</v>
      </c>
      <c r="H458" s="516" t="str">
        <f t="array" ref="H458">XLOOKUP(LCARS_Off[AbilityID],RawOfficer[AbilityID],RawOfficer[Tag_WaveDefense])</f>
        <v>➖</v>
      </c>
      <c r="I458" s="516" t="str">
        <f t="array" ref="I458">XLOOKUP(LCARS_Off[AbilityID],RawOfficer[AbilityID],RawOfficer[Tag_QTrial])</f>
        <v>➖</v>
      </c>
      <c r="J458" s="516" t="str">
        <f t="array" ref="J458">XLOOKUP(LCARS_Off[AbilityID],RawOfficer[AbilityID],RawOfficer[Tag_MissionBosses])</f>
        <v>➖</v>
      </c>
      <c r="K458" s="516" t="str">
        <f t="array" ref="K458">XLOOKUP(LCARS_Off[AbilityID],RawOfficer[AbilityID],RawOfficer[Tag_GroupArmadas])</f>
        <v>➖</v>
      </c>
      <c r="L458" s="516" t="str">
        <f t="array" ref="L458">XLOOKUP(LCARS_Off[AbilityID],RawOfficer[AbilityID],RawOfficer[Tag_SoloArmadas])</f>
        <v>➖</v>
      </c>
      <c r="M458" s="516" t="str">
        <f t="array" ref="M458">XLOOKUP(LCARS_Off[AbilityID],RawOfficer[AbilityID],RawOfficer[Tag_InvadingEntities])</f>
        <v>➖</v>
      </c>
      <c r="N458" s="516" t="str">
        <f t="array" ref="N458">XLOOKUP(LCARS_Off[AbilityID],RawOfficer[AbilityID],RawOfficer[Tag_Assaults])</f>
        <v>➖</v>
      </c>
      <c r="O458" s="516" t="str">
        <f t="array" ref="O458">XLOOKUP(LCARS_Off[AbilityID],RawOfficer[AbilityID],RawOfficer[Tag_OutpostArmadas])</f>
        <v>➖</v>
      </c>
      <c r="P458" s="516" t="str">
        <f t="array" ref="P458">XLOOKUP(LCARS_Off[AbilityID],RawOfficer[AbilityID],RawOfficer[Tag_OutpostRetaliators])</f>
        <v>➖</v>
      </c>
      <c r="Q458" s="517" t="str">
        <f t="array" ref="Q458">XLOOKUP(LCARS_Off[AbilityID],RawOfficer[AbilityID],RawOfficer[Conditional_Reason])</f>
        <v>EnemyInterceptor, SelfOfficerTalNotOnBridge</v>
      </c>
      <c r="R458" s="518" t="str">
        <f t="array" ref="R458">XLOOKUP(LCARS_Off[AbilityID],RawOfficer[AbilityID],RawOfficer[Tag_Loot])</f>
        <v>➖</v>
      </c>
      <c r="S458" s="516" t="str">
        <f t="array" ref="S458">XLOOKUP(LCARS_Off[AbilityID],RawOfficer[AbilityID],RawOfficer[Tag_Utility])</f>
        <v>➖</v>
      </c>
      <c r="T458" s="429" t="str">
        <f t="array" ref="T458">XLOOKUP(LCARS_Off[AbilityID],RawOfficer[AbilityID],RawOfficer[OfficerSynergy])</f>
        <v>MIRROR UNIVERSE</v>
      </c>
      <c r="U458" s="519" t="str">
        <f t="array" ref="U458">XLOOKUP(LCARS_Off[AbilityID],RawOfficer[AbilityID],RawOfficer[AbilityModifier])</f>
        <v>ApexBarrier</v>
      </c>
      <c r="V458" s="519" t="str">
        <f t="array" ref="V458">XLOOKUP(LCARS_Off[AbilityID],RawOfficer[AbilityID],RawOfficer[AbilityAttributes])</f>
        <v/>
      </c>
      <c r="W458" s="520" t="str">
        <f t="array" ref="W458">XLOOKUP(LCARS_Off[AbilityID],RawOfficer[AbilityID],RawOfficer[AbilityConditions])</f>
        <v>EnemyPlayer, EnemyInterceptor, SelfOfficerTalNotOnBridge</v>
      </c>
      <c r="X458" s="519" t="str">
        <f t="array" ref="X458">XLOOKUP(LCARS_Off[AbilityID],RawOfficer[AbilityID],RawOfficer[AbilityTrigger])</f>
        <v>CombatStart</v>
      </c>
      <c r="Y458" s="519" t="str">
        <f t="array" ref="Y458">XLOOKUP(LCARS_Off[AbilityID],RawOfficer[AbilityID],RawOfficer[AbilityTarget])</f>
        <v>SelfShip</v>
      </c>
      <c r="Z458" s="519" t="str">
        <f t="array" ref="Z458">XLOOKUP(LCARS_Off[AbilityID],RawOfficer[AbilityID],RawOfficer[AbilityOperation])</f>
        <v>Add</v>
      </c>
      <c r="AA458" s="521" t="str">
        <f t="array" ref="AA458">XLOOKUP(LCARS_Off[AbilityID],RawOfficer[AbilityID],RawOfficer[AbilityDescription])</f>
        <v>On combat start while against an Interceptor player, Mirror Data increases your Apex Barrier by X for the duration of combat. -- This ability does not trigger when Tal is assigned to the bridge of your ship.</v>
      </c>
      <c r="AB458" s="429" t="b">
        <v>0</v>
      </c>
      <c r="AC458" s="522" t="str">
        <f t="array" ref="AC458">XLOOKUP(LCARS_Off[AbilityID],RawOfficer[AbilityID],RawOfficer[AbilityDescriptionShort])</f>
        <v>On combat start while against an Interceptor player, Mirror Data increases your Apex Barrier by X for the duration of combat.</v>
      </c>
      <c r="AD458" s="523"/>
      <c r="AE458" s="524"/>
      <c r="AF458" s="524"/>
      <c r="AG458" s="525" t="str">
        <f t="array" ref="AG458">XLOOKUP(LCARS_Off[AbilityID],RawOfficer[AbilityID],RawOfficer[AbilityChances])</f>
        <v>1.0, 1.0, 1.0</v>
      </c>
      <c r="AH458" s="525" t="str">
        <f t="array" ref="AH458">XLOOKUP(LCARS_Off[AbilityID],RawOfficer[AbilityID],RawOfficer[AbilityValues])</f>
        <v>7500.0, 3500.0, 18750.0</v>
      </c>
      <c r="AI458" s="428" t="b">
        <f t="array" ref="AI458">XLOOKUP(LCARS_Off[AbilityID],RawOfficer[AbilityID],RawOfficer[AbilityHasChance])</f>
        <v>0</v>
      </c>
      <c r="AJ458" s="428" t="b">
        <f t="array" ref="AJ458">XLOOKUP(LCARS_Off[AbilityID],RawOfficer[AbilityID],RawOfficer[AbilityShowPercentage])</f>
        <v>0</v>
      </c>
      <c r="AK458" s="429">
        <f t="array" ref="AK458">XLOOKUP(LCARS_Off[AbilityID],RawOfficer[AbilityID],RawOfficer[OfficerArt])</f>
        <v>274</v>
      </c>
      <c r="AL458" s="430">
        <v>1.572759108E9</v>
      </c>
      <c r="AM458" s="430">
        <f t="array" ref="AM458">XLOOKUP(LCARS_Off[AbilityID],RawOfficer[AbilityID],RawOfficer[Default Order])</f>
        <v>455</v>
      </c>
    </row>
    <row r="459">
      <c r="A459" s="429" t="str">
        <f t="array" ref="A459">LEFT(XLOOKUP(LCARS_Off[AbilityID],RawOfficer[AbilityID],RawOfficer[OfficerRarity]), 1)</f>
        <v>R</v>
      </c>
      <c r="B459" s="429"/>
      <c r="C459" s="514" t="str">
        <f t="array" ref="C459">HYPERLINK("https://stfc.space/officers/" &amp; XLOOKUP(LCARS_Off[AbilityID],RawOfficer[AbilityID],RawOfficer[OfficerId]), XLOOKUP(LCARS_Off[AbilityID],RawOfficer[AbilityID],RawOfficer[OfficerName]))</f>
        <v>MIRROR DATA</v>
      </c>
      <c r="D459" s="515" t="str">
        <f t="array" ref="D459">XLOOKUP(LCARS_Off[AbilityID],RawOfficer[AbilityID],RawOfficer[AbilityType])</f>
        <v>OA</v>
      </c>
      <c r="E459" s="516" t="str">
        <f t="array" ref="E459">XLOOKUP(LCARS_Off[AbilityID],RawOfficer[AbilityID],RawOfficer[Tag_PvPinSpace])</f>
        <v>✅</v>
      </c>
      <c r="F459" s="516" t="str">
        <f t="array" ref="F459">XLOOKUP(LCARS_Off[AbilityID],RawOfficer[AbilityID],RawOfficer[Tag_PvPStation])</f>
        <v>✅</v>
      </c>
      <c r="G459" s="516" t="str">
        <f t="array" ref="G459">XLOOKUP(LCARS_Off[AbilityID],RawOfficer[AbilityID],RawOfficer[Tag_NonArmadaHostiles])</f>
        <v>✅</v>
      </c>
      <c r="H459" s="516" t="str">
        <f t="array" ref="H459">XLOOKUP(LCARS_Off[AbilityID],RawOfficer[AbilityID],RawOfficer[Tag_WaveDefense])</f>
        <v>✅</v>
      </c>
      <c r="I459" s="516" t="str">
        <f t="array" ref="I459">XLOOKUP(LCARS_Off[AbilityID],RawOfficer[AbilityID],RawOfficer[Tag_QTrial])</f>
        <v>✅</v>
      </c>
      <c r="J459" s="516" t="str">
        <f t="array" ref="J459">XLOOKUP(LCARS_Off[AbilityID],RawOfficer[AbilityID],RawOfficer[Tag_MissionBosses])</f>
        <v>✅</v>
      </c>
      <c r="K459" s="516" t="str">
        <f t="array" ref="K459">XLOOKUP(LCARS_Off[AbilityID],RawOfficer[AbilityID],RawOfficer[Tag_GroupArmadas])</f>
        <v>✅</v>
      </c>
      <c r="L459" s="516" t="str">
        <f t="array" ref="L459">XLOOKUP(LCARS_Off[AbilityID],RawOfficer[AbilityID],RawOfficer[Tag_SoloArmadas])</f>
        <v>✅</v>
      </c>
      <c r="M459" s="516" t="str">
        <f t="array" ref="M459">XLOOKUP(LCARS_Off[AbilityID],RawOfficer[AbilityID],RawOfficer[Tag_InvadingEntities])</f>
        <v>✅</v>
      </c>
      <c r="N459" s="516" t="str">
        <f t="array" ref="N459">XLOOKUP(LCARS_Off[AbilityID],RawOfficer[AbilityID],RawOfficer[Tag_Assaults])</f>
        <v>✅</v>
      </c>
      <c r="O459" s="516" t="str">
        <f t="array" ref="O459">XLOOKUP(LCARS_Off[AbilityID],RawOfficer[AbilityID],RawOfficer[Tag_OutpostArmadas])</f>
        <v>✅</v>
      </c>
      <c r="P459" s="516" t="str">
        <f t="array" ref="P459">XLOOKUP(LCARS_Off[AbilityID],RawOfficer[AbilityID],RawOfficer[Tag_OutpostRetaliators])</f>
        <v>✅</v>
      </c>
      <c r="Q459" s="517" t="str">
        <f t="array" ref="Q459">XLOOKUP(LCARS_Off[AbilityID],RawOfficer[AbilityID],RawOfficer[Conditional_Reason])</f>
        <v/>
      </c>
      <c r="R459" s="518" t="str">
        <f t="array" ref="R459">XLOOKUP(LCARS_Off[AbilityID],RawOfficer[AbilityID],RawOfficer[Tag_Loot])</f>
        <v>➖</v>
      </c>
      <c r="S459" s="516" t="str">
        <f t="array" ref="S459">XLOOKUP(LCARS_Off[AbilityID],RawOfficer[AbilityID],RawOfficer[Tag_Utility])</f>
        <v>➖</v>
      </c>
      <c r="T459" s="429" t="str">
        <f t="array" ref="T459">XLOOKUP(LCARS_Off[AbilityID],RawOfficer[AbilityID],RawOfficer[OfficerSynergy])</f>
        <v>MIRROR UNIVERSE</v>
      </c>
      <c r="U459" s="519" t="str">
        <f t="array" ref="U459">XLOOKUP(LCARS_Off[AbilityID],RawOfficer[AbilityID],RawOfficer[AbilityModifier])</f>
        <v>AddState</v>
      </c>
      <c r="V459" s="519" t="str">
        <f t="array" ref="V459">XLOOKUP(LCARS_Off[AbilityID],RawOfficer[AbilityID],RawOfficer[AbilityAttributes])</f>
        <v>num_rounds=2, state=64</v>
      </c>
      <c r="W459" s="520" t="str">
        <f t="array" ref="W459">XLOOKUP(LCARS_Off[AbilityID],RawOfficer[AbilityID],RawOfficer[AbilityConditions])</f>
        <v/>
      </c>
      <c r="X459" s="519" t="str">
        <f t="array" ref="X459">XLOOKUP(LCARS_Off[AbilityID],RawOfficer[AbilityID],RawOfficer[AbilityTrigger])</f>
        <v>RoundStart</v>
      </c>
      <c r="Y459" s="519" t="str">
        <f t="array" ref="Y459">XLOOKUP(LCARS_Off[AbilityID],RawOfficer[AbilityID],RawOfficer[AbilityTarget])</f>
        <v>EnemyShip</v>
      </c>
      <c r="Z459" s="519" t="str">
        <f t="array" ref="Z459">XLOOKUP(LCARS_Off[AbilityID],RawOfficer[AbilityID],RawOfficer[AbilityOperation])</f>
        <v>MultiplyAdd</v>
      </c>
      <c r="AA459" s="521" t="str">
        <f t="array" ref="AA459">XLOOKUP(LCARS_Off[AbilityID],RawOfficer[AbilityID],RawOfficer[AbilityDescription])</f>
        <v>On round start against players, Mirror Data has X (X at rank X) chance to apply Assimilate to them for 2 rounds. -- While a ship is affected by the Assimilate state, Officer Abilities have their effectiveness reduced by 25%.</v>
      </c>
      <c r="AB459" s="429" t="b">
        <v>0</v>
      </c>
      <c r="AC459" s="522" t="str">
        <f t="array" ref="AC459">XLOOKUP(LCARS_Off[AbilityID],RawOfficer[AbilityID],RawOfficer[AbilityDescriptionShort])</f>
        <v>On round start against players, Mirror Data has X chance to apply Assimilate to them for 2 rounds.</v>
      </c>
      <c r="AD459" s="523"/>
      <c r="AE459" s="524"/>
      <c r="AF459" s="524"/>
      <c r="AG459" s="525" t="str">
        <f t="array" ref="AG459">XLOOKUP(LCARS_Off[AbilityID],RawOfficer[AbilityID],RawOfficer[AbilityChances])</f>
        <v>0.45, 0.55, 0.65, 0.8, 1.0</v>
      </c>
      <c r="AH459" s="525" t="str">
        <f t="array" ref="AH459">XLOOKUP(LCARS_Off[AbilityID],RawOfficer[AbilityID],RawOfficer[AbilityValues])</f>
        <v>1.0, 1.0, 1.0, 1.0, 1.0</v>
      </c>
      <c r="AI459" s="428" t="b">
        <f t="array" ref="AI459">XLOOKUP(LCARS_Off[AbilityID],RawOfficer[AbilityID],RawOfficer[AbilityHasChance])</f>
        <v>1</v>
      </c>
      <c r="AJ459" s="428" t="b">
        <f t="array" ref="AJ459">XLOOKUP(LCARS_Off[AbilityID],RawOfficer[AbilityID],RawOfficer[AbilityShowPercentage])</f>
        <v>1</v>
      </c>
      <c r="AK459" s="429">
        <f t="array" ref="AK459">XLOOKUP(LCARS_Off[AbilityID],RawOfficer[AbilityID],RawOfficer[OfficerArt])</f>
        <v>274</v>
      </c>
      <c r="AL459" s="430">
        <v>3.287853792E9</v>
      </c>
      <c r="AM459" s="430">
        <f t="array" ref="AM459">XLOOKUP(LCARS_Off[AbilityID],RawOfficer[AbilityID],RawOfficer[Default Order])</f>
        <v>456</v>
      </c>
    </row>
    <row r="460">
      <c r="A460" s="429" t="str">
        <f t="array" ref="A460">LEFT(XLOOKUP(LCARS_Off[AbilityID],RawOfficer[AbilityID],RawOfficer[OfficerRarity]), 1)</f>
        <v>E</v>
      </c>
      <c r="B460" s="429"/>
      <c r="C460" s="514" t="str">
        <f t="array" ref="C460">HYPERLINK("https://stfc.space/officers/" &amp; XLOOKUP(LCARS_Off[AbilityID],RawOfficer[AbilityID],RawOfficer[OfficerId]), XLOOKUP(LCARS_Off[AbilityID],RawOfficer[AbilityID],RawOfficer[OfficerName]))</f>
        <v>MIRROR KIRA</v>
      </c>
      <c r="D460" s="515" t="str">
        <f t="array" ref="D460">XLOOKUP(LCARS_Off[AbilityID],RawOfficer[AbilityID],RawOfficer[AbilityType])</f>
        <v>CM</v>
      </c>
      <c r="E460" s="516" t="str">
        <f t="array" ref="E460">XLOOKUP(LCARS_Off[AbilityID],RawOfficer[AbilityID],RawOfficer[Tag_PvPinSpace])</f>
        <v>✴️</v>
      </c>
      <c r="F460" s="516" t="str">
        <f t="array" ref="F460">XLOOKUP(LCARS_Off[AbilityID],RawOfficer[AbilityID],RawOfficer[Tag_PvPStation])</f>
        <v>✴️</v>
      </c>
      <c r="G460" s="516" t="str">
        <f t="array" ref="G460">XLOOKUP(LCARS_Off[AbilityID],RawOfficer[AbilityID],RawOfficer[Tag_NonArmadaHostiles])</f>
        <v>➖</v>
      </c>
      <c r="H460" s="516" t="str">
        <f t="array" ref="H460">XLOOKUP(LCARS_Off[AbilityID],RawOfficer[AbilityID],RawOfficer[Tag_WaveDefense])</f>
        <v>➖</v>
      </c>
      <c r="I460" s="516" t="str">
        <f t="array" ref="I460">XLOOKUP(LCARS_Off[AbilityID],RawOfficer[AbilityID],RawOfficer[Tag_QTrial])</f>
        <v>➖</v>
      </c>
      <c r="J460" s="516" t="str">
        <f t="array" ref="J460">XLOOKUP(LCARS_Off[AbilityID],RawOfficer[AbilityID],RawOfficer[Tag_MissionBosses])</f>
        <v>➖</v>
      </c>
      <c r="K460" s="516" t="str">
        <f t="array" ref="K460">XLOOKUP(LCARS_Off[AbilityID],RawOfficer[AbilityID],RawOfficer[Tag_GroupArmadas])</f>
        <v>➖</v>
      </c>
      <c r="L460" s="516" t="str">
        <f t="array" ref="L460">XLOOKUP(LCARS_Off[AbilityID],RawOfficer[AbilityID],RawOfficer[Tag_SoloArmadas])</f>
        <v>➖</v>
      </c>
      <c r="M460" s="516" t="str">
        <f t="array" ref="M460">XLOOKUP(LCARS_Off[AbilityID],RawOfficer[AbilityID],RawOfficer[Tag_InvadingEntities])</f>
        <v>➖</v>
      </c>
      <c r="N460" s="516" t="str">
        <f t="array" ref="N460">XLOOKUP(LCARS_Off[AbilityID],RawOfficer[AbilityID],RawOfficer[Tag_Assaults])</f>
        <v>➖</v>
      </c>
      <c r="O460" s="516" t="str">
        <f t="array" ref="O460">XLOOKUP(LCARS_Off[AbilityID],RawOfficer[AbilityID],RawOfficer[Tag_OutpostArmadas])</f>
        <v>➖</v>
      </c>
      <c r="P460" s="516" t="str">
        <f t="array" ref="P460">XLOOKUP(LCARS_Off[AbilityID],RawOfficer[AbilityID],RawOfficer[Tag_OutpostRetaliators])</f>
        <v>➖</v>
      </c>
      <c r="Q460" s="517" t="str">
        <f t="array" ref="Q460">XLOOKUP(LCARS_Off[AbilityID],RawOfficer[AbilityID],RawOfficer[Conditional_Reason])</f>
        <v>SelfOfficerTalNotOnBridge</v>
      </c>
      <c r="R460" s="518" t="str">
        <f t="array" ref="R460">XLOOKUP(LCARS_Off[AbilityID],RawOfficer[AbilityID],RawOfficer[Tag_Loot])</f>
        <v>➖</v>
      </c>
      <c r="S460" s="516" t="str">
        <f t="array" ref="S460">XLOOKUP(LCARS_Off[AbilityID],RawOfficer[AbilityID],RawOfficer[Tag_Utility])</f>
        <v>➖</v>
      </c>
      <c r="T460" s="429" t="str">
        <f t="array" ref="T460">XLOOKUP(LCARS_Off[AbilityID],RawOfficer[AbilityID],RawOfficer[OfficerSynergy])</f>
        <v>MIRROR UNIVERSE</v>
      </c>
      <c r="U460" s="519" t="str">
        <f t="array" ref="U460">XLOOKUP(LCARS_Off[AbilityID],RawOfficer[AbilityID],RawOfficer[AbilityModifier])</f>
        <v>ApexBarrier</v>
      </c>
      <c r="V460" s="519" t="str">
        <f t="array" ref="V460">XLOOKUP(LCARS_Off[AbilityID],RawOfficer[AbilityID],RawOfficer[AbilityAttributes])</f>
        <v>num_rounds=5</v>
      </c>
      <c r="W460" s="520" t="str">
        <f t="array" ref="W460">XLOOKUP(LCARS_Off[AbilityID],RawOfficer[AbilityID],RawOfficer[AbilityConditions])</f>
        <v>EnemyPlayer, SelfOfficerTalNotOnBridge</v>
      </c>
      <c r="X460" s="519" t="str">
        <f t="array" ref="X460">XLOOKUP(LCARS_Off[AbilityID],RawOfficer[AbilityID],RawOfficer[AbilityTrigger])</f>
        <v>RoundStart</v>
      </c>
      <c r="Y460" s="519" t="str">
        <f t="array" ref="Y460">XLOOKUP(LCARS_Off[AbilityID],RawOfficer[AbilityID],RawOfficer[AbilityTarget])</f>
        <v>SelfShip</v>
      </c>
      <c r="Z460" s="519" t="str">
        <f t="array" ref="Z460">XLOOKUP(LCARS_Off[AbilityID],RawOfficer[AbilityID],RawOfficer[AbilityOperation])</f>
        <v>Add</v>
      </c>
      <c r="AA460" s="521" t="str">
        <f t="array" ref="AA460">XLOOKUP(LCARS_Off[AbilityID],RawOfficer[AbilityID],RawOfficer[AbilityDescription])</f>
        <v>On round start against players, Mirror Kira increases your Apex Barrier by  X each round for 5 rounds (cumulative). -- Mirror Kira receives full synergy bonuses from all Mirror officers regardless of class. -- This ability does not trigger when Tal is assigned to the bridge of your ship.</v>
      </c>
      <c r="AB460" s="429" t="b">
        <v>0</v>
      </c>
      <c r="AC460" s="522" t="str">
        <f t="array" ref="AC460">XLOOKUP(LCARS_Off[AbilityID],RawOfficer[AbilityID],RawOfficer[AbilityDescriptionShort])</f>
        <v>On round start against players, Mirror Kira increases your Apex Barrier by X each round for 5 rounds (cumulative).</v>
      </c>
      <c r="AD460" s="523"/>
      <c r="AE460" s="524"/>
      <c r="AF460" s="524"/>
      <c r="AG460" s="525" t="str">
        <f t="array" ref="AG460">XLOOKUP(LCARS_Off[AbilityID],RawOfficer[AbilityID],RawOfficer[AbilityChances])</f>
        <v>1.0, 1.0, 1.0</v>
      </c>
      <c r="AH460" s="525" t="str">
        <f t="array" ref="AH460">XLOOKUP(LCARS_Off[AbilityID],RawOfficer[AbilityID],RawOfficer[AbilityValues])</f>
        <v>1500.0, 1500.0, 1500.0</v>
      </c>
      <c r="AI460" s="428" t="b">
        <f t="array" ref="AI460">XLOOKUP(LCARS_Off[AbilityID],RawOfficer[AbilityID],RawOfficer[AbilityHasChance])</f>
        <v>0</v>
      </c>
      <c r="AJ460" s="428" t="b">
        <f t="array" ref="AJ460">XLOOKUP(LCARS_Off[AbilityID],RawOfficer[AbilityID],RawOfficer[AbilityShowPercentage])</f>
        <v>0</v>
      </c>
      <c r="AK460" s="429">
        <f t="array" ref="AK460">XLOOKUP(LCARS_Off[AbilityID],RawOfficer[AbilityID],RawOfficer[OfficerArt])</f>
        <v>275</v>
      </c>
      <c r="AL460" s="430">
        <v>3.920164717E9</v>
      </c>
      <c r="AM460" s="430">
        <f t="array" ref="AM460">XLOOKUP(LCARS_Off[AbilityID],RawOfficer[AbilityID],RawOfficer[Default Order])</f>
        <v>457</v>
      </c>
    </row>
    <row r="461">
      <c r="A461" s="429" t="str">
        <f t="array" ref="A461">LEFT(XLOOKUP(LCARS_Off[AbilityID],RawOfficer[AbilityID],RawOfficer[OfficerRarity]), 1)</f>
        <v>E</v>
      </c>
      <c r="B461" s="429"/>
      <c r="C461" s="514" t="str">
        <f t="array" ref="C461">HYPERLINK("https://stfc.space/officers/" &amp; XLOOKUP(LCARS_Off[AbilityID],RawOfficer[AbilityID],RawOfficer[OfficerId]), XLOOKUP(LCARS_Off[AbilityID],RawOfficer[AbilityID],RawOfficer[OfficerName]))</f>
        <v>MIRROR KIRA</v>
      </c>
      <c r="D461" s="515" t="str">
        <f t="array" ref="D461">XLOOKUP(LCARS_Off[AbilityID],RawOfficer[AbilityID],RawOfficer[AbilityType])</f>
        <v>OA</v>
      </c>
      <c r="E461" s="516" t="str">
        <f t="array" ref="E461">XLOOKUP(LCARS_Off[AbilityID],RawOfficer[AbilityID],RawOfficer[Tag_PvPinSpace])</f>
        <v>✴️</v>
      </c>
      <c r="F461" s="516" t="str">
        <f t="array" ref="F461">XLOOKUP(LCARS_Off[AbilityID],RawOfficer[AbilityID],RawOfficer[Tag_PvPStation])</f>
        <v>✴️</v>
      </c>
      <c r="G461" s="516" t="str">
        <f t="array" ref="G461">XLOOKUP(LCARS_Off[AbilityID],RawOfficer[AbilityID],RawOfficer[Tag_NonArmadaHostiles])</f>
        <v>➖</v>
      </c>
      <c r="H461" s="516" t="str">
        <f t="array" ref="H461">XLOOKUP(LCARS_Off[AbilityID],RawOfficer[AbilityID],RawOfficer[Tag_WaveDefense])</f>
        <v>➖</v>
      </c>
      <c r="I461" s="516" t="str">
        <f t="array" ref="I461">XLOOKUP(LCARS_Off[AbilityID],RawOfficer[AbilityID],RawOfficer[Tag_QTrial])</f>
        <v>➖</v>
      </c>
      <c r="J461" s="516" t="str">
        <f t="array" ref="J461">XLOOKUP(LCARS_Off[AbilityID],RawOfficer[AbilityID],RawOfficer[Tag_MissionBosses])</f>
        <v>➖</v>
      </c>
      <c r="K461" s="516" t="str">
        <f t="array" ref="K461">XLOOKUP(LCARS_Off[AbilityID],RawOfficer[AbilityID],RawOfficer[Tag_GroupArmadas])</f>
        <v>➖</v>
      </c>
      <c r="L461" s="516" t="str">
        <f t="array" ref="L461">XLOOKUP(LCARS_Off[AbilityID],RawOfficer[AbilityID],RawOfficer[Tag_SoloArmadas])</f>
        <v>➖</v>
      </c>
      <c r="M461" s="516" t="str">
        <f t="array" ref="M461">XLOOKUP(LCARS_Off[AbilityID],RawOfficer[AbilityID],RawOfficer[Tag_InvadingEntities])</f>
        <v>➖</v>
      </c>
      <c r="N461" s="516" t="str">
        <f t="array" ref="N461">XLOOKUP(LCARS_Off[AbilityID],RawOfficer[AbilityID],RawOfficer[Tag_Assaults])</f>
        <v>➖</v>
      </c>
      <c r="O461" s="516" t="str">
        <f t="array" ref="O461">XLOOKUP(LCARS_Off[AbilityID],RawOfficer[AbilityID],RawOfficer[Tag_OutpostArmadas])</f>
        <v>➖</v>
      </c>
      <c r="P461" s="516" t="str">
        <f t="array" ref="P461">XLOOKUP(LCARS_Off[AbilityID],RawOfficer[AbilityID],RawOfficer[Tag_OutpostRetaliators])</f>
        <v>➖</v>
      </c>
      <c r="Q461" s="517" t="str">
        <f t="array" ref="Q461">XLOOKUP(LCARS_Off[AbilityID],RawOfficer[AbilityID],RawOfficer[Conditional_Reason])</f>
        <v>TargetHasAssimilated</v>
      </c>
      <c r="R461" s="518" t="str">
        <f t="array" ref="R461">XLOOKUP(LCARS_Off[AbilityID],RawOfficer[AbilityID],RawOfficer[Tag_Loot])</f>
        <v>➖</v>
      </c>
      <c r="S461" s="516" t="str">
        <f t="array" ref="S461">XLOOKUP(LCARS_Off[AbilityID],RawOfficer[AbilityID],RawOfficer[Tag_Utility])</f>
        <v>➖</v>
      </c>
      <c r="T461" s="429" t="str">
        <f t="array" ref="T461">XLOOKUP(LCARS_Off[AbilityID],RawOfficer[AbilityID],RawOfficer[OfficerSynergy])</f>
        <v>MIRROR UNIVERSE</v>
      </c>
      <c r="U461" s="519" t="str">
        <f t="array" ref="U461">XLOOKUP(LCARS_Off[AbilityID],RawOfficer[AbilityID],RawOfficer[AbilityModifier])</f>
        <v>ShotsPerAttack</v>
      </c>
      <c r="V461" s="519" t="str">
        <f t="array" ref="V461">XLOOKUP(LCARS_Off[AbilityID],RawOfficer[AbilityID],RawOfficer[AbilityAttributes])</f>
        <v>num_rounds=5</v>
      </c>
      <c r="W461" s="520" t="str">
        <f t="array" ref="W461">XLOOKUP(LCARS_Off[AbilityID],RawOfficer[AbilityID],RawOfficer[AbilityConditions])</f>
        <v>EnemyPlayer, TargetHasAssimilated</v>
      </c>
      <c r="X461" s="519" t="str">
        <f t="array" ref="X461">XLOOKUP(LCARS_Off[AbilityID],RawOfficer[AbilityID],RawOfficer[AbilityTrigger])</f>
        <v>RoundStart</v>
      </c>
      <c r="Y461" s="519" t="str">
        <f t="array" ref="Y461">XLOOKUP(LCARS_Off[AbilityID],RawOfficer[AbilityID],RawOfficer[AbilityTarget])</f>
        <v>SelfShip</v>
      </c>
      <c r="Z461" s="519" t="str">
        <f t="array" ref="Z461">XLOOKUP(LCARS_Off[AbilityID],RawOfficer[AbilityID],RawOfficer[AbilityOperation])</f>
        <v>MultiplyAdd</v>
      </c>
      <c r="AA461" s="521" t="str">
        <f t="array" ref="AA461">XLOOKUP(LCARS_Off[AbilityID],RawOfficer[AbilityID],RawOfficer[AbilityDescription])</f>
        <v>On round start against players with Assimilate, Mirror Kira increases your shots by X (X at rank X) each round for 5 rounds (cumulative).</v>
      </c>
      <c r="AB461" s="429" t="b">
        <v>0</v>
      </c>
      <c r="AC461" s="522" t="str">
        <f t="array" ref="AC461">XLOOKUP(LCARS_Off[AbilityID],RawOfficer[AbilityID],RawOfficer[AbilityDescriptionShort])</f>
        <v>On round start against players with Assimilate, Mirror Kira increases your shots by X each round for 5 rounds (cumulative).</v>
      </c>
      <c r="AD461" s="523"/>
      <c r="AE461" s="524"/>
      <c r="AF461" s="524"/>
      <c r="AG461" s="525" t="str">
        <f t="array" ref="AG461">XLOOKUP(LCARS_Off[AbilityID],RawOfficer[AbilityID],RawOfficer[AbilityChances])</f>
        <v>1.0, 1.0, 1.0, 1.0, 1.0</v>
      </c>
      <c r="AH461" s="525" t="str">
        <f t="array" ref="AH461">XLOOKUP(LCARS_Off[AbilityID],RawOfficer[AbilityID],RawOfficer[AbilityValues])</f>
        <v>0.15, 0.2, 0.25, 0.3, 0.4</v>
      </c>
      <c r="AI461" s="428" t="b">
        <f t="array" ref="AI461">XLOOKUP(LCARS_Off[AbilityID],RawOfficer[AbilityID],RawOfficer[AbilityHasChance])</f>
        <v>0</v>
      </c>
      <c r="AJ461" s="428" t="b">
        <f t="array" ref="AJ461">XLOOKUP(LCARS_Off[AbilityID],RawOfficer[AbilityID],RawOfficer[AbilityShowPercentage])</f>
        <v>1</v>
      </c>
      <c r="AK461" s="429">
        <f t="array" ref="AK461">XLOOKUP(LCARS_Off[AbilityID],RawOfficer[AbilityID],RawOfficer[OfficerArt])</f>
        <v>275</v>
      </c>
      <c r="AL461" s="430">
        <v>4.188648392E9</v>
      </c>
      <c r="AM461" s="430">
        <f t="array" ref="AM461">XLOOKUP(LCARS_Off[AbilityID],RawOfficer[AbilityID],RawOfficer[Default Order])</f>
        <v>458</v>
      </c>
    </row>
    <row r="462">
      <c r="A462" s="429" t="str">
        <f t="array" ref="A462">LEFT(XLOOKUP(LCARS_Off[AbilityID],RawOfficer[AbilityID],RawOfficer[OfficerRarity]), 1)</f>
        <v>R</v>
      </c>
      <c r="B462" s="429"/>
      <c r="C462" s="514" t="str">
        <f t="array" ref="C462">HYPERLINK("https://stfc.space/officers/" &amp; XLOOKUP(LCARS_Off[AbilityID],RawOfficer[AbilityID],RawOfficer[OfficerId]), XLOOKUP(LCARS_Off[AbilityID],RawOfficer[AbilityID],RawOfficer[OfficerName]))</f>
        <v>MIRROR EZRI</v>
      </c>
      <c r="D462" s="515" t="str">
        <f t="array" ref="D462">XLOOKUP(LCARS_Off[AbilityID],RawOfficer[AbilityID],RawOfficer[AbilityType])</f>
        <v>CM</v>
      </c>
      <c r="E462" s="516" t="str">
        <f t="array" ref="E462">XLOOKUP(LCARS_Off[AbilityID],RawOfficer[AbilityID],RawOfficer[Tag_PvPinSpace])</f>
        <v>✴️</v>
      </c>
      <c r="F462" s="516" t="str">
        <f t="array" ref="F462">XLOOKUP(LCARS_Off[AbilityID],RawOfficer[AbilityID],RawOfficer[Tag_PvPStation])</f>
        <v>✴️</v>
      </c>
      <c r="G462" s="516" t="str">
        <f t="array" ref="G462">XLOOKUP(LCARS_Off[AbilityID],RawOfficer[AbilityID],RawOfficer[Tag_NonArmadaHostiles])</f>
        <v>➖</v>
      </c>
      <c r="H462" s="516" t="str">
        <f t="array" ref="H462">XLOOKUP(LCARS_Off[AbilityID],RawOfficer[AbilityID],RawOfficer[Tag_WaveDefense])</f>
        <v>➖</v>
      </c>
      <c r="I462" s="516" t="str">
        <f t="array" ref="I462">XLOOKUP(LCARS_Off[AbilityID],RawOfficer[AbilityID],RawOfficer[Tag_QTrial])</f>
        <v>➖</v>
      </c>
      <c r="J462" s="516" t="str">
        <f t="array" ref="J462">XLOOKUP(LCARS_Off[AbilityID],RawOfficer[AbilityID],RawOfficer[Tag_MissionBosses])</f>
        <v>➖</v>
      </c>
      <c r="K462" s="516" t="str">
        <f t="array" ref="K462">XLOOKUP(LCARS_Off[AbilityID],RawOfficer[AbilityID],RawOfficer[Tag_GroupArmadas])</f>
        <v>➖</v>
      </c>
      <c r="L462" s="516" t="str">
        <f t="array" ref="L462">XLOOKUP(LCARS_Off[AbilityID],RawOfficer[AbilityID],RawOfficer[Tag_SoloArmadas])</f>
        <v>➖</v>
      </c>
      <c r="M462" s="516" t="str">
        <f t="array" ref="M462">XLOOKUP(LCARS_Off[AbilityID],RawOfficer[AbilityID],RawOfficer[Tag_InvadingEntities])</f>
        <v>➖</v>
      </c>
      <c r="N462" s="516" t="str">
        <f t="array" ref="N462">XLOOKUP(LCARS_Off[AbilityID],RawOfficer[AbilityID],RawOfficer[Tag_Assaults])</f>
        <v>➖</v>
      </c>
      <c r="O462" s="516" t="str">
        <f t="array" ref="O462">XLOOKUP(LCARS_Off[AbilityID],RawOfficer[AbilityID],RawOfficer[Tag_OutpostArmadas])</f>
        <v>➖</v>
      </c>
      <c r="P462" s="516" t="str">
        <f t="array" ref="P462">XLOOKUP(LCARS_Off[AbilityID],RawOfficer[AbilityID],RawOfficer[Tag_OutpostRetaliators])</f>
        <v>➖</v>
      </c>
      <c r="Q462" s="517" t="str">
        <f t="array" ref="Q462">XLOOKUP(LCARS_Off[AbilityID],RawOfficer[AbilityID],RawOfficer[Conditional_Reason])</f>
        <v>EnemyBattleship, SelfOfficerTalNotOnBridge</v>
      </c>
      <c r="R462" s="518" t="str">
        <f t="array" ref="R462">XLOOKUP(LCARS_Off[AbilityID],RawOfficer[AbilityID],RawOfficer[Tag_Loot])</f>
        <v>➖</v>
      </c>
      <c r="S462" s="516" t="str">
        <f t="array" ref="S462">XLOOKUP(LCARS_Off[AbilityID],RawOfficer[AbilityID],RawOfficer[Tag_Utility])</f>
        <v>➖</v>
      </c>
      <c r="T462" s="429" t="str">
        <f t="array" ref="T462">XLOOKUP(LCARS_Off[AbilityID],RawOfficer[AbilityID],RawOfficer[OfficerSynergy])</f>
        <v>MIRROR UNIVERSE</v>
      </c>
      <c r="U462" s="519" t="str">
        <f t="array" ref="U462">XLOOKUP(LCARS_Off[AbilityID],RawOfficer[AbilityID],RawOfficer[AbilityModifier])</f>
        <v>ApexBarrier</v>
      </c>
      <c r="V462" s="519" t="str">
        <f t="array" ref="V462">XLOOKUP(LCARS_Off[AbilityID],RawOfficer[AbilityID],RawOfficer[AbilityAttributes])</f>
        <v/>
      </c>
      <c r="W462" s="520" t="str">
        <f t="array" ref="W462">XLOOKUP(LCARS_Off[AbilityID],RawOfficer[AbilityID],RawOfficer[AbilityConditions])</f>
        <v>EnemyPlayer, EnemyBattleship, SelfOfficerTalNotOnBridge</v>
      </c>
      <c r="X462" s="519" t="str">
        <f t="array" ref="X462">XLOOKUP(LCARS_Off[AbilityID],RawOfficer[AbilityID],RawOfficer[AbilityTrigger])</f>
        <v>CombatStart</v>
      </c>
      <c r="Y462" s="519" t="str">
        <f t="array" ref="Y462">XLOOKUP(LCARS_Off[AbilityID],RawOfficer[AbilityID],RawOfficer[AbilityTarget])</f>
        <v>SelfShip</v>
      </c>
      <c r="Z462" s="519" t="str">
        <f t="array" ref="Z462">XLOOKUP(LCARS_Off[AbilityID],RawOfficer[AbilityID],RawOfficer[AbilityOperation])</f>
        <v>Add</v>
      </c>
      <c r="AA462" s="521" t="str">
        <f t="array" ref="AA462">XLOOKUP(LCARS_Off[AbilityID],RawOfficer[AbilityID],RawOfficer[AbilityDescription])</f>
        <v>On combat start while against a Battleship player: Mirror Ezri increases your Apex Barrier by X for the duration of combat. -- This ability does not trigger when Tal is assigned to the bridge of your ship.</v>
      </c>
      <c r="AB462" s="429" t="b">
        <v>0</v>
      </c>
      <c r="AC462" s="522" t="str">
        <f t="array" ref="AC462">XLOOKUP(LCARS_Off[AbilityID],RawOfficer[AbilityID],RawOfficer[AbilityDescriptionShort])</f>
        <v>On combat start while against a Battleship player: Mirror Ezri increases your Apex Barrier by X for the duration of combat.</v>
      </c>
      <c r="AD462" s="523"/>
      <c r="AE462" s="524"/>
      <c r="AF462" s="524"/>
      <c r="AG462" s="525" t="str">
        <f t="array" ref="AG462">XLOOKUP(LCARS_Off[AbilityID],RawOfficer[AbilityID],RawOfficer[AbilityChances])</f>
        <v>1.0, 1.0, 1.0</v>
      </c>
      <c r="AH462" s="525" t="str">
        <f t="array" ref="AH462">XLOOKUP(LCARS_Off[AbilityID],RawOfficer[AbilityID],RawOfficer[AbilityValues])</f>
        <v>7500.0, 3500.0, 18750.0</v>
      </c>
      <c r="AI462" s="428" t="b">
        <f t="array" ref="AI462">XLOOKUP(LCARS_Off[AbilityID],RawOfficer[AbilityID],RawOfficer[AbilityHasChance])</f>
        <v>0</v>
      </c>
      <c r="AJ462" s="428" t="b">
        <f t="array" ref="AJ462">XLOOKUP(LCARS_Off[AbilityID],RawOfficer[AbilityID],RawOfficer[AbilityShowPercentage])</f>
        <v>0</v>
      </c>
      <c r="AK462" s="429">
        <f t="array" ref="AK462">XLOOKUP(LCARS_Off[AbilityID],RawOfficer[AbilityID],RawOfficer[OfficerArt])</f>
        <v>276</v>
      </c>
      <c r="AL462" s="430">
        <v>3.716400972E9</v>
      </c>
      <c r="AM462" s="430">
        <f t="array" ref="AM462">XLOOKUP(LCARS_Off[AbilityID],RawOfficer[AbilityID],RawOfficer[Default Order])</f>
        <v>459</v>
      </c>
    </row>
    <row r="463">
      <c r="A463" s="429" t="str">
        <f t="array" ref="A463">LEFT(XLOOKUP(LCARS_Off[AbilityID],RawOfficer[AbilityID],RawOfficer[OfficerRarity]), 1)</f>
        <v>R</v>
      </c>
      <c r="B463" s="429"/>
      <c r="C463" s="514" t="str">
        <f t="array" ref="C463">HYPERLINK("https://stfc.space/officers/" &amp; XLOOKUP(LCARS_Off[AbilityID],RawOfficer[AbilityID],RawOfficer[OfficerId]), XLOOKUP(LCARS_Off[AbilityID],RawOfficer[AbilityID],RawOfficer[OfficerName]))</f>
        <v>MIRROR EZRI</v>
      </c>
      <c r="D463" s="515" t="str">
        <f t="array" ref="D463">XLOOKUP(LCARS_Off[AbilityID],RawOfficer[AbilityID],RawOfficer[AbilityType])</f>
        <v>OA</v>
      </c>
      <c r="E463" s="516" t="str">
        <f t="array" ref="E463">XLOOKUP(LCARS_Off[AbilityID],RawOfficer[AbilityID],RawOfficer[Tag_PvPinSpace])</f>
        <v>✴️</v>
      </c>
      <c r="F463" s="516" t="str">
        <f t="array" ref="F463">XLOOKUP(LCARS_Off[AbilityID],RawOfficer[AbilityID],RawOfficer[Tag_PvPStation])</f>
        <v>✴️</v>
      </c>
      <c r="G463" s="516" t="str">
        <f t="array" ref="G463">XLOOKUP(LCARS_Off[AbilityID],RawOfficer[AbilityID],RawOfficer[Tag_NonArmadaHostiles])</f>
        <v>➖</v>
      </c>
      <c r="H463" s="516" t="str">
        <f t="array" ref="H463">XLOOKUP(LCARS_Off[AbilityID],RawOfficer[AbilityID],RawOfficer[Tag_WaveDefense])</f>
        <v>➖</v>
      </c>
      <c r="I463" s="516" t="str">
        <f t="array" ref="I463">XLOOKUP(LCARS_Off[AbilityID],RawOfficer[AbilityID],RawOfficer[Tag_QTrial])</f>
        <v>➖</v>
      </c>
      <c r="J463" s="516" t="str">
        <f t="array" ref="J463">XLOOKUP(LCARS_Off[AbilityID],RawOfficer[AbilityID],RawOfficer[Tag_MissionBosses])</f>
        <v>➖</v>
      </c>
      <c r="K463" s="516" t="str">
        <f t="array" ref="K463">XLOOKUP(LCARS_Off[AbilityID],RawOfficer[AbilityID],RawOfficer[Tag_GroupArmadas])</f>
        <v>➖</v>
      </c>
      <c r="L463" s="516" t="str">
        <f t="array" ref="L463">XLOOKUP(LCARS_Off[AbilityID],RawOfficer[AbilityID],RawOfficer[Tag_SoloArmadas])</f>
        <v>➖</v>
      </c>
      <c r="M463" s="516" t="str">
        <f t="array" ref="M463">XLOOKUP(LCARS_Off[AbilityID],RawOfficer[AbilityID],RawOfficer[Tag_InvadingEntities])</f>
        <v>➖</v>
      </c>
      <c r="N463" s="516" t="str">
        <f t="array" ref="N463">XLOOKUP(LCARS_Off[AbilityID],RawOfficer[AbilityID],RawOfficer[Tag_Assaults])</f>
        <v>➖</v>
      </c>
      <c r="O463" s="516" t="str">
        <f t="array" ref="O463">XLOOKUP(LCARS_Off[AbilityID],RawOfficer[AbilityID],RawOfficer[Tag_OutpostArmadas])</f>
        <v>➖</v>
      </c>
      <c r="P463" s="516" t="str">
        <f t="array" ref="P463">XLOOKUP(LCARS_Off[AbilityID],RawOfficer[AbilityID],RawOfficer[Tag_OutpostRetaliators])</f>
        <v>➖</v>
      </c>
      <c r="Q463" s="517" t="str">
        <f t="array" ref="Q463">XLOOKUP(LCARS_Off[AbilityID],RawOfficer[AbilityID],RawOfficer[Conditional_Reason])</f>
        <v>ModuleKinetic, TargetHasAssimilated</v>
      </c>
      <c r="R463" s="518" t="str">
        <f t="array" ref="R463">XLOOKUP(LCARS_Off[AbilityID],RawOfficer[AbilityID],RawOfficer[Tag_Loot])</f>
        <v>➖</v>
      </c>
      <c r="S463" s="516" t="str">
        <f t="array" ref="S463">XLOOKUP(LCARS_Off[AbilityID],RawOfficer[AbilityID],RawOfficer[Tag_Utility])</f>
        <v>➖</v>
      </c>
      <c r="T463" s="429" t="str">
        <f t="array" ref="T463">XLOOKUP(LCARS_Off[AbilityID],RawOfficer[AbilityID],RawOfficer[OfficerSynergy])</f>
        <v>MIRROR UNIVERSE</v>
      </c>
      <c r="U463" s="519" t="str">
        <f t="array" ref="U463">XLOOKUP(LCARS_Off[AbilityID],RawOfficer[AbilityID],RawOfficer[AbilityModifier])</f>
        <v>AllDamage</v>
      </c>
      <c r="V463" s="519" t="str">
        <f t="array" ref="V463">XLOOKUP(LCARS_Off[AbilityID],RawOfficer[AbilityID],RawOfficer[AbilityAttributes])</f>
        <v>num_rounds=1</v>
      </c>
      <c r="W463" s="520" t="str">
        <f t="array" ref="W463">XLOOKUP(LCARS_Off[AbilityID],RawOfficer[AbilityID],RawOfficer[AbilityConditions])</f>
        <v>ModuleKinetic, EnemyPlayer, TargetHasAssimilated</v>
      </c>
      <c r="X463" s="519" t="str">
        <f t="array" ref="X463">XLOOKUP(LCARS_Off[AbilityID],RawOfficer[AbilityID],RawOfficer[AbilityTrigger])</f>
        <v>RoundStart</v>
      </c>
      <c r="Y463" s="519" t="str">
        <f t="array" ref="Y463">XLOOKUP(LCARS_Off[AbilityID],RawOfficer[AbilityID],RawOfficer[AbilityTarget])</f>
        <v>SelfShip</v>
      </c>
      <c r="Z463" s="519" t="str">
        <f t="array" ref="Z463">XLOOKUP(LCARS_Off[AbilityID],RawOfficer[AbilityID],RawOfficer[AbilityOperation])</f>
        <v>MultiplyAdd</v>
      </c>
      <c r="AA463" s="521" t="str">
        <f t="array" ref="AA463">XLOOKUP(LCARS_Off[AbilityID],RawOfficer[AbilityID],RawOfficer[AbilityDescription])</f>
        <v>On round start against players with Assimilate, Mirror Ezri increases your Kinetic Weapon damage by X (X at rank X) for 1 round.</v>
      </c>
      <c r="AB463" s="429" t="b">
        <v>0</v>
      </c>
      <c r="AC463" s="522" t="str">
        <f t="array" ref="AC463">XLOOKUP(LCARS_Off[AbilityID],RawOfficer[AbilityID],RawOfficer[AbilityDescriptionShort])</f>
        <v>On round start against players with Assimilate, Mirror Ezri increases your Kinetic Weapon damage by X for 1 round.</v>
      </c>
      <c r="AD463" s="523"/>
      <c r="AE463" s="524"/>
      <c r="AF463" s="524"/>
      <c r="AG463" s="525" t="str">
        <f t="array" ref="AG463">XLOOKUP(LCARS_Off[AbilityID],RawOfficer[AbilityID],RawOfficer[AbilityChances])</f>
        <v>1.0, 1.0, 1.0, 1.0, 1.0</v>
      </c>
      <c r="AH463" s="525" t="str">
        <f t="array" ref="AH463">XLOOKUP(LCARS_Off[AbilityID],RawOfficer[AbilityID],RawOfficer[AbilityValues])</f>
        <v>4.5, 8.5, 15.0, 23.0, 35.0</v>
      </c>
      <c r="AI463" s="428" t="b">
        <f t="array" ref="AI463">XLOOKUP(LCARS_Off[AbilityID],RawOfficer[AbilityID],RawOfficer[AbilityHasChance])</f>
        <v>0</v>
      </c>
      <c r="AJ463" s="428" t="b">
        <f t="array" ref="AJ463">XLOOKUP(LCARS_Off[AbilityID],RawOfficer[AbilityID],RawOfficer[AbilityShowPercentage])</f>
        <v>1</v>
      </c>
      <c r="AK463" s="429">
        <f t="array" ref="AK463">XLOOKUP(LCARS_Off[AbilityID],RawOfficer[AbilityID],RawOfficer[OfficerArt])</f>
        <v>276</v>
      </c>
      <c r="AL463" s="430">
        <v>1.7577042E9</v>
      </c>
      <c r="AM463" s="430">
        <f t="array" ref="AM463">XLOOKUP(LCARS_Off[AbilityID],RawOfficer[AbilityID],RawOfficer[Default Order])</f>
        <v>460</v>
      </c>
    </row>
    <row r="464">
      <c r="A464" s="429" t="str">
        <f t="array" ref="A464">LEFT(XLOOKUP(LCARS_Off[AbilityID],RawOfficer[AbilityID],RawOfficer[OfficerRarity]), 1)</f>
        <v>R</v>
      </c>
      <c r="B464" s="429"/>
      <c r="C464" s="514" t="str">
        <f t="array" ref="C464">HYPERLINK("https://stfc.space/officers/" &amp; XLOOKUP(LCARS_Off[AbilityID],RawOfficer[AbilityID],RawOfficer[OfficerId]), XLOOKUP(LCARS_Off[AbilityID],RawOfficer[AbilityID],RawOfficer[OfficerName]))</f>
        <v>MIRROR TROI</v>
      </c>
      <c r="D464" s="515" t="str">
        <f t="array" ref="D464">XLOOKUP(LCARS_Off[AbilityID],RawOfficer[AbilityID],RawOfficer[AbilityType])</f>
        <v>CM</v>
      </c>
      <c r="E464" s="516" t="str">
        <f t="array" ref="E464">XLOOKUP(LCARS_Off[AbilityID],RawOfficer[AbilityID],RawOfficer[Tag_PvPinSpace])</f>
        <v>✴️</v>
      </c>
      <c r="F464" s="516" t="str">
        <f t="array" ref="F464">XLOOKUP(LCARS_Off[AbilityID],RawOfficer[AbilityID],RawOfficer[Tag_PvPStation])</f>
        <v>✴️</v>
      </c>
      <c r="G464" s="516" t="str">
        <f t="array" ref="G464">XLOOKUP(LCARS_Off[AbilityID],RawOfficer[AbilityID],RawOfficer[Tag_NonArmadaHostiles])</f>
        <v>➖</v>
      </c>
      <c r="H464" s="516" t="str">
        <f t="array" ref="H464">XLOOKUP(LCARS_Off[AbilityID],RawOfficer[AbilityID],RawOfficer[Tag_WaveDefense])</f>
        <v>➖</v>
      </c>
      <c r="I464" s="516" t="str">
        <f t="array" ref="I464">XLOOKUP(LCARS_Off[AbilityID],RawOfficer[AbilityID],RawOfficer[Tag_QTrial])</f>
        <v>➖</v>
      </c>
      <c r="J464" s="516" t="str">
        <f t="array" ref="J464">XLOOKUP(LCARS_Off[AbilityID],RawOfficer[AbilityID],RawOfficer[Tag_MissionBosses])</f>
        <v>➖</v>
      </c>
      <c r="K464" s="516" t="str">
        <f t="array" ref="K464">XLOOKUP(LCARS_Off[AbilityID],RawOfficer[AbilityID],RawOfficer[Tag_GroupArmadas])</f>
        <v>➖</v>
      </c>
      <c r="L464" s="516" t="str">
        <f t="array" ref="L464">XLOOKUP(LCARS_Off[AbilityID],RawOfficer[AbilityID],RawOfficer[Tag_SoloArmadas])</f>
        <v>➖</v>
      </c>
      <c r="M464" s="516" t="str">
        <f t="array" ref="M464">XLOOKUP(LCARS_Off[AbilityID],RawOfficer[AbilityID],RawOfficer[Tag_InvadingEntities])</f>
        <v>➖</v>
      </c>
      <c r="N464" s="516" t="str">
        <f t="array" ref="N464">XLOOKUP(LCARS_Off[AbilityID],RawOfficer[AbilityID],RawOfficer[Tag_Assaults])</f>
        <v>➖</v>
      </c>
      <c r="O464" s="516" t="str">
        <f t="array" ref="O464">XLOOKUP(LCARS_Off[AbilityID],RawOfficer[AbilityID],RawOfficer[Tag_OutpostArmadas])</f>
        <v>➖</v>
      </c>
      <c r="P464" s="516" t="str">
        <f t="array" ref="P464">XLOOKUP(LCARS_Off[AbilityID],RawOfficer[AbilityID],RawOfficer[Tag_OutpostRetaliators])</f>
        <v>➖</v>
      </c>
      <c r="Q464" s="517" t="str">
        <f t="array" ref="Q464">XLOOKUP(LCARS_Off[AbilityID],RawOfficer[AbilityID],RawOfficer[Conditional_Reason])</f>
        <v>EnemyExplorer, SelfOfficerTalNotOnBridge</v>
      </c>
      <c r="R464" s="518" t="str">
        <f t="array" ref="R464">XLOOKUP(LCARS_Off[AbilityID],RawOfficer[AbilityID],RawOfficer[Tag_Loot])</f>
        <v>➖</v>
      </c>
      <c r="S464" s="516" t="str">
        <f t="array" ref="S464">XLOOKUP(LCARS_Off[AbilityID],RawOfficer[AbilityID],RawOfficer[Tag_Utility])</f>
        <v>➖</v>
      </c>
      <c r="T464" s="429" t="str">
        <f t="array" ref="T464">XLOOKUP(LCARS_Off[AbilityID],RawOfficer[AbilityID],RawOfficer[OfficerSynergy])</f>
        <v>MIRROR UNIVERSE</v>
      </c>
      <c r="U464" s="519" t="str">
        <f t="array" ref="U464">XLOOKUP(LCARS_Off[AbilityID],RawOfficer[AbilityID],RawOfficer[AbilityModifier])</f>
        <v>ApexBarrier</v>
      </c>
      <c r="V464" s="519" t="str">
        <f t="array" ref="V464">XLOOKUP(LCARS_Off[AbilityID],RawOfficer[AbilityID],RawOfficer[AbilityAttributes])</f>
        <v/>
      </c>
      <c r="W464" s="520" t="str">
        <f t="array" ref="W464">XLOOKUP(LCARS_Off[AbilityID],RawOfficer[AbilityID],RawOfficer[AbilityConditions])</f>
        <v>EnemyPlayer, EnemyExplorer, SelfOfficerTalNotOnBridge</v>
      </c>
      <c r="X464" s="519" t="str">
        <f t="array" ref="X464">XLOOKUP(LCARS_Off[AbilityID],RawOfficer[AbilityID],RawOfficer[AbilityTrigger])</f>
        <v>CombatStart</v>
      </c>
      <c r="Y464" s="519" t="str">
        <f t="array" ref="Y464">XLOOKUP(LCARS_Off[AbilityID],RawOfficer[AbilityID],RawOfficer[AbilityTarget])</f>
        <v>SelfShip</v>
      </c>
      <c r="Z464" s="519" t="str">
        <f t="array" ref="Z464">XLOOKUP(LCARS_Off[AbilityID],RawOfficer[AbilityID],RawOfficer[AbilityOperation])</f>
        <v>Add</v>
      </c>
      <c r="AA464" s="521" t="str">
        <f t="array" ref="AA464">XLOOKUP(LCARS_Off[AbilityID],RawOfficer[AbilityID],RawOfficer[AbilityDescription])</f>
        <v>On combat start while against an Explorer player: Mirror Troi increases your Apex Barrier by X for the duration of combat. -- This ability does not trigger when Tal is assigned to the bridge of your ship.</v>
      </c>
      <c r="AB464" s="429" t="b">
        <v>0</v>
      </c>
      <c r="AC464" s="522" t="str">
        <f t="array" ref="AC464">XLOOKUP(LCARS_Off[AbilityID],RawOfficer[AbilityID],RawOfficer[AbilityDescriptionShort])</f>
        <v>On combat start while against an Explorer player: Mirror Troi increases your Apex Barrier by X for the duration of combat.</v>
      </c>
      <c r="AD464" s="523"/>
      <c r="AE464" s="524"/>
      <c r="AF464" s="524"/>
      <c r="AG464" s="525" t="str">
        <f t="array" ref="AG464">XLOOKUP(LCARS_Off[AbilityID],RawOfficer[AbilityID],RawOfficer[AbilityChances])</f>
        <v>1.0, 1.0, 1.0</v>
      </c>
      <c r="AH464" s="525" t="str">
        <f t="array" ref="AH464">XLOOKUP(LCARS_Off[AbilityID],RawOfficer[AbilityID],RawOfficer[AbilityValues])</f>
        <v>7500.0, 3500.0, 18750.0</v>
      </c>
      <c r="AI464" s="428" t="b">
        <f t="array" ref="AI464">XLOOKUP(LCARS_Off[AbilityID],RawOfficer[AbilityID],RawOfficer[AbilityHasChance])</f>
        <v>0</v>
      </c>
      <c r="AJ464" s="428" t="b">
        <f t="array" ref="AJ464">XLOOKUP(LCARS_Off[AbilityID],RawOfficer[AbilityID],RawOfficer[AbilityShowPercentage])</f>
        <v>0</v>
      </c>
      <c r="AK464" s="429">
        <f t="array" ref="AK464">XLOOKUP(LCARS_Off[AbilityID],RawOfficer[AbilityID],RawOfficer[OfficerArt])</f>
        <v>277</v>
      </c>
      <c r="AL464" s="430">
        <v>3.64094674E9</v>
      </c>
      <c r="AM464" s="430">
        <f t="array" ref="AM464">XLOOKUP(LCARS_Off[AbilityID],RawOfficer[AbilityID],RawOfficer[Default Order])</f>
        <v>461</v>
      </c>
    </row>
    <row r="465">
      <c r="A465" s="429" t="str">
        <f t="array" ref="A465">LEFT(XLOOKUP(LCARS_Off[AbilityID],RawOfficer[AbilityID],RawOfficer[OfficerRarity]), 1)</f>
        <v>R</v>
      </c>
      <c r="B465" s="429"/>
      <c r="C465" s="514" t="str">
        <f t="array" ref="C465">HYPERLINK("https://stfc.space/officers/" &amp; XLOOKUP(LCARS_Off[AbilityID],RawOfficer[AbilityID],RawOfficer[OfficerId]), XLOOKUP(LCARS_Off[AbilityID],RawOfficer[AbilityID],RawOfficer[OfficerName]))</f>
        <v>MIRROR TROI</v>
      </c>
      <c r="D465" s="515" t="str">
        <f t="array" ref="D465">XLOOKUP(LCARS_Off[AbilityID],RawOfficer[AbilityID],RawOfficer[AbilityType])</f>
        <v>OA</v>
      </c>
      <c r="E465" s="516" t="str">
        <f t="array" ref="E465">XLOOKUP(LCARS_Off[AbilityID],RawOfficer[AbilityID],RawOfficer[Tag_PvPinSpace])</f>
        <v>✴️</v>
      </c>
      <c r="F465" s="516" t="str">
        <f t="array" ref="F465">XLOOKUP(LCARS_Off[AbilityID],RawOfficer[AbilityID],RawOfficer[Tag_PvPStation])</f>
        <v>✴️</v>
      </c>
      <c r="G465" s="516" t="str">
        <f t="array" ref="G465">XLOOKUP(LCARS_Off[AbilityID],RawOfficer[AbilityID],RawOfficer[Tag_NonArmadaHostiles])</f>
        <v>➖</v>
      </c>
      <c r="H465" s="516" t="str">
        <f t="array" ref="H465">XLOOKUP(LCARS_Off[AbilityID],RawOfficer[AbilityID],RawOfficer[Tag_WaveDefense])</f>
        <v>➖</v>
      </c>
      <c r="I465" s="516" t="str">
        <f t="array" ref="I465">XLOOKUP(LCARS_Off[AbilityID],RawOfficer[AbilityID],RawOfficer[Tag_QTrial])</f>
        <v>➖</v>
      </c>
      <c r="J465" s="516" t="str">
        <f t="array" ref="J465">XLOOKUP(LCARS_Off[AbilityID],RawOfficer[AbilityID],RawOfficer[Tag_MissionBosses])</f>
        <v>➖</v>
      </c>
      <c r="K465" s="516" t="str">
        <f t="array" ref="K465">XLOOKUP(LCARS_Off[AbilityID],RawOfficer[AbilityID],RawOfficer[Tag_GroupArmadas])</f>
        <v>➖</v>
      </c>
      <c r="L465" s="516" t="str">
        <f t="array" ref="L465">XLOOKUP(LCARS_Off[AbilityID],RawOfficer[AbilityID],RawOfficer[Tag_SoloArmadas])</f>
        <v>➖</v>
      </c>
      <c r="M465" s="516" t="str">
        <f t="array" ref="M465">XLOOKUP(LCARS_Off[AbilityID],RawOfficer[AbilityID],RawOfficer[Tag_InvadingEntities])</f>
        <v>➖</v>
      </c>
      <c r="N465" s="516" t="str">
        <f t="array" ref="N465">XLOOKUP(LCARS_Off[AbilityID],RawOfficer[AbilityID],RawOfficer[Tag_Assaults])</f>
        <v>➖</v>
      </c>
      <c r="O465" s="516" t="str">
        <f t="array" ref="O465">XLOOKUP(LCARS_Off[AbilityID],RawOfficer[AbilityID],RawOfficer[Tag_OutpostArmadas])</f>
        <v>➖</v>
      </c>
      <c r="P465" s="516" t="str">
        <f t="array" ref="P465">XLOOKUP(LCARS_Off[AbilityID],RawOfficer[AbilityID],RawOfficer[Tag_OutpostRetaliators])</f>
        <v>➖</v>
      </c>
      <c r="Q465" s="517" t="str">
        <f t="array" ref="Q465">XLOOKUP(LCARS_Off[AbilityID],RawOfficer[AbilityID],RawOfficer[Conditional_Reason])</f>
        <v>TargetHasAssimilated, ModuleEnergy</v>
      </c>
      <c r="R465" s="518" t="str">
        <f t="array" ref="R465">XLOOKUP(LCARS_Off[AbilityID],RawOfficer[AbilityID],RawOfficer[Tag_Loot])</f>
        <v>➖</v>
      </c>
      <c r="S465" s="516" t="str">
        <f t="array" ref="S465">XLOOKUP(LCARS_Off[AbilityID],RawOfficer[AbilityID],RawOfficer[Tag_Utility])</f>
        <v>➖</v>
      </c>
      <c r="T465" s="429" t="str">
        <f t="array" ref="T465">XLOOKUP(LCARS_Off[AbilityID],RawOfficer[AbilityID],RawOfficer[OfficerSynergy])</f>
        <v>MIRROR UNIVERSE</v>
      </c>
      <c r="U465" s="519" t="str">
        <f t="array" ref="U465">XLOOKUP(LCARS_Off[AbilityID],RawOfficer[AbilityID],RawOfficer[AbilityModifier])</f>
        <v>AllDamage</v>
      </c>
      <c r="V465" s="519" t="str">
        <f t="array" ref="V465">XLOOKUP(LCARS_Off[AbilityID],RawOfficer[AbilityID],RawOfficer[AbilityAttributes])</f>
        <v>num_rounds=1</v>
      </c>
      <c r="W465" s="520" t="str">
        <f t="array" ref="W465">XLOOKUP(LCARS_Off[AbilityID],RawOfficer[AbilityID],RawOfficer[AbilityConditions])</f>
        <v>EnemyPlayer, TargetHasAssimilated, ModuleEnergy</v>
      </c>
      <c r="X465" s="519" t="str">
        <f t="array" ref="X465">XLOOKUP(LCARS_Off[AbilityID],RawOfficer[AbilityID],RawOfficer[AbilityTrigger])</f>
        <v>RoundStart</v>
      </c>
      <c r="Y465" s="519" t="str">
        <f t="array" ref="Y465">XLOOKUP(LCARS_Off[AbilityID],RawOfficer[AbilityID],RawOfficer[AbilityTarget])</f>
        <v>SelfShip</v>
      </c>
      <c r="Z465" s="519" t="str">
        <f t="array" ref="Z465">XLOOKUP(LCARS_Off[AbilityID],RawOfficer[AbilityID],RawOfficer[AbilityOperation])</f>
        <v>MultiplyAdd</v>
      </c>
      <c r="AA465" s="521" t="str">
        <f t="array" ref="AA465">XLOOKUP(LCARS_Off[AbilityID],RawOfficer[AbilityID],RawOfficer[AbilityDescription])</f>
        <v>On round start against players with Assimilate, Mirror Troi increases your Energy Weapon damage by X (X at rank X) for 1 round.</v>
      </c>
      <c r="AB465" s="429" t="b">
        <v>0</v>
      </c>
      <c r="AC465" s="522" t="str">
        <f t="array" ref="AC465">XLOOKUP(LCARS_Off[AbilityID],RawOfficer[AbilityID],RawOfficer[AbilityDescriptionShort])</f>
        <v>On round start against players with Assimilate, Mirror Troi increases your Energy Weapon damage by X for 1 round.</v>
      </c>
      <c r="AD465" s="523"/>
      <c r="AE465" s="524"/>
      <c r="AF465" s="524"/>
      <c r="AG465" s="525" t="str">
        <f t="array" ref="AG465">XLOOKUP(LCARS_Off[AbilityID],RawOfficer[AbilityID],RawOfficer[AbilityChances])</f>
        <v>1.0, 1.0, 1.0, 1.0, 1.0</v>
      </c>
      <c r="AH465" s="525" t="str">
        <f t="array" ref="AH465">XLOOKUP(LCARS_Off[AbilityID],RawOfficer[AbilityID],RawOfficer[AbilityValues])</f>
        <v>4.5, 8.5, 15.0, 23.0, 35.0</v>
      </c>
      <c r="AI465" s="428" t="b">
        <f t="array" ref="AI465">XLOOKUP(LCARS_Off[AbilityID],RawOfficer[AbilityID],RawOfficer[AbilityHasChance])</f>
        <v>0</v>
      </c>
      <c r="AJ465" s="428" t="b">
        <f t="array" ref="AJ465">XLOOKUP(LCARS_Off[AbilityID],RawOfficer[AbilityID],RawOfficer[AbilityShowPercentage])</f>
        <v>1</v>
      </c>
      <c r="AK465" s="429">
        <f t="array" ref="AK465">XLOOKUP(LCARS_Off[AbilityID],RawOfficer[AbilityID],RawOfficer[OfficerArt])</f>
        <v>277</v>
      </c>
      <c r="AL465" s="430">
        <v>2.509758838E9</v>
      </c>
      <c r="AM465" s="430">
        <f t="array" ref="AM465">XLOOKUP(LCARS_Off[AbilityID],RawOfficer[AbilityID],RawOfficer[Default Order])</f>
        <v>462</v>
      </c>
    </row>
    <row r="466">
      <c r="A466" s="429" t="str">
        <f t="array" ref="A466">LEFT(XLOOKUP(LCARS_Off[AbilityID],RawOfficer[AbilityID],RawOfficer[OfficerRarity]), 1)</f>
        <v>R</v>
      </c>
      <c r="B466" s="429"/>
      <c r="C466" s="514" t="str">
        <f t="array" ref="C466">HYPERLINK("https://stfc.space/officers/" &amp; XLOOKUP(LCARS_Off[AbilityID],RawOfficer[AbilityID],RawOfficer[OfficerId]), XLOOKUP(LCARS_Off[AbilityID],RawOfficer[AbilityID],RawOfficer[OfficerName]))</f>
        <v>LIEUTENANT PICARD</v>
      </c>
      <c r="D466" s="515" t="str">
        <f t="array" ref="D466">XLOOKUP(LCARS_Off[AbilityID],RawOfficer[AbilityID],RawOfficer[AbilityType])</f>
        <v>CM</v>
      </c>
      <c r="E466" s="516" t="str">
        <f t="array" ref="E466">XLOOKUP(LCARS_Off[AbilityID],RawOfficer[AbilityID],RawOfficer[Tag_PvPinSpace])</f>
        <v>➖</v>
      </c>
      <c r="F466" s="516" t="str">
        <f t="array" ref="F466">XLOOKUP(LCARS_Off[AbilityID],RawOfficer[AbilityID],RawOfficer[Tag_PvPStation])</f>
        <v>➖</v>
      </c>
      <c r="G466" s="516" t="str">
        <f t="array" ref="G466">XLOOKUP(LCARS_Off[AbilityID],RawOfficer[AbilityID],RawOfficer[Tag_NonArmadaHostiles])</f>
        <v>✴️</v>
      </c>
      <c r="H466" s="516" t="str">
        <f t="array" ref="H466">XLOOKUP(LCARS_Off[AbilityID],RawOfficer[AbilityID],RawOfficer[Tag_WaveDefense])</f>
        <v>✴️</v>
      </c>
      <c r="I466" s="516" t="str">
        <f t="array" ref="I466">XLOOKUP(LCARS_Off[AbilityID],RawOfficer[AbilityID],RawOfficer[Tag_QTrial])</f>
        <v>✴️</v>
      </c>
      <c r="J466" s="516" t="str">
        <f t="array" ref="J466">XLOOKUP(LCARS_Off[AbilityID],RawOfficer[AbilityID],RawOfficer[Tag_MissionBosses])</f>
        <v>➖</v>
      </c>
      <c r="K466" s="516" t="str">
        <f t="array" ref="K466">XLOOKUP(LCARS_Off[AbilityID],RawOfficer[AbilityID],RawOfficer[Tag_GroupArmadas])</f>
        <v>➖</v>
      </c>
      <c r="L466" s="516" t="str">
        <f t="array" ref="L466">XLOOKUP(LCARS_Off[AbilityID],RawOfficer[AbilityID],RawOfficer[Tag_SoloArmadas])</f>
        <v>➖</v>
      </c>
      <c r="M466" s="516" t="str">
        <f t="array" ref="M466">XLOOKUP(LCARS_Off[AbilityID],RawOfficer[AbilityID],RawOfficer[Tag_InvadingEntities])</f>
        <v>➖</v>
      </c>
      <c r="N466" s="516" t="str">
        <f t="array" ref="N466">XLOOKUP(LCARS_Off[AbilityID],RawOfficer[AbilityID],RawOfficer[Tag_Assaults])</f>
        <v>➖</v>
      </c>
      <c r="O466" s="516" t="str">
        <f t="array" ref="O466">XLOOKUP(LCARS_Off[AbilityID],RawOfficer[AbilityID],RawOfficer[Tag_OutpostArmadas])</f>
        <v>➖</v>
      </c>
      <c r="P466" s="516" t="str">
        <f t="array" ref="P466">XLOOKUP(LCARS_Off[AbilityID],RawOfficer[AbilityID],RawOfficer[Tag_OutpostRetaliators])</f>
        <v>➖</v>
      </c>
      <c r="Q466" s="517" t="str">
        <f t="array" ref="Q466">XLOOKUP(LCARS_Off[AbilityID],RawOfficer[AbilityID],RawOfficer[Conditional_Reason])</f>
        <v>TargetMaxLevel, SelfOfficerTalNotOnBridge</v>
      </c>
      <c r="R466" s="518" t="str">
        <f t="array" ref="R466">XLOOKUP(LCARS_Off[AbilityID],RawOfficer[AbilityID],RawOfficer[Tag_Loot])</f>
        <v>➖</v>
      </c>
      <c r="S466" s="516" t="str">
        <f t="array" ref="S466">XLOOKUP(LCARS_Off[AbilityID],RawOfficer[AbilityID],RawOfficer[Tag_Utility])</f>
        <v>➖</v>
      </c>
      <c r="T466" s="429" t="str">
        <f t="array" ref="T466">XLOOKUP(LCARS_Off[AbilityID],RawOfficer[AbilityID],RawOfficer[OfficerSynergy])</f>
        <v>NEXT GEN</v>
      </c>
      <c r="U466" s="519" t="str">
        <f t="array" ref="U466">XLOOKUP(LCARS_Off[AbilityID],RawOfficer[AbilityID],RawOfficer[AbilityModifier])</f>
        <v>ApexBarrier</v>
      </c>
      <c r="V466" s="519" t="str">
        <f t="array" ref="V466">XLOOKUP(LCARS_Off[AbilityID],RawOfficer[AbilityID],RawOfficer[AbilityAttributes])</f>
        <v>max_level=35</v>
      </c>
      <c r="W466" s="520" t="str">
        <f t="array" ref="W466">XLOOKUP(LCARS_Off[AbilityID],RawOfficer[AbilityID],RawOfficer[AbilityConditions])</f>
        <v>TargetMaxLevel, EnemyHostile, TargetNotArmada, SelfOfficerTalNotOnBridge</v>
      </c>
      <c r="X466" s="519" t="str">
        <f t="array" ref="X466">XLOOKUP(LCARS_Off[AbilityID],RawOfficer[AbilityID],RawOfficer[AbilityTrigger])</f>
        <v>CombatStart</v>
      </c>
      <c r="Y466" s="519" t="str">
        <f t="array" ref="Y466">XLOOKUP(LCARS_Off[AbilityID],RawOfficer[AbilityID],RawOfficer[AbilityTarget])</f>
        <v>SelfShip</v>
      </c>
      <c r="Z466" s="519" t="str">
        <f t="array" ref="Z466">XLOOKUP(LCARS_Off[AbilityID],RawOfficer[AbilityID],RawOfficer[AbilityOperation])</f>
        <v>Add</v>
      </c>
      <c r="AA466" s="521" t="str">
        <f t="array" ref="AA466">XLOOKUP(LCARS_Off[AbilityID],RawOfficer[AbilityID],RawOfficer[AbilityDescription])</f>
        <v>Lieutenant Picard increases your Apex Barrier by X vs non-Armada hostiles. -- With full Synergy, Lieutenant Picard provides 11,000 Apex Barrier which reduces the incoming damage by 55%. -- Works against Hostiles of level 35 and under. -- This ability does not trigger when Tal is assigned to the bridge of your ship.</v>
      </c>
      <c r="AB466" s="429" t="b">
        <v>0</v>
      </c>
      <c r="AC466" s="522" t="str">
        <f t="array" ref="AC466">XLOOKUP(LCARS_Off[AbilityID],RawOfficer[AbilityID],RawOfficer[AbilityDescriptionShort])</f>
        <v>Lieutenant Picard increases your Apex Barrier by X vs non-Armada hostiles.</v>
      </c>
      <c r="AD466" s="523"/>
      <c r="AE466" s="524"/>
      <c r="AF466" s="524"/>
      <c r="AG466" s="525" t="str">
        <f t="array" ref="AG466">XLOOKUP(LCARS_Off[AbilityID],RawOfficer[AbilityID],RawOfficer[AbilityChances])</f>
        <v>1.0, 1.0, 1.0</v>
      </c>
      <c r="AH466" s="525" t="str">
        <f t="array" ref="AH466">XLOOKUP(LCARS_Off[AbilityID],RawOfficer[AbilityID],RawOfficer[AbilityValues])</f>
        <v>4000.0, 1000.0, 3500.0</v>
      </c>
      <c r="AI466" s="428" t="b">
        <f t="array" ref="AI466">XLOOKUP(LCARS_Off[AbilityID],RawOfficer[AbilityID],RawOfficer[AbilityHasChance])</f>
        <v>0</v>
      </c>
      <c r="AJ466" s="428" t="b">
        <f t="array" ref="AJ466">XLOOKUP(LCARS_Off[AbilityID],RawOfficer[AbilityID],RawOfficer[AbilityShowPercentage])</f>
        <v>0</v>
      </c>
      <c r="AK466" s="429">
        <f t="array" ref="AK466">XLOOKUP(LCARS_Off[AbilityID],RawOfficer[AbilityID],RawOfficer[OfficerArt])</f>
        <v>278</v>
      </c>
      <c r="AL466" s="430">
        <v>1.592757008E9</v>
      </c>
      <c r="AM466" s="430">
        <f t="array" ref="AM466">XLOOKUP(LCARS_Off[AbilityID],RawOfficer[AbilityID],RawOfficer[Default Order])</f>
        <v>463</v>
      </c>
    </row>
    <row r="467">
      <c r="A467" s="429" t="str">
        <f t="array" ref="A467">LEFT(XLOOKUP(LCARS_Off[AbilityID],RawOfficer[AbilityID],RawOfficer[OfficerRarity]), 1)</f>
        <v>R</v>
      </c>
      <c r="B467" s="429"/>
      <c r="C467" s="514" t="str">
        <f t="array" ref="C467">HYPERLINK("https://stfc.space/officers/" &amp; XLOOKUP(LCARS_Off[AbilityID],RawOfficer[AbilityID],RawOfficer[OfficerId]), XLOOKUP(LCARS_Off[AbilityID],RawOfficer[AbilityID],RawOfficer[OfficerName]))</f>
        <v>LIEUTENANT PICARD</v>
      </c>
      <c r="D467" s="515" t="str">
        <f t="array" ref="D467">XLOOKUP(LCARS_Off[AbilityID],RawOfficer[AbilityID],RawOfficer[AbilityType])</f>
        <v>OA</v>
      </c>
      <c r="E467" s="516" t="str">
        <f t="array" ref="E467">XLOOKUP(LCARS_Off[AbilityID],RawOfficer[AbilityID],RawOfficer[Tag_PvPinSpace])</f>
        <v>✅</v>
      </c>
      <c r="F467" s="516" t="str">
        <f t="array" ref="F467">XLOOKUP(LCARS_Off[AbilityID],RawOfficer[AbilityID],RawOfficer[Tag_PvPStation])</f>
        <v>✅</v>
      </c>
      <c r="G467" s="516" t="str">
        <f t="array" ref="G467">XLOOKUP(LCARS_Off[AbilityID],RawOfficer[AbilityID],RawOfficer[Tag_NonArmadaHostiles])</f>
        <v>✅</v>
      </c>
      <c r="H467" s="516" t="str">
        <f t="array" ref="H467">XLOOKUP(LCARS_Off[AbilityID],RawOfficer[AbilityID],RawOfficer[Tag_WaveDefense])</f>
        <v>✅</v>
      </c>
      <c r="I467" s="516" t="str">
        <f t="array" ref="I467">XLOOKUP(LCARS_Off[AbilityID],RawOfficer[AbilityID],RawOfficer[Tag_QTrial])</f>
        <v>✅</v>
      </c>
      <c r="J467" s="516" t="str">
        <f t="array" ref="J467">XLOOKUP(LCARS_Off[AbilityID],RawOfficer[AbilityID],RawOfficer[Tag_MissionBosses])</f>
        <v>✅</v>
      </c>
      <c r="K467" s="516" t="str">
        <f t="array" ref="K467">XLOOKUP(LCARS_Off[AbilityID],RawOfficer[AbilityID],RawOfficer[Tag_GroupArmadas])</f>
        <v>✅</v>
      </c>
      <c r="L467" s="516" t="str">
        <f t="array" ref="L467">XLOOKUP(LCARS_Off[AbilityID],RawOfficer[AbilityID],RawOfficer[Tag_SoloArmadas])</f>
        <v>✅</v>
      </c>
      <c r="M467" s="516" t="str">
        <f t="array" ref="M467">XLOOKUP(LCARS_Off[AbilityID],RawOfficer[AbilityID],RawOfficer[Tag_InvadingEntities])</f>
        <v>✅</v>
      </c>
      <c r="N467" s="516" t="str">
        <f t="array" ref="N467">XLOOKUP(LCARS_Off[AbilityID],RawOfficer[AbilityID],RawOfficer[Tag_Assaults])</f>
        <v>✅</v>
      </c>
      <c r="O467" s="516" t="str">
        <f t="array" ref="O467">XLOOKUP(LCARS_Off[AbilityID],RawOfficer[AbilityID],RawOfficer[Tag_OutpostArmadas])</f>
        <v>✅</v>
      </c>
      <c r="P467" s="516" t="str">
        <f t="array" ref="P467">XLOOKUP(LCARS_Off[AbilityID],RawOfficer[AbilityID],RawOfficer[Tag_OutpostRetaliators])</f>
        <v>✅</v>
      </c>
      <c r="Q467" s="517" t="str">
        <f t="array" ref="Q467">XLOOKUP(LCARS_Off[AbilityID],RawOfficer[AbilityID],RawOfficer[Conditional_Reason])</f>
        <v/>
      </c>
      <c r="R467" s="518" t="str">
        <f t="array" ref="R467">XLOOKUP(LCARS_Off[AbilityID],RawOfficer[AbilityID],RawOfficer[Tag_Loot])</f>
        <v>➖</v>
      </c>
      <c r="S467" s="516" t="str">
        <f t="array" ref="S467">XLOOKUP(LCARS_Off[AbilityID],RawOfficer[AbilityID],RawOfficer[Tag_Utility])</f>
        <v>➖</v>
      </c>
      <c r="T467" s="429" t="str">
        <f t="array" ref="T467">XLOOKUP(LCARS_Off[AbilityID],RawOfficer[AbilityID],RawOfficer[OfficerSynergy])</f>
        <v>NEXT GEN</v>
      </c>
      <c r="U467" s="519" t="str">
        <f t="array" ref="U467">XLOOKUP(LCARS_Off[AbilityID],RawOfficer[AbilityID],RawOfficer[AbilityModifier])</f>
        <v>ShieldHPMax</v>
      </c>
      <c r="V467" s="519" t="str">
        <f t="array" ref="V467">XLOOKUP(LCARS_Off[AbilityID],RawOfficer[AbilityID],RawOfficer[AbilityAttributes])</f>
        <v/>
      </c>
      <c r="W467" s="520" t="str">
        <f t="array" ref="W467">XLOOKUP(LCARS_Off[AbilityID],RawOfficer[AbilityID],RawOfficer[AbilityConditions])</f>
        <v/>
      </c>
      <c r="X467" s="519" t="str">
        <f t="array" ref="X467">XLOOKUP(LCARS_Off[AbilityID],RawOfficer[AbilityID],RawOfficer[AbilityTrigger])</f>
        <v>ShipLaunched</v>
      </c>
      <c r="Y467" s="519" t="str">
        <f t="array" ref="Y467">XLOOKUP(LCARS_Off[AbilityID],RawOfficer[AbilityID],RawOfficer[AbilityTarget])</f>
        <v>SelfShip</v>
      </c>
      <c r="Z467" s="519" t="str">
        <f t="array" ref="Z467">XLOOKUP(LCARS_Off[AbilityID],RawOfficer[AbilityID],RawOfficer[AbilityOperation])</f>
        <v>MultiplyAdd</v>
      </c>
      <c r="AA467" s="521" t="str">
        <f t="array" ref="AA467">XLOOKUP(LCARS_Off[AbilityID],RawOfficer[AbilityID],RawOfficer[AbilityDescription])</f>
        <v>+X to the Shield Health</v>
      </c>
      <c r="AB467" s="429" t="b">
        <v>0</v>
      </c>
      <c r="AC467" s="522" t="str">
        <f t="array" ref="AC467">XLOOKUP(LCARS_Off[AbilityID],RawOfficer[AbilityID],RawOfficer[AbilityDescriptionShort])</f>
        <v>+X to the Shield Health</v>
      </c>
      <c r="AD467" s="523"/>
      <c r="AE467" s="524"/>
      <c r="AF467" s="524"/>
      <c r="AG467" s="525" t="str">
        <f t="array" ref="AG467">XLOOKUP(LCARS_Off[AbilityID],RawOfficer[AbilityID],RawOfficer[AbilityChances])</f>
        <v>1.0, 1.0, 1.0, 1.0, 1.0</v>
      </c>
      <c r="AH467" s="525" t="str">
        <f t="array" ref="AH467">XLOOKUP(LCARS_Off[AbilityID],RawOfficer[AbilityID],RawOfficer[AbilityValues])</f>
        <v>0.1, 0.14, 0.18, 0.22, 0.28</v>
      </c>
      <c r="AI467" s="428" t="b">
        <f t="array" ref="AI467">XLOOKUP(LCARS_Off[AbilityID],RawOfficer[AbilityID],RawOfficer[AbilityHasChance])</f>
        <v>0</v>
      </c>
      <c r="AJ467" s="428" t="b">
        <f t="array" ref="AJ467">XLOOKUP(LCARS_Off[AbilityID],RawOfficer[AbilityID],RawOfficer[AbilityShowPercentage])</f>
        <v>1</v>
      </c>
      <c r="AK467" s="429">
        <f t="array" ref="AK467">XLOOKUP(LCARS_Off[AbilityID],RawOfficer[AbilityID],RawOfficer[OfficerArt])</f>
        <v>278</v>
      </c>
      <c r="AL467" s="430">
        <v>3.074253819E9</v>
      </c>
      <c r="AM467" s="430">
        <f t="array" ref="AM467">XLOOKUP(LCARS_Off[AbilityID],RawOfficer[AbilityID],RawOfficer[Default Order])</f>
        <v>464</v>
      </c>
    </row>
    <row r="468">
      <c r="A468" s="429" t="str">
        <f t="array" ref="A468">LEFT(XLOOKUP(LCARS_Off[AbilityID],RawOfficer[AbilityID],RawOfficer[OfficerRarity]), 1)</f>
        <v>E</v>
      </c>
      <c r="B468" s="429"/>
      <c r="C468" s="514" t="str">
        <f t="array" ref="C468">HYPERLINK("https://stfc.space/officers/" &amp; XLOOKUP(LCARS_Off[AbilityID],RawOfficer[AbilityID],RawOfficer[OfficerId]), XLOOKUP(LCARS_Off[AbilityID],RawOfficer[AbilityID],RawOfficer[OfficerName]))</f>
        <v>DEMARCO</v>
      </c>
      <c r="D468" s="515" t="str">
        <f t="array" ref="D468">XLOOKUP(LCARS_Off[AbilityID],RawOfficer[AbilityID],RawOfficer[AbilityType])</f>
        <v>OA</v>
      </c>
      <c r="E468" s="516" t="str">
        <f t="array" ref="E468">XLOOKUP(LCARS_Off[AbilityID],RawOfficer[AbilityID],RawOfficer[Tag_PvPinSpace])</f>
        <v>➖</v>
      </c>
      <c r="F468" s="516" t="str">
        <f t="array" ref="F468">XLOOKUP(LCARS_Off[AbilityID],RawOfficer[AbilityID],RawOfficer[Tag_PvPStation])</f>
        <v>➖</v>
      </c>
      <c r="G468" s="516" t="str">
        <f t="array" ref="G468">XLOOKUP(LCARS_Off[AbilityID],RawOfficer[AbilityID],RawOfficer[Tag_NonArmadaHostiles])</f>
        <v>➖</v>
      </c>
      <c r="H468" s="516" t="str">
        <f t="array" ref="H468">XLOOKUP(LCARS_Off[AbilityID],RawOfficer[AbilityID],RawOfficer[Tag_WaveDefense])</f>
        <v>➖</v>
      </c>
      <c r="I468" s="516" t="str">
        <f t="array" ref="I468">XLOOKUP(LCARS_Off[AbilityID],RawOfficer[AbilityID],RawOfficer[Tag_QTrial])</f>
        <v>➖</v>
      </c>
      <c r="J468" s="516" t="str">
        <f t="array" ref="J468">XLOOKUP(LCARS_Off[AbilityID],RawOfficer[AbilityID],RawOfficer[Tag_MissionBosses])</f>
        <v>➖</v>
      </c>
      <c r="K468" s="516" t="str">
        <f t="array" ref="K468">XLOOKUP(LCARS_Off[AbilityID],RawOfficer[AbilityID],RawOfficer[Tag_GroupArmadas])</f>
        <v>✅</v>
      </c>
      <c r="L468" s="516" t="str">
        <f t="array" ref="L468">XLOOKUP(LCARS_Off[AbilityID],RawOfficer[AbilityID],RawOfficer[Tag_SoloArmadas])</f>
        <v>✅</v>
      </c>
      <c r="M468" s="516" t="str">
        <f t="array" ref="M468">XLOOKUP(LCARS_Off[AbilityID],RawOfficer[AbilityID],RawOfficer[Tag_InvadingEntities])</f>
        <v>✅</v>
      </c>
      <c r="N468" s="516" t="str">
        <f t="array" ref="N468">XLOOKUP(LCARS_Off[AbilityID],RawOfficer[AbilityID],RawOfficer[Tag_Assaults])</f>
        <v>➖</v>
      </c>
      <c r="O468" s="516" t="str">
        <f t="array" ref="O468">XLOOKUP(LCARS_Off[AbilityID],RawOfficer[AbilityID],RawOfficer[Tag_OutpostArmadas])</f>
        <v>➖</v>
      </c>
      <c r="P468" s="516" t="str">
        <f t="array" ref="P468">XLOOKUP(LCARS_Off[AbilityID],RawOfficer[AbilityID],RawOfficer[Tag_OutpostRetaliators])</f>
        <v>➖</v>
      </c>
      <c r="Q468" s="517" t="str">
        <f t="array" ref="Q468">XLOOKUP(LCARS_Off[AbilityID],RawOfficer[AbilityID],RawOfficer[Conditional_Reason])</f>
        <v/>
      </c>
      <c r="R468" s="518" t="str">
        <f t="array" ref="R468">XLOOKUP(LCARS_Off[AbilityID],RawOfficer[AbilityID],RawOfficer[Tag_Loot])</f>
        <v>➖</v>
      </c>
      <c r="S468" s="516" t="str">
        <f t="array" ref="S468">XLOOKUP(LCARS_Off[AbilityID],RawOfficer[AbilityID],RawOfficer[Tag_Utility])</f>
        <v>➖</v>
      </c>
      <c r="T468" s="429" t="str">
        <f t="array" ref="T468">XLOOKUP(LCARS_Off[AbilityID],RawOfficer[AbilityID],RawOfficer[OfficerSynergy])</f>
        <v>Galaxy Quest</v>
      </c>
      <c r="U468" s="519" t="str">
        <f t="array" ref="U468">XLOOKUP(LCARS_Off[AbilityID],RawOfficer[AbilityID],RawOfficer[AbilityModifier])</f>
        <v>IsolyticDamage</v>
      </c>
      <c r="V468" s="519" t="str">
        <f t="array" ref="V468">XLOOKUP(LCARS_Off[AbilityID],RawOfficer[AbilityID],RawOfficer[AbilityAttributes])</f>
        <v/>
      </c>
      <c r="W468" s="520" t="str">
        <f t="array" ref="W468">XLOOKUP(LCARS_Off[AbilityID],RawOfficer[AbilityID],RawOfficer[AbilityConditions])</f>
        <v>TargetNotPlayerStation, TargetIsArmadaOrInvadingEntity, TargetNotASB</v>
      </c>
      <c r="X468" s="519" t="str">
        <f t="array" ref="X468">XLOOKUP(LCARS_Off[AbilityID],RawOfficer[AbilityID],RawOfficer[AbilityTrigger])</f>
        <v>CombatStart</v>
      </c>
      <c r="Y468" s="519" t="str">
        <f t="array" ref="Y468">XLOOKUP(LCARS_Off[AbilityID],RawOfficer[AbilityID],RawOfficer[AbilityTarget])</f>
        <v>SelfShip</v>
      </c>
      <c r="Z468" s="519" t="str">
        <f t="array" ref="Z468">XLOOKUP(LCARS_Off[AbilityID],RawOfficer[AbilityID],RawOfficer[AbilityOperation])</f>
        <v>MultiplyAdd</v>
      </c>
      <c r="AA468" s="521" t="str">
        <f t="array" ref="AA468">XLOOKUP(LCARS_Off[AbilityID],RawOfficer[AbilityID],RawOfficer[AbilityDescription])</f>
        <v>Gwen DeMarco increases Isolytic Cascade damage against Armadas and Invading Entities by X (X at rank X) -- Isolytic Cascade multiplies your total damage, including Isolytic Damage, and all research and other bonuses.</v>
      </c>
      <c r="AB468" s="429" t="b">
        <v>0</v>
      </c>
      <c r="AC468" s="522" t="str">
        <f t="array" ref="AC468">XLOOKUP(LCARS_Off[AbilityID],RawOfficer[AbilityID],RawOfficer[AbilityDescriptionShort])</f>
        <v>Increases Isolytic Cascade damage against Armadas and Invading Entities by X</v>
      </c>
      <c r="AD468" s="523"/>
      <c r="AE468" s="524"/>
      <c r="AF468" s="524"/>
      <c r="AG468" s="525" t="str">
        <f t="array" ref="AG468">XLOOKUP(LCARS_Off[AbilityID],RawOfficer[AbilityID],RawOfficer[AbilityChances])</f>
        <v>1.0, 1.0, 1.0, 1.0, 1.0</v>
      </c>
      <c r="AH468" s="525" t="str">
        <f t="array" ref="AH468">XLOOKUP(LCARS_Off[AbilityID],RawOfficer[AbilityID],RawOfficer[AbilityValues])</f>
        <v>0.7, 0.9, 1.1, 1.3, 1.5</v>
      </c>
      <c r="AI468" s="428" t="b">
        <f t="array" ref="AI468">XLOOKUP(LCARS_Off[AbilityID],RawOfficer[AbilityID],RawOfficer[AbilityHasChance])</f>
        <v>0</v>
      </c>
      <c r="AJ468" s="428" t="b">
        <f t="array" ref="AJ468">XLOOKUP(LCARS_Off[AbilityID],RawOfficer[AbilityID],RawOfficer[AbilityShowPercentage])</f>
        <v>1</v>
      </c>
      <c r="AK468" s="429">
        <f t="array" ref="AK468">XLOOKUP(LCARS_Off[AbilityID],RawOfficer[AbilityID],RawOfficer[OfficerArt])</f>
        <v>281</v>
      </c>
      <c r="AL468" s="430">
        <v>2.042216827E9</v>
      </c>
      <c r="AM468" s="430">
        <f t="array" ref="AM468">XLOOKUP(LCARS_Off[AbilityID],RawOfficer[AbilityID],RawOfficer[Default Order])</f>
        <v>465</v>
      </c>
    </row>
    <row r="469">
      <c r="A469" s="429" t="str">
        <f t="array" ref="A469">LEFT(XLOOKUP(LCARS_Off[AbilityID],RawOfficer[AbilityID],RawOfficer[OfficerRarity]), 1)</f>
        <v>E</v>
      </c>
      <c r="B469" s="429"/>
      <c r="C469" s="514" t="str">
        <f t="array" ref="C469">HYPERLINK("https://stfc.space/officers/" &amp; XLOOKUP(LCARS_Off[AbilityID],RawOfficer[AbilityID],RawOfficer[OfficerId]), XLOOKUP(LCARS_Off[AbilityID],RawOfficer[AbilityID],RawOfficer[OfficerName]))</f>
        <v>DEMARCO</v>
      </c>
      <c r="D469" s="515" t="str">
        <f t="array" ref="D469">XLOOKUP(LCARS_Off[AbilityID],RawOfficer[AbilityID],RawOfficer[AbilityType])</f>
        <v>BDA</v>
      </c>
      <c r="E469" s="516" t="str">
        <f t="array" ref="E469">XLOOKUP(LCARS_Off[AbilityID],RawOfficer[AbilityID],RawOfficer[Tag_PvPinSpace])</f>
        <v>✴️</v>
      </c>
      <c r="F469" s="516" t="str">
        <f t="array" ref="F469">XLOOKUP(LCARS_Off[AbilityID],RawOfficer[AbilityID],RawOfficer[Tag_PvPStation])</f>
        <v>✴️</v>
      </c>
      <c r="G469" s="516" t="str">
        <f t="array" ref="G469">XLOOKUP(LCARS_Off[AbilityID],RawOfficer[AbilityID],RawOfficer[Tag_NonArmadaHostiles])</f>
        <v>➖</v>
      </c>
      <c r="H469" s="516" t="str">
        <f t="array" ref="H469">XLOOKUP(LCARS_Off[AbilityID],RawOfficer[AbilityID],RawOfficer[Tag_WaveDefense])</f>
        <v>➖</v>
      </c>
      <c r="I469" s="516" t="str">
        <f t="array" ref="I469">XLOOKUP(LCARS_Off[AbilityID],RawOfficer[AbilityID],RawOfficer[Tag_QTrial])</f>
        <v>➖</v>
      </c>
      <c r="J469" s="516" t="str">
        <f t="array" ref="J469">XLOOKUP(LCARS_Off[AbilityID],RawOfficer[AbilityID],RawOfficer[Tag_MissionBosses])</f>
        <v>➖</v>
      </c>
      <c r="K469" s="516" t="str">
        <f t="array" ref="K469">XLOOKUP(LCARS_Off[AbilityID],RawOfficer[AbilityID],RawOfficer[Tag_GroupArmadas])</f>
        <v>➖</v>
      </c>
      <c r="L469" s="516" t="str">
        <f t="array" ref="L469">XLOOKUP(LCARS_Off[AbilityID],RawOfficer[AbilityID],RawOfficer[Tag_SoloArmadas])</f>
        <v>➖</v>
      </c>
      <c r="M469" s="516" t="str">
        <f t="array" ref="M469">XLOOKUP(LCARS_Off[AbilityID],RawOfficer[AbilityID],RawOfficer[Tag_InvadingEntities])</f>
        <v>➖</v>
      </c>
      <c r="N469" s="516" t="str">
        <f t="array" ref="N469">XLOOKUP(LCARS_Off[AbilityID],RawOfficer[AbilityID],RawOfficer[Tag_Assaults])</f>
        <v>➖</v>
      </c>
      <c r="O469" s="516" t="str">
        <f t="array" ref="O469">XLOOKUP(LCARS_Off[AbilityID],RawOfficer[AbilityID],RawOfficer[Tag_OutpostArmadas])</f>
        <v>➖</v>
      </c>
      <c r="P469" s="516" t="str">
        <f t="array" ref="P469">XLOOKUP(LCARS_Off[AbilityID],RawOfficer[AbilityID],RawOfficer[Tag_OutpostRetaliators])</f>
        <v>➖</v>
      </c>
      <c r="Q469" s="517" t="str">
        <f t="array" ref="Q469">XLOOKUP(LCARS_Off[AbilityID],RawOfficer[AbilityID],RawOfficer[Conditional_Reason])</f>
        <v>TargetStateAny</v>
      </c>
      <c r="R469" s="518" t="str">
        <f t="array" ref="R469">XLOOKUP(LCARS_Off[AbilityID],RawOfficer[AbilityID],RawOfficer[Tag_Loot])</f>
        <v>➖</v>
      </c>
      <c r="S469" s="516" t="str">
        <f t="array" ref="S469">XLOOKUP(LCARS_Off[AbilityID],RawOfficer[AbilityID],RawOfficer[Tag_Utility])</f>
        <v>➖</v>
      </c>
      <c r="T469" s="429" t="str">
        <f t="array" ref="T469">XLOOKUP(LCARS_Off[AbilityID],RawOfficer[AbilityID],RawOfficer[OfficerSynergy])</f>
        <v>Galaxy Quest</v>
      </c>
      <c r="U469" s="519" t="str">
        <f t="array" ref="U469">XLOOKUP(LCARS_Off[AbilityID],RawOfficer[AbilityID],RawOfficer[AbilityModifier])</f>
        <v>IsolyticDamage</v>
      </c>
      <c r="V469" s="519" t="str">
        <f t="array" ref="V469">XLOOKUP(LCARS_Off[AbilityID],RawOfficer[AbilityID],RawOfficer[AbilityAttributes])</f>
        <v>num_rounds=1</v>
      </c>
      <c r="W469" s="520" t="str">
        <f t="array" ref="W469">XLOOKUP(LCARS_Off[AbilityID],RawOfficer[AbilityID],RawOfficer[AbilityConditions])</f>
        <v>EnemyPlayer, TargetStateAny</v>
      </c>
      <c r="X469" s="519" t="str">
        <f t="array" ref="X469">XLOOKUP(LCARS_Off[AbilityID],RawOfficer[AbilityID],RawOfficer[AbilityTrigger])</f>
        <v>RoundStart</v>
      </c>
      <c r="Y469" s="519" t="str">
        <f t="array" ref="Y469">XLOOKUP(LCARS_Off[AbilityID],RawOfficer[AbilityID],RawOfficer[AbilityTarget])</f>
        <v>SelfShip</v>
      </c>
      <c r="Z469" s="519" t="str">
        <f t="array" ref="Z469">XLOOKUP(LCARS_Off[AbilityID],RawOfficer[AbilityID],RawOfficer[AbilityOperation])</f>
        <v>MultiplyAdd</v>
      </c>
      <c r="AA469" s="521" t="str">
        <f t="array" ref="AA469">XLOOKUP(LCARS_Off[AbilityID],RawOfficer[AbilityID],RawOfficer[AbilityDescription])</f>
        <v>Gwen DeMarco Increases Isolytic Cascade Damage in PvP when the enemy player has any state by  X (X at rank X) -- Isolytic Cascade multiplies your total damage, including Isolytic Damage, and all research and other bonuses.</v>
      </c>
      <c r="AB469" s="429" t="b">
        <v>0</v>
      </c>
      <c r="AC469" s="522" t="str">
        <f t="array" ref="AC469">XLOOKUP(LCARS_Off[AbilityID],RawOfficer[AbilityID],RawOfficer[AbilityDescriptionShort])</f>
        <v>Increases Isolytic Cascade Damage in PvP when the enemy player has any state by  X</v>
      </c>
      <c r="AD469" s="523"/>
      <c r="AE469" s="524"/>
      <c r="AF469" s="524"/>
      <c r="AG469" s="525" t="str">
        <f t="array" ref="AG469">XLOOKUP(LCARS_Off[AbilityID],RawOfficer[AbilityID],RawOfficer[AbilityChances])</f>
        <v>1.0, 1.0, 1.0, 1.0, 1.0</v>
      </c>
      <c r="AH469" s="525" t="str">
        <f t="array" ref="AH469">XLOOKUP(LCARS_Off[AbilityID],RawOfficer[AbilityID],RawOfficer[AbilityValues])</f>
        <v>0.3, 0.4, 0.5, 0.65, 0.8</v>
      </c>
      <c r="AI469" s="428" t="b">
        <f t="array" ref="AI469">XLOOKUP(LCARS_Off[AbilityID],RawOfficer[AbilityID],RawOfficer[AbilityHasChance])</f>
        <v>0</v>
      </c>
      <c r="AJ469" s="428" t="b">
        <f t="array" ref="AJ469">XLOOKUP(LCARS_Off[AbilityID],RawOfficer[AbilityID],RawOfficer[AbilityShowPercentage])</f>
        <v>1</v>
      </c>
      <c r="AK469" s="429">
        <f t="array" ref="AK469">XLOOKUP(LCARS_Off[AbilityID],RawOfficer[AbilityID],RawOfficer[OfficerArt])</f>
        <v>281</v>
      </c>
      <c r="AL469" s="430">
        <v>2.07443867E8</v>
      </c>
      <c r="AM469" s="430">
        <f t="array" ref="AM469">XLOOKUP(LCARS_Off[AbilityID],RawOfficer[AbilityID],RawOfficer[Default Order])</f>
        <v>466</v>
      </c>
    </row>
    <row r="470">
      <c r="A470" s="429" t="str">
        <f t="array" ref="A470">LEFT(XLOOKUP(LCARS_Off[AbilityID],RawOfficer[AbilityID],RawOfficer[OfficerRarity]), 1)</f>
        <v>E</v>
      </c>
      <c r="B470" s="429"/>
      <c r="C470" s="514" t="str">
        <f t="array" ref="C470">HYPERLINK("https://stfc.space/officers/" &amp; XLOOKUP(LCARS_Off[AbilityID],RawOfficer[AbilityID],RawOfficer[OfficerId]), XLOOKUP(LCARS_Off[AbilityID],RawOfficer[AbilityID],RawOfficer[OfficerName]))</f>
        <v>NESMITH</v>
      </c>
      <c r="D470" s="515" t="str">
        <f t="array" ref="D470">XLOOKUP(LCARS_Off[AbilityID],RawOfficer[AbilityID],RawOfficer[AbilityType])</f>
        <v>CM</v>
      </c>
      <c r="E470" s="516" t="str">
        <f t="array" ref="E470">XLOOKUP(LCARS_Off[AbilityID],RawOfficer[AbilityID],RawOfficer[Tag_PvPinSpace])</f>
        <v>➖</v>
      </c>
      <c r="F470" s="516" t="str">
        <f t="array" ref="F470">XLOOKUP(LCARS_Off[AbilityID],RawOfficer[AbilityID],RawOfficer[Tag_PvPStation])</f>
        <v>➖</v>
      </c>
      <c r="G470" s="516" t="str">
        <f t="array" ref="G470">XLOOKUP(LCARS_Off[AbilityID],RawOfficer[AbilityID],RawOfficer[Tag_NonArmadaHostiles])</f>
        <v>➖</v>
      </c>
      <c r="H470" s="516" t="str">
        <f t="array" ref="H470">XLOOKUP(LCARS_Off[AbilityID],RawOfficer[AbilityID],RawOfficer[Tag_WaveDefense])</f>
        <v>➖</v>
      </c>
      <c r="I470" s="516" t="str">
        <f t="array" ref="I470">XLOOKUP(LCARS_Off[AbilityID],RawOfficer[AbilityID],RawOfficer[Tag_QTrial])</f>
        <v>➖</v>
      </c>
      <c r="J470" s="516" t="str">
        <f t="array" ref="J470">XLOOKUP(LCARS_Off[AbilityID],RawOfficer[AbilityID],RawOfficer[Tag_MissionBosses])</f>
        <v>➖</v>
      </c>
      <c r="K470" s="516" t="str">
        <f t="array" ref="K470">XLOOKUP(LCARS_Off[AbilityID],RawOfficer[AbilityID],RawOfficer[Tag_GroupArmadas])</f>
        <v>➖</v>
      </c>
      <c r="L470" s="516" t="str">
        <f t="array" ref="L470">XLOOKUP(LCARS_Off[AbilityID],RawOfficer[AbilityID],RawOfficer[Tag_SoloArmadas])</f>
        <v>➖</v>
      </c>
      <c r="M470" s="516" t="str">
        <f t="array" ref="M470">XLOOKUP(LCARS_Off[AbilityID],RawOfficer[AbilityID],RawOfficer[Tag_InvadingEntities])</f>
        <v>✅</v>
      </c>
      <c r="N470" s="516" t="str">
        <f t="array" ref="N470">XLOOKUP(LCARS_Off[AbilityID],RawOfficer[AbilityID],RawOfficer[Tag_Assaults])</f>
        <v>➖</v>
      </c>
      <c r="O470" s="516" t="str">
        <f t="array" ref="O470">XLOOKUP(LCARS_Off[AbilityID],RawOfficer[AbilityID],RawOfficer[Tag_OutpostArmadas])</f>
        <v>➖</v>
      </c>
      <c r="P470" s="516" t="str">
        <f t="array" ref="P470">XLOOKUP(LCARS_Off[AbilityID],RawOfficer[AbilityID],RawOfficer[Tag_OutpostRetaliators])</f>
        <v>➖</v>
      </c>
      <c r="Q470" s="517" t="str">
        <f t="array" ref="Q470">XLOOKUP(LCARS_Off[AbilityID],RawOfficer[AbilityID],RawOfficer[Conditional_Reason])</f>
        <v/>
      </c>
      <c r="R470" s="518" t="str">
        <f t="array" ref="R470">XLOOKUP(LCARS_Off[AbilityID],RawOfficer[AbilityID],RawOfficer[Tag_Loot])</f>
        <v>➖</v>
      </c>
      <c r="S470" s="516" t="str">
        <f t="array" ref="S470">XLOOKUP(LCARS_Off[AbilityID],RawOfficer[AbilityID],RawOfficer[Tag_Utility])</f>
        <v>➖</v>
      </c>
      <c r="T470" s="429" t="str">
        <f t="array" ref="T470">XLOOKUP(LCARS_Off[AbilityID],RawOfficer[AbilityID],RawOfficer[OfficerSynergy])</f>
        <v>Galaxy Quest</v>
      </c>
      <c r="U470" s="519" t="str">
        <f t="array" ref="U470">XLOOKUP(LCARS_Off[AbilityID],RawOfficer[AbilityID],RawOfficer[AbilityModifier])</f>
        <v>ShieldMitigation</v>
      </c>
      <c r="V470" s="519" t="str">
        <f t="array" ref="V470">XLOOKUP(LCARS_Off[AbilityID],RawOfficer[AbilityID],RawOfficer[AbilityAttributes])</f>
        <v/>
      </c>
      <c r="W470" s="520" t="str">
        <f t="array" ref="W470">XLOOKUP(LCARS_Off[AbilityID],RawOfficer[AbilityID],RawOfficer[AbilityConditions])</f>
        <v>TargetIsInvadingEntity</v>
      </c>
      <c r="X470" s="519" t="str">
        <f t="array" ref="X470">XLOOKUP(LCARS_Off[AbilityID],RawOfficer[AbilityID],RawOfficer[AbilityTrigger])</f>
        <v>CombatStart</v>
      </c>
      <c r="Y470" s="519" t="str">
        <f t="array" ref="Y470">XLOOKUP(LCARS_Off[AbilityID],RawOfficer[AbilityID],RawOfficer[AbilityTarget])</f>
        <v>EnemyShip</v>
      </c>
      <c r="Z470" s="519" t="str">
        <f t="array" ref="Z470">XLOOKUP(LCARS_Off[AbilityID],RawOfficer[AbilityID],RawOfficer[AbilityOperation])</f>
        <v>MultiplySub</v>
      </c>
      <c r="AA470" s="521" t="str">
        <f t="array" ref="AA470">XLOOKUP(LCARS_Off[AbilityID],RawOfficer[AbilityID],RawOfficer[AbilityDescription])</f>
        <v>Jason Nesmith decreases Invading Entities Shield Mitigation by  X</v>
      </c>
      <c r="AB470" s="429" t="b">
        <v>0</v>
      </c>
      <c r="AC470" s="522" t="str">
        <f t="array" ref="AC470">XLOOKUP(LCARS_Off[AbilityID],RawOfficer[AbilityID],RawOfficer[AbilityDescriptionShort])</f>
        <v>Decreases Invading Entities Shield Mitigation by  X</v>
      </c>
      <c r="AD470" s="523"/>
      <c r="AE470" s="524"/>
      <c r="AF470" s="524"/>
      <c r="AG470" s="525" t="str">
        <f t="array" ref="AG470">XLOOKUP(LCARS_Off[AbilityID],RawOfficer[AbilityID],RawOfficer[AbilityChances])</f>
        <v>1.0, 1.0, 1.0</v>
      </c>
      <c r="AH470" s="525" t="str">
        <f t="array" ref="AH470">XLOOKUP(LCARS_Off[AbilityID],RawOfficer[AbilityID],RawOfficer[AbilityValues])</f>
        <v>0.3, 0.15, 0.15</v>
      </c>
      <c r="AI470" s="428" t="b">
        <f t="array" ref="AI470">XLOOKUP(LCARS_Off[AbilityID],RawOfficer[AbilityID],RawOfficer[AbilityHasChance])</f>
        <v>0</v>
      </c>
      <c r="AJ470" s="428" t="b">
        <f t="array" ref="AJ470">XLOOKUP(LCARS_Off[AbilityID],RawOfficer[AbilityID],RawOfficer[AbilityShowPercentage])</f>
        <v>1</v>
      </c>
      <c r="AK470" s="429">
        <f t="array" ref="AK470">XLOOKUP(LCARS_Off[AbilityID],RawOfficer[AbilityID],RawOfficer[OfficerArt])</f>
        <v>279</v>
      </c>
      <c r="AL470" s="430">
        <v>3.429780564E9</v>
      </c>
      <c r="AM470" s="430">
        <f t="array" ref="AM470">XLOOKUP(LCARS_Off[AbilityID],RawOfficer[AbilityID],RawOfficer[Default Order])</f>
        <v>467</v>
      </c>
    </row>
    <row r="471">
      <c r="A471" s="429" t="str">
        <f t="array" ref="A471">LEFT(XLOOKUP(LCARS_Off[AbilityID],RawOfficer[AbilityID],RawOfficer[OfficerRarity]), 1)</f>
        <v>E</v>
      </c>
      <c r="B471" s="429"/>
      <c r="C471" s="514" t="str">
        <f t="array" ref="C471">HYPERLINK("https://stfc.space/officers/" &amp; XLOOKUP(LCARS_Off[AbilityID],RawOfficer[AbilityID],RawOfficer[OfficerId]), XLOOKUP(LCARS_Off[AbilityID],RawOfficer[AbilityID],RawOfficer[OfficerName]))</f>
        <v>NESMITH</v>
      </c>
      <c r="D471" s="515" t="str">
        <f t="array" ref="D471">XLOOKUP(LCARS_Off[AbilityID],RawOfficer[AbilityID],RawOfficer[AbilityType])</f>
        <v>OA</v>
      </c>
      <c r="E471" s="516" t="str">
        <f t="array" ref="E471">XLOOKUP(LCARS_Off[AbilityID],RawOfficer[AbilityID],RawOfficer[Tag_PvPinSpace])</f>
        <v>➖</v>
      </c>
      <c r="F471" s="516" t="str">
        <f t="array" ref="F471">XLOOKUP(LCARS_Off[AbilityID],RawOfficer[AbilityID],RawOfficer[Tag_PvPStation])</f>
        <v>➖</v>
      </c>
      <c r="G471" s="516" t="str">
        <f t="array" ref="G471">XLOOKUP(LCARS_Off[AbilityID],RawOfficer[AbilityID],RawOfficer[Tag_NonArmadaHostiles])</f>
        <v>✴️</v>
      </c>
      <c r="H471" s="516" t="str">
        <f t="array" ref="H471">XLOOKUP(LCARS_Off[AbilityID],RawOfficer[AbilityID],RawOfficer[Tag_WaveDefense])</f>
        <v>✴️</v>
      </c>
      <c r="I471" s="516" t="str">
        <f t="array" ref="I471">XLOOKUP(LCARS_Off[AbilityID],RawOfficer[AbilityID],RawOfficer[Tag_QTrial])</f>
        <v>✴️</v>
      </c>
      <c r="J471" s="516" t="str">
        <f t="array" ref="J471">XLOOKUP(LCARS_Off[AbilityID],RawOfficer[AbilityID],RawOfficer[Tag_MissionBosses])</f>
        <v>➖</v>
      </c>
      <c r="K471" s="516" t="str">
        <f t="array" ref="K471">XLOOKUP(LCARS_Off[AbilityID],RawOfficer[AbilityID],RawOfficer[Tag_GroupArmadas])</f>
        <v>➖</v>
      </c>
      <c r="L471" s="516" t="str">
        <f t="array" ref="L471">XLOOKUP(LCARS_Off[AbilityID],RawOfficer[AbilityID],RawOfficer[Tag_SoloArmadas])</f>
        <v>➖</v>
      </c>
      <c r="M471" s="516" t="str">
        <f t="array" ref="M471">XLOOKUP(LCARS_Off[AbilityID],RawOfficer[AbilityID],RawOfficer[Tag_InvadingEntities])</f>
        <v>➖</v>
      </c>
      <c r="N471" s="516" t="str">
        <f t="array" ref="N471">XLOOKUP(LCARS_Off[AbilityID],RawOfficer[AbilityID],RawOfficer[Tag_Assaults])</f>
        <v>➖</v>
      </c>
      <c r="O471" s="516" t="str">
        <f t="array" ref="O471">XLOOKUP(LCARS_Off[AbilityID],RawOfficer[AbilityID],RawOfficer[Tag_OutpostArmadas])</f>
        <v>➖</v>
      </c>
      <c r="P471" s="516" t="str">
        <f t="array" ref="P471">XLOOKUP(LCARS_Off[AbilityID],RawOfficer[AbilityID],RawOfficer[Tag_OutpostRetaliators])</f>
        <v>➖</v>
      </c>
      <c r="Q471" s="517" t="str">
        <f t="array" ref="Q471">XLOOKUP(LCARS_Off[AbilityID],RawOfficer[AbilityID],RawOfficer[Conditional_Reason])</f>
        <v>SelfOfficerTalNotOnBridge</v>
      </c>
      <c r="R471" s="518" t="str">
        <f t="array" ref="R471">XLOOKUP(LCARS_Off[AbilityID],RawOfficer[AbilityID],RawOfficer[Tag_Loot])</f>
        <v>➖</v>
      </c>
      <c r="S471" s="516" t="str">
        <f t="array" ref="S471">XLOOKUP(LCARS_Off[AbilityID],RawOfficer[AbilityID],RawOfficer[Tag_Utility])</f>
        <v>➖</v>
      </c>
      <c r="T471" s="429" t="str">
        <f t="array" ref="T471">XLOOKUP(LCARS_Off[AbilityID],RawOfficer[AbilityID],RawOfficer[OfficerSynergy])</f>
        <v>Galaxy Quest</v>
      </c>
      <c r="U471" s="519" t="str">
        <f t="array" ref="U471">XLOOKUP(LCARS_Off[AbilityID],RawOfficer[AbilityID],RawOfficer[AbilityModifier])</f>
        <v>ApexBarrier</v>
      </c>
      <c r="V471" s="519" t="str">
        <f t="array" ref="V471">XLOOKUP(LCARS_Off[AbilityID],RawOfficer[AbilityID],RawOfficer[AbilityAttributes])</f>
        <v/>
      </c>
      <c r="W471" s="520" t="str">
        <f t="array" ref="W471">XLOOKUP(LCARS_Off[AbilityID],RawOfficer[AbilityID],RawOfficer[AbilityConditions])</f>
        <v>EnemyHostile, TargetNotArmada, SelfOfficerTalNotOnBridge</v>
      </c>
      <c r="X471" s="519" t="str">
        <f t="array" ref="X471">XLOOKUP(LCARS_Off[AbilityID],RawOfficer[AbilityID],RawOfficer[AbilityTrigger])</f>
        <v>CombatStart</v>
      </c>
      <c r="Y471" s="519" t="str">
        <f t="array" ref="Y471">XLOOKUP(LCARS_Off[AbilityID],RawOfficer[AbilityID],RawOfficer[AbilityTarget])</f>
        <v>SelfShip</v>
      </c>
      <c r="Z471" s="519" t="str">
        <f t="array" ref="Z471">XLOOKUP(LCARS_Off[AbilityID],RawOfficer[AbilityID],RawOfficer[AbilityOperation])</f>
        <v>Add</v>
      </c>
      <c r="AA471" s="521" t="str">
        <f t="array" ref="AA471">XLOOKUP(LCARS_Off[AbilityID],RawOfficer[AbilityID],RawOfficer[AbilityDescription])</f>
        <v>Jason Nesmith increases your Apex Barrier by X (X at rank X) when fighting hostiles. -- This ability does not trigger when Tal is assigned to the bridge of your ship.</v>
      </c>
      <c r="AB471" s="429" t="b">
        <v>0</v>
      </c>
      <c r="AC471" s="522" t="str">
        <f t="array" ref="AC471">XLOOKUP(LCARS_Off[AbilityID],RawOfficer[AbilityID],RawOfficer[AbilityDescriptionShort])</f>
        <v>Increases your Apex Barrier by X  when fighting hostiles</v>
      </c>
      <c r="AD471" s="523"/>
      <c r="AE471" s="524"/>
      <c r="AF471" s="524"/>
      <c r="AG471" s="525" t="str">
        <f t="array" ref="AG471">XLOOKUP(LCARS_Off[AbilityID],RawOfficer[AbilityID],RawOfficer[AbilityChances])</f>
        <v>1.0, 1.0, 1.0, 1.0, 1.0</v>
      </c>
      <c r="AH471" s="525" t="str">
        <f t="array" ref="AH471">XLOOKUP(LCARS_Off[AbilityID],RawOfficer[AbilityID],RawOfficer[AbilityValues])</f>
        <v>2000.0, 2500.0, 3200.0, 4000.0, 5000.0</v>
      </c>
      <c r="AI471" s="428" t="b">
        <f t="array" ref="AI471">XLOOKUP(LCARS_Off[AbilityID],RawOfficer[AbilityID],RawOfficer[AbilityHasChance])</f>
        <v>0</v>
      </c>
      <c r="AJ471" s="428" t="b">
        <f t="array" ref="AJ471">XLOOKUP(LCARS_Off[AbilityID],RawOfficer[AbilityID],RawOfficer[AbilityShowPercentage])</f>
        <v>0</v>
      </c>
      <c r="AK471" s="429">
        <f t="array" ref="AK471">XLOOKUP(LCARS_Off[AbilityID],RawOfficer[AbilityID],RawOfficer[OfficerArt])</f>
        <v>279</v>
      </c>
      <c r="AL471" s="430">
        <v>1.13904784E9</v>
      </c>
      <c r="AM471" s="430">
        <f t="array" ref="AM471">XLOOKUP(LCARS_Off[AbilityID],RawOfficer[AbilityID],RawOfficer[Default Order])</f>
        <v>468</v>
      </c>
    </row>
    <row r="472">
      <c r="A472" s="429" t="str">
        <f t="array" ref="A472">LEFT(XLOOKUP(LCARS_Off[AbilityID],RawOfficer[AbilityID],RawOfficer[OfficerRarity]), 1)</f>
        <v>R</v>
      </c>
      <c r="B472" s="429"/>
      <c r="C472" s="514" t="str">
        <f t="array" ref="C472">HYPERLINK("https://stfc.space/officers/" &amp; XLOOKUP(LCARS_Off[AbilityID],RawOfficer[AbilityID],RawOfficer[OfficerId]), XLOOKUP(LCARS_Off[AbilityID],RawOfficer[AbilityID],RawOfficer[OfficerName]))</f>
        <v>DANE</v>
      </c>
      <c r="D472" s="515" t="str">
        <f t="array" ref="D472">XLOOKUP(LCARS_Off[AbilityID],RawOfficer[AbilityID],RawOfficer[AbilityType])</f>
        <v>OA</v>
      </c>
      <c r="E472" s="516" t="str">
        <f t="array" ref="E472">XLOOKUP(LCARS_Off[AbilityID],RawOfficer[AbilityID],RawOfficer[Tag_PvPinSpace])</f>
        <v>➖</v>
      </c>
      <c r="F472" s="516" t="str">
        <f t="array" ref="F472">XLOOKUP(LCARS_Off[AbilityID],RawOfficer[AbilityID],RawOfficer[Tag_PvPStation])</f>
        <v>➖</v>
      </c>
      <c r="G472" s="516" t="str">
        <f t="array" ref="G472">XLOOKUP(LCARS_Off[AbilityID],RawOfficer[AbilityID],RawOfficer[Tag_NonArmadaHostiles])</f>
        <v>✴️</v>
      </c>
      <c r="H472" s="516" t="str">
        <f t="array" ref="H472">XLOOKUP(LCARS_Off[AbilityID],RawOfficer[AbilityID],RawOfficer[Tag_WaveDefense])</f>
        <v>➖</v>
      </c>
      <c r="I472" s="516" t="str">
        <f t="array" ref="I472">XLOOKUP(LCARS_Off[AbilityID],RawOfficer[AbilityID],RawOfficer[Tag_QTrial])</f>
        <v>➖</v>
      </c>
      <c r="J472" s="516" t="str">
        <f t="array" ref="J472">XLOOKUP(LCARS_Off[AbilityID],RawOfficer[AbilityID],RawOfficer[Tag_MissionBosses])</f>
        <v>➖</v>
      </c>
      <c r="K472" s="516" t="str">
        <f t="array" ref="K472">XLOOKUP(LCARS_Off[AbilityID],RawOfficer[AbilityID],RawOfficer[Tag_GroupArmadas])</f>
        <v>➖</v>
      </c>
      <c r="L472" s="516" t="str">
        <f t="array" ref="L472">XLOOKUP(LCARS_Off[AbilityID],RawOfficer[AbilityID],RawOfficer[Tag_SoloArmadas])</f>
        <v>➖</v>
      </c>
      <c r="M472" s="516" t="str">
        <f t="array" ref="M472">XLOOKUP(LCARS_Off[AbilityID],RawOfficer[AbilityID],RawOfficer[Tag_InvadingEntities])</f>
        <v>➖</v>
      </c>
      <c r="N472" s="516" t="str">
        <f t="array" ref="N472">XLOOKUP(LCARS_Off[AbilityID],RawOfficer[AbilityID],RawOfficer[Tag_Assaults])</f>
        <v>➖</v>
      </c>
      <c r="O472" s="516" t="str">
        <f t="array" ref="O472">XLOOKUP(LCARS_Off[AbilityID],RawOfficer[AbilityID],RawOfficer[Tag_OutpostArmadas])</f>
        <v>➖</v>
      </c>
      <c r="P472" s="516" t="str">
        <f t="array" ref="P472">XLOOKUP(LCARS_Off[AbilityID],RawOfficer[AbilityID],RawOfficer[Tag_OutpostRetaliators])</f>
        <v>➖</v>
      </c>
      <c r="Q472" s="517" t="str">
        <f t="array" ref="Q472">XLOOKUP(LCARS_Off[AbilityID],RawOfficer[AbilityID],RawOfficer[Conditional_Reason])</f>
        <v>TrelliumRewards</v>
      </c>
      <c r="R472" s="518" t="str">
        <f t="array" ref="R472">XLOOKUP(LCARS_Off[AbilityID],RawOfficer[AbilityID],RawOfficer[Tag_Loot])</f>
        <v>✅</v>
      </c>
      <c r="S472" s="516" t="str">
        <f t="array" ref="S472">XLOOKUP(LCARS_Off[AbilityID],RawOfficer[AbilityID],RawOfficer[Tag_Utility])</f>
        <v>➖</v>
      </c>
      <c r="T472" s="429" t="str">
        <f t="array" ref="T472">XLOOKUP(LCARS_Off[AbilityID],RawOfficer[AbilityID],RawOfficer[OfficerSynergy])</f>
        <v>Galaxy Quest</v>
      </c>
      <c r="U472" s="519" t="str">
        <f t="array" ref="U472">XLOOKUP(LCARS_Off[AbilityID],RawOfficer[AbilityID],RawOfficer[AbilityModifier])</f>
        <v>TrelliumRewards</v>
      </c>
      <c r="V472" s="519" t="str">
        <f t="array" ref="V472">XLOOKUP(LCARS_Off[AbilityID],RawOfficer[AbilityID],RawOfficer[AbilityAttributes])</f>
        <v/>
      </c>
      <c r="W472" s="520" t="str">
        <f t="array" ref="W472">XLOOKUP(LCARS_Off[AbilityID],RawOfficer[AbilityID],RawOfficer[AbilityConditions])</f>
        <v>SelfHullNseaProtector</v>
      </c>
      <c r="X472" s="519" t="str">
        <f t="array" ref="X472">XLOOKUP(LCARS_Off[AbilityID],RawOfficer[AbilityID],RawOfficer[AbilityTrigger])</f>
        <v>ShipLaunched</v>
      </c>
      <c r="Y472" s="519" t="str">
        <f t="array" ref="Y472">XLOOKUP(LCARS_Off[AbilityID],RawOfficer[AbilityID],RawOfficer[AbilityTarget])</f>
        <v>SelfShip</v>
      </c>
      <c r="Z472" s="519" t="str">
        <f t="array" ref="Z472">XLOOKUP(LCARS_Off[AbilityID],RawOfficer[AbilityID],RawOfficer[AbilityOperation])</f>
        <v>MultiplyAdd</v>
      </c>
      <c r="AA472" s="521" t="str">
        <f t="array" ref="AA472">XLOOKUP(LCARS_Off[AbilityID],RawOfficer[AbilityID],RawOfficer[AbilityDescription])</f>
        <v>Alexander Dane increases the amount of loot gained from defeating Mirror Universe Hostiles by X (X at rank X) when assigned to the NSEA Protector</v>
      </c>
      <c r="AB472" s="429" t="b">
        <v>0</v>
      </c>
      <c r="AC472" s="522" t="str">
        <f t="array" ref="AC472">XLOOKUP(LCARS_Off[AbilityID],RawOfficer[AbilityID],RawOfficer[AbilityDescriptionShort])</f>
        <v>Increases the amount of loot gained from defeating Mirror Universe Hostiles by X when assigned to the NSEA Protector</v>
      </c>
      <c r="AD472" s="523"/>
      <c r="AE472" s="524"/>
      <c r="AF472" s="524"/>
      <c r="AG472" s="525" t="str">
        <f t="array" ref="AG472">XLOOKUP(LCARS_Off[AbilityID],RawOfficer[AbilityID],RawOfficer[AbilityChances])</f>
        <v>1.0, 1.0, 1.0, 1.0, 1.0</v>
      </c>
      <c r="AH472" s="525" t="str">
        <f t="array" ref="AH472">XLOOKUP(LCARS_Off[AbilityID],RawOfficer[AbilityID],RawOfficer[AbilityValues])</f>
        <v>1.0, 1.2, 1.4, 1.6, 2.0</v>
      </c>
      <c r="AI472" s="428" t="b">
        <f t="array" ref="AI472">XLOOKUP(LCARS_Off[AbilityID],RawOfficer[AbilityID],RawOfficer[AbilityHasChance])</f>
        <v>0</v>
      </c>
      <c r="AJ472" s="428" t="b">
        <f t="array" ref="AJ472">XLOOKUP(LCARS_Off[AbilityID],RawOfficer[AbilityID],RawOfficer[AbilityShowPercentage])</f>
        <v>1</v>
      </c>
      <c r="AK472" s="429">
        <f t="array" ref="AK472">XLOOKUP(LCARS_Off[AbilityID],RawOfficer[AbilityID],RawOfficer[OfficerArt])</f>
        <v>280</v>
      </c>
      <c r="AL472" s="430">
        <v>4.037991534E9</v>
      </c>
      <c r="AM472" s="430">
        <f t="array" ref="AM472">XLOOKUP(LCARS_Off[AbilityID],RawOfficer[AbilityID],RawOfficer[Default Order])</f>
        <v>469</v>
      </c>
    </row>
    <row r="473">
      <c r="A473" s="429" t="str">
        <f t="array" ref="A473">LEFT(XLOOKUP(LCARS_Off[AbilityID],RawOfficer[AbilityID],RawOfficer[OfficerRarity]), 1)</f>
        <v>R</v>
      </c>
      <c r="B473" s="429"/>
      <c r="C473" s="514" t="str">
        <f t="array" ref="C473">HYPERLINK("https://stfc.space/officers/" &amp; XLOOKUP(LCARS_Off[AbilityID],RawOfficer[AbilityID],RawOfficer[OfficerId]), XLOOKUP(LCARS_Off[AbilityID],RawOfficer[AbilityID],RawOfficer[OfficerName]))</f>
        <v>DANE</v>
      </c>
      <c r="D473" s="515" t="str">
        <f t="array" ref="D473">XLOOKUP(LCARS_Off[AbilityID],RawOfficer[AbilityID],RawOfficer[AbilityType])</f>
        <v>BDA</v>
      </c>
      <c r="E473" s="516" t="str">
        <f t="array" ref="E473">XLOOKUP(LCARS_Off[AbilityID],RawOfficer[AbilityID],RawOfficer[Tag_PvPinSpace])</f>
        <v>➖</v>
      </c>
      <c r="F473" s="516" t="str">
        <f t="array" ref="F473">XLOOKUP(LCARS_Off[AbilityID],RawOfficer[AbilityID],RawOfficer[Tag_PvPStation])</f>
        <v>➖</v>
      </c>
      <c r="G473" s="516" t="str">
        <f t="array" ref="G473">XLOOKUP(LCARS_Off[AbilityID],RawOfficer[AbilityID],RawOfficer[Tag_NonArmadaHostiles])</f>
        <v>➖</v>
      </c>
      <c r="H473" s="516" t="str">
        <f t="array" ref="H473">XLOOKUP(LCARS_Off[AbilityID],RawOfficer[AbilityID],RawOfficer[Tag_WaveDefense])</f>
        <v>➖</v>
      </c>
      <c r="I473" s="516" t="str">
        <f t="array" ref="I473">XLOOKUP(LCARS_Off[AbilityID],RawOfficer[AbilityID],RawOfficer[Tag_QTrial])</f>
        <v>➖</v>
      </c>
      <c r="J473" s="516" t="str">
        <f t="array" ref="J473">XLOOKUP(LCARS_Off[AbilityID],RawOfficer[AbilityID],RawOfficer[Tag_MissionBosses])</f>
        <v>➖</v>
      </c>
      <c r="K473" s="516" t="str">
        <f t="array" ref="K473">XLOOKUP(LCARS_Off[AbilityID],RawOfficer[AbilityID],RawOfficer[Tag_GroupArmadas])</f>
        <v>➖</v>
      </c>
      <c r="L473" s="516" t="str">
        <f t="array" ref="L473">XLOOKUP(LCARS_Off[AbilityID],RawOfficer[AbilityID],RawOfficer[Tag_SoloArmadas])</f>
        <v>➖</v>
      </c>
      <c r="M473" s="516" t="str">
        <f t="array" ref="M473">XLOOKUP(LCARS_Off[AbilityID],RawOfficer[AbilityID],RawOfficer[Tag_InvadingEntities])</f>
        <v>➖</v>
      </c>
      <c r="N473" s="516" t="str">
        <f t="array" ref="N473">XLOOKUP(LCARS_Off[AbilityID],RawOfficer[AbilityID],RawOfficer[Tag_Assaults])</f>
        <v>➖</v>
      </c>
      <c r="O473" s="516" t="str">
        <f t="array" ref="O473">XLOOKUP(LCARS_Off[AbilityID],RawOfficer[AbilityID],RawOfficer[Tag_OutpostArmadas])</f>
        <v>➖</v>
      </c>
      <c r="P473" s="516" t="str">
        <f t="array" ref="P473">XLOOKUP(LCARS_Off[AbilityID],RawOfficer[AbilityID],RawOfficer[Tag_OutpostRetaliators])</f>
        <v>➖</v>
      </c>
      <c r="Q473" s="517" t="str">
        <f t="array" ref="Q473">XLOOKUP(LCARS_Off[AbilityID],RawOfficer[AbilityID],RawOfficer[Conditional_Reason])</f>
        <v/>
      </c>
      <c r="R473" s="518" t="str">
        <f t="array" ref="R473">XLOOKUP(LCARS_Off[AbilityID],RawOfficer[AbilityID],RawOfficer[Tag_Loot])</f>
        <v>➖</v>
      </c>
      <c r="S473" s="516" t="str">
        <f t="array" ref="S473">XLOOKUP(LCARS_Off[AbilityID],RawOfficer[AbilityID],RawOfficer[Tag_Utility])</f>
        <v>✅</v>
      </c>
      <c r="T473" s="429" t="str">
        <f t="array" ref="T473">XLOOKUP(LCARS_Off[AbilityID],RawOfficer[AbilityID],RawOfficer[OfficerSynergy])</f>
        <v>Galaxy Quest</v>
      </c>
      <c r="U473" s="519" t="str">
        <f t="array" ref="U473">XLOOKUP(LCARS_Off[AbilityID],RawOfficer[AbilityID],RawOfficer[AbilityModifier])</f>
        <v>ImpulseSpeed</v>
      </c>
      <c r="V473" s="519" t="str">
        <f t="array" ref="V473">XLOOKUP(LCARS_Off[AbilityID],RawOfficer[AbilityID],RawOfficer[AbilityAttributes])</f>
        <v/>
      </c>
      <c r="W473" s="520" t="str">
        <f t="array" ref="W473">XLOOKUP(LCARS_Off[AbilityID],RawOfficer[AbilityID],RawOfficer[AbilityConditions])</f>
        <v/>
      </c>
      <c r="X473" s="519" t="str">
        <f t="array" ref="X473">XLOOKUP(LCARS_Off[AbilityID],RawOfficer[AbilityID],RawOfficer[AbilityTrigger])</f>
        <v>ShipLaunched</v>
      </c>
      <c r="Y473" s="519" t="str">
        <f t="array" ref="Y473">XLOOKUP(LCARS_Off[AbilityID],RawOfficer[AbilityID],RawOfficer[AbilityTarget])</f>
        <v>SelfShip</v>
      </c>
      <c r="Z473" s="519" t="str">
        <f t="array" ref="Z473">XLOOKUP(LCARS_Off[AbilityID],RawOfficer[AbilityID],RawOfficer[AbilityOperation])</f>
        <v>Add</v>
      </c>
      <c r="AA473" s="521" t="str">
        <f t="array" ref="AA473">XLOOKUP(LCARS_Off[AbilityID],RawOfficer[AbilityID],RawOfficer[AbilityDescription])</f>
        <v>Alexander Dane Increases your ship's base Impulse Speed by X (X at rank X).</v>
      </c>
      <c r="AB473" s="429" t="b">
        <v>0</v>
      </c>
      <c r="AC473" s="522" t="str">
        <f t="array" ref="AC473">XLOOKUP(LCARS_Off[AbilityID],RawOfficer[AbilityID],RawOfficer[AbilityDescriptionShort])</f>
        <v>Increases your ship's base Impulse Speed by X .</v>
      </c>
      <c r="AD473" s="523"/>
      <c r="AE473" s="524"/>
      <c r="AF473" s="524"/>
      <c r="AG473" s="525" t="str">
        <f t="array" ref="AG473">XLOOKUP(LCARS_Off[AbilityID],RawOfficer[AbilityID],RawOfficer[AbilityChances])</f>
        <v>1.0, 1.0, 1.0, 1.0, 1.0</v>
      </c>
      <c r="AH473" s="525" t="str">
        <f t="array" ref="AH473">XLOOKUP(LCARS_Off[AbilityID],RawOfficer[AbilityID],RawOfficer[AbilityValues])</f>
        <v>20.0, 25.0, 35.0, 45.0, 60.0</v>
      </c>
      <c r="AI473" s="428" t="b">
        <f t="array" ref="AI473">XLOOKUP(LCARS_Off[AbilityID],RawOfficer[AbilityID],RawOfficer[AbilityHasChance])</f>
        <v>0</v>
      </c>
      <c r="AJ473" s="428" t="b">
        <f t="array" ref="AJ473">XLOOKUP(LCARS_Off[AbilityID],RawOfficer[AbilityID],RawOfficer[AbilityShowPercentage])</f>
        <v>0</v>
      </c>
      <c r="AK473" s="429">
        <f t="array" ref="AK473">XLOOKUP(LCARS_Off[AbilityID],RawOfficer[AbilityID],RawOfficer[OfficerArt])</f>
        <v>280</v>
      </c>
      <c r="AL473" s="430">
        <v>3.611840689E9</v>
      </c>
      <c r="AM473" s="430">
        <f t="array" ref="AM473">XLOOKUP(LCARS_Off[AbilityID],RawOfficer[AbilityID],RawOfficer[Default Order])</f>
        <v>470</v>
      </c>
    </row>
    <row r="474">
      <c r="A474" s="429" t="str">
        <f t="array" ref="A474">LEFT(XLOOKUP(LCARS_Off[AbilityID],RawOfficer[AbilityID],RawOfficer[OfficerRarity]), 1)</f>
        <v>R</v>
      </c>
      <c r="B474" s="429"/>
      <c r="C474" s="514" t="str">
        <f t="array" ref="C474">HYPERLINK("https://stfc.space/officers/" &amp; XLOOKUP(LCARS_Off[AbilityID],RawOfficer[AbilityID],RawOfficer[OfficerId]), XLOOKUP(LCARS_Off[AbilityID],RawOfficer[AbilityID],RawOfficer[OfficerName]))</f>
        <v>LALIARI</v>
      </c>
      <c r="D474" s="515" t="str">
        <f t="array" ref="D474">XLOOKUP(LCARS_Off[AbilityID],RawOfficer[AbilityID],RawOfficer[AbilityType])</f>
        <v>OA</v>
      </c>
      <c r="E474" s="516" t="str">
        <f t="array" ref="E474">XLOOKUP(LCARS_Off[AbilityID],RawOfficer[AbilityID],RawOfficer[Tag_PvPinSpace])</f>
        <v>➖</v>
      </c>
      <c r="F474" s="516" t="str">
        <f t="array" ref="F474">XLOOKUP(LCARS_Off[AbilityID],RawOfficer[AbilityID],RawOfficer[Tag_PvPStation])</f>
        <v>➖</v>
      </c>
      <c r="G474" s="516" t="str">
        <f t="array" ref="G474">XLOOKUP(LCARS_Off[AbilityID],RawOfficer[AbilityID],RawOfficer[Tag_NonArmadaHostiles])</f>
        <v>➖</v>
      </c>
      <c r="H474" s="516" t="str">
        <f t="array" ref="H474">XLOOKUP(LCARS_Off[AbilityID],RawOfficer[AbilityID],RawOfficer[Tag_WaveDefense])</f>
        <v>➖</v>
      </c>
      <c r="I474" s="516" t="str">
        <f t="array" ref="I474">XLOOKUP(LCARS_Off[AbilityID],RawOfficer[AbilityID],RawOfficer[Tag_QTrial])</f>
        <v>➖</v>
      </c>
      <c r="J474" s="516" t="str">
        <f t="array" ref="J474">XLOOKUP(LCARS_Off[AbilityID],RawOfficer[AbilityID],RawOfficer[Tag_MissionBosses])</f>
        <v>➖</v>
      </c>
      <c r="K474" s="516" t="str">
        <f t="array" ref="K474">XLOOKUP(LCARS_Off[AbilityID],RawOfficer[AbilityID],RawOfficer[Tag_GroupArmadas])</f>
        <v>➖</v>
      </c>
      <c r="L474" s="516" t="str">
        <f t="array" ref="L474">XLOOKUP(LCARS_Off[AbilityID],RawOfficer[AbilityID],RawOfficer[Tag_SoloArmadas])</f>
        <v>➖</v>
      </c>
      <c r="M474" s="516" t="str">
        <f t="array" ref="M474">XLOOKUP(LCARS_Off[AbilityID],RawOfficer[AbilityID],RawOfficer[Tag_InvadingEntities])</f>
        <v>➖</v>
      </c>
      <c r="N474" s="516" t="str">
        <f t="array" ref="N474">XLOOKUP(LCARS_Off[AbilityID],RawOfficer[AbilityID],RawOfficer[Tag_Assaults])</f>
        <v>➖</v>
      </c>
      <c r="O474" s="516" t="str">
        <f t="array" ref="O474">XLOOKUP(LCARS_Off[AbilityID],RawOfficer[AbilityID],RawOfficer[Tag_OutpostArmadas])</f>
        <v>➖</v>
      </c>
      <c r="P474" s="516" t="str">
        <f t="array" ref="P474">XLOOKUP(LCARS_Off[AbilityID],RawOfficer[AbilityID],RawOfficer[Tag_OutpostRetaliators])</f>
        <v>➖</v>
      </c>
      <c r="Q474" s="517" t="str">
        <f t="array" ref="Q474">XLOOKUP(LCARS_Off[AbilityID],RawOfficer[AbilityID],RawOfficer[Conditional_Reason])</f>
        <v/>
      </c>
      <c r="R474" s="518" t="str">
        <f t="array" ref="R474">XLOOKUP(LCARS_Off[AbilityID],RawOfficer[AbilityID],RawOfficer[Tag_Loot])</f>
        <v>➖</v>
      </c>
      <c r="S474" s="516" t="str">
        <f t="array" ref="S474">XLOOKUP(LCARS_Off[AbilityID],RawOfficer[AbilityID],RawOfficer[Tag_Utility])</f>
        <v>✅</v>
      </c>
      <c r="T474" s="429" t="str">
        <f t="array" ref="T474">XLOOKUP(LCARS_Off[AbilityID],RawOfficer[AbilityID],RawOfficer[OfficerSynergy])</f>
        <v>Galaxy Quest</v>
      </c>
      <c r="U474" s="519" t="str">
        <f t="array" ref="U474">XLOOKUP(LCARS_Off[AbilityID],RawOfficer[AbilityID],RawOfficer[AbilityModifier])</f>
        <v>Omega13Cooldown</v>
      </c>
      <c r="V474" s="519" t="str">
        <f t="array" ref="V474">XLOOKUP(LCARS_Off[AbilityID],RawOfficer[AbilityID],RawOfficer[AbilityAttributes])</f>
        <v/>
      </c>
      <c r="W474" s="520" t="str">
        <f t="array" ref="W474">XLOOKUP(LCARS_Off[AbilityID],RawOfficer[AbilityID],RawOfficer[AbilityConditions])</f>
        <v>SelfHullNseaProtector</v>
      </c>
      <c r="X474" s="519" t="str">
        <f t="array" ref="X474">XLOOKUP(LCARS_Off[AbilityID],RawOfficer[AbilityID],RawOfficer[AbilityTrigger])</f>
        <v>ShipLaunched</v>
      </c>
      <c r="Y474" s="519" t="str">
        <f t="array" ref="Y474">XLOOKUP(LCARS_Off[AbilityID],RawOfficer[AbilityID],RawOfficer[AbilityTarget])</f>
        <v>SelfShip</v>
      </c>
      <c r="Z474" s="519" t="str">
        <f t="array" ref="Z474">XLOOKUP(LCARS_Off[AbilityID],RawOfficer[AbilityID],RawOfficer[AbilityOperation])</f>
        <v>Add</v>
      </c>
      <c r="AA474" s="521" t="str">
        <f t="array" ref="AA474">XLOOKUP(LCARS_Off[AbilityID],RawOfficer[AbilityID],RawOfficer[AbilityDescription])</f>
        <v>Laliari decreases the cooldown of the NSEA Protectors Omega-13 Ability by X (X (8 minutes) at rank X)</v>
      </c>
      <c r="AB474" s="429" t="b">
        <v>0</v>
      </c>
      <c r="AC474" s="522" t="str">
        <f t="array" ref="AC474">XLOOKUP(LCARS_Off[AbilityID],RawOfficer[AbilityID],RawOfficer[AbilityDescriptionShort])</f>
        <v>Decreases the cooldown of the NSEA Protectors Omega-13 Ability by X</v>
      </c>
      <c r="AD474" s="523"/>
      <c r="AE474" s="524"/>
      <c r="AF474" s="524"/>
      <c r="AG474" s="525" t="str">
        <f t="array" ref="AG474">XLOOKUP(LCARS_Off[AbilityID],RawOfficer[AbilityID],RawOfficer[AbilityChances])</f>
        <v>1.0, 1.0, 1.0, 1.0, 1.0</v>
      </c>
      <c r="AH474" s="525" t="str">
        <f t="array" ref="AH474">XLOOKUP(LCARS_Off[AbilityID],RawOfficer[AbilityID],RawOfficer[AbilityValues])</f>
        <v>0.66, 1.0, 1.5, 2.35, 4.0</v>
      </c>
      <c r="AI474" s="428" t="b">
        <f t="array" ref="AI474">XLOOKUP(LCARS_Off[AbilityID],RawOfficer[AbilityID],RawOfficer[AbilityHasChance])</f>
        <v>0</v>
      </c>
      <c r="AJ474" s="428" t="b">
        <f t="array" ref="AJ474">XLOOKUP(LCARS_Off[AbilityID],RawOfficer[AbilityID],RawOfficer[AbilityShowPercentage])</f>
        <v>1</v>
      </c>
      <c r="AK474" s="429">
        <f t="array" ref="AK474">XLOOKUP(LCARS_Off[AbilityID],RawOfficer[AbilityID],RawOfficer[OfficerArt])</f>
        <v>288</v>
      </c>
      <c r="AL474" s="430">
        <v>9.35161406E8</v>
      </c>
      <c r="AM474" s="430">
        <f t="array" ref="AM474">XLOOKUP(LCARS_Off[AbilityID],RawOfficer[AbilityID],RawOfficer[Default Order])</f>
        <v>471</v>
      </c>
    </row>
    <row r="475">
      <c r="A475" s="429" t="str">
        <f t="array" ref="A475">LEFT(XLOOKUP(LCARS_Off[AbilityID],RawOfficer[AbilityID],RawOfficer[OfficerRarity]), 1)</f>
        <v>R</v>
      </c>
      <c r="B475" s="429"/>
      <c r="C475" s="514" t="str">
        <f t="array" ref="C475">HYPERLINK("https://stfc.space/officers/" &amp; XLOOKUP(LCARS_Off[AbilityID],RawOfficer[AbilityID],RawOfficer[OfficerId]), XLOOKUP(LCARS_Off[AbilityID],RawOfficer[AbilityID],RawOfficer[OfficerName]))</f>
        <v>LALIARI</v>
      </c>
      <c r="D475" s="515" t="str">
        <f t="array" ref="D475">XLOOKUP(LCARS_Off[AbilityID],RawOfficer[AbilityID],RawOfficer[AbilityType])</f>
        <v>BDA</v>
      </c>
      <c r="E475" s="516" t="str">
        <f t="array" ref="E475">XLOOKUP(LCARS_Off[AbilityID],RawOfficer[AbilityID],RawOfficer[Tag_PvPinSpace])</f>
        <v>➖</v>
      </c>
      <c r="F475" s="516" t="str">
        <f t="array" ref="F475">XLOOKUP(LCARS_Off[AbilityID],RawOfficer[AbilityID],RawOfficer[Tag_PvPStation])</f>
        <v>➖</v>
      </c>
      <c r="G475" s="516" t="str">
        <f t="array" ref="G475">XLOOKUP(LCARS_Off[AbilityID],RawOfficer[AbilityID],RawOfficer[Tag_NonArmadaHostiles])</f>
        <v>➖</v>
      </c>
      <c r="H475" s="516" t="str">
        <f t="array" ref="H475">XLOOKUP(LCARS_Off[AbilityID],RawOfficer[AbilityID],RawOfficer[Tag_WaveDefense])</f>
        <v>✴️</v>
      </c>
      <c r="I475" s="516" t="str">
        <f t="array" ref="I475">XLOOKUP(LCARS_Off[AbilityID],RawOfficer[AbilityID],RawOfficer[Tag_QTrial])</f>
        <v>➖</v>
      </c>
      <c r="J475" s="516" t="str">
        <f t="array" ref="J475">XLOOKUP(LCARS_Off[AbilityID],RawOfficer[AbilityID],RawOfficer[Tag_MissionBosses])</f>
        <v>➖</v>
      </c>
      <c r="K475" s="516" t="str">
        <f t="array" ref="K475">XLOOKUP(LCARS_Off[AbilityID],RawOfficer[AbilityID],RawOfficer[Tag_GroupArmadas])</f>
        <v>➖</v>
      </c>
      <c r="L475" s="516" t="str">
        <f t="array" ref="L475">XLOOKUP(LCARS_Off[AbilityID],RawOfficer[AbilityID],RawOfficer[Tag_SoloArmadas])</f>
        <v>➖</v>
      </c>
      <c r="M475" s="516" t="str">
        <f t="array" ref="M475">XLOOKUP(LCARS_Off[AbilityID],RawOfficer[AbilityID],RawOfficer[Tag_InvadingEntities])</f>
        <v>➖</v>
      </c>
      <c r="N475" s="516" t="str">
        <f t="array" ref="N475">XLOOKUP(LCARS_Off[AbilityID],RawOfficer[AbilityID],RawOfficer[Tag_Assaults])</f>
        <v>➖</v>
      </c>
      <c r="O475" s="516" t="str">
        <f t="array" ref="O475">XLOOKUP(LCARS_Off[AbilityID],RawOfficer[AbilityID],RawOfficer[Tag_OutpostArmadas])</f>
        <v>➖</v>
      </c>
      <c r="P475" s="516" t="str">
        <f t="array" ref="P475">XLOOKUP(LCARS_Off[AbilityID],RawOfficer[AbilityID],RawOfficer[Tag_OutpostRetaliators])</f>
        <v>➖</v>
      </c>
      <c r="Q475" s="517" t="str">
        <f t="array" ref="Q475">XLOOKUP(LCARS_Off[AbilityID],RawOfficer[AbilityID],RawOfficer[Conditional_Reason])</f>
        <v>SelfOfficerTalNotOnBridge</v>
      </c>
      <c r="R475" s="518" t="str">
        <f t="array" ref="R475">XLOOKUP(LCARS_Off[AbilityID],RawOfficer[AbilityID],RawOfficer[Tag_Loot])</f>
        <v>➖</v>
      </c>
      <c r="S475" s="516" t="str">
        <f t="array" ref="S475">XLOOKUP(LCARS_Off[AbilityID],RawOfficer[AbilityID],RawOfficer[Tag_Utility])</f>
        <v>➖</v>
      </c>
      <c r="T475" s="429" t="str">
        <f t="array" ref="T475">XLOOKUP(LCARS_Off[AbilityID],RawOfficer[AbilityID],RawOfficer[OfficerSynergy])</f>
        <v>Galaxy Quest</v>
      </c>
      <c r="U475" s="519" t="str">
        <f t="array" ref="U475">XLOOKUP(LCARS_Off[AbilityID],RawOfficer[AbilityID],RawOfficer[AbilityModifier])</f>
        <v>ApexBarrier</v>
      </c>
      <c r="V475" s="519" t="str">
        <f t="array" ref="V475">XLOOKUP(LCARS_Off[AbilityID],RawOfficer[AbilityID],RawOfficer[AbilityAttributes])</f>
        <v/>
      </c>
      <c r="W475" s="520" t="str">
        <f t="array" ref="W475">XLOOKUP(LCARS_Off[AbilityID],RawOfficer[AbilityID],RawOfficer[AbilityConditions])</f>
        <v>SelfAtWaveDefenseChallenge, SelfOfficerTalNotOnBridge</v>
      </c>
      <c r="X475" s="519" t="str">
        <f t="array" ref="X475">XLOOKUP(LCARS_Off[AbilityID],RawOfficer[AbilityID],RawOfficer[AbilityTrigger])</f>
        <v>CombatStart</v>
      </c>
      <c r="Y475" s="519" t="str">
        <f t="array" ref="Y475">XLOOKUP(LCARS_Off[AbilityID],RawOfficer[AbilityID],RawOfficer[AbilityTarget])</f>
        <v>SelfShip</v>
      </c>
      <c r="Z475" s="519" t="str">
        <f t="array" ref="Z475">XLOOKUP(LCARS_Off[AbilityID],RawOfficer[AbilityID],RawOfficer[AbilityOperation])</f>
        <v>Add</v>
      </c>
      <c r="AA475" s="521" t="str">
        <f t="array" ref="AA475">XLOOKUP(LCARS_Off[AbilityID],RawOfficer[AbilityID],RawOfficer[AbilityDescription])</f>
        <v>Laliari increases the Apex Barrier by X (X at rank X) when in Wave Defense. -- This ability does not trigger when Tal is assigned to the bridge of your ship.</v>
      </c>
      <c r="AB475" s="429" t="b">
        <v>0</v>
      </c>
      <c r="AC475" s="522" t="str">
        <f t="array" ref="AC475">XLOOKUP(LCARS_Off[AbilityID],RawOfficer[AbilityID],RawOfficer[AbilityDescriptionShort])</f>
        <v>increases the Apex Barrier by X  when in Wave Defense</v>
      </c>
      <c r="AD475" s="523"/>
      <c r="AE475" s="524"/>
      <c r="AF475" s="524"/>
      <c r="AG475" s="525" t="str">
        <f t="array" ref="AG475">XLOOKUP(LCARS_Off[AbilityID],RawOfficer[AbilityID],RawOfficer[AbilityChances])</f>
        <v>1.0, 1.0, 1.0, 1.0, 1.0</v>
      </c>
      <c r="AH475" s="525" t="str">
        <f t="array" ref="AH475">XLOOKUP(LCARS_Off[AbilityID],RawOfficer[AbilityID],RawOfficer[AbilityValues])</f>
        <v>1000.0, 1500.0, 2000.0, 2700.0, 3500.0</v>
      </c>
      <c r="AI475" s="428" t="b">
        <f t="array" ref="AI475">XLOOKUP(LCARS_Off[AbilityID],RawOfficer[AbilityID],RawOfficer[AbilityHasChance])</f>
        <v>0</v>
      </c>
      <c r="AJ475" s="428" t="b">
        <f t="array" ref="AJ475">XLOOKUP(LCARS_Off[AbilityID],RawOfficer[AbilityID],RawOfficer[AbilityShowPercentage])</f>
        <v>0</v>
      </c>
      <c r="AK475" s="429">
        <f t="array" ref="AK475">XLOOKUP(LCARS_Off[AbilityID],RawOfficer[AbilityID],RawOfficer[OfficerArt])</f>
        <v>288</v>
      </c>
      <c r="AL475" s="430">
        <v>1.863961009E9</v>
      </c>
      <c r="AM475" s="430">
        <f t="array" ref="AM475">XLOOKUP(LCARS_Off[AbilityID],RawOfficer[AbilityID],RawOfficer[Default Order])</f>
        <v>472</v>
      </c>
    </row>
    <row r="476">
      <c r="A476" s="429" t="str">
        <f t="array" ref="A476">LEFT(XLOOKUP(LCARS_Off[AbilityID],RawOfficer[AbilityID],RawOfficer[OfficerRarity]), 1)</f>
        <v>E</v>
      </c>
      <c r="B476" s="429"/>
      <c r="C476" s="514" t="str">
        <f t="array" ref="C476">HYPERLINK("https://stfc.space/officers/" &amp; XLOOKUP(LCARS_Off[AbilityID],RawOfficer[AbilityID],RawOfficer[OfficerId]), XLOOKUP(LCARS_Off[AbilityID],RawOfficer[AbilityID],RawOfficer[OfficerName]))</f>
        <v>NAGA DELVOS</v>
      </c>
      <c r="D476" s="515" t="str">
        <f t="array" ref="D476">XLOOKUP(LCARS_Off[AbilityID],RawOfficer[AbilityID],RawOfficer[AbilityType])</f>
        <v>CM</v>
      </c>
      <c r="E476" s="516" t="str">
        <f t="array" ref="E476">XLOOKUP(LCARS_Off[AbilityID],RawOfficer[AbilityID],RawOfficer[Tag_PvPinSpace])</f>
        <v>➖</v>
      </c>
      <c r="F476" s="516" t="str">
        <f t="array" ref="F476">XLOOKUP(LCARS_Off[AbilityID],RawOfficer[AbilityID],RawOfficer[Tag_PvPStation])</f>
        <v>➖</v>
      </c>
      <c r="G476" s="516" t="str">
        <f t="array" ref="G476">XLOOKUP(LCARS_Off[AbilityID],RawOfficer[AbilityID],RawOfficer[Tag_NonArmadaHostiles])</f>
        <v>➖</v>
      </c>
      <c r="H476" s="516" t="str">
        <f t="array" ref="H476">XLOOKUP(LCARS_Off[AbilityID],RawOfficer[AbilityID],RawOfficer[Tag_WaveDefense])</f>
        <v>➖</v>
      </c>
      <c r="I476" s="516" t="str">
        <f t="array" ref="I476">XLOOKUP(LCARS_Off[AbilityID],RawOfficer[AbilityID],RawOfficer[Tag_QTrial])</f>
        <v>➖</v>
      </c>
      <c r="J476" s="516" t="str">
        <f t="array" ref="J476">XLOOKUP(LCARS_Off[AbilityID],RawOfficer[AbilityID],RawOfficer[Tag_MissionBosses])</f>
        <v>➖</v>
      </c>
      <c r="K476" s="516" t="str">
        <f t="array" ref="K476">XLOOKUP(LCARS_Off[AbilityID],RawOfficer[AbilityID],RawOfficer[Tag_GroupArmadas])</f>
        <v>➖</v>
      </c>
      <c r="L476" s="516" t="str">
        <f t="array" ref="L476">XLOOKUP(LCARS_Off[AbilityID],RawOfficer[AbilityID],RawOfficer[Tag_SoloArmadas])</f>
        <v>➖</v>
      </c>
      <c r="M476" s="516" t="str">
        <f t="array" ref="M476">XLOOKUP(LCARS_Off[AbilityID],RawOfficer[AbilityID],RawOfficer[Tag_InvadingEntities])</f>
        <v>➖</v>
      </c>
      <c r="N476" s="516" t="str">
        <f t="array" ref="N476">XLOOKUP(LCARS_Off[AbilityID],RawOfficer[AbilityID],RawOfficer[Tag_Assaults])</f>
        <v>➖</v>
      </c>
      <c r="O476" s="516" t="str">
        <f t="array" ref="O476">XLOOKUP(LCARS_Off[AbilityID],RawOfficer[AbilityID],RawOfficer[Tag_OutpostArmadas])</f>
        <v>➖</v>
      </c>
      <c r="P476" s="516" t="str">
        <f t="array" ref="P476">XLOOKUP(LCARS_Off[AbilityID],RawOfficer[AbilityID],RawOfficer[Tag_OutpostRetaliators])</f>
        <v>➖</v>
      </c>
      <c r="Q476" s="517" t="str">
        <f t="array" ref="Q476">XLOOKUP(LCARS_Off[AbilityID],RawOfficer[AbilityID],RawOfficer[Conditional_Reason])</f>
        <v/>
      </c>
      <c r="R476" s="518" t="str">
        <f t="array" ref="R476">XLOOKUP(LCARS_Off[AbilityID],RawOfficer[AbilityID],RawOfficer[Tag_Loot])</f>
        <v>➖</v>
      </c>
      <c r="S476" s="516" t="str">
        <f t="array" ref="S476">XLOOKUP(LCARS_Off[AbilityID],RawOfficer[AbilityID],RawOfficer[Tag_Utility])</f>
        <v>✅</v>
      </c>
      <c r="T476" s="429" t="str">
        <f t="array" ref="T476">XLOOKUP(LCARS_Off[AbilityID],RawOfficer[AbilityID],RawOfficer[OfficerSynergy])</f>
        <v>EMERALD CHAIN</v>
      </c>
      <c r="U476" s="519" t="str">
        <f t="array" ref="U476">XLOOKUP(LCARS_Off[AbilityID],RawOfficer[AbilityID],RawOfficer[AbilityModifier])</f>
        <v>JumpAndTowCostEff</v>
      </c>
      <c r="V476" s="519" t="str">
        <f t="array" ref="V476">XLOOKUP(LCARS_Off[AbilityID],RawOfficer[AbilityID],RawOfficer[AbilityAttributes])</f>
        <v/>
      </c>
      <c r="W476" s="520" t="str">
        <f t="array" ref="W476">XLOOKUP(LCARS_Off[AbilityID],RawOfficer[AbilityID],RawOfficer[AbilityConditions])</f>
        <v>SelfHullBorgCube</v>
      </c>
      <c r="X476" s="519" t="str">
        <f t="array" ref="X476">XLOOKUP(LCARS_Off[AbilityID],RawOfficer[AbilityID],RawOfficer[AbilityTrigger])</f>
        <v>ShipLaunched</v>
      </c>
      <c r="Y476" s="519" t="str">
        <f t="array" ref="Y476">XLOOKUP(LCARS_Off[AbilityID],RawOfficer[AbilityID],RawOfficer[AbilityTarget])</f>
        <v>SelfShip</v>
      </c>
      <c r="Z476" s="519" t="str">
        <f t="array" ref="Z476">XLOOKUP(LCARS_Off[AbilityID],RawOfficer[AbilityID],RawOfficer[AbilityOperation])</f>
        <v>MultiplyAdd</v>
      </c>
      <c r="AA476" s="521" t="str">
        <f t="array" ref="AA476">XLOOKUP(LCARS_Off[AbilityID],RawOfficer[AbilityID],RawOfficer[AbilityDescription])</f>
        <v>Increases the Cost Efficiency of the Borg Cube's Transwarp Jump by X.</v>
      </c>
      <c r="AB476" s="429" t="b">
        <v>0</v>
      </c>
      <c r="AC476" s="522" t="str">
        <f t="array" ref="AC476">XLOOKUP(LCARS_Off[AbilityID],RawOfficer[AbilityID],RawOfficer[AbilityDescriptionShort])</f>
        <v>+X Borg Cube Transwarp Jump Cost Efficiency.</v>
      </c>
      <c r="AD476" s="523"/>
      <c r="AE476" s="524"/>
      <c r="AF476" s="524"/>
      <c r="AG476" s="525" t="str">
        <f t="array" ref="AG476">XLOOKUP(LCARS_Off[AbilityID],RawOfficer[AbilityID],RawOfficer[AbilityChances])</f>
        <v>1.0, 1.0, 1.0</v>
      </c>
      <c r="AH476" s="525" t="str">
        <f t="array" ref="AH476">XLOOKUP(LCARS_Off[AbilityID],RawOfficer[AbilityID],RawOfficer[AbilityValues])</f>
        <v>1.0, 0.0, 0.0</v>
      </c>
      <c r="AI476" s="428" t="b">
        <f t="array" ref="AI476">XLOOKUP(LCARS_Off[AbilityID],RawOfficer[AbilityID],RawOfficer[AbilityHasChance])</f>
        <v>0</v>
      </c>
      <c r="AJ476" s="428" t="b">
        <f t="array" ref="AJ476">XLOOKUP(LCARS_Off[AbilityID],RawOfficer[AbilityID],RawOfficer[AbilityShowPercentage])</f>
        <v>1</v>
      </c>
      <c r="AK476" s="429">
        <f t="array" ref="AK476">XLOOKUP(LCARS_Off[AbilityID],RawOfficer[AbilityID],RawOfficer[OfficerArt])</f>
        <v>289</v>
      </c>
      <c r="AL476" s="430">
        <v>9.94242252E8</v>
      </c>
      <c r="AM476" s="430">
        <f t="array" ref="AM476">XLOOKUP(LCARS_Off[AbilityID],RawOfficer[AbilityID],RawOfficer[Default Order])</f>
        <v>473</v>
      </c>
    </row>
    <row r="477">
      <c r="A477" s="429" t="str">
        <f t="array" ref="A477">LEFT(XLOOKUP(LCARS_Off[AbilityID],RawOfficer[AbilityID],RawOfficer[OfficerRarity]), 1)</f>
        <v>E</v>
      </c>
      <c r="B477" s="429"/>
      <c r="C477" s="514" t="str">
        <f t="array" ref="C477">HYPERLINK("https://stfc.space/officers/" &amp; XLOOKUP(LCARS_Off[AbilityID],RawOfficer[AbilityID],RawOfficer[OfficerId]), XLOOKUP(LCARS_Off[AbilityID],RawOfficer[AbilityID],RawOfficer[OfficerName]))</f>
        <v>NAGA DELVOS</v>
      </c>
      <c r="D477" s="515" t="str">
        <f t="array" ref="D477">XLOOKUP(LCARS_Off[AbilityID],RawOfficer[AbilityID],RawOfficer[AbilityType])</f>
        <v>OA</v>
      </c>
      <c r="E477" s="516" t="str">
        <f t="array" ref="E477">XLOOKUP(LCARS_Off[AbilityID],RawOfficer[AbilityID],RawOfficer[Tag_PvPinSpace])</f>
        <v>➖</v>
      </c>
      <c r="F477" s="516" t="str">
        <f t="array" ref="F477">XLOOKUP(LCARS_Off[AbilityID],RawOfficer[AbilityID],RawOfficer[Tag_PvPStation])</f>
        <v>➖</v>
      </c>
      <c r="G477" s="516" t="str">
        <f t="array" ref="G477">XLOOKUP(LCARS_Off[AbilityID],RawOfficer[AbilityID],RawOfficer[Tag_NonArmadaHostiles])</f>
        <v>➖</v>
      </c>
      <c r="H477" s="516" t="str">
        <f t="array" ref="H477">XLOOKUP(LCARS_Off[AbilityID],RawOfficer[AbilityID],RawOfficer[Tag_WaveDefense])</f>
        <v>➖</v>
      </c>
      <c r="I477" s="516" t="str">
        <f t="array" ref="I477">XLOOKUP(LCARS_Off[AbilityID],RawOfficer[AbilityID],RawOfficer[Tag_QTrial])</f>
        <v>➖</v>
      </c>
      <c r="J477" s="516" t="str">
        <f t="array" ref="J477">XLOOKUP(LCARS_Off[AbilityID],RawOfficer[AbilityID],RawOfficer[Tag_MissionBosses])</f>
        <v>➖</v>
      </c>
      <c r="K477" s="516" t="str">
        <f t="array" ref="K477">XLOOKUP(LCARS_Off[AbilityID],RawOfficer[AbilityID],RawOfficer[Tag_GroupArmadas])</f>
        <v>➖</v>
      </c>
      <c r="L477" s="516" t="str">
        <f t="array" ref="L477">XLOOKUP(LCARS_Off[AbilityID],RawOfficer[AbilityID],RawOfficer[Tag_SoloArmadas])</f>
        <v>➖</v>
      </c>
      <c r="M477" s="516" t="str">
        <f t="array" ref="M477">XLOOKUP(LCARS_Off[AbilityID],RawOfficer[AbilityID],RawOfficer[Tag_InvadingEntities])</f>
        <v>➖</v>
      </c>
      <c r="N477" s="516" t="str">
        <f t="array" ref="N477">XLOOKUP(LCARS_Off[AbilityID],RawOfficer[AbilityID],RawOfficer[Tag_Assaults])</f>
        <v>➖</v>
      </c>
      <c r="O477" s="516" t="str">
        <f t="array" ref="O477">XLOOKUP(LCARS_Off[AbilityID],RawOfficer[AbilityID],RawOfficer[Tag_OutpostArmadas])</f>
        <v>➖</v>
      </c>
      <c r="P477" s="516" t="str">
        <f t="array" ref="P477">XLOOKUP(LCARS_Off[AbilityID],RawOfficer[AbilityID],RawOfficer[Tag_OutpostRetaliators])</f>
        <v>➖</v>
      </c>
      <c r="Q477" s="517" t="str">
        <f t="array" ref="Q477">XLOOKUP(LCARS_Off[AbilityID],RawOfficer[AbilityID],RawOfficer[Conditional_Reason])</f>
        <v/>
      </c>
      <c r="R477" s="518" t="str">
        <f t="array" ref="R477">XLOOKUP(LCARS_Off[AbilityID],RawOfficer[AbilityID],RawOfficer[Tag_Loot])</f>
        <v>➖</v>
      </c>
      <c r="S477" s="516" t="str">
        <f t="array" ref="S477">XLOOKUP(LCARS_Off[AbilityID],RawOfficer[AbilityID],RawOfficer[Tag_Utility])</f>
        <v>➖</v>
      </c>
      <c r="T477" s="429" t="str">
        <f t="array" ref="T477">XLOOKUP(LCARS_Off[AbilityID],RawOfficer[AbilityID],RawOfficer[OfficerSynergy])</f>
        <v>EMERALD CHAIN</v>
      </c>
      <c r="U477" s="519" t="str">
        <f t="array" ref="U477">XLOOKUP(LCARS_Off[AbilityID],RawOfficer[AbilityID],RawOfficer[AbilityModifier])</f>
        <v>SkillCuttingBeamPvPBaseDamagePercentage</v>
      </c>
      <c r="V477" s="519" t="str">
        <f t="array" ref="V477">XLOOKUP(LCARS_Off[AbilityID],RawOfficer[AbilityID],RawOfficer[AbilityAttributes])</f>
        <v/>
      </c>
      <c r="W477" s="520" t="str">
        <f t="array" ref="W477">XLOOKUP(LCARS_Off[AbilityID],RawOfficer[AbilityID],RawOfficer[AbilityConditions])</f>
        <v>SelfHullBorgCube</v>
      </c>
      <c r="X477" s="519" t="str">
        <f t="array" ref="X477">XLOOKUP(LCARS_Off[AbilityID],RawOfficer[AbilityID],RawOfficer[AbilityTrigger])</f>
        <v>ShipLaunched</v>
      </c>
      <c r="Y477" s="519" t="str">
        <f t="array" ref="Y477">XLOOKUP(LCARS_Off[AbilityID],RawOfficer[AbilityID],RawOfficer[AbilityTarget])</f>
        <v>SelfShip</v>
      </c>
      <c r="Z477" s="519" t="str">
        <f t="array" ref="Z477">XLOOKUP(LCARS_Off[AbilityID],RawOfficer[AbilityID],RawOfficer[AbilityOperation])</f>
        <v>Add</v>
      </c>
      <c r="AA477" s="521" t="str">
        <f t="array" ref="AA477">XLOOKUP(LCARS_Off[AbilityID],RawOfficer[AbilityID],RawOfficer[AbilityDescription])</f>
        <v>Increases the base damage of the Borg Cube's Cutting Beam against players by X (X at rank X).</v>
      </c>
      <c r="AB477" s="429" t="b">
        <v>0</v>
      </c>
      <c r="AC477" s="522" t="str">
        <f t="array" ref="AC477">XLOOKUP(LCARS_Off[AbilityID],RawOfficer[AbilityID],RawOfficer[AbilityDescriptionShort])</f>
        <v>+X to Borg Cube Cutting Beam damage against players.</v>
      </c>
      <c r="AD477" s="523"/>
      <c r="AE477" s="524"/>
      <c r="AF477" s="524"/>
      <c r="AG477" s="525" t="str">
        <f t="array" ref="AG477">XLOOKUP(LCARS_Off[AbilityID],RawOfficer[AbilityID],RawOfficer[AbilityChances])</f>
        <v>1.0, 1.0, 1.0, 1.0, 1.0</v>
      </c>
      <c r="AH477" s="525" t="str">
        <f t="array" ref="AH477">XLOOKUP(LCARS_Off[AbilityID],RawOfficer[AbilityID],RawOfficer[AbilityValues])</f>
        <v>0.3, 0.6, 0.9, 1.2, 1.5</v>
      </c>
      <c r="AI477" s="428" t="b">
        <f t="array" ref="AI477">XLOOKUP(LCARS_Off[AbilityID],RawOfficer[AbilityID],RawOfficer[AbilityHasChance])</f>
        <v>0</v>
      </c>
      <c r="AJ477" s="428" t="b">
        <f t="array" ref="AJ477">XLOOKUP(LCARS_Off[AbilityID],RawOfficer[AbilityID],RawOfficer[AbilityShowPercentage])</f>
        <v>1</v>
      </c>
      <c r="AK477" s="429">
        <f t="array" ref="AK477">XLOOKUP(LCARS_Off[AbilityID],RawOfficer[AbilityID],RawOfficer[OfficerArt])</f>
        <v>289</v>
      </c>
      <c r="AL477" s="430">
        <v>1.696619996E9</v>
      </c>
      <c r="AM477" s="430">
        <f t="array" ref="AM477">XLOOKUP(LCARS_Off[AbilityID],RawOfficer[AbilityID],RawOfficer[Default Order])</f>
        <v>474</v>
      </c>
    </row>
    <row r="478">
      <c r="A478" s="429" t="str">
        <f t="array" ref="A478">LEFT(XLOOKUP(LCARS_Off[AbilityID],RawOfficer[AbilityID],RawOfficer[OfficerRarity]), 1)</f>
        <v>E</v>
      </c>
      <c r="B478" s="429"/>
      <c r="C478" s="514" t="str">
        <f t="array" ref="C478">HYPERLINK("https://stfc.space/officers/" &amp; XLOOKUP(LCARS_Off[AbilityID],RawOfficer[AbilityID],RawOfficer[OfficerId]), XLOOKUP(LCARS_Off[AbilityID],RawOfficer[AbilityID],RawOfficer[OfficerName]))</f>
        <v>NAGA DELVOS</v>
      </c>
      <c r="D478" s="515" t="str">
        <f t="array" ref="D478">XLOOKUP(LCARS_Off[AbilityID],RawOfficer[AbilityID],RawOfficer[AbilityType])</f>
        <v>BDA</v>
      </c>
      <c r="E478" s="516" t="str">
        <f t="array" ref="E478">XLOOKUP(LCARS_Off[AbilityID],RawOfficer[AbilityID],RawOfficer[Tag_PvPinSpace])</f>
        <v>➖</v>
      </c>
      <c r="F478" s="516" t="str">
        <f t="array" ref="F478">XLOOKUP(LCARS_Off[AbilityID],RawOfficer[AbilityID],RawOfficer[Tag_PvPStation])</f>
        <v>➖</v>
      </c>
      <c r="G478" s="516" t="str">
        <f t="array" ref="G478">XLOOKUP(LCARS_Off[AbilityID],RawOfficer[AbilityID],RawOfficer[Tag_NonArmadaHostiles])</f>
        <v>➖</v>
      </c>
      <c r="H478" s="516" t="str">
        <f t="array" ref="H478">XLOOKUP(LCARS_Off[AbilityID],RawOfficer[AbilityID],RawOfficer[Tag_WaveDefense])</f>
        <v>➖</v>
      </c>
      <c r="I478" s="516" t="str">
        <f t="array" ref="I478">XLOOKUP(LCARS_Off[AbilityID],RawOfficer[AbilityID],RawOfficer[Tag_QTrial])</f>
        <v>➖</v>
      </c>
      <c r="J478" s="516" t="str">
        <f t="array" ref="J478">XLOOKUP(LCARS_Off[AbilityID],RawOfficer[AbilityID],RawOfficer[Tag_MissionBosses])</f>
        <v>➖</v>
      </c>
      <c r="K478" s="516" t="str">
        <f t="array" ref="K478">XLOOKUP(LCARS_Off[AbilityID],RawOfficer[AbilityID],RawOfficer[Tag_GroupArmadas])</f>
        <v>➖</v>
      </c>
      <c r="L478" s="516" t="str">
        <f t="array" ref="L478">XLOOKUP(LCARS_Off[AbilityID],RawOfficer[AbilityID],RawOfficer[Tag_SoloArmadas])</f>
        <v>➖</v>
      </c>
      <c r="M478" s="516" t="str">
        <f t="array" ref="M478">XLOOKUP(LCARS_Off[AbilityID],RawOfficer[AbilityID],RawOfficer[Tag_InvadingEntities])</f>
        <v>➖</v>
      </c>
      <c r="N478" s="516" t="str">
        <f t="array" ref="N478">XLOOKUP(LCARS_Off[AbilityID],RawOfficer[AbilityID],RawOfficer[Tag_Assaults])</f>
        <v>➖</v>
      </c>
      <c r="O478" s="516" t="str">
        <f t="array" ref="O478">XLOOKUP(LCARS_Off[AbilityID],RawOfficer[AbilityID],RawOfficer[Tag_OutpostArmadas])</f>
        <v>➖</v>
      </c>
      <c r="P478" s="516" t="str">
        <f t="array" ref="P478">XLOOKUP(LCARS_Off[AbilityID],RawOfficer[AbilityID],RawOfficer[Tag_OutpostRetaliators])</f>
        <v>➖</v>
      </c>
      <c r="Q478" s="517" t="str">
        <f t="array" ref="Q478">XLOOKUP(LCARS_Off[AbilityID],RawOfficer[AbilityID],RawOfficer[Conditional_Reason])</f>
        <v/>
      </c>
      <c r="R478" s="518" t="str">
        <f t="array" ref="R478">XLOOKUP(LCARS_Off[AbilityID],RawOfficer[AbilityID],RawOfficer[Tag_Loot])</f>
        <v>➖</v>
      </c>
      <c r="S478" s="516" t="str">
        <f t="array" ref="S478">XLOOKUP(LCARS_Off[AbilityID],RawOfficer[AbilityID],RawOfficer[Tag_Utility])</f>
        <v>✅</v>
      </c>
      <c r="T478" s="429" t="str">
        <f t="array" ref="T478">XLOOKUP(LCARS_Off[AbilityID],RawOfficer[AbilityID],RawOfficer[OfficerSynergy])</f>
        <v>EMERALD CHAIN</v>
      </c>
      <c r="U478" s="519" t="str">
        <f t="array" ref="U478">XLOOKUP(LCARS_Off[AbilityID],RawOfficer[AbilityID],RawOfficer[AbilityModifier])</f>
        <v>RepairCostsPost</v>
      </c>
      <c r="V478" s="519" t="str">
        <f t="array" ref="V478">XLOOKUP(LCARS_Off[AbilityID],RawOfficer[AbilityID],RawOfficer[AbilityAttributes])</f>
        <v/>
      </c>
      <c r="W478" s="520" t="str">
        <f t="array" ref="W478">XLOOKUP(LCARS_Off[AbilityID],RawOfficer[AbilityID],RawOfficer[AbilityConditions])</f>
        <v/>
      </c>
      <c r="X478" s="519" t="str">
        <f t="array" ref="X478">XLOOKUP(LCARS_Off[AbilityID],RawOfficer[AbilityID],RawOfficer[AbilityTrigger])</f>
        <v>ShipLaunched</v>
      </c>
      <c r="Y478" s="519" t="str">
        <f t="array" ref="Y478">XLOOKUP(LCARS_Off[AbilityID],RawOfficer[AbilityID],RawOfficer[AbilityTarget])</f>
        <v>SelfShip</v>
      </c>
      <c r="Z478" s="519" t="str">
        <f t="array" ref="Z478">XLOOKUP(LCARS_Off[AbilityID],RawOfficer[AbilityID],RawOfficer[AbilityOperation])</f>
        <v>MultiplyAdd</v>
      </c>
      <c r="AA478" s="521" t="str">
        <f t="array" ref="AA478">XLOOKUP(LCARS_Off[AbilityID],RawOfficer[AbilityID],RawOfficer[AbilityDescription])</f>
        <v>Increases base repair cost efficiency of the ship X (X at rank X).</v>
      </c>
      <c r="AB478" s="429" t="b">
        <v>0</v>
      </c>
      <c r="AC478" s="522" t="str">
        <f t="array" ref="AC478">XLOOKUP(LCARS_Off[AbilityID],RawOfficer[AbilityID],RawOfficer[AbilityDescriptionShort])</f>
        <v>+X Repair Cost Efficiency.</v>
      </c>
      <c r="AD478" s="523"/>
      <c r="AE478" s="524"/>
      <c r="AF478" s="524"/>
      <c r="AG478" s="525" t="str">
        <f t="array" ref="AG478">XLOOKUP(LCARS_Off[AbilityID],RawOfficer[AbilityID],RawOfficer[AbilityChances])</f>
        <v>1.0, 1.0, 1.0, 1.0, 1.0</v>
      </c>
      <c r="AH478" s="525" t="str">
        <f t="array" ref="AH478">XLOOKUP(LCARS_Off[AbilityID],RawOfficer[AbilityID],RawOfficer[AbilityValues])</f>
        <v>1.5, 3.0, 4.5, 6.0, 7.5</v>
      </c>
      <c r="AI478" s="428" t="b">
        <f t="array" ref="AI478">XLOOKUP(LCARS_Off[AbilityID],RawOfficer[AbilityID],RawOfficer[AbilityHasChance])</f>
        <v>0</v>
      </c>
      <c r="AJ478" s="428" t="b">
        <f t="array" ref="AJ478">XLOOKUP(LCARS_Off[AbilityID],RawOfficer[AbilityID],RawOfficer[AbilityShowPercentage])</f>
        <v>1</v>
      </c>
      <c r="AK478" s="429">
        <f t="array" ref="AK478">XLOOKUP(LCARS_Off[AbilityID],RawOfficer[AbilityID],RawOfficer[OfficerArt])</f>
        <v>289</v>
      </c>
      <c r="AL478" s="430">
        <v>2.492819884E9</v>
      </c>
      <c r="AM478" s="430">
        <f t="array" ref="AM478">XLOOKUP(LCARS_Off[AbilityID],RawOfficer[AbilityID],RawOfficer[Default Order])</f>
        <v>475</v>
      </c>
    </row>
    <row r="479">
      <c r="A479" s="429" t="str">
        <f t="array" ref="A479">LEFT(XLOOKUP(LCARS_Off[AbilityID],RawOfficer[AbilityID],RawOfficer[OfficerRarity]), 1)</f>
        <v>E</v>
      </c>
      <c r="B479" s="429"/>
      <c r="C479" s="514" t="str">
        <f t="array" ref="C479">HYPERLINK("https://stfc.space/officers/" &amp; XLOOKUP(LCARS_Off[AbilityID],RawOfficer[AbilityID],RawOfficer[OfficerId]), XLOOKUP(LCARS_Off[AbilityID],RawOfficer[AbilityID],RawOfficer[OfficerName]))</f>
        <v>DAJASH TOLRA</v>
      </c>
      <c r="D479" s="515" t="str">
        <f t="array" ref="D479">XLOOKUP(LCARS_Off[AbilityID],RawOfficer[AbilityID],RawOfficer[AbilityType])</f>
        <v>CM</v>
      </c>
      <c r="E479" s="516" t="str">
        <f t="array" ref="E479">XLOOKUP(LCARS_Off[AbilityID],RawOfficer[AbilityID],RawOfficer[Tag_PvPinSpace])</f>
        <v>➖</v>
      </c>
      <c r="F479" s="516" t="str">
        <f t="array" ref="F479">XLOOKUP(LCARS_Off[AbilityID],RawOfficer[AbilityID],RawOfficer[Tag_PvPStation])</f>
        <v>➖</v>
      </c>
      <c r="G479" s="516" t="str">
        <f t="array" ref="G479">XLOOKUP(LCARS_Off[AbilityID],RawOfficer[AbilityID],RawOfficer[Tag_NonArmadaHostiles])</f>
        <v>✅</v>
      </c>
      <c r="H479" s="516" t="str">
        <f t="array" ref="H479">XLOOKUP(LCARS_Off[AbilityID],RawOfficer[AbilityID],RawOfficer[Tag_WaveDefense])</f>
        <v>➖</v>
      </c>
      <c r="I479" s="516" t="str">
        <f t="array" ref="I479">XLOOKUP(LCARS_Off[AbilityID],RawOfficer[AbilityID],RawOfficer[Tag_QTrial])</f>
        <v>➖</v>
      </c>
      <c r="J479" s="516" t="str">
        <f t="array" ref="J479">XLOOKUP(LCARS_Off[AbilityID],RawOfficer[AbilityID],RawOfficer[Tag_MissionBosses])</f>
        <v>➖</v>
      </c>
      <c r="K479" s="516" t="str">
        <f t="array" ref="K479">XLOOKUP(LCARS_Off[AbilityID],RawOfficer[AbilityID],RawOfficer[Tag_GroupArmadas])</f>
        <v>✅</v>
      </c>
      <c r="L479" s="516" t="str">
        <f t="array" ref="L479">XLOOKUP(LCARS_Off[AbilityID],RawOfficer[AbilityID],RawOfficer[Tag_SoloArmadas])</f>
        <v>✅</v>
      </c>
      <c r="M479" s="516" t="str">
        <f t="array" ref="M479">XLOOKUP(LCARS_Off[AbilityID],RawOfficer[AbilityID],RawOfficer[Tag_InvadingEntities])</f>
        <v>✅</v>
      </c>
      <c r="N479" s="516" t="str">
        <f t="array" ref="N479">XLOOKUP(LCARS_Off[AbilityID],RawOfficer[AbilityID],RawOfficer[Tag_Assaults])</f>
        <v>➖</v>
      </c>
      <c r="O479" s="516" t="str">
        <f t="array" ref="O479">XLOOKUP(LCARS_Off[AbilityID],RawOfficer[AbilityID],RawOfficer[Tag_OutpostArmadas])</f>
        <v>✅</v>
      </c>
      <c r="P479" s="516" t="str">
        <f t="array" ref="P479">XLOOKUP(LCARS_Off[AbilityID],RawOfficer[AbilityID],RawOfficer[Tag_OutpostRetaliators])</f>
        <v>✅</v>
      </c>
      <c r="Q479" s="517" t="str">
        <f t="array" ref="Q479">XLOOKUP(LCARS_Off[AbilityID],RawOfficer[AbilityID],RawOfficer[Conditional_Reason])</f>
        <v/>
      </c>
      <c r="R479" s="518" t="str">
        <f t="array" ref="R479">XLOOKUP(LCARS_Off[AbilityID],RawOfficer[AbilityID],RawOfficer[Tag_Loot])</f>
        <v>✅</v>
      </c>
      <c r="S479" s="516" t="str">
        <f t="array" ref="S479">XLOOKUP(LCARS_Off[AbilityID],RawOfficer[AbilityID],RawOfficer[Tag_Utility])</f>
        <v>➖</v>
      </c>
      <c r="T479" s="429" t="str">
        <f t="array" ref="T479">XLOOKUP(LCARS_Off[AbilityID],RawOfficer[AbilityID],RawOfficer[OfficerSynergy])</f>
        <v>SYMBIOSIS</v>
      </c>
      <c r="U479" s="519" t="str">
        <f t="array" ref="U479">XLOOKUP(LCARS_Off[AbilityID],RawOfficer[AbilityID],RawOfficer[AbilityModifier])</f>
        <v>CombatPveRewards</v>
      </c>
      <c r="V479" s="519" t="str">
        <f t="array" ref="V479">XLOOKUP(LCARS_Off[AbilityID],RawOfficer[AbilityID],RawOfficer[AbilityAttributes])</f>
        <v/>
      </c>
      <c r="W479" s="520" t="str">
        <f t="array" ref="W479">XLOOKUP(LCARS_Off[AbilityID],RawOfficer[AbilityID],RawOfficer[AbilityConditions])</f>
        <v/>
      </c>
      <c r="X479" s="519" t="str">
        <f t="array" ref="X479">XLOOKUP(LCARS_Off[AbilityID],RawOfficer[AbilityID],RawOfficer[AbilityTrigger])</f>
        <v>ShipLaunched</v>
      </c>
      <c r="Y479" s="519" t="str">
        <f t="array" ref="Y479">XLOOKUP(LCARS_Off[AbilityID],RawOfficer[AbilityID],RawOfficer[AbilityTarget])</f>
        <v>SelfShip</v>
      </c>
      <c r="Z479" s="519" t="str">
        <f t="array" ref="Z479">XLOOKUP(LCARS_Off[AbilityID],RawOfficer[AbilityID],RawOfficer[AbilityOperation])</f>
        <v>MultiplyAdd</v>
      </c>
      <c r="AA479" s="521" t="str">
        <f t="array" ref="AA479">XLOOKUP(LCARS_Off[AbilityID],RawOfficer[AbilityID],RawOfficer[AbilityDescription])</f>
        <v>Increases base Loot gained from Armadas and Hostiles by X</v>
      </c>
      <c r="AB479" s="429" t="b">
        <v>1</v>
      </c>
      <c r="AC479" s="522" t="str">
        <f t="array" ref="AC479">XLOOKUP(LCARS_Off[AbilityID],RawOfficer[AbilityID],RawOfficer[AbilityDescriptionShort])</f>
        <v>Increases base Loot gained from Armadas and Hostiles by X</v>
      </c>
      <c r="AD479" s="523"/>
      <c r="AE479" s="521" t="s">
        <v>542</v>
      </c>
      <c r="AF479" s="521" t="s">
        <v>543</v>
      </c>
      <c r="AG479" s="525" t="str">
        <f t="array" ref="AG479">XLOOKUP(LCARS_Off[AbilityID],RawOfficer[AbilityID],RawOfficer[AbilityChances])</f>
        <v>1.0, 1.0, 1.0</v>
      </c>
      <c r="AH479" s="525" t="str">
        <f t="array" ref="AH479">XLOOKUP(LCARS_Off[AbilityID],RawOfficer[AbilityID],RawOfficer[AbilityValues])</f>
        <v>0.6, 0.2, 0.4</v>
      </c>
      <c r="AI479" s="428" t="b">
        <f t="array" ref="AI479">XLOOKUP(LCARS_Off[AbilityID],RawOfficer[AbilityID],RawOfficer[AbilityHasChance])</f>
        <v>0</v>
      </c>
      <c r="AJ479" s="428" t="b">
        <f t="array" ref="AJ479">XLOOKUP(LCARS_Off[AbilityID],RawOfficer[AbilityID],RawOfficer[AbilityShowPercentage])</f>
        <v>1</v>
      </c>
      <c r="AK479" s="429">
        <f t="array" ref="AK479">XLOOKUP(LCARS_Off[AbilityID],RawOfficer[AbilityID],RawOfficer[OfficerArt])</f>
        <v>282</v>
      </c>
      <c r="AL479" s="430">
        <v>2.490941423E9</v>
      </c>
      <c r="AM479" s="430">
        <f t="array" ref="AM479">XLOOKUP(LCARS_Off[AbilityID],RawOfficer[AbilityID],RawOfficer[Default Order])</f>
        <v>476</v>
      </c>
    </row>
    <row r="480">
      <c r="A480" s="429" t="str">
        <f t="array" ref="A480">LEFT(XLOOKUP(LCARS_Off[AbilityID],RawOfficer[AbilityID],RawOfficer[OfficerRarity]), 1)</f>
        <v>E</v>
      </c>
      <c r="B480" s="429"/>
      <c r="C480" s="514" t="str">
        <f t="array" ref="C480">HYPERLINK("https://stfc.space/officers/" &amp; XLOOKUP(LCARS_Off[AbilityID],RawOfficer[AbilityID],RawOfficer[OfficerId]), XLOOKUP(LCARS_Off[AbilityID],RawOfficer[AbilityID],RawOfficer[OfficerName]))</f>
        <v>DAJASH TOLRA</v>
      </c>
      <c r="D480" s="515" t="str">
        <f t="array" ref="D480">XLOOKUP(LCARS_Off[AbilityID],RawOfficer[AbilityID],RawOfficer[AbilityType])</f>
        <v>OA</v>
      </c>
      <c r="E480" s="516" t="str">
        <f t="array" ref="E480">XLOOKUP(LCARS_Off[AbilityID],RawOfficer[AbilityID],RawOfficer[Tag_PvPinSpace])</f>
        <v>➖</v>
      </c>
      <c r="F480" s="516" t="str">
        <f t="array" ref="F480">XLOOKUP(LCARS_Off[AbilityID],RawOfficer[AbilityID],RawOfficer[Tag_PvPStation])</f>
        <v>➖</v>
      </c>
      <c r="G480" s="516" t="str">
        <f t="array" ref="G480">XLOOKUP(LCARS_Off[AbilityID],RawOfficer[AbilityID],RawOfficer[Tag_NonArmadaHostiles])</f>
        <v>➖</v>
      </c>
      <c r="H480" s="516" t="str">
        <f t="array" ref="H480">XLOOKUP(LCARS_Off[AbilityID],RawOfficer[AbilityID],RawOfficer[Tag_WaveDefense])</f>
        <v>➖</v>
      </c>
      <c r="I480" s="516" t="str">
        <f t="array" ref="I480">XLOOKUP(LCARS_Off[AbilityID],RawOfficer[AbilityID],RawOfficer[Tag_QTrial])</f>
        <v>➖</v>
      </c>
      <c r="J480" s="516" t="str">
        <f t="array" ref="J480">XLOOKUP(LCARS_Off[AbilityID],RawOfficer[AbilityID],RawOfficer[Tag_MissionBosses])</f>
        <v>➖</v>
      </c>
      <c r="K480" s="516" t="str">
        <f t="array" ref="K480">XLOOKUP(LCARS_Off[AbilityID],RawOfficer[AbilityID],RawOfficer[Tag_GroupArmadas])</f>
        <v>✅</v>
      </c>
      <c r="L480" s="516" t="str">
        <f t="array" ref="L480">XLOOKUP(LCARS_Off[AbilityID],RawOfficer[AbilityID],RawOfficer[Tag_SoloArmadas])</f>
        <v>✅</v>
      </c>
      <c r="M480" s="516" t="str">
        <f t="array" ref="M480">XLOOKUP(LCARS_Off[AbilityID],RawOfficer[AbilityID],RawOfficer[Tag_InvadingEntities])</f>
        <v>✅</v>
      </c>
      <c r="N480" s="516" t="str">
        <f t="array" ref="N480">XLOOKUP(LCARS_Off[AbilityID],RawOfficer[AbilityID],RawOfficer[Tag_Assaults])</f>
        <v>➖</v>
      </c>
      <c r="O480" s="516" t="str">
        <f t="array" ref="O480">XLOOKUP(LCARS_Off[AbilityID],RawOfficer[AbilityID],RawOfficer[Tag_OutpostArmadas])</f>
        <v>➖</v>
      </c>
      <c r="P480" s="516" t="str">
        <f t="array" ref="P480">XLOOKUP(LCARS_Off[AbilityID],RawOfficer[AbilityID],RawOfficer[Tag_OutpostRetaliators])</f>
        <v>➖</v>
      </c>
      <c r="Q480" s="517" t="str">
        <f t="array" ref="Q480">XLOOKUP(LCARS_Off[AbilityID],RawOfficer[AbilityID],RawOfficer[Conditional_Reason])</f>
        <v/>
      </c>
      <c r="R480" s="518" t="str">
        <f t="array" ref="R480">XLOOKUP(LCARS_Off[AbilityID],RawOfficer[AbilityID],RawOfficer[Tag_Loot])</f>
        <v>➖</v>
      </c>
      <c r="S480" s="516" t="str">
        <f t="array" ref="S480">XLOOKUP(LCARS_Off[AbilityID],RawOfficer[AbilityID],RawOfficer[Tag_Utility])</f>
        <v>➖</v>
      </c>
      <c r="T480" s="429" t="str">
        <f t="array" ref="T480">XLOOKUP(LCARS_Off[AbilityID],RawOfficer[AbilityID],RawOfficer[OfficerSynergy])</f>
        <v>SYMBIOSIS</v>
      </c>
      <c r="U480" s="519" t="str">
        <f t="array" ref="U480">XLOOKUP(LCARS_Off[AbilityID],RawOfficer[AbilityID],RawOfficer[AbilityModifier])</f>
        <v>ShotsPerAttack</v>
      </c>
      <c r="V480" s="519" t="str">
        <f t="array" ref="V480">XLOOKUP(LCARS_Off[AbilityID],RawOfficer[AbilityID],RawOfficer[AbilityAttributes])</f>
        <v>num_rounds=2</v>
      </c>
      <c r="W480" s="520" t="str">
        <f t="array" ref="W480">XLOOKUP(LCARS_Off[AbilityID],RawOfficer[AbilityID],RawOfficer[AbilityConditions])</f>
        <v>TargetIsArmadaOrInvadingEntity</v>
      </c>
      <c r="X480" s="519" t="str">
        <f t="array" ref="X480">XLOOKUP(LCARS_Off[AbilityID],RawOfficer[AbilityID],RawOfficer[AbilityTrigger])</f>
        <v>RoundStart</v>
      </c>
      <c r="Y480" s="519" t="str">
        <f t="array" ref="Y480">XLOOKUP(LCARS_Off[AbilityID],RawOfficer[AbilityID],RawOfficer[AbilityTarget])</f>
        <v>SelfShip</v>
      </c>
      <c r="Z480" s="519" t="str">
        <f t="array" ref="Z480">XLOOKUP(LCARS_Off[AbilityID],RawOfficer[AbilityID],RawOfficer[AbilityOperation])</f>
        <v>MultiplyAdd</v>
      </c>
      <c r="AA480" s="521" t="str">
        <f t="array" ref="AA480">XLOOKUP(LCARS_Off[AbilityID],RawOfficer[AbilityID],RawOfficer[AbilityDescription])</f>
        <v>X (X at rank X) chance to increase base Weapon Shots by 100% every round against Armadas and Invading Entities for 2 rounds (Cumulative)</v>
      </c>
      <c r="AB480" s="429" t="b">
        <v>0</v>
      </c>
      <c r="AC480" s="522" t="str">
        <f t="array" ref="AC480">XLOOKUP(LCARS_Off[AbilityID],RawOfficer[AbilityID],RawOfficer[AbilityDescriptionShort])</f>
        <v>X chance to increase base weapon shots by 100% every round against Armadas and Invading entities for 2 rounds (Cumulative)</v>
      </c>
      <c r="AD480" s="523"/>
      <c r="AE480" s="524"/>
      <c r="AF480" s="524"/>
      <c r="AG480" s="525" t="str">
        <f t="array" ref="AG480">XLOOKUP(LCARS_Off[AbilityID],RawOfficer[AbilityID],RawOfficer[AbilityChances])</f>
        <v>0.3, 0.4, 0.55, 0.75, 1.0</v>
      </c>
      <c r="AH480" s="525" t="str">
        <f t="array" ref="AH480">XLOOKUP(LCARS_Off[AbilityID],RawOfficer[AbilityID],RawOfficer[AbilityValues])</f>
        <v>1.0, 1.0, 1.0, 1.0, 1.0</v>
      </c>
      <c r="AI480" s="428" t="b">
        <f t="array" ref="AI480">XLOOKUP(LCARS_Off[AbilityID],RawOfficer[AbilityID],RawOfficer[AbilityHasChance])</f>
        <v>1</v>
      </c>
      <c r="AJ480" s="428" t="b">
        <f t="array" ref="AJ480">XLOOKUP(LCARS_Off[AbilityID],RawOfficer[AbilityID],RawOfficer[AbilityShowPercentage])</f>
        <v>1</v>
      </c>
      <c r="AK480" s="429">
        <f t="array" ref="AK480">XLOOKUP(LCARS_Off[AbilityID],RawOfficer[AbilityID],RawOfficer[OfficerArt])</f>
        <v>282</v>
      </c>
      <c r="AL480" s="430">
        <v>2.011733285E9</v>
      </c>
      <c r="AM480" s="430">
        <f t="array" ref="AM480">XLOOKUP(LCARS_Off[AbilityID],RawOfficer[AbilityID],RawOfficer[Default Order])</f>
        <v>477</v>
      </c>
    </row>
    <row r="481">
      <c r="A481" s="429" t="str">
        <f t="array" ref="A481">LEFT(XLOOKUP(LCARS_Off[AbilityID],RawOfficer[AbilityID],RawOfficer[OfficerRarity]), 1)</f>
        <v>R</v>
      </c>
      <c r="B481" s="429"/>
      <c r="C481" s="514" t="str">
        <f t="array" ref="C481">HYPERLINK("https://stfc.space/officers/" &amp; XLOOKUP(LCARS_Off[AbilityID],RawOfficer[AbilityID],RawOfficer[OfficerId]), XLOOKUP(LCARS_Off[AbilityID],RawOfficer[AbilityID],RawOfficer[OfficerName]))</f>
        <v>TOLI</v>
      </c>
      <c r="D481" s="515" t="str">
        <f t="array" ref="D481">XLOOKUP(LCARS_Off[AbilityID],RawOfficer[AbilityID],RawOfficer[AbilityType])</f>
        <v>OA</v>
      </c>
      <c r="E481" s="516" t="str">
        <f t="array" ref="E481">XLOOKUP(LCARS_Off[AbilityID],RawOfficer[AbilityID],RawOfficer[Tag_PvPinSpace])</f>
        <v>➖</v>
      </c>
      <c r="F481" s="516" t="str">
        <f t="array" ref="F481">XLOOKUP(LCARS_Off[AbilityID],RawOfficer[AbilityID],RawOfficer[Tag_PvPStation])</f>
        <v>➖</v>
      </c>
      <c r="G481" s="516" t="str">
        <f t="array" ref="G481">XLOOKUP(LCARS_Off[AbilityID],RawOfficer[AbilityID],RawOfficer[Tag_NonArmadaHostiles])</f>
        <v>➖</v>
      </c>
      <c r="H481" s="516" t="str">
        <f t="array" ref="H481">XLOOKUP(LCARS_Off[AbilityID],RawOfficer[AbilityID],RawOfficer[Tag_WaveDefense])</f>
        <v>➖</v>
      </c>
      <c r="I481" s="516" t="str">
        <f t="array" ref="I481">XLOOKUP(LCARS_Off[AbilityID],RawOfficer[AbilityID],RawOfficer[Tag_QTrial])</f>
        <v>➖</v>
      </c>
      <c r="J481" s="516" t="str">
        <f t="array" ref="J481">XLOOKUP(LCARS_Off[AbilityID],RawOfficer[AbilityID],RawOfficer[Tag_MissionBosses])</f>
        <v>➖</v>
      </c>
      <c r="K481" s="516" t="str">
        <f t="array" ref="K481">XLOOKUP(LCARS_Off[AbilityID],RawOfficer[AbilityID],RawOfficer[Tag_GroupArmadas])</f>
        <v>✅</v>
      </c>
      <c r="L481" s="516" t="str">
        <f t="array" ref="L481">XLOOKUP(LCARS_Off[AbilityID],RawOfficer[AbilityID],RawOfficer[Tag_SoloArmadas])</f>
        <v>✅</v>
      </c>
      <c r="M481" s="516" t="str">
        <f t="array" ref="M481">XLOOKUP(LCARS_Off[AbilityID],RawOfficer[AbilityID],RawOfficer[Tag_InvadingEntities])</f>
        <v>✅</v>
      </c>
      <c r="N481" s="516" t="str">
        <f t="array" ref="N481">XLOOKUP(LCARS_Off[AbilityID],RawOfficer[AbilityID],RawOfficer[Tag_Assaults])</f>
        <v>➖</v>
      </c>
      <c r="O481" s="516" t="str">
        <f t="array" ref="O481">XLOOKUP(LCARS_Off[AbilityID],RawOfficer[AbilityID],RawOfficer[Tag_OutpostArmadas])</f>
        <v>➖</v>
      </c>
      <c r="P481" s="516" t="str">
        <f t="array" ref="P481">XLOOKUP(LCARS_Off[AbilityID],RawOfficer[AbilityID],RawOfficer[Tag_OutpostRetaliators])</f>
        <v>➖</v>
      </c>
      <c r="Q481" s="517" t="str">
        <f t="array" ref="Q481">XLOOKUP(LCARS_Off[AbilityID],RawOfficer[AbilityID],RawOfficer[Conditional_Reason])</f>
        <v/>
      </c>
      <c r="R481" s="518" t="str">
        <f t="array" ref="R481">XLOOKUP(LCARS_Off[AbilityID],RawOfficer[AbilityID],RawOfficer[Tag_Loot])</f>
        <v>➖</v>
      </c>
      <c r="S481" s="516" t="str">
        <f t="array" ref="S481">XLOOKUP(LCARS_Off[AbilityID],RawOfficer[AbilityID],RawOfficer[Tag_Utility])</f>
        <v>➖</v>
      </c>
      <c r="T481" s="429" t="str">
        <f t="array" ref="T481">XLOOKUP(LCARS_Off[AbilityID],RawOfficer[AbilityID],RawOfficer[OfficerSynergy])</f>
        <v>SYMBIOSIS</v>
      </c>
      <c r="U481" s="519" t="str">
        <f t="array" ref="U481">XLOOKUP(LCARS_Off[AbilityID],RawOfficer[AbilityID],RawOfficer[AbilityModifier])</f>
        <v>AllDefenses</v>
      </c>
      <c r="V481" s="519" t="str">
        <f t="array" ref="V481">XLOOKUP(LCARS_Off[AbilityID],RawOfficer[AbilityID],RawOfficer[AbilityAttributes])</f>
        <v>officer_stat=2</v>
      </c>
      <c r="W481" s="520" t="str">
        <f t="array" ref="W481">XLOOKUP(LCARS_Off[AbilityID],RawOfficer[AbilityID],RawOfficer[AbilityConditions])</f>
        <v>TargetIsArmadaOrInvadingEntity</v>
      </c>
      <c r="X481" s="519" t="str">
        <f t="array" ref="X481">XLOOKUP(LCARS_Off[AbilityID],RawOfficer[AbilityID],RawOfficer[AbilityTrigger])</f>
        <v>RoundStart</v>
      </c>
      <c r="Y481" s="519" t="str">
        <f t="array" ref="Y481">XLOOKUP(LCARS_Off[AbilityID],RawOfficer[AbilityID],RawOfficer[AbilityTarget])</f>
        <v>EnemyShip</v>
      </c>
      <c r="Z481" s="519" t="str">
        <f t="array" ref="Z481">XLOOKUP(LCARS_Off[AbilityID],RawOfficer[AbilityID],RawOfficer[AbilityOperation])</f>
        <v>MultiplyBaseSub</v>
      </c>
      <c r="AA481" s="521" t="str">
        <f t="array" ref="AA481">XLOOKUP(LCARS_Off[AbilityID],RawOfficer[AbilityID],RawOfficer[AbilityDescription])</f>
        <v>Decreases all Armada and Invading Entities base Mitigation stats by X(X at rank X) of Officer Defense every round (Cumulative)</v>
      </c>
      <c r="AB481" s="429" t="b">
        <v>0</v>
      </c>
      <c r="AC481" s="522" t="str">
        <f t="array" ref="AC481">XLOOKUP(LCARS_Off[AbilityID],RawOfficer[AbilityID],RawOfficer[AbilityDescriptionShort])</f>
        <v>Decreases all Armada and Invading Entities base mitigation stats by X of total Officer Defense every round (Cumulative)</v>
      </c>
      <c r="AD481" s="523"/>
      <c r="AE481" s="524"/>
      <c r="AF481" s="524"/>
      <c r="AG481" s="525" t="str">
        <f t="array" ref="AG481">XLOOKUP(LCARS_Off[AbilityID],RawOfficer[AbilityID],RawOfficer[AbilityChances])</f>
        <v>1.0, 1.0, 1.0, 1.0, 1.0</v>
      </c>
      <c r="AH481" s="525" t="str">
        <f t="array" ref="AH481">XLOOKUP(LCARS_Off[AbilityID],RawOfficer[AbilityID],RawOfficer[AbilityValues])</f>
        <v>1.0, 2.0, 4.0, 7.0, 11.0</v>
      </c>
      <c r="AI481" s="428" t="b">
        <f t="array" ref="AI481">XLOOKUP(LCARS_Off[AbilityID],RawOfficer[AbilityID],RawOfficer[AbilityHasChance])</f>
        <v>0</v>
      </c>
      <c r="AJ481" s="428" t="b">
        <f t="array" ref="AJ481">XLOOKUP(LCARS_Off[AbilityID],RawOfficer[AbilityID],RawOfficer[AbilityShowPercentage])</f>
        <v>1</v>
      </c>
      <c r="AK481" s="429">
        <f t="array" ref="AK481">XLOOKUP(LCARS_Off[AbilityID],RawOfficer[AbilityID],RawOfficer[OfficerArt])</f>
        <v>283</v>
      </c>
      <c r="AL481" s="430">
        <v>1.664195138E9</v>
      </c>
      <c r="AM481" s="430">
        <f t="array" ref="AM481">XLOOKUP(LCARS_Off[AbilityID],RawOfficer[AbilityID],RawOfficer[Default Order])</f>
        <v>478</v>
      </c>
    </row>
    <row r="482">
      <c r="A482" s="429" t="str">
        <f t="array" ref="A482">LEFT(XLOOKUP(LCARS_Off[AbilityID],RawOfficer[AbilityID],RawOfficer[OfficerRarity]), 1)</f>
        <v>R</v>
      </c>
      <c r="B482" s="429"/>
      <c r="C482" s="514" t="str">
        <f t="array" ref="C482">HYPERLINK("https://stfc.space/officers/" &amp; XLOOKUP(LCARS_Off[AbilityID],RawOfficer[AbilityID],RawOfficer[OfficerId]), XLOOKUP(LCARS_Off[AbilityID],RawOfficer[AbilityID],RawOfficer[OfficerName]))</f>
        <v>TOLI</v>
      </c>
      <c r="D482" s="515" t="str">
        <f t="array" ref="D482">XLOOKUP(LCARS_Off[AbilityID],RawOfficer[AbilityID],RawOfficer[AbilityType])</f>
        <v>BDA</v>
      </c>
      <c r="E482" s="516" t="str">
        <f t="array" ref="E482">XLOOKUP(LCARS_Off[AbilityID],RawOfficer[AbilityID],RawOfficer[Tag_PvPinSpace])</f>
        <v>➖</v>
      </c>
      <c r="F482" s="516" t="str">
        <f t="array" ref="F482">XLOOKUP(LCARS_Off[AbilityID],RawOfficer[AbilityID],RawOfficer[Tag_PvPStation])</f>
        <v>➖</v>
      </c>
      <c r="G482" s="516" t="str">
        <f t="array" ref="G482">XLOOKUP(LCARS_Off[AbilityID],RawOfficer[AbilityID],RawOfficer[Tag_NonArmadaHostiles])</f>
        <v>➖</v>
      </c>
      <c r="H482" s="516" t="str">
        <f t="array" ref="H482">XLOOKUP(LCARS_Off[AbilityID],RawOfficer[AbilityID],RawOfficer[Tag_WaveDefense])</f>
        <v>➖</v>
      </c>
      <c r="I482" s="516" t="str">
        <f t="array" ref="I482">XLOOKUP(LCARS_Off[AbilityID],RawOfficer[AbilityID],RawOfficer[Tag_QTrial])</f>
        <v>➖</v>
      </c>
      <c r="J482" s="516" t="str">
        <f t="array" ref="J482">XLOOKUP(LCARS_Off[AbilityID],RawOfficer[AbilityID],RawOfficer[Tag_MissionBosses])</f>
        <v>➖</v>
      </c>
      <c r="K482" s="516" t="str">
        <f t="array" ref="K482">XLOOKUP(LCARS_Off[AbilityID],RawOfficer[AbilityID],RawOfficer[Tag_GroupArmadas])</f>
        <v>➖</v>
      </c>
      <c r="L482" s="516" t="str">
        <f t="array" ref="L482">XLOOKUP(LCARS_Off[AbilityID],RawOfficer[AbilityID],RawOfficer[Tag_SoloArmadas])</f>
        <v>➖</v>
      </c>
      <c r="M482" s="516" t="str">
        <f t="array" ref="M482">XLOOKUP(LCARS_Off[AbilityID],RawOfficer[AbilityID],RawOfficer[Tag_InvadingEntities])</f>
        <v>➖</v>
      </c>
      <c r="N482" s="516" t="str">
        <f t="array" ref="N482">XLOOKUP(LCARS_Off[AbilityID],RawOfficer[AbilityID],RawOfficer[Tag_Assaults])</f>
        <v>➖</v>
      </c>
      <c r="O482" s="516" t="str">
        <f t="array" ref="O482">XLOOKUP(LCARS_Off[AbilityID],RawOfficer[AbilityID],RawOfficer[Tag_OutpostArmadas])</f>
        <v>➖</v>
      </c>
      <c r="P482" s="516" t="str">
        <f t="array" ref="P482">XLOOKUP(LCARS_Off[AbilityID],RawOfficer[AbilityID],RawOfficer[Tag_OutpostRetaliators])</f>
        <v>➖</v>
      </c>
      <c r="Q482" s="517" t="str">
        <f t="array" ref="Q482">XLOOKUP(LCARS_Off[AbilityID],RawOfficer[AbilityID],RawOfficer[Conditional_Reason])</f>
        <v/>
      </c>
      <c r="R482" s="518" t="str">
        <f t="array" ref="R482">XLOOKUP(LCARS_Off[AbilityID],RawOfficer[AbilityID],RawOfficer[Tag_Loot])</f>
        <v>➖</v>
      </c>
      <c r="S482" s="516" t="str">
        <f t="array" ref="S482">XLOOKUP(LCARS_Off[AbilityID],RawOfficer[AbilityID],RawOfficer[Tag_Utility])</f>
        <v>✅</v>
      </c>
      <c r="T482" s="429" t="str">
        <f t="array" ref="T482">XLOOKUP(LCARS_Off[AbilityID],RawOfficer[AbilityID],RawOfficer[OfficerSynergy])</f>
        <v>SYMBIOSIS</v>
      </c>
      <c r="U482" s="519" t="str">
        <f t="array" ref="U482">XLOOKUP(LCARS_Off[AbilityID],RawOfficer[AbilityID],RawOfficer[AbilityModifier])</f>
        <v>WarpSpeed</v>
      </c>
      <c r="V482" s="519" t="str">
        <f t="array" ref="V482">XLOOKUP(LCARS_Off[AbilityID],RawOfficer[AbilityID],RawOfficer[AbilityAttributes])</f>
        <v/>
      </c>
      <c r="W482" s="520" t="str">
        <f t="array" ref="W482">XLOOKUP(LCARS_Off[AbilityID],RawOfficer[AbilityID],RawOfficer[AbilityConditions])</f>
        <v/>
      </c>
      <c r="X482" s="519" t="str">
        <f t="array" ref="X482">XLOOKUP(LCARS_Off[AbilityID],RawOfficer[AbilityID],RawOfficer[AbilityTrigger])</f>
        <v>ShipLaunched</v>
      </c>
      <c r="Y482" s="519" t="str">
        <f t="array" ref="Y482">XLOOKUP(LCARS_Off[AbilityID],RawOfficer[AbilityID],RawOfficer[AbilityTarget])</f>
        <v>SelfShip</v>
      </c>
      <c r="Z482" s="519" t="str">
        <f t="array" ref="Z482">XLOOKUP(LCARS_Off[AbilityID],RawOfficer[AbilityID],RawOfficer[AbilityOperation])</f>
        <v>MultiplyAdd</v>
      </c>
      <c r="AA482" s="521" t="str">
        <f t="array" ref="AA482">XLOOKUP(LCARS_Off[AbilityID],RawOfficer[AbilityID],RawOfficer[AbilityDescription])</f>
        <v>Increases base Warp Speed by X (X at rank X)</v>
      </c>
      <c r="AB482" s="429" t="b">
        <v>0</v>
      </c>
      <c r="AC482" s="522" t="str">
        <f t="array" ref="AC482">XLOOKUP(LCARS_Off[AbilityID],RawOfficer[AbilityID],RawOfficer[AbilityDescriptionShort])</f>
        <v>Increases base warp speed by X</v>
      </c>
      <c r="AD482" s="523"/>
      <c r="AE482" s="524"/>
      <c r="AF482" s="524"/>
      <c r="AG482" s="525" t="str">
        <f t="array" ref="AG482">XLOOKUP(LCARS_Off[AbilityID],RawOfficer[AbilityID],RawOfficer[AbilityChances])</f>
        <v>1.0, 1.0, 1.0, 1.0, 1.0</v>
      </c>
      <c r="AH482" s="525" t="str">
        <f t="array" ref="AH482">XLOOKUP(LCARS_Off[AbilityID],RawOfficer[AbilityID],RawOfficer[AbilityValues])</f>
        <v>1.0, 3.0, 6.0, 10.0, 15.0</v>
      </c>
      <c r="AI482" s="428" t="b">
        <f t="array" ref="AI482">XLOOKUP(LCARS_Off[AbilityID],RawOfficer[AbilityID],RawOfficer[AbilityHasChance])</f>
        <v>0</v>
      </c>
      <c r="AJ482" s="428" t="b">
        <f t="array" ref="AJ482">XLOOKUP(LCARS_Off[AbilityID],RawOfficer[AbilityID],RawOfficer[AbilityShowPercentage])</f>
        <v>1</v>
      </c>
      <c r="AK482" s="429">
        <f t="array" ref="AK482">XLOOKUP(LCARS_Off[AbilityID],RawOfficer[AbilityID],RawOfficer[OfficerArt])</f>
        <v>283</v>
      </c>
      <c r="AL482" s="430">
        <v>3.49987507E9</v>
      </c>
      <c r="AM482" s="430">
        <f t="array" ref="AM482">XLOOKUP(LCARS_Off[AbilityID],RawOfficer[AbilityID],RawOfficer[Default Order])</f>
        <v>479</v>
      </c>
    </row>
    <row r="483">
      <c r="A483" s="429" t="str">
        <f t="array" ref="A483">LEFT(XLOOKUP(LCARS_Off[AbilityID],RawOfficer[AbilityID],RawOfficer[OfficerRarity]), 1)</f>
        <v>E</v>
      </c>
      <c r="B483" s="429"/>
      <c r="C483" s="514" t="str">
        <f t="array" ref="C483">HYPERLINK("https://stfc.space/officers/" &amp; XLOOKUP(LCARS_Off[AbilityID],RawOfficer[AbilityID],RawOfficer[OfficerId]), XLOOKUP(LCARS_Off[AbilityID],RawOfficer[AbilityID],RawOfficer[OfficerName]))</f>
        <v>MASRIAD VAEL</v>
      </c>
      <c r="D483" s="515" t="str">
        <f t="array" ref="D483">XLOOKUP(LCARS_Off[AbilityID],RawOfficer[AbilityID],RawOfficer[AbilityType])</f>
        <v>OA</v>
      </c>
      <c r="E483" s="516" t="str">
        <f t="array" ref="E483">XLOOKUP(LCARS_Off[AbilityID],RawOfficer[AbilityID],RawOfficer[Tag_PvPinSpace])</f>
        <v>➖</v>
      </c>
      <c r="F483" s="516" t="str">
        <f t="array" ref="F483">XLOOKUP(LCARS_Off[AbilityID],RawOfficer[AbilityID],RawOfficer[Tag_PvPStation])</f>
        <v>➖</v>
      </c>
      <c r="G483" s="516" t="str">
        <f t="array" ref="G483">XLOOKUP(LCARS_Off[AbilityID],RawOfficer[AbilityID],RawOfficer[Tag_NonArmadaHostiles])</f>
        <v>➖</v>
      </c>
      <c r="H483" s="516" t="str">
        <f t="array" ref="H483">XLOOKUP(LCARS_Off[AbilityID],RawOfficer[AbilityID],RawOfficer[Tag_WaveDefense])</f>
        <v>➖</v>
      </c>
      <c r="I483" s="516" t="str">
        <f t="array" ref="I483">XLOOKUP(LCARS_Off[AbilityID],RawOfficer[AbilityID],RawOfficer[Tag_QTrial])</f>
        <v>➖</v>
      </c>
      <c r="J483" s="516" t="str">
        <f t="array" ref="J483">XLOOKUP(LCARS_Off[AbilityID],RawOfficer[AbilityID],RawOfficer[Tag_MissionBosses])</f>
        <v>➖</v>
      </c>
      <c r="K483" s="516" t="str">
        <f t="array" ref="K483">XLOOKUP(LCARS_Off[AbilityID],RawOfficer[AbilityID],RawOfficer[Tag_GroupArmadas])</f>
        <v>➖</v>
      </c>
      <c r="L483" s="516" t="str">
        <f t="array" ref="L483">XLOOKUP(LCARS_Off[AbilityID],RawOfficer[AbilityID],RawOfficer[Tag_SoloArmadas])</f>
        <v>➖</v>
      </c>
      <c r="M483" s="516" t="str">
        <f t="array" ref="M483">XLOOKUP(LCARS_Off[AbilityID],RawOfficer[AbilityID],RawOfficer[Tag_InvadingEntities])</f>
        <v>✅</v>
      </c>
      <c r="N483" s="516" t="str">
        <f t="array" ref="N483">XLOOKUP(LCARS_Off[AbilityID],RawOfficer[AbilityID],RawOfficer[Tag_Assaults])</f>
        <v>➖</v>
      </c>
      <c r="O483" s="516" t="str">
        <f t="array" ref="O483">XLOOKUP(LCARS_Off[AbilityID],RawOfficer[AbilityID],RawOfficer[Tag_OutpostArmadas])</f>
        <v>➖</v>
      </c>
      <c r="P483" s="516" t="str">
        <f t="array" ref="P483">XLOOKUP(LCARS_Off[AbilityID],RawOfficer[AbilityID],RawOfficer[Tag_OutpostRetaliators])</f>
        <v>➖</v>
      </c>
      <c r="Q483" s="517" t="str">
        <f t="array" ref="Q483">XLOOKUP(LCARS_Off[AbilityID],RawOfficer[AbilityID],RawOfficer[Conditional_Reason])</f>
        <v/>
      </c>
      <c r="R483" s="518" t="str">
        <f t="array" ref="R483">XLOOKUP(LCARS_Off[AbilityID],RawOfficer[AbilityID],RawOfficer[Tag_Loot])</f>
        <v>➖</v>
      </c>
      <c r="S483" s="516" t="str">
        <f t="array" ref="S483">XLOOKUP(LCARS_Off[AbilityID],RawOfficer[AbilityID],RawOfficer[Tag_Utility])</f>
        <v>➖</v>
      </c>
      <c r="T483" s="429" t="str">
        <f t="array" ref="T483">XLOOKUP(LCARS_Off[AbilityID],RawOfficer[AbilityID],RawOfficer[OfficerSynergy])</f>
        <v>SYMBIOSIS</v>
      </c>
      <c r="U483" s="519" t="str">
        <f t="array" ref="U483">XLOOKUP(LCARS_Off[AbilityID],RawOfficer[AbilityID],RawOfficer[AbilityModifier])</f>
        <v>ApexBarrier</v>
      </c>
      <c r="V483" s="519" t="str">
        <f t="array" ref="V483">XLOOKUP(LCARS_Off[AbilityID],RawOfficer[AbilityID],RawOfficer[AbilityAttributes])</f>
        <v/>
      </c>
      <c r="W483" s="520" t="str">
        <f t="array" ref="W483">XLOOKUP(LCARS_Off[AbilityID],RawOfficer[AbilityID],RawOfficer[AbilityConditions])</f>
        <v>TargetIsInvadingEntity</v>
      </c>
      <c r="X483" s="519" t="str">
        <f t="array" ref="X483">XLOOKUP(LCARS_Off[AbilityID],RawOfficer[AbilityID],RawOfficer[AbilityTrigger])</f>
        <v>CombatStart</v>
      </c>
      <c r="Y483" s="519" t="str">
        <f t="array" ref="Y483">XLOOKUP(LCARS_Off[AbilityID],RawOfficer[AbilityID],RawOfficer[AbilityTarget])</f>
        <v>SelfShip</v>
      </c>
      <c r="Z483" s="519" t="str">
        <f t="array" ref="Z483">XLOOKUP(LCARS_Off[AbilityID],RawOfficer[AbilityID],RawOfficer[AbilityOperation])</f>
        <v>Add</v>
      </c>
      <c r="AA483" s="521" t="str">
        <f t="array" ref="AA483">XLOOKUP(LCARS_Off[AbilityID],RawOfficer[AbilityID],RawOfficer[AbilityDescription])</f>
        <v>On combat start against Invading Entities, increases Apex Barrier by X (X at rank X).</v>
      </c>
      <c r="AB483" s="429" t="b">
        <v>0</v>
      </c>
      <c r="AC483" s="522" t="str">
        <f t="array" ref="AC483">XLOOKUP(LCARS_Off[AbilityID],RawOfficer[AbilityID],RawOfficer[AbilityDescriptionShort])</f>
        <v>Increases Apex Barrier against Invading Entities by X.</v>
      </c>
      <c r="AD483" s="523"/>
      <c r="AE483" s="524"/>
      <c r="AF483" s="524"/>
      <c r="AG483" s="525" t="str">
        <f t="array" ref="AG483">XLOOKUP(LCARS_Off[AbilityID],RawOfficer[AbilityID],RawOfficer[AbilityChances])</f>
        <v>1.0, 1.0, 1.0, 1.0, 1.0</v>
      </c>
      <c r="AH483" s="525" t="str">
        <f t="array" ref="AH483">XLOOKUP(LCARS_Off[AbilityID],RawOfficer[AbilityID],RawOfficer[AbilityValues])</f>
        <v>500.0, 1000.0, 1500.0, 2750.0, 5000.0</v>
      </c>
      <c r="AI483" s="428" t="b">
        <f t="array" ref="AI483">XLOOKUP(LCARS_Off[AbilityID],RawOfficer[AbilityID],RawOfficer[AbilityHasChance])</f>
        <v>0</v>
      </c>
      <c r="AJ483" s="428" t="b">
        <f t="array" ref="AJ483">XLOOKUP(LCARS_Off[AbilityID],RawOfficer[AbilityID],RawOfficer[AbilityShowPercentage])</f>
        <v>0</v>
      </c>
      <c r="AK483" s="429">
        <f t="array" ref="AK483">XLOOKUP(LCARS_Off[AbilityID],RawOfficer[AbilityID],RawOfficer[OfficerArt])</f>
        <v>284</v>
      </c>
      <c r="AL483" s="430">
        <v>3.767792326E9</v>
      </c>
      <c r="AM483" s="430">
        <f t="array" ref="AM483">XLOOKUP(LCARS_Off[AbilityID],RawOfficer[AbilityID],RawOfficer[Default Order])</f>
        <v>480</v>
      </c>
    </row>
    <row r="484">
      <c r="A484" s="429" t="str">
        <f t="array" ref="A484">LEFT(XLOOKUP(LCARS_Off[AbilityID],RawOfficer[AbilityID],RawOfficer[OfficerRarity]), 1)</f>
        <v>E</v>
      </c>
      <c r="B484" s="429"/>
      <c r="C484" s="514" t="str">
        <f t="array" ref="C484">HYPERLINK("https://stfc.space/officers/" &amp; XLOOKUP(LCARS_Off[AbilityID],RawOfficer[AbilityID],RawOfficer[OfficerId]), XLOOKUP(LCARS_Off[AbilityID],RawOfficer[AbilityID],RawOfficer[OfficerName]))</f>
        <v>MASRIAD VAEL</v>
      </c>
      <c r="D484" s="515" t="str">
        <f t="array" ref="D484">XLOOKUP(LCARS_Off[AbilityID],RawOfficer[AbilityID],RawOfficer[AbilityType])</f>
        <v>BDA</v>
      </c>
      <c r="E484" s="516" t="str">
        <f t="array" ref="E484">XLOOKUP(LCARS_Off[AbilityID],RawOfficer[AbilityID],RawOfficer[Tag_PvPinSpace])</f>
        <v>➖</v>
      </c>
      <c r="F484" s="516" t="str">
        <f t="array" ref="F484">XLOOKUP(LCARS_Off[AbilityID],RawOfficer[AbilityID],RawOfficer[Tag_PvPStation])</f>
        <v>➖</v>
      </c>
      <c r="G484" s="516" t="str">
        <f t="array" ref="G484">XLOOKUP(LCARS_Off[AbilityID],RawOfficer[AbilityID],RawOfficer[Tag_NonArmadaHostiles])</f>
        <v>✅</v>
      </c>
      <c r="H484" s="516" t="str">
        <f t="array" ref="H484">XLOOKUP(LCARS_Off[AbilityID],RawOfficer[AbilityID],RawOfficer[Tag_WaveDefense])</f>
        <v>✅</v>
      </c>
      <c r="I484" s="516" t="str">
        <f t="array" ref="I484">XLOOKUP(LCARS_Off[AbilityID],RawOfficer[AbilityID],RawOfficer[Tag_QTrial])</f>
        <v>✅</v>
      </c>
      <c r="J484" s="516" t="str">
        <f t="array" ref="J484">XLOOKUP(LCARS_Off[AbilityID],RawOfficer[AbilityID],RawOfficer[Tag_MissionBosses])</f>
        <v>➖</v>
      </c>
      <c r="K484" s="516" t="str">
        <f t="array" ref="K484">XLOOKUP(LCARS_Off[AbilityID],RawOfficer[AbilityID],RawOfficer[Tag_GroupArmadas])</f>
        <v>✅</v>
      </c>
      <c r="L484" s="516" t="str">
        <f t="array" ref="L484">XLOOKUP(LCARS_Off[AbilityID],RawOfficer[AbilityID],RawOfficer[Tag_SoloArmadas])</f>
        <v>✅</v>
      </c>
      <c r="M484" s="516" t="str">
        <f t="array" ref="M484">XLOOKUP(LCARS_Off[AbilityID],RawOfficer[AbilityID],RawOfficer[Tag_InvadingEntities])</f>
        <v>✅</v>
      </c>
      <c r="N484" s="516" t="str">
        <f t="array" ref="N484">XLOOKUP(LCARS_Off[AbilityID],RawOfficer[AbilityID],RawOfficer[Tag_Assaults])</f>
        <v>➖</v>
      </c>
      <c r="O484" s="516" t="str">
        <f t="array" ref="O484">XLOOKUP(LCARS_Off[AbilityID],RawOfficer[AbilityID],RawOfficer[Tag_OutpostArmadas])</f>
        <v>➖</v>
      </c>
      <c r="P484" s="516" t="str">
        <f t="array" ref="P484">XLOOKUP(LCARS_Off[AbilityID],RawOfficer[AbilityID],RawOfficer[Tag_OutpostRetaliators])</f>
        <v>➖</v>
      </c>
      <c r="Q484" s="517" t="str">
        <f t="array" ref="Q484">XLOOKUP(LCARS_Off[AbilityID],RawOfficer[AbilityID],RawOfficer[Conditional_Reason])</f>
        <v/>
      </c>
      <c r="R484" s="518" t="str">
        <f t="array" ref="R484">XLOOKUP(LCARS_Off[AbilityID],RawOfficer[AbilityID],RawOfficer[Tag_Loot])</f>
        <v>➖</v>
      </c>
      <c r="S484" s="516" t="str">
        <f t="array" ref="S484">XLOOKUP(LCARS_Off[AbilityID],RawOfficer[AbilityID],RawOfficer[Tag_Utility])</f>
        <v>➖</v>
      </c>
      <c r="T484" s="429" t="str">
        <f t="array" ref="T484">XLOOKUP(LCARS_Off[AbilityID],RawOfficer[AbilityID],RawOfficer[OfficerSynergy])</f>
        <v>SYMBIOSIS</v>
      </c>
      <c r="U484" s="519" t="str">
        <f t="array" ref="U484">XLOOKUP(LCARS_Off[AbilityID],RawOfficer[AbilityID],RawOfficer[AbilityModifier])</f>
        <v>CritChance</v>
      </c>
      <c r="V484" s="519" t="str">
        <f t="array" ref="V484">XLOOKUP(LCARS_Off[AbilityID],RawOfficer[AbilityID],RawOfficer[AbilityAttributes])</f>
        <v>num_rounds=4</v>
      </c>
      <c r="W484" s="520" t="str">
        <f t="array" ref="W484">XLOOKUP(LCARS_Off[AbilityID],RawOfficer[AbilityID],RawOfficer[AbilityConditions])</f>
        <v>EnemyHostile</v>
      </c>
      <c r="X484" s="519" t="str">
        <f t="array" ref="X484">XLOOKUP(LCARS_Off[AbilityID],RawOfficer[AbilityID],RawOfficer[AbilityTrigger])</f>
        <v>HitTaken</v>
      </c>
      <c r="Y484" s="519" t="str">
        <f t="array" ref="Y484">XLOOKUP(LCARS_Off[AbilityID],RawOfficer[AbilityID],RawOfficer[AbilityTarget])</f>
        <v>SelfShip</v>
      </c>
      <c r="Z484" s="519" t="str">
        <f t="array" ref="Z484">XLOOKUP(LCARS_Off[AbilityID],RawOfficer[AbilityID],RawOfficer[AbilityOperation])</f>
        <v>Add</v>
      </c>
      <c r="AA484" s="521" t="str">
        <f t="array" ref="AA484">XLOOKUP(LCARS_Off[AbilityID],RawOfficer[AbilityID],RawOfficer[AbilityDescription])</f>
        <v>When hit by an Armada or Hostile, increases Critical Hit chance by X (X at rank X) for 4 rounds -- (Weapons with multiple shots will only trigger this ability once per attack).</v>
      </c>
      <c r="AB484" s="429" t="b">
        <v>0</v>
      </c>
      <c r="AC484" s="522" t="str">
        <f t="array" ref="AC484">XLOOKUP(LCARS_Off[AbilityID],RawOfficer[AbilityID],RawOfficer[AbilityDescriptionShort])</f>
        <v>When hit by an Armada or Hostile, increases Critical Hit chance by X for 4 rounds.</v>
      </c>
      <c r="AD484" s="523"/>
      <c r="AE484" s="524"/>
      <c r="AF484" s="524"/>
      <c r="AG484" s="525" t="str">
        <f t="array" ref="AG484">XLOOKUP(LCARS_Off[AbilityID],RawOfficer[AbilityID],RawOfficer[AbilityChances])</f>
        <v>1.0, 1.0, 1.0, 1.0, 1.0</v>
      </c>
      <c r="AH484" s="525" t="str">
        <f t="array" ref="AH484">XLOOKUP(LCARS_Off[AbilityID],RawOfficer[AbilityID],RawOfficer[AbilityValues])</f>
        <v>0.04, 0.05, 0.06, 0.08, 0.12</v>
      </c>
      <c r="AI484" s="428" t="b">
        <f t="array" ref="AI484">XLOOKUP(LCARS_Off[AbilityID],RawOfficer[AbilityID],RawOfficer[AbilityHasChance])</f>
        <v>0</v>
      </c>
      <c r="AJ484" s="428" t="b">
        <f t="array" ref="AJ484">XLOOKUP(LCARS_Off[AbilityID],RawOfficer[AbilityID],RawOfficer[AbilityShowPercentage])</f>
        <v>1</v>
      </c>
      <c r="AK484" s="429">
        <f t="array" ref="AK484">XLOOKUP(LCARS_Off[AbilityID],RawOfficer[AbilityID],RawOfficer[OfficerArt])</f>
        <v>284</v>
      </c>
      <c r="AL484" s="430">
        <v>2.985939895E9</v>
      </c>
      <c r="AM484" s="430">
        <f t="array" ref="AM484">XLOOKUP(LCARS_Off[AbilityID],RawOfficer[AbilityID],RawOfficer[Default Order])</f>
        <v>481</v>
      </c>
    </row>
    <row r="485">
      <c r="A485" s="429" t="str">
        <f t="array" ref="A485">LEFT(XLOOKUP(LCARS_Off[AbilityID],RawOfficer[AbilityID],RawOfficer[OfficerRarity]), 1)</f>
        <v>R</v>
      </c>
      <c r="B485" s="429"/>
      <c r="C485" s="514" t="str">
        <f t="array" ref="C485">HYPERLINK("https://stfc.space/officers/" &amp; XLOOKUP(LCARS_Off[AbilityID],RawOfficer[AbilityID],RawOfficer[OfficerId]), XLOOKUP(LCARS_Off[AbilityID],RawOfficer[AbilityID],RawOfficer[OfficerName]))</f>
        <v>BYR CH'KELRER</v>
      </c>
      <c r="D485" s="515" t="str">
        <f t="array" ref="D485">XLOOKUP(LCARS_Off[AbilityID],RawOfficer[AbilityID],RawOfficer[AbilityType])</f>
        <v>OA</v>
      </c>
      <c r="E485" s="516" t="str">
        <f t="array" ref="E485">XLOOKUP(LCARS_Off[AbilityID],RawOfficer[AbilityID],RawOfficer[Tag_PvPinSpace])</f>
        <v>➖</v>
      </c>
      <c r="F485" s="516" t="str">
        <f t="array" ref="F485">XLOOKUP(LCARS_Off[AbilityID],RawOfficer[AbilityID],RawOfficer[Tag_PvPStation])</f>
        <v>➖</v>
      </c>
      <c r="G485" s="516" t="str">
        <f t="array" ref="G485">XLOOKUP(LCARS_Off[AbilityID],RawOfficer[AbilityID],RawOfficer[Tag_NonArmadaHostiles])</f>
        <v>✅</v>
      </c>
      <c r="H485" s="516" t="str">
        <f t="array" ref="H485">XLOOKUP(LCARS_Off[AbilityID],RawOfficer[AbilityID],RawOfficer[Tag_WaveDefense])</f>
        <v>✅</v>
      </c>
      <c r="I485" s="516" t="str">
        <f t="array" ref="I485">XLOOKUP(LCARS_Off[AbilityID],RawOfficer[AbilityID],RawOfficer[Tag_QTrial])</f>
        <v>✅</v>
      </c>
      <c r="J485" s="516" t="str">
        <f t="array" ref="J485">XLOOKUP(LCARS_Off[AbilityID],RawOfficer[AbilityID],RawOfficer[Tag_MissionBosses])</f>
        <v>➖</v>
      </c>
      <c r="K485" s="516" t="str">
        <f t="array" ref="K485">XLOOKUP(LCARS_Off[AbilityID],RawOfficer[AbilityID],RawOfficer[Tag_GroupArmadas])</f>
        <v>✅</v>
      </c>
      <c r="L485" s="516" t="str">
        <f t="array" ref="L485">XLOOKUP(LCARS_Off[AbilityID],RawOfficer[AbilityID],RawOfficer[Tag_SoloArmadas])</f>
        <v>✅</v>
      </c>
      <c r="M485" s="516" t="str">
        <f t="array" ref="M485">XLOOKUP(LCARS_Off[AbilityID],RawOfficer[AbilityID],RawOfficer[Tag_InvadingEntities])</f>
        <v>✅</v>
      </c>
      <c r="N485" s="516" t="str">
        <f t="array" ref="N485">XLOOKUP(LCARS_Off[AbilityID],RawOfficer[AbilityID],RawOfficer[Tag_Assaults])</f>
        <v>➖</v>
      </c>
      <c r="O485" s="516" t="str">
        <f t="array" ref="O485">XLOOKUP(LCARS_Off[AbilityID],RawOfficer[AbilityID],RawOfficer[Tag_OutpostArmadas])</f>
        <v>➖</v>
      </c>
      <c r="P485" s="516" t="str">
        <f t="array" ref="P485">XLOOKUP(LCARS_Off[AbilityID],RawOfficer[AbilityID],RawOfficer[Tag_OutpostRetaliators])</f>
        <v>➖</v>
      </c>
      <c r="Q485" s="517" t="str">
        <f t="array" ref="Q485">XLOOKUP(LCARS_Off[AbilityID],RawOfficer[AbilityID],RawOfficer[Conditional_Reason])</f>
        <v/>
      </c>
      <c r="R485" s="518" t="str">
        <f t="array" ref="R485">XLOOKUP(LCARS_Off[AbilityID],RawOfficer[AbilityID],RawOfficer[Tag_Loot])</f>
        <v>➖</v>
      </c>
      <c r="S485" s="516" t="str">
        <f t="array" ref="S485">XLOOKUP(LCARS_Off[AbilityID],RawOfficer[AbilityID],RawOfficer[Tag_Utility])</f>
        <v>➖</v>
      </c>
      <c r="T485" s="429" t="str">
        <f t="array" ref="T485">XLOOKUP(LCARS_Off[AbilityID],RawOfficer[AbilityID],RawOfficer[OfficerSynergy])</f>
        <v>SYMBIOSIS</v>
      </c>
      <c r="U485" s="519" t="str">
        <f t="array" ref="U485">XLOOKUP(LCARS_Off[AbilityID],RawOfficer[AbilityID],RawOfficer[AbilityModifier])</f>
        <v>CritDamage</v>
      </c>
      <c r="V485" s="519" t="str">
        <f t="array" ref="V485">XLOOKUP(LCARS_Off[AbilityID],RawOfficer[AbilityID],RawOfficer[AbilityAttributes])</f>
        <v>num_rounds=4</v>
      </c>
      <c r="W485" s="520" t="str">
        <f t="array" ref="W485">XLOOKUP(LCARS_Off[AbilityID],RawOfficer[AbilityID],RawOfficer[AbilityConditions])</f>
        <v>EnemyHostile</v>
      </c>
      <c r="X485" s="519" t="str">
        <f t="array" ref="X485">XLOOKUP(LCARS_Off[AbilityID],RawOfficer[AbilityID],RawOfficer[AbilityTrigger])</f>
        <v>HitTaken</v>
      </c>
      <c r="Y485" s="519" t="str">
        <f t="array" ref="Y485">XLOOKUP(LCARS_Off[AbilityID],RawOfficer[AbilityID],RawOfficer[AbilityTarget])</f>
        <v>SelfShip</v>
      </c>
      <c r="Z485" s="519" t="str">
        <f t="array" ref="Z485">XLOOKUP(LCARS_Off[AbilityID],RawOfficer[AbilityID],RawOfficer[AbilityOperation])</f>
        <v>Add</v>
      </c>
      <c r="AA485" s="521" t="str">
        <f t="array" ref="AA485">XLOOKUP(LCARS_Off[AbilityID],RawOfficer[AbilityID],RawOfficer[AbilityDescription])</f>
        <v>When hit by an Armada or Hostile, increases Critical Damage by X (X at rank X) for 4 rounds -- (Weapons with multiple shots will only trigger this ability once per attack).</v>
      </c>
      <c r="AB485" s="429" t="b">
        <v>0</v>
      </c>
      <c r="AC485" s="522" t="str">
        <f t="array" ref="AC485">XLOOKUP(LCARS_Off[AbilityID],RawOfficer[AbilityID],RawOfficer[AbilityDescriptionShort])</f>
        <v>When hit by an Armada or Hostile, increases Critical Damage by X for 4 rounds.</v>
      </c>
      <c r="AD485" s="523"/>
      <c r="AE485" s="524"/>
      <c r="AF485" s="524"/>
      <c r="AG485" s="525" t="str">
        <f t="array" ref="AG485">XLOOKUP(LCARS_Off[AbilityID],RawOfficer[AbilityID],RawOfficer[AbilityChances])</f>
        <v>1.0, 1.0, 1.0, 1.0, 1.0</v>
      </c>
      <c r="AH485" s="525" t="str">
        <f t="array" ref="AH485">XLOOKUP(LCARS_Off[AbilityID],RawOfficer[AbilityID],RawOfficer[AbilityValues])</f>
        <v>0.05, 0.08, 0.12, 0.17, 0.25</v>
      </c>
      <c r="AI485" s="428" t="b">
        <f t="array" ref="AI485">XLOOKUP(LCARS_Off[AbilityID],RawOfficer[AbilityID],RawOfficer[AbilityHasChance])</f>
        <v>0</v>
      </c>
      <c r="AJ485" s="428" t="b">
        <f t="array" ref="AJ485">XLOOKUP(LCARS_Off[AbilityID],RawOfficer[AbilityID],RawOfficer[AbilityShowPercentage])</f>
        <v>1</v>
      </c>
      <c r="AK485" s="429">
        <f t="array" ref="AK485">XLOOKUP(LCARS_Off[AbilityID],RawOfficer[AbilityID],RawOfficer[OfficerArt])</f>
        <v>285</v>
      </c>
      <c r="AL485" s="430">
        <v>2.757146314E9</v>
      </c>
      <c r="AM485" s="430">
        <f t="array" ref="AM485">XLOOKUP(LCARS_Off[AbilityID],RawOfficer[AbilityID],RawOfficer[Default Order])</f>
        <v>482</v>
      </c>
    </row>
    <row r="486">
      <c r="A486" s="429" t="str">
        <f t="array" ref="A486">LEFT(XLOOKUP(LCARS_Off[AbilityID],RawOfficer[AbilityID],RawOfficer[OfficerRarity]), 1)</f>
        <v>R</v>
      </c>
      <c r="B486" s="429"/>
      <c r="C486" s="514" t="str">
        <f t="array" ref="C486">HYPERLINK("https://stfc.space/officers/" &amp; XLOOKUP(LCARS_Off[AbilityID],RawOfficer[AbilityID],RawOfficer[OfficerId]), XLOOKUP(LCARS_Off[AbilityID],RawOfficer[AbilityID],RawOfficer[OfficerName]))</f>
        <v>BYR CH'KELRER</v>
      </c>
      <c r="D486" s="515" t="str">
        <f t="array" ref="D486">XLOOKUP(LCARS_Off[AbilityID],RawOfficer[AbilityID],RawOfficer[AbilityType])</f>
        <v>BDA</v>
      </c>
      <c r="E486" s="516" t="str">
        <f t="array" ref="E486">XLOOKUP(LCARS_Off[AbilityID],RawOfficer[AbilityID],RawOfficer[Tag_PvPinSpace])</f>
        <v>➖</v>
      </c>
      <c r="F486" s="516" t="str">
        <f t="array" ref="F486">XLOOKUP(LCARS_Off[AbilityID],RawOfficer[AbilityID],RawOfficer[Tag_PvPStation])</f>
        <v>➖</v>
      </c>
      <c r="G486" s="516" t="str">
        <f t="array" ref="G486">XLOOKUP(LCARS_Off[AbilityID],RawOfficer[AbilityID],RawOfficer[Tag_NonArmadaHostiles])</f>
        <v>✅</v>
      </c>
      <c r="H486" s="516" t="str">
        <f t="array" ref="H486">XLOOKUP(LCARS_Off[AbilityID],RawOfficer[AbilityID],RawOfficer[Tag_WaveDefense])</f>
        <v>➖</v>
      </c>
      <c r="I486" s="516" t="str">
        <f t="array" ref="I486">XLOOKUP(LCARS_Off[AbilityID],RawOfficer[AbilityID],RawOfficer[Tag_QTrial])</f>
        <v>➖</v>
      </c>
      <c r="J486" s="516" t="str">
        <f t="array" ref="J486">XLOOKUP(LCARS_Off[AbilityID],RawOfficer[AbilityID],RawOfficer[Tag_MissionBosses])</f>
        <v>➖</v>
      </c>
      <c r="K486" s="516" t="str">
        <f t="array" ref="K486">XLOOKUP(LCARS_Off[AbilityID],RawOfficer[AbilityID],RawOfficer[Tag_GroupArmadas])</f>
        <v>➖</v>
      </c>
      <c r="L486" s="516" t="str">
        <f t="array" ref="L486">XLOOKUP(LCARS_Off[AbilityID],RawOfficer[AbilityID],RawOfficer[Tag_SoloArmadas])</f>
        <v>➖</v>
      </c>
      <c r="M486" s="516" t="str">
        <f t="array" ref="M486">XLOOKUP(LCARS_Off[AbilityID],RawOfficer[AbilityID],RawOfficer[Tag_InvadingEntities])</f>
        <v>➖</v>
      </c>
      <c r="N486" s="516" t="str">
        <f t="array" ref="N486">XLOOKUP(LCARS_Off[AbilityID],RawOfficer[AbilityID],RawOfficer[Tag_Assaults])</f>
        <v>➖</v>
      </c>
      <c r="O486" s="516" t="str">
        <f t="array" ref="O486">XLOOKUP(LCARS_Off[AbilityID],RawOfficer[AbilityID],RawOfficer[Tag_OutpostArmadas])</f>
        <v>➖</v>
      </c>
      <c r="P486" s="516" t="str">
        <f t="array" ref="P486">XLOOKUP(LCARS_Off[AbilityID],RawOfficer[AbilityID],RawOfficer[Tag_OutpostRetaliators])</f>
        <v>➖</v>
      </c>
      <c r="Q486" s="517" t="str">
        <f t="array" ref="Q486">XLOOKUP(LCARS_Off[AbilityID],RawOfficer[AbilityID],RawOfficer[Conditional_Reason])</f>
        <v/>
      </c>
      <c r="R486" s="518" t="str">
        <f t="array" ref="R486">XLOOKUP(LCARS_Off[AbilityID],RawOfficer[AbilityID],RawOfficer[Tag_Loot])</f>
        <v>✅</v>
      </c>
      <c r="S486" s="516" t="str">
        <f t="array" ref="S486">XLOOKUP(LCARS_Off[AbilityID],RawOfficer[AbilityID],RawOfficer[Tag_Utility])</f>
        <v>➖</v>
      </c>
      <c r="T486" s="429" t="str">
        <f t="array" ref="T486">XLOOKUP(LCARS_Off[AbilityID],RawOfficer[AbilityID],RawOfficer[OfficerSynergy])</f>
        <v>SYMBIOSIS</v>
      </c>
      <c r="U486" s="519" t="str">
        <f t="array" ref="U486">XLOOKUP(LCARS_Off[AbilityID],RawOfficer[AbilityID],RawOfficer[AbilityModifier])</f>
        <v>HostileLoot</v>
      </c>
      <c r="V486" s="519" t="str">
        <f t="array" ref="V486">XLOOKUP(LCARS_Off[AbilityID],RawOfficer[AbilityID],RawOfficer[AbilityAttributes])</f>
        <v/>
      </c>
      <c r="W486" s="520" t="str">
        <f t="array" ref="W486">XLOOKUP(LCARS_Off[AbilityID],RawOfficer[AbilityID],RawOfficer[AbilityConditions])</f>
        <v/>
      </c>
      <c r="X486" s="519" t="str">
        <f t="array" ref="X486">XLOOKUP(LCARS_Off[AbilityID],RawOfficer[AbilityID],RawOfficer[AbilityTrigger])</f>
        <v>ShipLaunched</v>
      </c>
      <c r="Y486" s="519" t="str">
        <f t="array" ref="Y486">XLOOKUP(LCARS_Off[AbilityID],RawOfficer[AbilityID],RawOfficer[AbilityTarget])</f>
        <v>SelfShip</v>
      </c>
      <c r="Z486" s="519" t="str">
        <f t="array" ref="Z486">XLOOKUP(LCARS_Off[AbilityID],RawOfficer[AbilityID],RawOfficer[AbilityOperation])</f>
        <v>MultiplyAdd</v>
      </c>
      <c r="AA486" s="521" t="str">
        <f t="array" ref="AA486">XLOOKUP(LCARS_Off[AbilityID],RawOfficer[AbilityID],RawOfficer[AbilityDescription])</f>
        <v>Increases base Loot gained from non-Armada Hostiles by X (X at rank X).</v>
      </c>
      <c r="AB486" s="429" t="b">
        <v>0</v>
      </c>
      <c r="AC486" s="522" t="str">
        <f t="array" ref="AC486">XLOOKUP(LCARS_Off[AbilityID],RawOfficer[AbilityID],RawOfficer[AbilityDescriptionShort])</f>
        <v>Increases base Loot gained from non-Armada Hostiles by X.</v>
      </c>
      <c r="AD486" s="523"/>
      <c r="AE486" s="524"/>
      <c r="AF486" s="524"/>
      <c r="AG486" s="525" t="str">
        <f t="array" ref="AG486">XLOOKUP(LCARS_Off[AbilityID],RawOfficer[AbilityID],RawOfficer[AbilityChances])</f>
        <v>1.0, 1.0, 1.0, 1.0, 1.0</v>
      </c>
      <c r="AH486" s="525" t="str">
        <f t="array" ref="AH486">XLOOKUP(LCARS_Off[AbilityID],RawOfficer[AbilityID],RawOfficer[AbilityValues])</f>
        <v>0.15, 0.25, 0.4, 0.65, 1.0</v>
      </c>
      <c r="AI486" s="428" t="b">
        <f t="array" ref="AI486">XLOOKUP(LCARS_Off[AbilityID],RawOfficer[AbilityID],RawOfficer[AbilityHasChance])</f>
        <v>0</v>
      </c>
      <c r="AJ486" s="428" t="b">
        <f t="array" ref="AJ486">XLOOKUP(LCARS_Off[AbilityID],RawOfficer[AbilityID],RawOfficer[AbilityShowPercentage])</f>
        <v>1</v>
      </c>
      <c r="AK486" s="429">
        <f t="array" ref="AK486">XLOOKUP(LCARS_Off[AbilityID],RawOfficer[AbilityID],RawOfficer[OfficerArt])</f>
        <v>285</v>
      </c>
      <c r="AL486" s="430">
        <v>4.77917953E8</v>
      </c>
      <c r="AM486" s="430">
        <f t="array" ref="AM486">XLOOKUP(LCARS_Off[AbilityID],RawOfficer[AbilityID],RawOfficer[Default Order])</f>
        <v>483</v>
      </c>
    </row>
    <row r="487">
      <c r="A487" s="429" t="str">
        <f t="array" ref="A487">LEFT(XLOOKUP(LCARS_Off[AbilityID],RawOfficer[AbilityID],RawOfficer[OfficerRarity]), 1)</f>
        <v>E</v>
      </c>
      <c r="B487" s="429"/>
      <c r="C487" s="514" t="str">
        <f t="array" ref="C487">HYPERLINK("https://stfc.space/officers/" &amp; XLOOKUP(LCARS_Off[AbilityID],RawOfficer[AbilityID],RawOfficer[OfficerId]), XLOOKUP(LCARS_Off[AbilityID],RawOfficer[AbilityID],RawOfficer[OfficerName]))</f>
        <v>PHELLUN</v>
      </c>
      <c r="D487" s="515" t="str">
        <f t="array" ref="D487">XLOOKUP(LCARS_Off[AbilityID],RawOfficer[AbilityID],RawOfficer[AbilityType])</f>
        <v>OA</v>
      </c>
      <c r="E487" s="516" t="str">
        <f t="array" ref="E487">XLOOKUP(LCARS_Off[AbilityID],RawOfficer[AbilityID],RawOfficer[Tag_PvPinSpace])</f>
        <v>➖</v>
      </c>
      <c r="F487" s="516" t="str">
        <f t="array" ref="F487">XLOOKUP(LCARS_Off[AbilityID],RawOfficer[AbilityID],RawOfficer[Tag_PvPStation])</f>
        <v>➖</v>
      </c>
      <c r="G487" s="516" t="str">
        <f t="array" ref="G487">XLOOKUP(LCARS_Off[AbilityID],RawOfficer[AbilityID],RawOfficer[Tag_NonArmadaHostiles])</f>
        <v>✴️</v>
      </c>
      <c r="H487" s="516" t="str">
        <f t="array" ref="H487">XLOOKUP(LCARS_Off[AbilityID],RawOfficer[AbilityID],RawOfficer[Tag_WaveDefense])</f>
        <v>➖</v>
      </c>
      <c r="I487" s="516" t="str">
        <f t="array" ref="I487">XLOOKUP(LCARS_Off[AbilityID],RawOfficer[AbilityID],RawOfficer[Tag_QTrial])</f>
        <v>➖</v>
      </c>
      <c r="J487" s="516" t="str">
        <f t="array" ref="J487">XLOOKUP(LCARS_Off[AbilityID],RawOfficer[AbilityID],RawOfficer[Tag_MissionBosses])</f>
        <v>➖</v>
      </c>
      <c r="K487" s="516" t="str">
        <f t="array" ref="K487">XLOOKUP(LCARS_Off[AbilityID],RawOfficer[AbilityID],RawOfficer[Tag_GroupArmadas])</f>
        <v>✴️</v>
      </c>
      <c r="L487" s="516" t="str">
        <f t="array" ref="L487">XLOOKUP(LCARS_Off[AbilityID],RawOfficer[AbilityID],RawOfficer[Tag_SoloArmadas])</f>
        <v>✴️</v>
      </c>
      <c r="M487" s="516" t="str">
        <f t="array" ref="M487">XLOOKUP(LCARS_Off[AbilityID],RawOfficer[AbilityID],RawOfficer[Tag_InvadingEntities])</f>
        <v>➖</v>
      </c>
      <c r="N487" s="516" t="str">
        <f t="array" ref="N487">XLOOKUP(LCARS_Off[AbilityID],RawOfficer[AbilityID],RawOfficer[Tag_Assaults])</f>
        <v>➖</v>
      </c>
      <c r="O487" s="516" t="str">
        <f t="array" ref="O487">XLOOKUP(LCARS_Off[AbilityID],RawOfficer[AbilityID],RawOfficer[Tag_OutpostArmadas])</f>
        <v>➖</v>
      </c>
      <c r="P487" s="516" t="str">
        <f t="array" ref="P487">XLOOKUP(LCARS_Off[AbilityID],RawOfficer[AbilityID],RawOfficer[Tag_OutpostRetaliators])</f>
        <v>➖</v>
      </c>
      <c r="Q487" s="517" t="str">
        <f t="array" ref="Q487">XLOOKUP(LCARS_Off[AbilityID],RawOfficer[AbilityID],RawOfficer[Conditional_Reason])</f>
        <v>FactionPointsGain</v>
      </c>
      <c r="R487" s="518" t="str">
        <f t="array" ref="R487">XLOOKUP(LCARS_Off[AbilityID],RawOfficer[AbilityID],RawOfficer[Tag_Loot])</f>
        <v>✅</v>
      </c>
      <c r="S487" s="516" t="str">
        <f t="array" ref="S487">XLOOKUP(LCARS_Off[AbilityID],RawOfficer[AbilityID],RawOfficer[Tag_Utility])</f>
        <v>➖</v>
      </c>
      <c r="T487" s="429" t="str">
        <f t="array" ref="T487">XLOOKUP(LCARS_Off[AbilityID],RawOfficer[AbilityID],RawOfficer[OfficerSynergy])</f>
        <v>Syndicate</v>
      </c>
      <c r="U487" s="519" t="str">
        <f t="array" ref="U487">XLOOKUP(LCARS_Off[AbilityID],RawOfficer[AbilityID],RawOfficer[AbilityModifier])</f>
        <v>FactionPointsGain</v>
      </c>
      <c r="V487" s="519" t="str">
        <f t="array" ref="V487">XLOOKUP(LCARS_Off[AbilityID],RawOfficer[AbilityID],RawOfficer[AbilityAttributes])</f>
        <v/>
      </c>
      <c r="W487" s="520" t="str">
        <f t="array" ref="W487">XLOOKUP(LCARS_Off[AbilityID],RawOfficer[AbilityID],RawOfficer[AbilityConditions])</f>
        <v/>
      </c>
      <c r="X487" s="519" t="str">
        <f t="array" ref="X487">XLOOKUP(LCARS_Off[AbilityID],RawOfficer[AbilityID],RawOfficer[AbilityTrigger])</f>
        <v>ShipLaunched</v>
      </c>
      <c r="Y487" s="519" t="str">
        <f t="array" ref="Y487">XLOOKUP(LCARS_Off[AbilityID],RawOfficer[AbilityID],RawOfficer[AbilityTarget])</f>
        <v>SelfShip</v>
      </c>
      <c r="Z487" s="519" t="str">
        <f t="array" ref="Z487">XLOOKUP(LCARS_Off[AbilityID],RawOfficer[AbilityID],RawOfficer[AbilityOperation])</f>
        <v>MultiplyAdd</v>
      </c>
      <c r="AA487" s="521" t="str">
        <f t="array" ref="AA487">XLOOKUP(LCARS_Off[AbilityID],RawOfficer[AbilityID],RawOfficer[AbilityDescription])</f>
        <v>Increases base positive Reputation gained from Federation, Klingon and Romulan Hostiles by X (X at rank X)</v>
      </c>
      <c r="AB487" s="429" t="b">
        <v>1</v>
      </c>
      <c r="AC487" s="522" t="str">
        <f t="array" ref="AC487">XLOOKUP(LCARS_Off[AbilityID],RawOfficer[AbilityID],RawOfficer[AbilityDescriptionShort])</f>
        <v>Increases base positive reputation from Federation, Romulan and Klingon reputation gained by X</v>
      </c>
      <c r="AD487" s="523"/>
      <c r="AE487" s="521" t="s">
        <v>579</v>
      </c>
      <c r="AF487" s="521" t="s">
        <v>576</v>
      </c>
      <c r="AG487" s="525" t="str">
        <f t="array" ref="AG487">XLOOKUP(LCARS_Off[AbilityID],RawOfficer[AbilityID],RawOfficer[AbilityChances])</f>
        <v>1.0, 1.0, 1.0, 1.0, 1.0</v>
      </c>
      <c r="AH487" s="525" t="str">
        <f t="array" ref="AH487">XLOOKUP(LCARS_Off[AbilityID],RawOfficer[AbilityID],RawOfficer[AbilityValues])</f>
        <v>0.5, 1.0, 1.75, 2.5, 4.0</v>
      </c>
      <c r="AI487" s="428" t="b">
        <f t="array" ref="AI487">XLOOKUP(LCARS_Off[AbilityID],RawOfficer[AbilityID],RawOfficer[AbilityHasChance])</f>
        <v>0</v>
      </c>
      <c r="AJ487" s="428" t="b">
        <f t="array" ref="AJ487">XLOOKUP(LCARS_Off[AbilityID],RawOfficer[AbilityID],RawOfficer[AbilityShowPercentage])</f>
        <v>1</v>
      </c>
      <c r="AK487" s="429">
        <f t="array" ref="AK487">XLOOKUP(LCARS_Off[AbilityID],RawOfficer[AbilityID],RawOfficer[OfficerArt])</f>
        <v>286</v>
      </c>
      <c r="AL487" s="430">
        <v>1.628555092E9</v>
      </c>
      <c r="AM487" s="430">
        <f t="array" ref="AM487">XLOOKUP(LCARS_Off[AbilityID],RawOfficer[AbilityID],RawOfficer[Default Order])</f>
        <v>484</v>
      </c>
    </row>
    <row r="488">
      <c r="A488" s="429" t="str">
        <f t="array" ref="A488">LEFT(XLOOKUP(LCARS_Off[AbilityID],RawOfficer[AbilityID],RawOfficer[OfficerRarity]), 1)</f>
        <v>E</v>
      </c>
      <c r="B488" s="429"/>
      <c r="C488" s="514" t="str">
        <f t="array" ref="C488">HYPERLINK("https://stfc.space/officers/" &amp; XLOOKUP(LCARS_Off[AbilityID],RawOfficer[AbilityID],RawOfficer[OfficerId]), XLOOKUP(LCARS_Off[AbilityID],RawOfficer[AbilityID],RawOfficer[OfficerName]))</f>
        <v>PHELLUN</v>
      </c>
      <c r="D488" s="515" t="str">
        <f t="array" ref="D488">XLOOKUP(LCARS_Off[AbilityID],RawOfficer[AbilityID],RawOfficer[AbilityType])</f>
        <v>BDA</v>
      </c>
      <c r="E488" s="516" t="str">
        <f t="array" ref="E488">XLOOKUP(LCARS_Off[AbilityID],RawOfficer[AbilityID],RawOfficer[Tag_PvPinSpace])</f>
        <v>➖</v>
      </c>
      <c r="F488" s="516" t="str">
        <f t="array" ref="F488">XLOOKUP(LCARS_Off[AbilityID],RawOfficer[AbilityID],RawOfficer[Tag_PvPStation])</f>
        <v>➖</v>
      </c>
      <c r="G488" s="516" t="str">
        <f t="array" ref="G488">XLOOKUP(LCARS_Off[AbilityID],RawOfficer[AbilityID],RawOfficer[Tag_NonArmadaHostiles])</f>
        <v>➖</v>
      </c>
      <c r="H488" s="516" t="str">
        <f t="array" ref="H488">XLOOKUP(LCARS_Off[AbilityID],RawOfficer[AbilityID],RawOfficer[Tag_WaveDefense])</f>
        <v>➖</v>
      </c>
      <c r="I488" s="516" t="str">
        <f t="array" ref="I488">XLOOKUP(LCARS_Off[AbilityID],RawOfficer[AbilityID],RawOfficer[Tag_QTrial])</f>
        <v>➖</v>
      </c>
      <c r="J488" s="516" t="str">
        <f t="array" ref="J488">XLOOKUP(LCARS_Off[AbilityID],RawOfficer[AbilityID],RawOfficer[Tag_MissionBosses])</f>
        <v>➖</v>
      </c>
      <c r="K488" s="516" t="str">
        <f t="array" ref="K488">XLOOKUP(LCARS_Off[AbilityID],RawOfficer[AbilityID],RawOfficer[Tag_GroupArmadas])</f>
        <v>➖</v>
      </c>
      <c r="L488" s="516" t="str">
        <f t="array" ref="L488">XLOOKUP(LCARS_Off[AbilityID],RawOfficer[AbilityID],RawOfficer[Tag_SoloArmadas])</f>
        <v>➖</v>
      </c>
      <c r="M488" s="516" t="str">
        <f t="array" ref="M488">XLOOKUP(LCARS_Off[AbilityID],RawOfficer[AbilityID],RawOfficer[Tag_InvadingEntities])</f>
        <v>➖</v>
      </c>
      <c r="N488" s="516" t="str">
        <f t="array" ref="N488">XLOOKUP(LCARS_Off[AbilityID],RawOfficer[AbilityID],RawOfficer[Tag_Assaults])</f>
        <v>➖</v>
      </c>
      <c r="O488" s="516" t="str">
        <f t="array" ref="O488">XLOOKUP(LCARS_Off[AbilityID],RawOfficer[AbilityID],RawOfficer[Tag_OutpostArmadas])</f>
        <v>➖</v>
      </c>
      <c r="P488" s="516" t="str">
        <f t="array" ref="P488">XLOOKUP(LCARS_Off[AbilityID],RawOfficer[AbilityID],RawOfficer[Tag_OutpostRetaliators])</f>
        <v>➖</v>
      </c>
      <c r="Q488" s="517" t="str">
        <f t="array" ref="Q488">XLOOKUP(LCARS_Off[AbilityID],RawOfficer[AbilityID],RawOfficer[Conditional_Reason])</f>
        <v/>
      </c>
      <c r="R488" s="518" t="str">
        <f t="array" ref="R488">XLOOKUP(LCARS_Off[AbilityID],RawOfficer[AbilityID],RawOfficer[Tag_Loot])</f>
        <v>➖</v>
      </c>
      <c r="S488" s="516" t="str">
        <f t="array" ref="S488">XLOOKUP(LCARS_Off[AbilityID],RawOfficer[AbilityID],RawOfficer[Tag_Utility])</f>
        <v>✅</v>
      </c>
      <c r="T488" s="429" t="str">
        <f t="array" ref="T488">XLOOKUP(LCARS_Off[AbilityID],RawOfficer[AbilityID],RawOfficer[OfficerSynergy])</f>
        <v>Syndicate</v>
      </c>
      <c r="U488" s="519" t="str">
        <f t="array" ref="U488">XLOOKUP(LCARS_Off[AbilityID],RawOfficer[AbilityID],RawOfficer[AbilityModifier])</f>
        <v>CargoProtection</v>
      </c>
      <c r="V488" s="519" t="str">
        <f t="array" ref="V488">XLOOKUP(LCARS_Off[AbilityID],RawOfficer[AbilityID],RawOfficer[AbilityAttributes])</f>
        <v/>
      </c>
      <c r="W488" s="520" t="str">
        <f t="array" ref="W488">XLOOKUP(LCARS_Off[AbilityID],RawOfficer[AbilityID],RawOfficer[AbilityConditions])</f>
        <v/>
      </c>
      <c r="X488" s="519" t="str">
        <f t="array" ref="X488">XLOOKUP(LCARS_Off[AbilityID],RawOfficer[AbilityID],RawOfficer[AbilityTrigger])</f>
        <v>ShipLaunched</v>
      </c>
      <c r="Y488" s="519" t="str">
        <f t="array" ref="Y488">XLOOKUP(LCARS_Off[AbilityID],RawOfficer[AbilityID],RawOfficer[AbilityTarget])</f>
        <v>SelfShip</v>
      </c>
      <c r="Z488" s="519" t="str">
        <f t="array" ref="Z488">XLOOKUP(LCARS_Off[AbilityID],RawOfficer[AbilityID],RawOfficer[AbilityOperation])</f>
        <v>MultiplyAdd</v>
      </c>
      <c r="AA488" s="521" t="str">
        <f t="array" ref="AA488">XLOOKUP(LCARS_Off[AbilityID],RawOfficer[AbilityID],RawOfficer[AbilityDescription])</f>
        <v>Increases base protected cargo by X (X at rank X)</v>
      </c>
      <c r="AB488" s="429" t="b">
        <v>0</v>
      </c>
      <c r="AC488" s="522" t="str">
        <f t="array" ref="AC488">XLOOKUP(LCARS_Off[AbilityID],RawOfficer[AbilityID],RawOfficer[AbilityDescriptionShort])</f>
        <v>Increases base protected cargo by X</v>
      </c>
      <c r="AD488" s="523"/>
      <c r="AE488" s="524"/>
      <c r="AF488" s="524"/>
      <c r="AG488" s="525" t="str">
        <f t="array" ref="AG488">XLOOKUP(LCARS_Off[AbilityID],RawOfficer[AbilityID],RawOfficer[AbilityChances])</f>
        <v>1.0, 1.0, 1.0, 1.0, 1.0</v>
      </c>
      <c r="AH488" s="525" t="str">
        <f t="array" ref="AH488">XLOOKUP(LCARS_Off[AbilityID],RawOfficer[AbilityID],RawOfficer[AbilityValues])</f>
        <v>1.0, 1.75, 2.5, 4.0, 6.0</v>
      </c>
      <c r="AI488" s="428" t="b">
        <f t="array" ref="AI488">XLOOKUP(LCARS_Off[AbilityID],RawOfficer[AbilityID],RawOfficer[AbilityHasChance])</f>
        <v>0</v>
      </c>
      <c r="AJ488" s="428" t="b">
        <f t="array" ref="AJ488">XLOOKUP(LCARS_Off[AbilityID],RawOfficer[AbilityID],RawOfficer[AbilityShowPercentage])</f>
        <v>1</v>
      </c>
      <c r="AK488" s="429">
        <f t="array" ref="AK488">XLOOKUP(LCARS_Off[AbilityID],RawOfficer[AbilityID],RawOfficer[OfficerArt])</f>
        <v>286</v>
      </c>
      <c r="AL488" s="430">
        <v>2.654275345E9</v>
      </c>
      <c r="AM488" s="430">
        <f t="array" ref="AM488">XLOOKUP(LCARS_Off[AbilityID],RawOfficer[AbilityID],RawOfficer[Default Order])</f>
        <v>485</v>
      </c>
    </row>
    <row r="489">
      <c r="A489" s="429" t="str">
        <f t="array" ref="A489">LEFT(XLOOKUP(LCARS_Off[AbilityID],RawOfficer[AbilityID],RawOfficer[OfficerRarity]), 1)</f>
        <v>E</v>
      </c>
      <c r="B489" s="429"/>
      <c r="C489" s="514" t="str">
        <f t="array" ref="C489">HYPERLINK("https://stfc.space/officers/" &amp; XLOOKUP(LCARS_Off[AbilityID],RawOfficer[AbilityID],RawOfficer[OfficerId]), XLOOKUP(LCARS_Off[AbilityID],RawOfficer[AbilityID],RawOfficer[OfficerName]))</f>
        <v>MIRROR UHURA</v>
      </c>
      <c r="D489" s="515" t="str">
        <f t="array" ref="D489">XLOOKUP(LCARS_Off[AbilityID],RawOfficer[AbilityID],RawOfficer[AbilityType])</f>
        <v>OA</v>
      </c>
      <c r="E489" s="516" t="str">
        <f t="array" ref="E489">XLOOKUP(LCARS_Off[AbilityID],RawOfficer[AbilityID],RawOfficer[Tag_PvPinSpace])</f>
        <v>✴️</v>
      </c>
      <c r="F489" s="516" t="str">
        <f t="array" ref="F489">XLOOKUP(LCARS_Off[AbilityID],RawOfficer[AbilityID],RawOfficer[Tag_PvPStation])</f>
        <v>➖</v>
      </c>
      <c r="G489" s="516" t="str">
        <f t="array" ref="G489">XLOOKUP(LCARS_Off[AbilityID],RawOfficer[AbilityID],RawOfficer[Tag_NonArmadaHostiles])</f>
        <v>➖</v>
      </c>
      <c r="H489" s="516" t="str">
        <f t="array" ref="H489">XLOOKUP(LCARS_Off[AbilityID],RawOfficer[AbilityID],RawOfficer[Tag_WaveDefense])</f>
        <v>➖</v>
      </c>
      <c r="I489" s="516" t="str">
        <f t="array" ref="I489">XLOOKUP(LCARS_Off[AbilityID],RawOfficer[AbilityID],RawOfficer[Tag_QTrial])</f>
        <v>➖</v>
      </c>
      <c r="J489" s="516" t="str">
        <f t="array" ref="J489">XLOOKUP(LCARS_Off[AbilityID],RawOfficer[AbilityID],RawOfficer[Tag_MissionBosses])</f>
        <v>➖</v>
      </c>
      <c r="K489" s="516" t="str">
        <f t="array" ref="K489">XLOOKUP(LCARS_Off[AbilityID],RawOfficer[AbilityID],RawOfficer[Tag_GroupArmadas])</f>
        <v>➖</v>
      </c>
      <c r="L489" s="516" t="str">
        <f t="array" ref="L489">XLOOKUP(LCARS_Off[AbilityID],RawOfficer[AbilityID],RawOfficer[Tag_SoloArmadas])</f>
        <v>➖</v>
      </c>
      <c r="M489" s="516" t="str">
        <f t="array" ref="M489">XLOOKUP(LCARS_Off[AbilityID],RawOfficer[AbilityID],RawOfficer[Tag_InvadingEntities])</f>
        <v>➖</v>
      </c>
      <c r="N489" s="516" t="str">
        <f t="array" ref="N489">XLOOKUP(LCARS_Off[AbilityID],RawOfficer[AbilityID],RawOfficer[Tag_Assaults])</f>
        <v>➖</v>
      </c>
      <c r="O489" s="516" t="str">
        <f t="array" ref="O489">XLOOKUP(LCARS_Off[AbilityID],RawOfficer[AbilityID],RawOfficer[Tag_OutpostArmadas])</f>
        <v>➖</v>
      </c>
      <c r="P489" s="516" t="str">
        <f t="array" ref="P489">XLOOKUP(LCARS_Off[AbilityID],RawOfficer[AbilityID],RawOfficer[Tag_OutpostRetaliators])</f>
        <v>➖</v>
      </c>
      <c r="Q489" s="517" t="str">
        <f t="array" ref="Q489">XLOOKUP(LCARS_Off[AbilityID],RawOfficer[AbilityID],RawOfficer[Conditional_Reason])</f>
        <v>TargetHasAssimilated, SelfOfficerTalNotOnBridge</v>
      </c>
      <c r="R489" s="518" t="str">
        <f t="array" ref="R489">XLOOKUP(LCARS_Off[AbilityID],RawOfficer[AbilityID],RawOfficer[Tag_Loot])</f>
        <v>➖</v>
      </c>
      <c r="S489" s="516" t="str">
        <f t="array" ref="S489">XLOOKUP(LCARS_Off[AbilityID],RawOfficer[AbilityID],RawOfficer[Tag_Utility])</f>
        <v>➖</v>
      </c>
      <c r="T489" s="429" t="str">
        <f t="array" ref="T489">XLOOKUP(LCARS_Off[AbilityID],RawOfficer[AbilityID],RawOfficer[OfficerSynergy])</f>
        <v>MIRROR UNIVERSE</v>
      </c>
      <c r="U489" s="519" t="str">
        <f t="array" ref="U489">XLOOKUP(LCARS_Off[AbilityID],RawOfficer[AbilityID],RawOfficer[AbilityModifier])</f>
        <v>ApexBarrier</v>
      </c>
      <c r="V489" s="519" t="str">
        <f t="array" ref="V489">XLOOKUP(LCARS_Off[AbilityID],RawOfficer[AbilityID],RawOfficer[AbilityAttributes])</f>
        <v>num_rounds=2</v>
      </c>
      <c r="W489" s="520" t="str">
        <f t="array" ref="W489">XLOOKUP(LCARS_Off[AbilityID],RawOfficer[AbilityID],RawOfficer[AbilityConditions])</f>
        <v>TargetNotPlayerStation, EnemyPlayer, TargetHasAssimilated, SelfOfficerTalNotOnBridge</v>
      </c>
      <c r="X489" s="519" t="str">
        <f t="array" ref="X489">XLOOKUP(LCARS_Off[AbilityID],RawOfficer[AbilityID],RawOfficer[AbilityTrigger])</f>
        <v>HullDamageTaken</v>
      </c>
      <c r="Y489" s="519" t="str">
        <f t="array" ref="Y489">XLOOKUP(LCARS_Off[AbilityID],RawOfficer[AbilityID],RawOfficer[AbilityTarget])</f>
        <v>SelfShip</v>
      </c>
      <c r="Z489" s="519" t="str">
        <f t="array" ref="Z489">XLOOKUP(LCARS_Off[AbilityID],RawOfficer[AbilityID],RawOfficer[AbilityOperation])</f>
        <v>MultiplyAdd</v>
      </c>
      <c r="AA489" s="521" t="str">
        <f t="array" ref="AA489">XLOOKUP(LCARS_Off[AbilityID],RawOfficer[AbilityID],RawOfficer[AbilityDescription])</f>
        <v>Increases your existing Apex Barrier by X (X at rank X) for 2 rounds after receiving HHP damage from a player ship with Assimilate (Once per weapon). -- This ability does not trigger when Tal is assigned to the bridge of your ship or during station combat.</v>
      </c>
      <c r="AB489" s="429" t="b">
        <v>0</v>
      </c>
      <c r="AC489" s="522" t="str">
        <f t="array" ref="AC489">XLOOKUP(LCARS_Off[AbilityID],RawOfficer[AbilityID],RawOfficer[AbilityDescriptionShort])</f>
        <v>+X to existing Apex Barrier when you are hit by a player with Assimilate.</v>
      </c>
      <c r="AD489" s="523"/>
      <c r="AE489" s="524"/>
      <c r="AF489" s="524"/>
      <c r="AG489" s="525" t="str">
        <f t="array" ref="AG489">XLOOKUP(LCARS_Off[AbilityID],RawOfficer[AbilityID],RawOfficer[AbilityChances])</f>
        <v>1.0, 1.0, 1.0, 1.0, 1.0</v>
      </c>
      <c r="AH489" s="525" t="str">
        <f t="array" ref="AH489">XLOOKUP(LCARS_Off[AbilityID],RawOfficer[AbilityID],RawOfficer[AbilityValues])</f>
        <v>0.4, 0.5, 0.6, 0.8, 1.0</v>
      </c>
      <c r="AI489" s="428" t="b">
        <f t="array" ref="AI489">XLOOKUP(LCARS_Off[AbilityID],RawOfficer[AbilityID],RawOfficer[AbilityHasChance])</f>
        <v>0</v>
      </c>
      <c r="AJ489" s="428" t="b">
        <f t="array" ref="AJ489">XLOOKUP(LCARS_Off[AbilityID],RawOfficer[AbilityID],RawOfficer[AbilityShowPercentage])</f>
        <v>1</v>
      </c>
      <c r="AK489" s="429">
        <f t="array" ref="AK489">XLOOKUP(LCARS_Off[AbilityID],RawOfficer[AbilityID],RawOfficer[OfficerArt])</f>
        <v>916</v>
      </c>
      <c r="AL489" s="430">
        <v>1.914828553E9</v>
      </c>
      <c r="AM489" s="430">
        <f t="array" ref="AM489">XLOOKUP(LCARS_Off[AbilityID],RawOfficer[AbilityID],RawOfficer[Default Order])</f>
        <v>486</v>
      </c>
    </row>
    <row r="490">
      <c r="A490" s="429" t="str">
        <f t="array" ref="A490">LEFT(XLOOKUP(LCARS_Off[AbilityID],RawOfficer[AbilityID],RawOfficer[OfficerRarity]), 1)</f>
        <v>E</v>
      </c>
      <c r="B490" s="429"/>
      <c r="C490" s="514" t="str">
        <f t="array" ref="C490">HYPERLINK("https://stfc.space/officers/" &amp; XLOOKUP(LCARS_Off[AbilityID],RawOfficer[AbilityID],RawOfficer[OfficerId]), XLOOKUP(LCARS_Off[AbilityID],RawOfficer[AbilityID],RawOfficer[OfficerName]))</f>
        <v>MIRROR UHURA</v>
      </c>
      <c r="D490" s="515" t="str">
        <f t="array" ref="D490">XLOOKUP(LCARS_Off[AbilityID],RawOfficer[AbilityID],RawOfficer[AbilityType])</f>
        <v>BDA</v>
      </c>
      <c r="E490" s="516" t="str">
        <f t="array" ref="E490">XLOOKUP(LCARS_Off[AbilityID],RawOfficer[AbilityID],RawOfficer[Tag_PvPinSpace])</f>
        <v>➖</v>
      </c>
      <c r="F490" s="516" t="str">
        <f t="array" ref="F490">XLOOKUP(LCARS_Off[AbilityID],RawOfficer[AbilityID],RawOfficer[Tag_PvPStation])</f>
        <v>➖</v>
      </c>
      <c r="G490" s="516" t="str">
        <f t="array" ref="G490">XLOOKUP(LCARS_Off[AbilityID],RawOfficer[AbilityID],RawOfficer[Tag_NonArmadaHostiles])</f>
        <v>✴️</v>
      </c>
      <c r="H490" s="516" t="str">
        <f t="array" ref="H490">XLOOKUP(LCARS_Off[AbilityID],RawOfficer[AbilityID],RawOfficer[Tag_WaveDefense])</f>
        <v>✴️</v>
      </c>
      <c r="I490" s="516" t="str">
        <f t="array" ref="I490">XLOOKUP(LCARS_Off[AbilityID],RawOfficer[AbilityID],RawOfficer[Tag_QTrial])</f>
        <v>✴️</v>
      </c>
      <c r="J490" s="516" t="str">
        <f t="array" ref="J490">XLOOKUP(LCARS_Off[AbilityID],RawOfficer[AbilityID],RawOfficer[Tag_MissionBosses])</f>
        <v>➖</v>
      </c>
      <c r="K490" s="516" t="str">
        <f t="array" ref="K490">XLOOKUP(LCARS_Off[AbilityID],RawOfficer[AbilityID],RawOfficer[Tag_GroupArmadas])</f>
        <v>➖</v>
      </c>
      <c r="L490" s="516" t="str">
        <f t="array" ref="L490">XLOOKUP(LCARS_Off[AbilityID],RawOfficer[AbilityID],RawOfficer[Tag_SoloArmadas])</f>
        <v>➖</v>
      </c>
      <c r="M490" s="516" t="str">
        <f t="array" ref="M490">XLOOKUP(LCARS_Off[AbilityID],RawOfficer[AbilityID],RawOfficer[Tag_InvadingEntities])</f>
        <v>➖</v>
      </c>
      <c r="N490" s="516" t="str">
        <f t="array" ref="N490">XLOOKUP(LCARS_Off[AbilityID],RawOfficer[AbilityID],RawOfficer[Tag_Assaults])</f>
        <v>➖</v>
      </c>
      <c r="O490" s="516" t="str">
        <f t="array" ref="O490">XLOOKUP(LCARS_Off[AbilityID],RawOfficer[AbilityID],RawOfficer[Tag_OutpostArmadas])</f>
        <v>➖</v>
      </c>
      <c r="P490" s="516" t="str">
        <f t="array" ref="P490">XLOOKUP(LCARS_Off[AbilityID],RawOfficer[AbilityID],RawOfficer[Tag_OutpostRetaliators])</f>
        <v>➖</v>
      </c>
      <c r="Q490" s="517" t="str">
        <f t="array" ref="Q490">XLOOKUP(LCARS_Off[AbilityID],RawOfficer[AbilityID],RawOfficer[Conditional_Reason])</f>
        <v>SelfOfficerTalNotOnBridge</v>
      </c>
      <c r="R490" s="518" t="str">
        <f t="array" ref="R490">XLOOKUP(LCARS_Off[AbilityID],RawOfficer[AbilityID],RawOfficer[Tag_Loot])</f>
        <v>➖</v>
      </c>
      <c r="S490" s="516" t="str">
        <f t="array" ref="S490">XLOOKUP(LCARS_Off[AbilityID],RawOfficer[AbilityID],RawOfficer[Tag_Utility])</f>
        <v>➖</v>
      </c>
      <c r="T490" s="429" t="str">
        <f t="array" ref="T490">XLOOKUP(LCARS_Off[AbilityID],RawOfficer[AbilityID],RawOfficer[OfficerSynergy])</f>
        <v>MIRROR UNIVERSE</v>
      </c>
      <c r="U490" s="519" t="str">
        <f t="array" ref="U490">XLOOKUP(LCARS_Off[AbilityID],RawOfficer[AbilityID],RawOfficer[AbilityModifier])</f>
        <v>ApexBarrier</v>
      </c>
      <c r="V490" s="519" t="str">
        <f t="array" ref="V490">XLOOKUP(LCARS_Off[AbilityID],RawOfficer[AbilityID],RawOfficer[AbilityAttributes])</f>
        <v/>
      </c>
      <c r="W490" s="520" t="str">
        <f t="array" ref="W490">XLOOKUP(LCARS_Off[AbilityID],RawOfficer[AbilityID],RawOfficer[AbilityConditions])</f>
        <v>EnemyHostile, TargetNotArmada, SelfOfficerTalNotOnBridge</v>
      </c>
      <c r="X490" s="519" t="str">
        <f t="array" ref="X490">XLOOKUP(LCARS_Off[AbilityID],RawOfficer[AbilityID],RawOfficer[AbilityTrigger])</f>
        <v>CombatStart</v>
      </c>
      <c r="Y490" s="519" t="str">
        <f t="array" ref="Y490">XLOOKUP(LCARS_Off[AbilityID],RawOfficer[AbilityID],RawOfficer[AbilityTarget])</f>
        <v>SelfShip</v>
      </c>
      <c r="Z490" s="519" t="str">
        <f t="array" ref="Z490">XLOOKUP(LCARS_Off[AbilityID],RawOfficer[AbilityID],RawOfficer[AbilityOperation])</f>
        <v>Add</v>
      </c>
      <c r="AA490" s="521" t="str">
        <f t="array" ref="AA490">XLOOKUP(LCARS_Off[AbilityID],RawOfficer[AbilityID],RawOfficer[AbilityDescription])</f>
        <v>Increases your Apex Barrier by X (X at rank X) at the start of combat versus non-Armada Hostiles. -- This ability does not trigger when Tal is assigned to the bridge of your ship.</v>
      </c>
      <c r="AB490" s="429" t="b">
        <v>0</v>
      </c>
      <c r="AC490" s="522" t="str">
        <f t="array" ref="AC490">XLOOKUP(LCARS_Off[AbilityID],RawOfficer[AbilityID],RawOfficer[AbilityDescriptionShort])</f>
        <v>+X to Apex Barrier at the start of combat against non-Armada Hostiles.</v>
      </c>
      <c r="AD490" s="523"/>
      <c r="AE490" s="524"/>
      <c r="AF490" s="524"/>
      <c r="AG490" s="525" t="str">
        <f t="array" ref="AG490">XLOOKUP(LCARS_Off[AbilityID],RawOfficer[AbilityID],RawOfficer[AbilityChances])</f>
        <v>1.0, 1.0, 1.0, 1.0, 1.0</v>
      </c>
      <c r="AH490" s="525" t="str">
        <f t="array" ref="AH490">XLOOKUP(LCARS_Off[AbilityID],RawOfficer[AbilityID],RawOfficer[AbilityValues])</f>
        <v>700.0, 900.0, 1200.0, 1600.0, 2000.0</v>
      </c>
      <c r="AI490" s="428" t="b">
        <f t="array" ref="AI490">XLOOKUP(LCARS_Off[AbilityID],RawOfficer[AbilityID],RawOfficer[AbilityHasChance])</f>
        <v>0</v>
      </c>
      <c r="AJ490" s="428" t="b">
        <f t="array" ref="AJ490">XLOOKUP(LCARS_Off[AbilityID],RawOfficer[AbilityID],RawOfficer[AbilityShowPercentage])</f>
        <v>0</v>
      </c>
      <c r="AK490" s="429">
        <f t="array" ref="AK490">XLOOKUP(LCARS_Off[AbilityID],RawOfficer[AbilityID],RawOfficer[OfficerArt])</f>
        <v>916</v>
      </c>
      <c r="AL490" s="430">
        <v>6.19430526E8</v>
      </c>
      <c r="AM490" s="430">
        <f t="array" ref="AM490">XLOOKUP(LCARS_Off[AbilityID],RawOfficer[AbilityID],RawOfficer[Default Order])</f>
        <v>487</v>
      </c>
    </row>
    <row r="491">
      <c r="A491" s="429" t="str">
        <f t="array" ref="A491">LEFT(XLOOKUP(LCARS_Off[AbilityID],RawOfficer[AbilityID],RawOfficer[OfficerRarity]), 1)</f>
        <v>E</v>
      </c>
      <c r="B491" s="429"/>
      <c r="C491" s="514" t="str">
        <f t="array" ref="C491">HYPERLINK("https://stfc.space/officers/" &amp; XLOOKUP(LCARS_Off[AbilityID],RawOfficer[AbilityID],RawOfficer[OfficerId]), XLOOKUP(LCARS_Off[AbilityID],RawOfficer[AbilityID],RawOfficer[OfficerName]))</f>
        <v>STARFLEET Q</v>
      </c>
      <c r="D491" s="515" t="str">
        <f t="array" ref="D491">XLOOKUP(LCARS_Off[AbilityID],RawOfficer[AbilityID],RawOfficer[AbilityType])</f>
        <v>CM</v>
      </c>
      <c r="E491" s="516" t="str">
        <f t="array" ref="E491">XLOOKUP(LCARS_Off[AbilityID],RawOfficer[AbilityID],RawOfficer[Tag_PvPinSpace])</f>
        <v>✅</v>
      </c>
      <c r="F491" s="516" t="str">
        <f t="array" ref="F491">XLOOKUP(LCARS_Off[AbilityID],RawOfficer[AbilityID],RawOfficer[Tag_PvPStation])</f>
        <v>✅</v>
      </c>
      <c r="G491" s="516" t="str">
        <f t="array" ref="G491">XLOOKUP(LCARS_Off[AbilityID],RawOfficer[AbilityID],RawOfficer[Tag_NonArmadaHostiles])</f>
        <v>➖</v>
      </c>
      <c r="H491" s="516" t="str">
        <f t="array" ref="H491">XLOOKUP(LCARS_Off[AbilityID],RawOfficer[AbilityID],RawOfficer[Tag_WaveDefense])</f>
        <v>➖</v>
      </c>
      <c r="I491" s="516" t="str">
        <f t="array" ref="I491">XLOOKUP(LCARS_Off[AbilityID],RawOfficer[AbilityID],RawOfficer[Tag_QTrial])</f>
        <v>➖</v>
      </c>
      <c r="J491" s="516" t="str">
        <f t="array" ref="J491">XLOOKUP(LCARS_Off[AbilityID],RawOfficer[AbilityID],RawOfficer[Tag_MissionBosses])</f>
        <v>➖</v>
      </c>
      <c r="K491" s="516" t="str">
        <f t="array" ref="K491">XLOOKUP(LCARS_Off[AbilityID],RawOfficer[AbilityID],RawOfficer[Tag_GroupArmadas])</f>
        <v>➖</v>
      </c>
      <c r="L491" s="516" t="str">
        <f t="array" ref="L491">XLOOKUP(LCARS_Off[AbilityID],RawOfficer[AbilityID],RawOfficer[Tag_SoloArmadas])</f>
        <v>➖</v>
      </c>
      <c r="M491" s="516" t="str">
        <f t="array" ref="M491">XLOOKUP(LCARS_Off[AbilityID],RawOfficer[AbilityID],RawOfficer[Tag_InvadingEntities])</f>
        <v>➖</v>
      </c>
      <c r="N491" s="516" t="str">
        <f t="array" ref="N491">XLOOKUP(LCARS_Off[AbilityID],RawOfficer[AbilityID],RawOfficer[Tag_Assaults])</f>
        <v>➖</v>
      </c>
      <c r="O491" s="516" t="str">
        <f t="array" ref="O491">XLOOKUP(LCARS_Off[AbilityID],RawOfficer[AbilityID],RawOfficer[Tag_OutpostArmadas])</f>
        <v>➖</v>
      </c>
      <c r="P491" s="516" t="str">
        <f t="array" ref="P491">XLOOKUP(LCARS_Off[AbilityID],RawOfficer[AbilityID],RawOfficer[Tag_OutpostRetaliators])</f>
        <v>➖</v>
      </c>
      <c r="Q491" s="517" t="str">
        <f t="array" ref="Q491">XLOOKUP(LCARS_Off[AbilityID],RawOfficer[AbilityID],RawOfficer[Conditional_Reason])</f>
        <v/>
      </c>
      <c r="R491" s="518" t="str">
        <f t="array" ref="R491">XLOOKUP(LCARS_Off[AbilityID],RawOfficer[AbilityID],RawOfficer[Tag_Loot])</f>
        <v>➖</v>
      </c>
      <c r="S491" s="516" t="str">
        <f t="array" ref="S491">XLOOKUP(LCARS_Off[AbilityID],RawOfficer[AbilityID],RawOfficer[Tag_Utility])</f>
        <v>➖</v>
      </c>
      <c r="T491" s="429" t="str">
        <f t="array" ref="T491">XLOOKUP(LCARS_Off[AbilityID],RawOfficer[AbilityID],RawOfficer[OfficerSynergy])</f>
        <v>INTERCEPTOR RETALIATION SQUAD</v>
      </c>
      <c r="U491" s="519" t="str">
        <f t="array" ref="U491">XLOOKUP(LCARS_Off[AbilityID],RawOfficer[AbilityID],RawOfficer[AbilityModifier])</f>
        <v>AddState</v>
      </c>
      <c r="V491" s="519" t="str">
        <f t="array" ref="V491">XLOOKUP(LCARS_Off[AbilityID],RawOfficer[AbilityID],RawOfficer[AbilityAttributes])</f>
        <v>num_rounds=1, state=8</v>
      </c>
      <c r="W491" s="520" t="str">
        <f t="array" ref="W491">XLOOKUP(LCARS_Off[AbilityID],RawOfficer[AbilityID],RawOfficer[AbilityConditions])</f>
        <v>EnemyPlayer</v>
      </c>
      <c r="X491" s="519" t="str">
        <f t="array" ref="X491">XLOOKUP(LCARS_Off[AbilityID],RawOfficer[AbilityID],RawOfficer[AbilityTrigger])</f>
        <v>RoundStart</v>
      </c>
      <c r="Y491" s="519" t="str">
        <f t="array" ref="Y491">XLOOKUP(LCARS_Off[AbilityID],RawOfficer[AbilityID],RawOfficer[AbilityTarget])</f>
        <v>SelfShip</v>
      </c>
      <c r="Z491" s="519" t="str">
        <f t="array" ref="Z491">XLOOKUP(LCARS_Off[AbilityID],RawOfficer[AbilityID],RawOfficer[AbilityOperation])</f>
        <v>MultiplyAdd</v>
      </c>
      <c r="AA491" s="521" t="str">
        <f t="array" ref="AA491">XLOOKUP(LCARS_Off[AbilityID],RawOfficer[AbilityID],RawOfficer[AbilityDescription])</f>
        <v>On round start against players, Starfleet Q has X chance to apply Morale to your ship for 1 round.</v>
      </c>
      <c r="AB491" s="429" t="b">
        <v>0</v>
      </c>
      <c r="AC491" s="522" t="str">
        <f t="array" ref="AC491">XLOOKUP(LCARS_Off[AbilityID],RawOfficer[AbilityID],RawOfficer[AbilityDescriptionShort])</f>
        <v>On round start against players, Starfleet Q has +X chance to apply Morale to your ship for 1 round.</v>
      </c>
      <c r="AD491" s="523"/>
      <c r="AE491" s="524"/>
      <c r="AF491" s="524"/>
      <c r="AG491" s="525" t="str">
        <f t="array" ref="AG491">XLOOKUP(LCARS_Off[AbilityID],RawOfficer[AbilityID],RawOfficer[AbilityChances])</f>
        <v>0.4, 0.1, 0.3</v>
      </c>
      <c r="AH491" s="525" t="str">
        <f t="array" ref="AH491">XLOOKUP(LCARS_Off[AbilityID],RawOfficer[AbilityID],RawOfficer[AbilityValues])</f>
        <v>1.0, 1.0, 1.0</v>
      </c>
      <c r="AI491" s="428" t="b">
        <f t="array" ref="AI491">XLOOKUP(LCARS_Off[AbilityID],RawOfficer[AbilityID],RawOfficer[AbilityHasChance])</f>
        <v>1</v>
      </c>
      <c r="AJ491" s="428" t="b">
        <f t="array" ref="AJ491">XLOOKUP(LCARS_Off[AbilityID],RawOfficer[AbilityID],RawOfficer[AbilityShowPercentage])</f>
        <v>1</v>
      </c>
      <c r="AK491" s="429">
        <f t="array" ref="AK491">XLOOKUP(LCARS_Off[AbilityID],RawOfficer[AbilityID],RawOfficer[OfficerArt])</f>
        <v>290</v>
      </c>
      <c r="AL491" s="430">
        <v>3.276152561E9</v>
      </c>
      <c r="AM491" s="430">
        <f t="array" ref="AM491">XLOOKUP(LCARS_Off[AbilityID],RawOfficer[AbilityID],RawOfficer[Default Order])</f>
        <v>488</v>
      </c>
    </row>
    <row r="492">
      <c r="A492" s="429" t="str">
        <f t="array" ref="A492">LEFT(XLOOKUP(LCARS_Off[AbilityID],RawOfficer[AbilityID],RawOfficer[OfficerRarity]), 1)</f>
        <v>E</v>
      </c>
      <c r="B492" s="429"/>
      <c r="C492" s="514" t="str">
        <f t="array" ref="C492">HYPERLINK("https://stfc.space/officers/" &amp; XLOOKUP(LCARS_Off[AbilityID],RawOfficer[AbilityID],RawOfficer[OfficerId]), XLOOKUP(LCARS_Off[AbilityID],RawOfficer[AbilityID],RawOfficer[OfficerName]))</f>
        <v>STARFLEET Q</v>
      </c>
      <c r="D492" s="515" t="str">
        <f t="array" ref="D492">XLOOKUP(LCARS_Off[AbilityID],RawOfficer[AbilityID],RawOfficer[AbilityType])</f>
        <v>OA</v>
      </c>
      <c r="E492" s="516" t="str">
        <f t="array" ref="E492">XLOOKUP(LCARS_Off[AbilityID],RawOfficer[AbilityID],RawOfficer[Tag_PvPinSpace])</f>
        <v>✴️</v>
      </c>
      <c r="F492" s="516" t="str">
        <f t="array" ref="F492">XLOOKUP(LCARS_Off[AbilityID],RawOfficer[AbilityID],RawOfficer[Tag_PvPStation])</f>
        <v>✴️</v>
      </c>
      <c r="G492" s="516" t="str">
        <f t="array" ref="G492">XLOOKUP(LCARS_Off[AbilityID],RawOfficer[AbilityID],RawOfficer[Tag_NonArmadaHostiles])</f>
        <v>➖</v>
      </c>
      <c r="H492" s="516" t="str">
        <f t="array" ref="H492">XLOOKUP(LCARS_Off[AbilityID],RawOfficer[AbilityID],RawOfficer[Tag_WaveDefense])</f>
        <v>➖</v>
      </c>
      <c r="I492" s="516" t="str">
        <f t="array" ref="I492">XLOOKUP(LCARS_Off[AbilityID],RawOfficer[AbilityID],RawOfficer[Tag_QTrial])</f>
        <v>➖</v>
      </c>
      <c r="J492" s="516" t="str">
        <f t="array" ref="J492">XLOOKUP(LCARS_Off[AbilityID],RawOfficer[AbilityID],RawOfficer[Tag_MissionBosses])</f>
        <v>➖</v>
      </c>
      <c r="K492" s="516" t="str">
        <f t="array" ref="K492">XLOOKUP(LCARS_Off[AbilityID],RawOfficer[AbilityID],RawOfficer[Tag_GroupArmadas])</f>
        <v>➖</v>
      </c>
      <c r="L492" s="516" t="str">
        <f t="array" ref="L492">XLOOKUP(LCARS_Off[AbilityID],RawOfficer[AbilityID],RawOfficer[Tag_SoloArmadas])</f>
        <v>➖</v>
      </c>
      <c r="M492" s="516" t="str">
        <f t="array" ref="M492">XLOOKUP(LCARS_Off[AbilityID],RawOfficer[AbilityID],RawOfficer[Tag_InvadingEntities])</f>
        <v>➖</v>
      </c>
      <c r="N492" s="516" t="str">
        <f t="array" ref="N492">XLOOKUP(LCARS_Off[AbilityID],RawOfficer[AbilityID],RawOfficer[Tag_Assaults])</f>
        <v>➖</v>
      </c>
      <c r="O492" s="516" t="str">
        <f t="array" ref="O492">XLOOKUP(LCARS_Off[AbilityID],RawOfficer[AbilityID],RawOfficer[Tag_OutpostArmadas])</f>
        <v>➖</v>
      </c>
      <c r="P492" s="516" t="str">
        <f t="array" ref="P492">XLOOKUP(LCARS_Off[AbilityID],RawOfficer[AbilityID],RawOfficer[Tag_OutpostRetaliators])</f>
        <v>➖</v>
      </c>
      <c r="Q492" s="517" t="str">
        <f t="array" ref="Q492">XLOOKUP(LCARS_Off[AbilityID],RawOfficer[AbilityID],RawOfficer[Conditional_Reason])</f>
        <v>SelfHasMorale, EnemyInterceptor, SelfOfficerTalNotOnBridge</v>
      </c>
      <c r="R492" s="518" t="str">
        <f t="array" ref="R492">XLOOKUP(LCARS_Off[AbilityID],RawOfficer[AbilityID],RawOfficer[Tag_Loot])</f>
        <v>➖</v>
      </c>
      <c r="S492" s="516" t="str">
        <f t="array" ref="S492">XLOOKUP(LCARS_Off[AbilityID],RawOfficer[AbilityID],RawOfficer[Tag_Utility])</f>
        <v>➖</v>
      </c>
      <c r="T492" s="429" t="str">
        <f t="array" ref="T492">XLOOKUP(LCARS_Off[AbilityID],RawOfficer[AbilityID],RawOfficer[OfficerSynergy])</f>
        <v>INTERCEPTOR RETALIATION SQUAD</v>
      </c>
      <c r="U492" s="519" t="str">
        <f t="array" ref="U492">XLOOKUP(LCARS_Off[AbilityID],RawOfficer[AbilityID],RawOfficer[AbilityModifier])</f>
        <v>ApexBarrier</v>
      </c>
      <c r="V492" s="519" t="str">
        <f t="array" ref="V492">XLOOKUP(LCARS_Off[AbilityID],RawOfficer[AbilityID],RawOfficer[AbilityAttributes])</f>
        <v>num_rounds=5</v>
      </c>
      <c r="W492" s="520" t="str">
        <f t="array" ref="W492">XLOOKUP(LCARS_Off[AbilityID],RawOfficer[AbilityID],RawOfficer[AbilityConditions])</f>
        <v>SelfHasMorale, EnemyPlayer, EnemyInterceptor, SelfOfficerTalNotOnBridge</v>
      </c>
      <c r="X492" s="519" t="str">
        <f t="array" ref="X492">XLOOKUP(LCARS_Off[AbilityID],RawOfficer[AbilityID],RawOfficer[AbilityTrigger])</f>
        <v>RoundStart</v>
      </c>
      <c r="Y492" s="519" t="str">
        <f t="array" ref="Y492">XLOOKUP(LCARS_Off[AbilityID],RawOfficer[AbilityID],RawOfficer[AbilityTarget])</f>
        <v>SelfShip</v>
      </c>
      <c r="Z492" s="519" t="str">
        <f t="array" ref="Z492">XLOOKUP(LCARS_Off[AbilityID],RawOfficer[AbilityID],RawOfficer[AbilityOperation])</f>
        <v>Add</v>
      </c>
      <c r="AA492" s="521" t="str">
        <f t="array" ref="AA492">XLOOKUP(LCARS_Off[AbilityID],RawOfficer[AbilityID],RawOfficer[AbilityDescription])</f>
        <v>On round start, if placed on a ship with Morale against players commanding an Interceptor, Starfleet Q increases your Apex Barrier by X (X at rank X) for 5 rounds. -- This ability does not trigger when Tal is assigned to the bridge of your ship.</v>
      </c>
      <c r="AB492" s="429" t="b">
        <v>0</v>
      </c>
      <c r="AC492" s="522" t="str">
        <f t="array" ref="AC492">XLOOKUP(LCARS_Off[AbilityID],RawOfficer[AbilityID],RawOfficer[AbilityDescriptionShort])</f>
        <v>On round start, if on a ship with Morale against players commanding an Interceptor, increase your Apex Barrier by X for 5 rounds.</v>
      </c>
      <c r="AD492" s="523"/>
      <c r="AE492" s="524"/>
      <c r="AF492" s="524"/>
      <c r="AG492" s="525" t="str">
        <f t="array" ref="AG492">XLOOKUP(LCARS_Off[AbilityID],RawOfficer[AbilityID],RawOfficer[AbilityChances])</f>
        <v>1.0, 1.0, 1.0, 1.0, 1.0</v>
      </c>
      <c r="AH492" s="525" t="str">
        <f t="array" ref="AH492">XLOOKUP(LCARS_Off[AbilityID],RawOfficer[AbilityID],RawOfficer[AbilityValues])</f>
        <v>10000.0, 12000.0, 14000.0, 15000.0, 16000.0</v>
      </c>
      <c r="AI492" s="428" t="b">
        <f t="array" ref="AI492">XLOOKUP(LCARS_Off[AbilityID],RawOfficer[AbilityID],RawOfficer[AbilityHasChance])</f>
        <v>0</v>
      </c>
      <c r="AJ492" s="428" t="b">
        <f t="array" ref="AJ492">XLOOKUP(LCARS_Off[AbilityID],RawOfficer[AbilityID],RawOfficer[AbilityShowPercentage])</f>
        <v>0</v>
      </c>
      <c r="AK492" s="429">
        <f t="array" ref="AK492">XLOOKUP(LCARS_Off[AbilityID],RawOfficer[AbilityID],RawOfficer[OfficerArt])</f>
        <v>290</v>
      </c>
      <c r="AL492" s="430">
        <v>2.54327409E9</v>
      </c>
      <c r="AM492" s="430">
        <f t="array" ref="AM492">XLOOKUP(LCARS_Off[AbilityID],RawOfficer[AbilityID],RawOfficer[Default Order])</f>
        <v>489</v>
      </c>
    </row>
    <row r="493">
      <c r="A493" s="429" t="str">
        <f t="array" ref="A493">LEFT(XLOOKUP(LCARS_Off[AbilityID],RawOfficer[AbilityID],RawOfficer[OfficerRarity]), 1)</f>
        <v>R</v>
      </c>
      <c r="B493" s="429"/>
      <c r="C493" s="514" t="str">
        <f t="array" ref="C493">HYPERLINK("https://stfc.space/officers/" &amp; XLOOKUP(LCARS_Off[AbilityID],RawOfficer[AbilityID],RawOfficer[OfficerId]), XLOOKUP(LCARS_Off[AbilityID],RawOfficer[AbilityID],RawOfficer[OfficerName]))</f>
        <v>MARIACHI Q</v>
      </c>
      <c r="D493" s="515" t="str">
        <f t="array" ref="D493">XLOOKUP(LCARS_Off[AbilityID],RawOfficer[AbilityID],RawOfficer[AbilityType])</f>
        <v>OA</v>
      </c>
      <c r="E493" s="516" t="str">
        <f t="array" ref="E493">XLOOKUP(LCARS_Off[AbilityID],RawOfficer[AbilityID],RawOfficer[Tag_PvPinSpace])</f>
        <v>✴️</v>
      </c>
      <c r="F493" s="516" t="str">
        <f t="array" ref="F493">XLOOKUP(LCARS_Off[AbilityID],RawOfficer[AbilityID],RawOfficer[Tag_PvPStation])</f>
        <v>✴️</v>
      </c>
      <c r="G493" s="516" t="str">
        <f t="array" ref="G493">XLOOKUP(LCARS_Off[AbilityID],RawOfficer[AbilityID],RawOfficer[Tag_NonArmadaHostiles])</f>
        <v>➖</v>
      </c>
      <c r="H493" s="516" t="str">
        <f t="array" ref="H493">XLOOKUP(LCARS_Off[AbilityID],RawOfficer[AbilityID],RawOfficer[Tag_WaveDefense])</f>
        <v>➖</v>
      </c>
      <c r="I493" s="516" t="str">
        <f t="array" ref="I493">XLOOKUP(LCARS_Off[AbilityID],RawOfficer[AbilityID],RawOfficer[Tag_QTrial])</f>
        <v>➖</v>
      </c>
      <c r="J493" s="516" t="str">
        <f t="array" ref="J493">XLOOKUP(LCARS_Off[AbilityID],RawOfficer[AbilityID],RawOfficer[Tag_MissionBosses])</f>
        <v>➖</v>
      </c>
      <c r="K493" s="516" t="str">
        <f t="array" ref="K493">XLOOKUP(LCARS_Off[AbilityID],RawOfficer[AbilityID],RawOfficer[Tag_GroupArmadas])</f>
        <v>➖</v>
      </c>
      <c r="L493" s="516" t="str">
        <f t="array" ref="L493">XLOOKUP(LCARS_Off[AbilityID],RawOfficer[AbilityID],RawOfficer[Tag_SoloArmadas])</f>
        <v>➖</v>
      </c>
      <c r="M493" s="516" t="str">
        <f t="array" ref="M493">XLOOKUP(LCARS_Off[AbilityID],RawOfficer[AbilityID],RawOfficer[Tag_InvadingEntities])</f>
        <v>➖</v>
      </c>
      <c r="N493" s="516" t="str">
        <f t="array" ref="N493">XLOOKUP(LCARS_Off[AbilityID],RawOfficer[AbilityID],RawOfficer[Tag_Assaults])</f>
        <v>➖</v>
      </c>
      <c r="O493" s="516" t="str">
        <f t="array" ref="O493">XLOOKUP(LCARS_Off[AbilityID],RawOfficer[AbilityID],RawOfficer[Tag_OutpostArmadas])</f>
        <v>➖</v>
      </c>
      <c r="P493" s="516" t="str">
        <f t="array" ref="P493">XLOOKUP(LCARS_Off[AbilityID],RawOfficer[AbilityID],RawOfficer[Tag_OutpostRetaliators])</f>
        <v>➖</v>
      </c>
      <c r="Q493" s="517" t="str">
        <f t="array" ref="Q493">XLOOKUP(LCARS_Off[AbilityID],RawOfficer[AbilityID],RawOfficer[Conditional_Reason])</f>
        <v>SelfHasMorale</v>
      </c>
      <c r="R493" s="518" t="str">
        <f t="array" ref="R493">XLOOKUP(LCARS_Off[AbilityID],RawOfficer[AbilityID],RawOfficer[Tag_Loot])</f>
        <v>➖</v>
      </c>
      <c r="S493" s="516" t="str">
        <f t="array" ref="S493">XLOOKUP(LCARS_Off[AbilityID],RawOfficer[AbilityID],RawOfficer[Tag_Utility])</f>
        <v>➖</v>
      </c>
      <c r="T493" s="429" t="str">
        <f t="array" ref="T493">XLOOKUP(LCARS_Off[AbilityID],RawOfficer[AbilityID],RawOfficer[OfficerSynergy])</f>
        <v>INTERCEPTOR RETALIATION SQUAD</v>
      </c>
      <c r="U493" s="519" t="str">
        <f t="array" ref="U493">XLOOKUP(LCARS_Off[AbilityID],RawOfficer[AbilityID],RawOfficer[AbilityModifier])</f>
        <v>IsolyticDamage</v>
      </c>
      <c r="V493" s="519" t="str">
        <f t="array" ref="V493">XLOOKUP(LCARS_Off[AbilityID],RawOfficer[AbilityID],RawOfficer[AbilityAttributes])</f>
        <v>num_rounds=3</v>
      </c>
      <c r="W493" s="520" t="str">
        <f t="array" ref="W493">XLOOKUP(LCARS_Off[AbilityID],RawOfficer[AbilityID],RawOfficer[AbilityConditions])</f>
        <v>SelfHasMorale, EnemyPlayer</v>
      </c>
      <c r="X493" s="519" t="str">
        <f t="array" ref="X493">XLOOKUP(LCARS_Off[AbilityID],RawOfficer[AbilityID],RawOfficer[AbilityTrigger])</f>
        <v>RoundStart</v>
      </c>
      <c r="Y493" s="519" t="str">
        <f t="array" ref="Y493">XLOOKUP(LCARS_Off[AbilityID],RawOfficer[AbilityID],RawOfficer[AbilityTarget])</f>
        <v>SelfShip</v>
      </c>
      <c r="Z493" s="519" t="str">
        <f t="array" ref="Z493">XLOOKUP(LCARS_Off[AbilityID],RawOfficer[AbilityID],RawOfficer[AbilityOperation])</f>
        <v>MultiplyAdd</v>
      </c>
      <c r="AA493" s="521" t="str">
        <f t="array" ref="AA493">XLOOKUP(LCARS_Off[AbilityID],RawOfficer[AbilityID],RawOfficer[AbilityDescription])</f>
        <v>On round start, if placed on a ship with Morale against players, Mariachi Q increases your Isolytic Cascade damage by X (X at rank X) for 3 rounds.</v>
      </c>
      <c r="AB493" s="429" t="b">
        <v>0</v>
      </c>
      <c r="AC493" s="522" t="str">
        <f t="array" ref="AC493">XLOOKUP(LCARS_Off[AbilityID],RawOfficer[AbilityID],RawOfficer[AbilityDescriptionShort])</f>
        <v>On round start, if on a ship with Morale against players, Mariachi Q increases your Isolytic Cascade damage by X for 3 rounds.</v>
      </c>
      <c r="AD493" s="523"/>
      <c r="AE493" s="524"/>
      <c r="AF493" s="524"/>
      <c r="AG493" s="525" t="str">
        <f t="array" ref="AG493">XLOOKUP(LCARS_Off[AbilityID],RawOfficer[AbilityID],RawOfficer[AbilityChances])</f>
        <v>1.0, 1.0, 1.0, 1.0, 1.0</v>
      </c>
      <c r="AH493" s="525" t="str">
        <f t="array" ref="AH493">XLOOKUP(LCARS_Off[AbilityID],RawOfficer[AbilityID],RawOfficer[AbilityValues])</f>
        <v>0.5, 0.6, 0.75, 0.95, 1.2</v>
      </c>
      <c r="AI493" s="428" t="b">
        <f t="array" ref="AI493">XLOOKUP(LCARS_Off[AbilityID],RawOfficer[AbilityID],RawOfficer[AbilityHasChance])</f>
        <v>0</v>
      </c>
      <c r="AJ493" s="428" t="b">
        <f t="array" ref="AJ493">XLOOKUP(LCARS_Off[AbilityID],RawOfficer[AbilityID],RawOfficer[AbilityShowPercentage])</f>
        <v>1</v>
      </c>
      <c r="AK493" s="429">
        <f t="array" ref="AK493">XLOOKUP(LCARS_Off[AbilityID],RawOfficer[AbilityID],RawOfficer[OfficerArt])</f>
        <v>291</v>
      </c>
      <c r="AL493" s="430">
        <v>2.245472598E9</v>
      </c>
      <c r="AM493" s="430">
        <f t="array" ref="AM493">XLOOKUP(LCARS_Off[AbilityID],RawOfficer[AbilityID],RawOfficer[Default Order])</f>
        <v>490</v>
      </c>
    </row>
    <row r="494">
      <c r="A494" s="429" t="str">
        <f t="array" ref="A494">LEFT(XLOOKUP(LCARS_Off[AbilityID],RawOfficer[AbilityID],RawOfficer[OfficerRarity]), 1)</f>
        <v>R</v>
      </c>
      <c r="B494" s="429"/>
      <c r="C494" s="514" t="str">
        <f t="array" ref="C494">HYPERLINK("https://stfc.space/officers/" &amp; XLOOKUP(LCARS_Off[AbilityID],RawOfficer[AbilityID],RawOfficer[OfficerId]), XLOOKUP(LCARS_Off[AbilityID],RawOfficer[AbilityID],RawOfficer[OfficerName]))</f>
        <v>MARIACHI Q</v>
      </c>
      <c r="D494" s="515" t="str">
        <f t="array" ref="D494">XLOOKUP(LCARS_Off[AbilityID],RawOfficer[AbilityID],RawOfficer[AbilityType])</f>
        <v>BDA</v>
      </c>
      <c r="E494" s="516" t="str">
        <f t="array" ref="E494">XLOOKUP(LCARS_Off[AbilityID],RawOfficer[AbilityID],RawOfficer[Tag_PvPinSpace])</f>
        <v>✴️</v>
      </c>
      <c r="F494" s="516" t="str">
        <f t="array" ref="F494">XLOOKUP(LCARS_Off[AbilityID],RawOfficer[AbilityID],RawOfficer[Tag_PvPStation])</f>
        <v>✴️</v>
      </c>
      <c r="G494" s="516" t="str">
        <f t="array" ref="G494">XLOOKUP(LCARS_Off[AbilityID],RawOfficer[AbilityID],RawOfficer[Tag_NonArmadaHostiles])</f>
        <v>➖</v>
      </c>
      <c r="H494" s="516" t="str">
        <f t="array" ref="H494">XLOOKUP(LCARS_Off[AbilityID],RawOfficer[AbilityID],RawOfficer[Tag_WaveDefense])</f>
        <v>➖</v>
      </c>
      <c r="I494" s="516" t="str">
        <f t="array" ref="I494">XLOOKUP(LCARS_Off[AbilityID],RawOfficer[AbilityID],RawOfficer[Tag_QTrial])</f>
        <v>➖</v>
      </c>
      <c r="J494" s="516" t="str">
        <f t="array" ref="J494">XLOOKUP(LCARS_Off[AbilityID],RawOfficer[AbilityID],RawOfficer[Tag_MissionBosses])</f>
        <v>➖</v>
      </c>
      <c r="K494" s="516" t="str">
        <f t="array" ref="K494">XLOOKUP(LCARS_Off[AbilityID],RawOfficer[AbilityID],RawOfficer[Tag_GroupArmadas])</f>
        <v>➖</v>
      </c>
      <c r="L494" s="516" t="str">
        <f t="array" ref="L494">XLOOKUP(LCARS_Off[AbilityID],RawOfficer[AbilityID],RawOfficer[Tag_SoloArmadas])</f>
        <v>➖</v>
      </c>
      <c r="M494" s="516" t="str">
        <f t="array" ref="M494">XLOOKUP(LCARS_Off[AbilityID],RawOfficer[AbilityID],RawOfficer[Tag_InvadingEntities])</f>
        <v>➖</v>
      </c>
      <c r="N494" s="516" t="str">
        <f t="array" ref="N494">XLOOKUP(LCARS_Off[AbilityID],RawOfficer[AbilityID],RawOfficer[Tag_Assaults])</f>
        <v>➖</v>
      </c>
      <c r="O494" s="516" t="str">
        <f t="array" ref="O494">XLOOKUP(LCARS_Off[AbilityID],RawOfficer[AbilityID],RawOfficer[Tag_OutpostArmadas])</f>
        <v>➖</v>
      </c>
      <c r="P494" s="516" t="str">
        <f t="array" ref="P494">XLOOKUP(LCARS_Off[AbilityID],RawOfficer[AbilityID],RawOfficer[Tag_OutpostRetaliators])</f>
        <v>➖</v>
      </c>
      <c r="Q494" s="517" t="str">
        <f t="array" ref="Q494">XLOOKUP(LCARS_Off[AbilityID],RawOfficer[AbilityID],RawOfficer[Conditional_Reason])</f>
        <v>TargetHasBurning, SelfOfficerTalNotOnBridge</v>
      </c>
      <c r="R494" s="518" t="str">
        <f t="array" ref="R494">XLOOKUP(LCARS_Off[AbilityID],RawOfficer[AbilityID],RawOfficer[Tag_Loot])</f>
        <v>➖</v>
      </c>
      <c r="S494" s="516" t="str">
        <f t="array" ref="S494">XLOOKUP(LCARS_Off[AbilityID],RawOfficer[AbilityID],RawOfficer[Tag_Utility])</f>
        <v>➖</v>
      </c>
      <c r="T494" s="429" t="str">
        <f t="array" ref="T494">XLOOKUP(LCARS_Off[AbilityID],RawOfficer[AbilityID],RawOfficer[OfficerSynergy])</f>
        <v>INTERCEPTOR RETALIATION SQUAD</v>
      </c>
      <c r="U494" s="519" t="str">
        <f t="array" ref="U494">XLOOKUP(LCARS_Off[AbilityID],RawOfficer[AbilityID],RawOfficer[AbilityModifier])</f>
        <v>ApexBarrier</v>
      </c>
      <c r="V494" s="519" t="str">
        <f t="array" ref="V494">XLOOKUP(LCARS_Off[AbilityID],RawOfficer[AbilityID],RawOfficer[AbilityAttributes])</f>
        <v>num_rounds=1</v>
      </c>
      <c r="W494" s="520" t="str">
        <f t="array" ref="W494">XLOOKUP(LCARS_Off[AbilityID],RawOfficer[AbilityID],RawOfficer[AbilityConditions])</f>
        <v>EnemyPlayer, TargetHasBurning, SelfOfficerTalNotOnBridge</v>
      </c>
      <c r="X494" s="519" t="str">
        <f t="array" ref="X494">XLOOKUP(LCARS_Off[AbilityID],RawOfficer[AbilityID],RawOfficer[AbilityTrigger])</f>
        <v>RoundStart</v>
      </c>
      <c r="Y494" s="519" t="str">
        <f t="array" ref="Y494">XLOOKUP(LCARS_Off[AbilityID],RawOfficer[AbilityID],RawOfficer[AbilityTarget])</f>
        <v>SelfShip</v>
      </c>
      <c r="Z494" s="519" t="str">
        <f t="array" ref="Z494">XLOOKUP(LCARS_Off[AbilityID],RawOfficer[AbilityID],RawOfficer[AbilityOperation])</f>
        <v>Add</v>
      </c>
      <c r="AA494" s="521" t="str">
        <f t="array" ref="AA494">XLOOKUP(LCARS_Off[AbilityID],RawOfficer[AbilityID],RawOfficer[AbilityDescription])</f>
        <v>On round start against players afflicted by Burning, Mariachi Q increases your Apex Barrier by X (X at rank X) for 1 round. -- This ability does not trigger when Tal is assigned to the bridge of your ship.</v>
      </c>
      <c r="AB494" s="429" t="b">
        <v>0</v>
      </c>
      <c r="AC494" s="522" t="str">
        <f t="array" ref="AC494">XLOOKUP(LCARS_Off[AbilityID],RawOfficer[AbilityID],RawOfficer[AbilityDescriptionShort])</f>
        <v>On round start against players afflicted by Burning, increase your Apex Barrier by X for 1 round.</v>
      </c>
      <c r="AD494" s="523"/>
      <c r="AE494" s="524"/>
      <c r="AF494" s="524"/>
      <c r="AG494" s="525" t="str">
        <f t="array" ref="AG494">XLOOKUP(LCARS_Off[AbilityID],RawOfficer[AbilityID],RawOfficer[AbilityChances])</f>
        <v>1.0, 1.0, 1.0, 1.0, 1.0</v>
      </c>
      <c r="AH494" s="525" t="str">
        <f t="array" ref="AH494">XLOOKUP(LCARS_Off[AbilityID],RawOfficer[AbilityID],RawOfficer[AbilityValues])</f>
        <v>7000.0, 8000.0, 10000.0, 12000.0, 15000.0</v>
      </c>
      <c r="AI494" s="428" t="b">
        <f t="array" ref="AI494">XLOOKUP(LCARS_Off[AbilityID],RawOfficer[AbilityID],RawOfficer[AbilityHasChance])</f>
        <v>0</v>
      </c>
      <c r="AJ494" s="428" t="b">
        <f t="array" ref="AJ494">XLOOKUP(LCARS_Off[AbilityID],RawOfficer[AbilityID],RawOfficer[AbilityShowPercentage])</f>
        <v>0</v>
      </c>
      <c r="AK494" s="429">
        <f t="array" ref="AK494">XLOOKUP(LCARS_Off[AbilityID],RawOfficer[AbilityID],RawOfficer[OfficerArt])</f>
        <v>291</v>
      </c>
      <c r="AL494" s="430">
        <v>1.5748373E9</v>
      </c>
      <c r="AM494" s="430">
        <f t="array" ref="AM494">XLOOKUP(LCARS_Off[AbilityID],RawOfficer[AbilityID],RawOfficer[Default Order])</f>
        <v>491</v>
      </c>
    </row>
    <row r="495">
      <c r="A495" s="429" t="str">
        <f t="array" ref="A495">LEFT(XLOOKUP(LCARS_Off[AbilityID],RawOfficer[AbilityID],RawOfficer[OfficerRarity]), 1)</f>
        <v>R</v>
      </c>
      <c r="B495" s="429"/>
      <c r="C495" s="514" t="str">
        <f t="array" ref="C495">HYPERLINK("https://stfc.space/officers/" &amp; XLOOKUP(LCARS_Off[AbilityID],RawOfficer[AbilityID],RawOfficer[OfficerId]), XLOOKUP(LCARS_Off[AbilityID],RawOfficer[AbilityID],RawOfficer[OfficerName]))</f>
        <v>FRENCH MARSHAL Q</v>
      </c>
      <c r="D495" s="515" t="str">
        <f t="array" ref="D495">XLOOKUP(LCARS_Off[AbilityID],RawOfficer[AbilityID],RawOfficer[AbilityType])</f>
        <v>OA</v>
      </c>
      <c r="E495" s="516" t="str">
        <f t="array" ref="E495">XLOOKUP(LCARS_Off[AbilityID],RawOfficer[AbilityID],RawOfficer[Tag_PvPinSpace])</f>
        <v>✴️</v>
      </c>
      <c r="F495" s="516" t="str">
        <f t="array" ref="F495">XLOOKUP(LCARS_Off[AbilityID],RawOfficer[AbilityID],RawOfficer[Tag_PvPStation])</f>
        <v>✴️</v>
      </c>
      <c r="G495" s="516" t="str">
        <f t="array" ref="G495">XLOOKUP(LCARS_Off[AbilityID],RawOfficer[AbilityID],RawOfficer[Tag_NonArmadaHostiles])</f>
        <v>➖</v>
      </c>
      <c r="H495" s="516" t="str">
        <f t="array" ref="H495">XLOOKUP(LCARS_Off[AbilityID],RawOfficer[AbilityID],RawOfficer[Tag_WaveDefense])</f>
        <v>➖</v>
      </c>
      <c r="I495" s="516" t="str">
        <f t="array" ref="I495">XLOOKUP(LCARS_Off[AbilityID],RawOfficer[AbilityID],RawOfficer[Tag_QTrial])</f>
        <v>➖</v>
      </c>
      <c r="J495" s="516" t="str">
        <f t="array" ref="J495">XLOOKUP(LCARS_Off[AbilityID],RawOfficer[AbilityID],RawOfficer[Tag_MissionBosses])</f>
        <v>➖</v>
      </c>
      <c r="K495" s="516" t="str">
        <f t="array" ref="K495">XLOOKUP(LCARS_Off[AbilityID],RawOfficer[AbilityID],RawOfficer[Tag_GroupArmadas])</f>
        <v>➖</v>
      </c>
      <c r="L495" s="516" t="str">
        <f t="array" ref="L495">XLOOKUP(LCARS_Off[AbilityID],RawOfficer[AbilityID],RawOfficer[Tag_SoloArmadas])</f>
        <v>➖</v>
      </c>
      <c r="M495" s="516" t="str">
        <f t="array" ref="M495">XLOOKUP(LCARS_Off[AbilityID],RawOfficer[AbilityID],RawOfficer[Tag_InvadingEntities])</f>
        <v>➖</v>
      </c>
      <c r="N495" s="516" t="str">
        <f t="array" ref="N495">XLOOKUP(LCARS_Off[AbilityID],RawOfficer[AbilityID],RawOfficer[Tag_Assaults])</f>
        <v>➖</v>
      </c>
      <c r="O495" s="516" t="str">
        <f t="array" ref="O495">XLOOKUP(LCARS_Off[AbilityID],RawOfficer[AbilityID],RawOfficer[Tag_OutpostArmadas])</f>
        <v>➖</v>
      </c>
      <c r="P495" s="516" t="str">
        <f t="array" ref="P495">XLOOKUP(LCARS_Off[AbilityID],RawOfficer[AbilityID],RawOfficer[Tag_OutpostRetaliators])</f>
        <v>➖</v>
      </c>
      <c r="Q495" s="517" t="str">
        <f t="array" ref="Q495">XLOOKUP(LCARS_Off[AbilityID],RawOfficer[AbilityID],RawOfficer[Conditional_Reason])</f>
        <v>SelfHasMorale</v>
      </c>
      <c r="R495" s="518" t="str">
        <f t="array" ref="R495">XLOOKUP(LCARS_Off[AbilityID],RawOfficer[AbilityID],RawOfficer[Tag_Loot])</f>
        <v>➖</v>
      </c>
      <c r="S495" s="516" t="str">
        <f t="array" ref="S495">XLOOKUP(LCARS_Off[AbilityID],RawOfficer[AbilityID],RawOfficer[Tag_Utility])</f>
        <v>➖</v>
      </c>
      <c r="T495" s="429" t="str">
        <f t="array" ref="T495">XLOOKUP(LCARS_Off[AbilityID],RawOfficer[AbilityID],RawOfficer[OfficerSynergy])</f>
        <v>INTERCEPTOR RETALIATION SQUAD</v>
      </c>
      <c r="U495" s="519" t="str">
        <f t="array" ref="U495">XLOOKUP(LCARS_Off[AbilityID],RawOfficer[AbilityID],RawOfficer[AbilityModifier])</f>
        <v>ShotsPerAttack</v>
      </c>
      <c r="V495" s="519" t="str">
        <f t="array" ref="V495">XLOOKUP(LCARS_Off[AbilityID],RawOfficer[AbilityID],RawOfficer[AbilityAttributes])</f>
        <v>num_rounds=3</v>
      </c>
      <c r="W495" s="520" t="str">
        <f t="array" ref="W495">XLOOKUP(LCARS_Off[AbilityID],RawOfficer[AbilityID],RawOfficer[AbilityConditions])</f>
        <v>SelfHasMorale, EnemyPlayer</v>
      </c>
      <c r="X495" s="519" t="str">
        <f t="array" ref="X495">XLOOKUP(LCARS_Off[AbilityID],RawOfficer[AbilityID],RawOfficer[AbilityTrigger])</f>
        <v>RoundStart</v>
      </c>
      <c r="Y495" s="519" t="str">
        <f t="array" ref="Y495">XLOOKUP(LCARS_Off[AbilityID],RawOfficer[AbilityID],RawOfficer[AbilityTarget])</f>
        <v>SelfShip</v>
      </c>
      <c r="Z495" s="519" t="str">
        <f t="array" ref="Z495">XLOOKUP(LCARS_Off[AbilityID],RawOfficer[AbilityID],RawOfficer[AbilityOperation])</f>
        <v>MultiplyAdd</v>
      </c>
      <c r="AA495" s="521" t="str">
        <f t="array" ref="AA495">XLOOKUP(LCARS_Off[AbilityID],RawOfficer[AbilityID],RawOfficer[AbilityDescription])</f>
        <v>On round start, if placed on a ship with Morale against players, French Marshal Q increases your weapon shots by X (X at rank X) for 3 rounds.</v>
      </c>
      <c r="AB495" s="429" t="b">
        <v>0</v>
      </c>
      <c r="AC495" s="522" t="str">
        <f t="array" ref="AC495">XLOOKUP(LCARS_Off[AbilityID],RawOfficer[AbilityID],RawOfficer[AbilityDescriptionShort])</f>
        <v>On round start, if placed on a ship with Morale against players, French Marshal Q increases your weapon shots by X for 3 rounds.</v>
      </c>
      <c r="AD495" s="523"/>
      <c r="AE495" s="524"/>
      <c r="AF495" s="524"/>
      <c r="AG495" s="525" t="str">
        <f t="array" ref="AG495">XLOOKUP(LCARS_Off[AbilityID],RawOfficer[AbilityID],RawOfficer[AbilityChances])</f>
        <v>1.0, 1.0, 1.0, 1.0, 1.0</v>
      </c>
      <c r="AH495" s="525" t="str">
        <f t="array" ref="AH495">XLOOKUP(LCARS_Off[AbilityID],RawOfficer[AbilityID],RawOfficer[AbilityValues])</f>
        <v>0.25, 0.3, 0.35, 0.4, 0.5</v>
      </c>
      <c r="AI495" s="428" t="b">
        <f t="array" ref="AI495">XLOOKUP(LCARS_Off[AbilityID],RawOfficer[AbilityID],RawOfficer[AbilityHasChance])</f>
        <v>0</v>
      </c>
      <c r="AJ495" s="428" t="b">
        <f t="array" ref="AJ495">XLOOKUP(LCARS_Off[AbilityID],RawOfficer[AbilityID],RawOfficer[AbilityShowPercentage])</f>
        <v>1</v>
      </c>
      <c r="AK495" s="429">
        <f t="array" ref="AK495">XLOOKUP(LCARS_Off[AbilityID],RawOfficer[AbilityID],RawOfficer[OfficerArt])</f>
        <v>292</v>
      </c>
      <c r="AL495" s="430">
        <v>5.08841684E8</v>
      </c>
      <c r="AM495" s="430">
        <f t="array" ref="AM495">XLOOKUP(LCARS_Off[AbilityID],RawOfficer[AbilityID],RawOfficer[Default Order])</f>
        <v>492</v>
      </c>
    </row>
    <row r="496">
      <c r="A496" s="429" t="str">
        <f t="array" ref="A496">LEFT(XLOOKUP(LCARS_Off[AbilityID],RawOfficer[AbilityID],RawOfficer[OfficerRarity]), 1)</f>
        <v>R</v>
      </c>
      <c r="B496" s="429"/>
      <c r="C496" s="514" t="str">
        <f t="array" ref="C496">HYPERLINK("https://stfc.space/officers/" &amp; XLOOKUP(LCARS_Off[AbilityID],RawOfficer[AbilityID],RawOfficer[OfficerId]), XLOOKUP(LCARS_Off[AbilityID],RawOfficer[AbilityID],RawOfficer[OfficerName]))</f>
        <v>FRENCH MARSHAL Q</v>
      </c>
      <c r="D496" s="515" t="str">
        <f t="array" ref="D496">XLOOKUP(LCARS_Off[AbilityID],RawOfficer[AbilityID],RawOfficer[AbilityType])</f>
        <v>BDA</v>
      </c>
      <c r="E496" s="516" t="str">
        <f t="array" ref="E496">XLOOKUP(LCARS_Off[AbilityID],RawOfficer[AbilityID],RawOfficer[Tag_PvPinSpace])</f>
        <v>✴️</v>
      </c>
      <c r="F496" s="516" t="str">
        <f t="array" ref="F496">XLOOKUP(LCARS_Off[AbilityID],RawOfficer[AbilityID],RawOfficer[Tag_PvPStation])</f>
        <v>✴️</v>
      </c>
      <c r="G496" s="516" t="str">
        <f t="array" ref="G496">XLOOKUP(LCARS_Off[AbilityID],RawOfficer[AbilityID],RawOfficer[Tag_NonArmadaHostiles])</f>
        <v>➖</v>
      </c>
      <c r="H496" s="516" t="str">
        <f t="array" ref="H496">XLOOKUP(LCARS_Off[AbilityID],RawOfficer[AbilityID],RawOfficer[Tag_WaveDefense])</f>
        <v>➖</v>
      </c>
      <c r="I496" s="516" t="str">
        <f t="array" ref="I496">XLOOKUP(LCARS_Off[AbilityID],RawOfficer[AbilityID],RawOfficer[Tag_QTrial])</f>
        <v>➖</v>
      </c>
      <c r="J496" s="516" t="str">
        <f t="array" ref="J496">XLOOKUP(LCARS_Off[AbilityID],RawOfficer[AbilityID],RawOfficer[Tag_MissionBosses])</f>
        <v>➖</v>
      </c>
      <c r="K496" s="516" t="str">
        <f t="array" ref="K496">XLOOKUP(LCARS_Off[AbilityID],RawOfficer[AbilityID],RawOfficer[Tag_GroupArmadas])</f>
        <v>➖</v>
      </c>
      <c r="L496" s="516" t="str">
        <f t="array" ref="L496">XLOOKUP(LCARS_Off[AbilityID],RawOfficer[AbilityID],RawOfficer[Tag_SoloArmadas])</f>
        <v>➖</v>
      </c>
      <c r="M496" s="516" t="str">
        <f t="array" ref="M496">XLOOKUP(LCARS_Off[AbilityID],RawOfficer[AbilityID],RawOfficer[Tag_InvadingEntities])</f>
        <v>➖</v>
      </c>
      <c r="N496" s="516" t="str">
        <f t="array" ref="N496">XLOOKUP(LCARS_Off[AbilityID],RawOfficer[AbilityID],RawOfficer[Tag_Assaults])</f>
        <v>➖</v>
      </c>
      <c r="O496" s="516" t="str">
        <f t="array" ref="O496">XLOOKUP(LCARS_Off[AbilityID],RawOfficer[AbilityID],RawOfficer[Tag_OutpostArmadas])</f>
        <v>➖</v>
      </c>
      <c r="P496" s="516" t="str">
        <f t="array" ref="P496">XLOOKUP(LCARS_Off[AbilityID],RawOfficer[AbilityID],RawOfficer[Tag_OutpostRetaliators])</f>
        <v>➖</v>
      </c>
      <c r="Q496" s="517" t="str">
        <f t="array" ref="Q496">XLOOKUP(LCARS_Off[AbilityID],RawOfficer[AbilityID],RawOfficer[Conditional_Reason])</f>
        <v>TargetStateAny</v>
      </c>
      <c r="R496" s="518" t="str">
        <f t="array" ref="R496">XLOOKUP(LCARS_Off[AbilityID],RawOfficer[AbilityID],RawOfficer[Tag_Loot])</f>
        <v>➖</v>
      </c>
      <c r="S496" s="516" t="str">
        <f t="array" ref="S496">XLOOKUP(LCARS_Off[AbilityID],RawOfficer[AbilityID],RawOfficer[Tag_Utility])</f>
        <v>➖</v>
      </c>
      <c r="T496" s="429" t="str">
        <f t="array" ref="T496">XLOOKUP(LCARS_Off[AbilityID],RawOfficer[AbilityID],RawOfficer[OfficerSynergy])</f>
        <v>INTERCEPTOR RETALIATION SQUAD</v>
      </c>
      <c r="U496" s="519" t="str">
        <f t="array" ref="U496">XLOOKUP(LCARS_Off[AbilityID],RawOfficer[AbilityID],RawOfficer[AbilityModifier])</f>
        <v>HullRepair</v>
      </c>
      <c r="V496" s="519" t="str">
        <f t="array" ref="V496">XLOOKUP(LCARS_Off[AbilityID],RawOfficer[AbilityID],RawOfficer[AbilityAttributes])</f>
        <v/>
      </c>
      <c r="W496" s="520" t="str">
        <f t="array" ref="W496">XLOOKUP(LCARS_Off[AbilityID],RawOfficer[AbilityID],RawOfficer[AbilityConditions])</f>
        <v>EnemyPlayer, TargetStateAny</v>
      </c>
      <c r="X496" s="519" t="str">
        <f t="array" ref="X496">XLOOKUP(LCARS_Off[AbilityID],RawOfficer[AbilityID],RawOfficer[AbilityTrigger])</f>
        <v>RoundEnd</v>
      </c>
      <c r="Y496" s="519" t="str">
        <f t="array" ref="Y496">XLOOKUP(LCARS_Off[AbilityID],RawOfficer[AbilityID],RawOfficer[AbilityTarget])</f>
        <v>SelfShip</v>
      </c>
      <c r="Z496" s="519" t="str">
        <f t="array" ref="Z496">XLOOKUP(LCARS_Off[AbilityID],RawOfficer[AbilityID],RawOfficer[AbilityOperation])</f>
        <v>MultiplyAdd</v>
      </c>
      <c r="AA496" s="521" t="str">
        <f t="array" ref="AA496">XLOOKUP(LCARS_Off[AbilityID],RawOfficer[AbilityID],RawOfficer[AbilityDescription])</f>
        <v>On round start, if the enemy player has any state, French Marshal Q repairs X (X at rank X) of hull damage taken in the previous round of combat.</v>
      </c>
      <c r="AB496" s="429" t="b">
        <v>0</v>
      </c>
      <c r="AC496" s="522" t="str">
        <f t="array" ref="AC496">XLOOKUP(LCARS_Off[AbilityID],RawOfficer[AbilityID],RawOfficer[AbilityDescriptionShort])</f>
        <v>On round start, if the enemy player has any state, repair +X of hull damage taken in the previous round of combat.</v>
      </c>
      <c r="AD496" s="523"/>
      <c r="AE496" s="524"/>
      <c r="AF496" s="524"/>
      <c r="AG496" s="525" t="str">
        <f t="array" ref="AG496">XLOOKUP(LCARS_Off[AbilityID],RawOfficer[AbilityID],RawOfficer[AbilityChances])</f>
        <v>1.0, 1.0, 1.0, 1.0, 1.0</v>
      </c>
      <c r="AH496" s="525" t="str">
        <f t="array" ref="AH496">XLOOKUP(LCARS_Off[AbilityID],RawOfficer[AbilityID],RawOfficer[AbilityValues])</f>
        <v>0.05, 0.07, 0.1, 0.14, 0.2</v>
      </c>
      <c r="AI496" s="428" t="b">
        <f t="array" ref="AI496">XLOOKUP(LCARS_Off[AbilityID],RawOfficer[AbilityID],RawOfficer[AbilityHasChance])</f>
        <v>0</v>
      </c>
      <c r="AJ496" s="428" t="b">
        <f t="array" ref="AJ496">XLOOKUP(LCARS_Off[AbilityID],RawOfficer[AbilityID],RawOfficer[AbilityShowPercentage])</f>
        <v>1</v>
      </c>
      <c r="AK496" s="429">
        <f t="array" ref="AK496">XLOOKUP(LCARS_Off[AbilityID],RawOfficer[AbilityID],RawOfficer[OfficerArt])</f>
        <v>292</v>
      </c>
      <c r="AL496" s="430">
        <v>2.88610542E9</v>
      </c>
      <c r="AM496" s="430">
        <f t="array" ref="AM496">XLOOKUP(LCARS_Off[AbilityID],RawOfficer[AbilityID],RawOfficer[Default Order])</f>
        <v>493</v>
      </c>
    </row>
    <row r="497">
      <c r="A497" s="429" t="str">
        <f t="array" ref="A497">LEFT(XLOOKUP(LCARS_Off[AbilityID],RawOfficer[AbilityID],RawOfficer[OfficerRarity]), 1)</f>
        <v>E</v>
      </c>
      <c r="B497" s="429"/>
      <c r="C497" s="514" t="str">
        <f t="array" ref="C497">HYPERLINK("https://stfc.space/officers/" &amp; XLOOKUP(LCARS_Off[AbilityID],RawOfficer[AbilityID],RawOfficer[OfficerId]), XLOOKUP(LCARS_Off[AbilityID],RawOfficer[AbilityID],RawOfficer[OfficerName]))</f>
        <v>SORAN</v>
      </c>
      <c r="D497" s="515" t="str">
        <f t="array" ref="D497">XLOOKUP(LCARS_Off[AbilityID],RawOfficer[AbilityID],RawOfficer[AbilityType])</f>
        <v>CM</v>
      </c>
      <c r="E497" s="516" t="str">
        <f t="array" ref="E497">XLOOKUP(LCARS_Off[AbilityID],RawOfficer[AbilityID],RawOfficer[Tag_PvPinSpace])</f>
        <v>✴️</v>
      </c>
      <c r="F497" s="516" t="str">
        <f t="array" ref="F497">XLOOKUP(LCARS_Off[AbilityID],RawOfficer[AbilityID],RawOfficer[Tag_PvPStation])</f>
        <v>✴️</v>
      </c>
      <c r="G497" s="516" t="str">
        <f t="array" ref="G497">XLOOKUP(LCARS_Off[AbilityID],RawOfficer[AbilityID],RawOfficer[Tag_NonArmadaHostiles])</f>
        <v>➖</v>
      </c>
      <c r="H497" s="516" t="str">
        <f t="array" ref="H497">XLOOKUP(LCARS_Off[AbilityID],RawOfficer[AbilityID],RawOfficer[Tag_WaveDefense])</f>
        <v>➖</v>
      </c>
      <c r="I497" s="516" t="str">
        <f t="array" ref="I497">XLOOKUP(LCARS_Off[AbilityID],RawOfficer[AbilityID],RawOfficer[Tag_QTrial])</f>
        <v>➖</v>
      </c>
      <c r="J497" s="516" t="str">
        <f t="array" ref="J497">XLOOKUP(LCARS_Off[AbilityID],RawOfficer[AbilityID],RawOfficer[Tag_MissionBosses])</f>
        <v>➖</v>
      </c>
      <c r="K497" s="516" t="str">
        <f t="array" ref="K497">XLOOKUP(LCARS_Off[AbilityID],RawOfficer[AbilityID],RawOfficer[Tag_GroupArmadas])</f>
        <v>➖</v>
      </c>
      <c r="L497" s="516" t="str">
        <f t="array" ref="L497">XLOOKUP(LCARS_Off[AbilityID],RawOfficer[AbilityID],RawOfficer[Tag_SoloArmadas])</f>
        <v>➖</v>
      </c>
      <c r="M497" s="516" t="str">
        <f t="array" ref="M497">XLOOKUP(LCARS_Off[AbilityID],RawOfficer[AbilityID],RawOfficer[Tag_InvadingEntities])</f>
        <v>➖</v>
      </c>
      <c r="N497" s="516" t="str">
        <f t="array" ref="N497">XLOOKUP(LCARS_Off[AbilityID],RawOfficer[AbilityID],RawOfficer[Tag_Assaults])</f>
        <v>➖</v>
      </c>
      <c r="O497" s="516" t="str">
        <f t="array" ref="O497">XLOOKUP(LCARS_Off[AbilityID],RawOfficer[AbilityID],RawOfficer[Tag_OutpostArmadas])</f>
        <v>➖</v>
      </c>
      <c r="P497" s="516" t="str">
        <f t="array" ref="P497">XLOOKUP(LCARS_Off[AbilityID],RawOfficer[AbilityID],RawOfficer[Tag_OutpostRetaliators])</f>
        <v>➖</v>
      </c>
      <c r="Q497" s="517" t="str">
        <f t="array" ref="Q497">XLOOKUP(LCARS_Off[AbilityID],RawOfficer[AbilityID],RawOfficer[Conditional_Reason])</f>
        <v>SelfOfficerTalNotOnBridge</v>
      </c>
      <c r="R497" s="518" t="str">
        <f t="array" ref="R497">XLOOKUP(LCARS_Off[AbilityID],RawOfficer[AbilityID],RawOfficer[Tag_Loot])</f>
        <v>➖</v>
      </c>
      <c r="S497" s="516" t="str">
        <f t="array" ref="S497">XLOOKUP(LCARS_Off[AbilityID],RawOfficer[AbilityID],RawOfficer[Tag_Utility])</f>
        <v>➖</v>
      </c>
      <c r="T497" s="429" t="str">
        <f t="array" ref="T497">XLOOKUP(LCARS_Off[AbilityID],RawOfficer[AbilityID],RawOfficer[OfficerSynergy])</f>
        <v>EXPLORER RETALIATION SQUAD</v>
      </c>
      <c r="U497" s="519" t="str">
        <f t="array" ref="U497">XLOOKUP(LCARS_Off[AbilityID],RawOfficer[AbilityID],RawOfficer[AbilityModifier])</f>
        <v>AddState</v>
      </c>
      <c r="V497" s="519" t="str">
        <f t="array" ref="V497">XLOOKUP(LCARS_Off[AbilityID],RawOfficer[AbilityID],RawOfficer[AbilityAttributes])</f>
        <v>num_rounds=1, state=2</v>
      </c>
      <c r="W497" s="520" t="str">
        <f t="array" ref="W497">XLOOKUP(LCARS_Off[AbilityID],RawOfficer[AbilityID],RawOfficer[AbilityConditions])</f>
        <v>EnemyPlayer, SelfOfficerTalNotOnBridge</v>
      </c>
      <c r="X497" s="519" t="str">
        <f t="array" ref="X497">XLOOKUP(LCARS_Off[AbilityID],RawOfficer[AbilityID],RawOfficer[AbilityTrigger])</f>
        <v>RoundStart</v>
      </c>
      <c r="Y497" s="519" t="str">
        <f t="array" ref="Y497">XLOOKUP(LCARS_Off[AbilityID],RawOfficer[AbilityID],RawOfficer[AbilityTarget])</f>
        <v>EnemyShip</v>
      </c>
      <c r="Z497" s="519" t="str">
        <f t="array" ref="Z497">XLOOKUP(LCARS_Off[AbilityID],RawOfficer[AbilityID],RawOfficer[AbilityOperation])</f>
        <v>MultiplyAdd</v>
      </c>
      <c r="AA497" s="521" t="str">
        <f t="array" ref="AA497">XLOOKUP(LCARS_Off[AbilityID],RawOfficer[AbilityID],RawOfficer[AbilityDescription])</f>
        <v>On round start against players, Soran has X chance to apply Burning to your target for 1 round. -- This ability does not trigger when Tal is assigned to the bridge of your ship.</v>
      </c>
      <c r="AB497" s="429" t="b">
        <v>0</v>
      </c>
      <c r="AC497" s="522" t="str">
        <f t="array" ref="AC497">XLOOKUP(LCARS_Off[AbilityID],RawOfficer[AbilityID],RawOfficer[AbilityDescriptionShort])</f>
        <v>On round start against players, Soran has +X chance to apply Burning to your target for 1 round.</v>
      </c>
      <c r="AD497" s="523"/>
      <c r="AE497" s="524"/>
      <c r="AF497" s="524"/>
      <c r="AG497" s="525" t="str">
        <f t="array" ref="AG497">XLOOKUP(LCARS_Off[AbilityID],RawOfficer[AbilityID],RawOfficer[AbilityChances])</f>
        <v>0.4, 0.1, 0.3</v>
      </c>
      <c r="AH497" s="525" t="str">
        <f t="array" ref="AH497">XLOOKUP(LCARS_Off[AbilityID],RawOfficer[AbilityID],RawOfficer[AbilityValues])</f>
        <v>1.0, 1.0, 1.0</v>
      </c>
      <c r="AI497" s="428" t="b">
        <f t="array" ref="AI497">XLOOKUP(LCARS_Off[AbilityID],RawOfficer[AbilityID],RawOfficer[AbilityHasChance])</f>
        <v>1</v>
      </c>
      <c r="AJ497" s="428" t="b">
        <f t="array" ref="AJ497">XLOOKUP(LCARS_Off[AbilityID],RawOfficer[AbilityID],RawOfficer[AbilityShowPercentage])</f>
        <v>1</v>
      </c>
      <c r="AK497" s="429">
        <f t="array" ref="AK497">XLOOKUP(LCARS_Off[AbilityID],RawOfficer[AbilityID],RawOfficer[OfficerArt])</f>
        <v>294</v>
      </c>
      <c r="AL497" s="430">
        <v>3.134842541E9</v>
      </c>
      <c r="AM497" s="430">
        <f t="array" ref="AM497">XLOOKUP(LCARS_Off[AbilityID],RawOfficer[AbilityID],RawOfficer[Default Order])</f>
        <v>494</v>
      </c>
    </row>
    <row r="498">
      <c r="A498" s="429" t="str">
        <f t="array" ref="A498">LEFT(XLOOKUP(LCARS_Off[AbilityID],RawOfficer[AbilityID],RawOfficer[OfficerRarity]), 1)</f>
        <v>E</v>
      </c>
      <c r="B498" s="429"/>
      <c r="C498" s="514" t="str">
        <f t="array" ref="C498">HYPERLINK("https://stfc.space/officers/" &amp; XLOOKUP(LCARS_Off[AbilityID],RawOfficer[AbilityID],RawOfficer[OfficerId]), XLOOKUP(LCARS_Off[AbilityID],RawOfficer[AbilityID],RawOfficer[OfficerName]))</f>
        <v>SORAN</v>
      </c>
      <c r="D498" s="515" t="str">
        <f t="array" ref="D498">XLOOKUP(LCARS_Off[AbilityID],RawOfficer[AbilityID],RawOfficer[AbilityType])</f>
        <v>OA</v>
      </c>
      <c r="E498" s="516" t="str">
        <f t="array" ref="E498">XLOOKUP(LCARS_Off[AbilityID],RawOfficer[AbilityID],RawOfficer[Tag_PvPinSpace])</f>
        <v>✴️</v>
      </c>
      <c r="F498" s="516" t="str">
        <f t="array" ref="F498">XLOOKUP(LCARS_Off[AbilityID],RawOfficer[AbilityID],RawOfficer[Tag_PvPStation])</f>
        <v>✴️</v>
      </c>
      <c r="G498" s="516" t="str">
        <f t="array" ref="G498">XLOOKUP(LCARS_Off[AbilityID],RawOfficer[AbilityID],RawOfficer[Tag_NonArmadaHostiles])</f>
        <v>➖</v>
      </c>
      <c r="H498" s="516" t="str">
        <f t="array" ref="H498">XLOOKUP(LCARS_Off[AbilityID],RawOfficer[AbilityID],RawOfficer[Tag_WaveDefense])</f>
        <v>➖</v>
      </c>
      <c r="I498" s="516" t="str">
        <f t="array" ref="I498">XLOOKUP(LCARS_Off[AbilityID],RawOfficer[AbilityID],RawOfficer[Tag_QTrial])</f>
        <v>➖</v>
      </c>
      <c r="J498" s="516" t="str">
        <f t="array" ref="J498">XLOOKUP(LCARS_Off[AbilityID],RawOfficer[AbilityID],RawOfficer[Tag_MissionBosses])</f>
        <v>➖</v>
      </c>
      <c r="K498" s="516" t="str">
        <f t="array" ref="K498">XLOOKUP(LCARS_Off[AbilityID],RawOfficer[AbilityID],RawOfficer[Tag_GroupArmadas])</f>
        <v>➖</v>
      </c>
      <c r="L498" s="516" t="str">
        <f t="array" ref="L498">XLOOKUP(LCARS_Off[AbilityID],RawOfficer[AbilityID],RawOfficer[Tag_SoloArmadas])</f>
        <v>➖</v>
      </c>
      <c r="M498" s="516" t="str">
        <f t="array" ref="M498">XLOOKUP(LCARS_Off[AbilityID],RawOfficer[AbilityID],RawOfficer[Tag_InvadingEntities])</f>
        <v>➖</v>
      </c>
      <c r="N498" s="516" t="str">
        <f t="array" ref="N498">XLOOKUP(LCARS_Off[AbilityID],RawOfficer[AbilityID],RawOfficer[Tag_Assaults])</f>
        <v>➖</v>
      </c>
      <c r="O498" s="516" t="str">
        <f t="array" ref="O498">XLOOKUP(LCARS_Off[AbilityID],RawOfficer[AbilityID],RawOfficer[Tag_OutpostArmadas])</f>
        <v>➖</v>
      </c>
      <c r="P498" s="516" t="str">
        <f t="array" ref="P498">XLOOKUP(LCARS_Off[AbilityID],RawOfficer[AbilityID],RawOfficer[Tag_OutpostRetaliators])</f>
        <v>➖</v>
      </c>
      <c r="Q498" s="517" t="str">
        <f t="array" ref="Q498">XLOOKUP(LCARS_Off[AbilityID],RawOfficer[AbilityID],RawOfficer[Conditional_Reason])</f>
        <v>EnemyExplorer, TargetHasBurning, SelfOfficerTalNotOnBridge</v>
      </c>
      <c r="R498" s="518" t="str">
        <f t="array" ref="R498">XLOOKUP(LCARS_Off[AbilityID],RawOfficer[AbilityID],RawOfficer[Tag_Loot])</f>
        <v>➖</v>
      </c>
      <c r="S498" s="516" t="str">
        <f t="array" ref="S498">XLOOKUP(LCARS_Off[AbilityID],RawOfficer[AbilityID],RawOfficer[Tag_Utility])</f>
        <v>➖</v>
      </c>
      <c r="T498" s="429" t="str">
        <f t="array" ref="T498">XLOOKUP(LCARS_Off[AbilityID],RawOfficer[AbilityID],RawOfficer[OfficerSynergy])</f>
        <v>EXPLORER RETALIATION SQUAD</v>
      </c>
      <c r="U498" s="519" t="str">
        <f t="array" ref="U498">XLOOKUP(LCARS_Off[AbilityID],RawOfficer[AbilityID],RawOfficer[AbilityModifier])</f>
        <v>ApexBarrier</v>
      </c>
      <c r="V498" s="519" t="str">
        <f t="array" ref="V498">XLOOKUP(LCARS_Off[AbilityID],RawOfficer[AbilityID],RawOfficer[AbilityAttributes])</f>
        <v>num_rounds=5</v>
      </c>
      <c r="W498" s="520" t="str">
        <f t="array" ref="W498">XLOOKUP(LCARS_Off[AbilityID],RawOfficer[AbilityID],RawOfficer[AbilityConditions])</f>
        <v>EnemyPlayer, EnemyExplorer, TargetHasBurning, SelfOfficerTalNotOnBridge</v>
      </c>
      <c r="X498" s="519" t="str">
        <f t="array" ref="X498">XLOOKUP(LCARS_Off[AbilityID],RawOfficer[AbilityID],RawOfficer[AbilityTrigger])</f>
        <v>RoundStart</v>
      </c>
      <c r="Y498" s="519" t="str">
        <f t="array" ref="Y498">XLOOKUP(LCARS_Off[AbilityID],RawOfficer[AbilityID],RawOfficer[AbilityTarget])</f>
        <v>SelfShip</v>
      </c>
      <c r="Z498" s="519" t="str">
        <f t="array" ref="Z498">XLOOKUP(LCARS_Off[AbilityID],RawOfficer[AbilityID],RawOfficer[AbilityOperation])</f>
        <v>Add</v>
      </c>
      <c r="AA498" s="521" t="str">
        <f t="array" ref="AA498">XLOOKUP(LCARS_Off[AbilityID],RawOfficer[AbilityID],RawOfficer[AbilityDescription])</f>
        <v>On round start against players commanding an Explorer afflicted by Burning, Soran increases your Apex Barrier by X (X at rank X) for 5 rounds. -- This ability does not trigger when Tal is assigned to the bridge of your ship.</v>
      </c>
      <c r="AB498" s="429" t="b">
        <v>0</v>
      </c>
      <c r="AC498" s="522" t="str">
        <f t="array" ref="AC498">XLOOKUP(LCARS_Off[AbilityID],RawOfficer[AbilityID],RawOfficer[AbilityDescriptionShort])</f>
        <v>On round start against players commanding an Explorer afflicted by Burning, Soran increases your Apex Barrier by X for 5 rounds.</v>
      </c>
      <c r="AD498" s="523"/>
      <c r="AE498" s="524"/>
      <c r="AF498" s="524"/>
      <c r="AG498" s="525" t="str">
        <f t="array" ref="AG498">XLOOKUP(LCARS_Off[AbilityID],RawOfficer[AbilityID],RawOfficer[AbilityChances])</f>
        <v>1.0, 1.0, 1.0, 1.0, 1.0</v>
      </c>
      <c r="AH498" s="525" t="str">
        <f t="array" ref="AH498">XLOOKUP(LCARS_Off[AbilityID],RawOfficer[AbilityID],RawOfficer[AbilityValues])</f>
        <v>10000.0, 12000.0, 14000.0, 15000.0, 16000.0</v>
      </c>
      <c r="AI498" s="428" t="b">
        <f t="array" ref="AI498">XLOOKUP(LCARS_Off[AbilityID],RawOfficer[AbilityID],RawOfficer[AbilityHasChance])</f>
        <v>0</v>
      </c>
      <c r="AJ498" s="428" t="b">
        <f t="array" ref="AJ498">XLOOKUP(LCARS_Off[AbilityID],RawOfficer[AbilityID],RawOfficer[AbilityShowPercentage])</f>
        <v>0</v>
      </c>
      <c r="AK498" s="429">
        <f t="array" ref="AK498">XLOOKUP(LCARS_Off[AbilityID],RawOfficer[AbilityID],RawOfficer[OfficerArt])</f>
        <v>294</v>
      </c>
      <c r="AL498" s="430">
        <v>2.994432443E9</v>
      </c>
      <c r="AM498" s="430">
        <f t="array" ref="AM498">XLOOKUP(LCARS_Off[AbilityID],RawOfficer[AbilityID],RawOfficer[Default Order])</f>
        <v>495</v>
      </c>
    </row>
    <row r="499">
      <c r="A499" s="429" t="str">
        <f t="array" ref="A499">LEFT(XLOOKUP(LCARS_Off[AbilityID],RawOfficer[AbilityID],RawOfficer[OfficerRarity]), 1)</f>
        <v>R</v>
      </c>
      <c r="B499" s="429"/>
      <c r="C499" s="514" t="str">
        <f t="array" ref="C499">HYPERLINK("https://stfc.space/officers/" &amp; XLOOKUP(LCARS_Off[AbilityID],RawOfficer[AbilityID],RawOfficer[OfficerId]), XLOOKUP(LCARS_Off[AbilityID],RawOfficer[AbilityID],RawOfficer[OfficerName]))</f>
        <v>ROMI</v>
      </c>
      <c r="D499" s="515" t="str">
        <f t="array" ref="D499">XLOOKUP(LCARS_Off[AbilityID],RawOfficer[AbilityID],RawOfficer[AbilityType])</f>
        <v>OA</v>
      </c>
      <c r="E499" s="516" t="str">
        <f t="array" ref="E499">XLOOKUP(LCARS_Off[AbilityID],RawOfficer[AbilityID],RawOfficer[Tag_PvPinSpace])</f>
        <v>✴️</v>
      </c>
      <c r="F499" s="516" t="str">
        <f t="array" ref="F499">XLOOKUP(LCARS_Off[AbilityID],RawOfficer[AbilityID],RawOfficer[Tag_PvPStation])</f>
        <v>✴️</v>
      </c>
      <c r="G499" s="516" t="str">
        <f t="array" ref="G499">XLOOKUP(LCARS_Off[AbilityID],RawOfficer[AbilityID],RawOfficer[Tag_NonArmadaHostiles])</f>
        <v>➖</v>
      </c>
      <c r="H499" s="516" t="str">
        <f t="array" ref="H499">XLOOKUP(LCARS_Off[AbilityID],RawOfficer[AbilityID],RawOfficer[Tag_WaveDefense])</f>
        <v>➖</v>
      </c>
      <c r="I499" s="516" t="str">
        <f t="array" ref="I499">XLOOKUP(LCARS_Off[AbilityID],RawOfficer[AbilityID],RawOfficer[Tag_QTrial])</f>
        <v>➖</v>
      </c>
      <c r="J499" s="516" t="str">
        <f t="array" ref="J499">XLOOKUP(LCARS_Off[AbilityID],RawOfficer[AbilityID],RawOfficer[Tag_MissionBosses])</f>
        <v>➖</v>
      </c>
      <c r="K499" s="516" t="str">
        <f t="array" ref="K499">XLOOKUP(LCARS_Off[AbilityID],RawOfficer[AbilityID],RawOfficer[Tag_GroupArmadas])</f>
        <v>➖</v>
      </c>
      <c r="L499" s="516" t="str">
        <f t="array" ref="L499">XLOOKUP(LCARS_Off[AbilityID],RawOfficer[AbilityID],RawOfficer[Tag_SoloArmadas])</f>
        <v>➖</v>
      </c>
      <c r="M499" s="516" t="str">
        <f t="array" ref="M499">XLOOKUP(LCARS_Off[AbilityID],RawOfficer[AbilityID],RawOfficer[Tag_InvadingEntities])</f>
        <v>➖</v>
      </c>
      <c r="N499" s="516" t="str">
        <f t="array" ref="N499">XLOOKUP(LCARS_Off[AbilityID],RawOfficer[AbilityID],RawOfficer[Tag_Assaults])</f>
        <v>➖</v>
      </c>
      <c r="O499" s="516" t="str">
        <f t="array" ref="O499">XLOOKUP(LCARS_Off[AbilityID],RawOfficer[AbilityID],RawOfficer[Tag_OutpostArmadas])</f>
        <v>➖</v>
      </c>
      <c r="P499" s="516" t="str">
        <f t="array" ref="P499">XLOOKUP(LCARS_Off[AbilityID],RawOfficer[AbilityID],RawOfficer[Tag_OutpostRetaliators])</f>
        <v>➖</v>
      </c>
      <c r="Q499" s="517" t="str">
        <f t="array" ref="Q499">XLOOKUP(LCARS_Off[AbilityID],RawOfficer[AbilityID],RawOfficer[Conditional_Reason])</f>
        <v>TargetHasBurning</v>
      </c>
      <c r="R499" s="518" t="str">
        <f t="array" ref="R499">XLOOKUP(LCARS_Off[AbilityID],RawOfficer[AbilityID],RawOfficer[Tag_Loot])</f>
        <v>➖</v>
      </c>
      <c r="S499" s="516" t="str">
        <f t="array" ref="S499">XLOOKUP(LCARS_Off[AbilityID],RawOfficer[AbilityID],RawOfficer[Tag_Utility])</f>
        <v>➖</v>
      </c>
      <c r="T499" s="429" t="str">
        <f t="array" ref="T499">XLOOKUP(LCARS_Off[AbilityID],RawOfficer[AbilityID],RawOfficer[OfficerSynergy])</f>
        <v>EXPLORER RETALIATION SQUAD</v>
      </c>
      <c r="U499" s="519" t="str">
        <f t="array" ref="U499">XLOOKUP(LCARS_Off[AbilityID],RawOfficer[AbilityID],RawOfficer[AbilityModifier])</f>
        <v>IsolyticDefense</v>
      </c>
      <c r="V499" s="519" t="str">
        <f t="array" ref="V499">XLOOKUP(LCARS_Off[AbilityID],RawOfficer[AbilityID],RawOfficer[AbilityAttributes])</f>
        <v>num_rounds=3</v>
      </c>
      <c r="W499" s="520" t="str">
        <f t="array" ref="W499">XLOOKUP(LCARS_Off[AbilityID],RawOfficer[AbilityID],RawOfficer[AbilityConditions])</f>
        <v>EnemyPlayer, TargetHasBurning</v>
      </c>
      <c r="X499" s="519" t="str">
        <f t="array" ref="X499">XLOOKUP(LCARS_Off[AbilityID],RawOfficer[AbilityID],RawOfficer[AbilityTrigger])</f>
        <v>RoundStart</v>
      </c>
      <c r="Y499" s="519" t="str">
        <f t="array" ref="Y499">XLOOKUP(LCARS_Off[AbilityID],RawOfficer[AbilityID],RawOfficer[AbilityTarget])</f>
        <v>SelfShip</v>
      </c>
      <c r="Z499" s="519" t="str">
        <f t="array" ref="Z499">XLOOKUP(LCARS_Off[AbilityID],RawOfficer[AbilityID],RawOfficer[AbilityOperation])</f>
        <v>Add</v>
      </c>
      <c r="AA499" s="521" t="str">
        <f t="array" ref="AA499">XLOOKUP(LCARS_Off[AbilityID],RawOfficer[AbilityID],RawOfficer[AbilityDescription])</f>
        <v>On round start against players afflicted by Burning, Romi increases your Isolytic Defense by X (X at rank X) for 3 rounds.</v>
      </c>
      <c r="AB499" s="429" t="b">
        <v>0</v>
      </c>
      <c r="AC499" s="522" t="str">
        <f t="array" ref="AC499">XLOOKUP(LCARS_Off[AbilityID],RawOfficer[AbilityID],RawOfficer[AbilityDescriptionShort])</f>
        <v>On round start against players afflicted by Burning, Romi increases your Isolytic Defense by X for 3 rounds.</v>
      </c>
      <c r="AD499" s="523"/>
      <c r="AE499" s="524"/>
      <c r="AF499" s="524"/>
      <c r="AG499" s="525" t="str">
        <f t="array" ref="AG499">XLOOKUP(LCARS_Off[AbilityID],RawOfficer[AbilityID],RawOfficer[AbilityChances])</f>
        <v>1.0, 1.0, 1.0, 1.0, 1.0</v>
      </c>
      <c r="AH499" s="525" t="str">
        <f t="array" ref="AH499">XLOOKUP(LCARS_Off[AbilityID],RawOfficer[AbilityID],RawOfficer[AbilityValues])</f>
        <v>1.0, 1.2, 1.4, 1.7, 2.0</v>
      </c>
      <c r="AI499" s="428" t="b">
        <f t="array" ref="AI499">XLOOKUP(LCARS_Off[AbilityID],RawOfficer[AbilityID],RawOfficer[AbilityHasChance])</f>
        <v>0</v>
      </c>
      <c r="AJ499" s="428" t="b">
        <f t="array" ref="AJ499">XLOOKUP(LCARS_Off[AbilityID],RawOfficer[AbilityID],RawOfficer[AbilityShowPercentage])</f>
        <v>1</v>
      </c>
      <c r="AK499" s="429">
        <f t="array" ref="AK499">XLOOKUP(LCARS_Off[AbilityID],RawOfficer[AbilityID],RawOfficer[OfficerArt])</f>
        <v>293</v>
      </c>
      <c r="AL499" s="430">
        <v>2.13451749E8</v>
      </c>
      <c r="AM499" s="430">
        <f t="array" ref="AM499">XLOOKUP(LCARS_Off[AbilityID],RawOfficer[AbilityID],RawOfficer[Default Order])</f>
        <v>496</v>
      </c>
    </row>
    <row r="500">
      <c r="A500" s="429" t="str">
        <f t="array" ref="A500">LEFT(XLOOKUP(LCARS_Off[AbilityID],RawOfficer[AbilityID],RawOfficer[OfficerRarity]), 1)</f>
        <v>R</v>
      </c>
      <c r="B500" s="429"/>
      <c r="C500" s="514" t="str">
        <f t="array" ref="C500">HYPERLINK("https://stfc.space/officers/" &amp; XLOOKUP(LCARS_Off[AbilityID],RawOfficer[AbilityID],RawOfficer[OfficerId]), XLOOKUP(LCARS_Off[AbilityID],RawOfficer[AbilityID],RawOfficer[OfficerName]))</f>
        <v>ROMI</v>
      </c>
      <c r="D500" s="515" t="str">
        <f t="array" ref="D500">XLOOKUP(LCARS_Off[AbilityID],RawOfficer[AbilityID],RawOfficer[AbilityType])</f>
        <v>BDA</v>
      </c>
      <c r="E500" s="516" t="str">
        <f t="array" ref="E500">XLOOKUP(LCARS_Off[AbilityID],RawOfficer[AbilityID],RawOfficer[Tag_PvPinSpace])</f>
        <v>✴️</v>
      </c>
      <c r="F500" s="516" t="str">
        <f t="array" ref="F500">XLOOKUP(LCARS_Off[AbilityID],RawOfficer[AbilityID],RawOfficer[Tag_PvPStation])</f>
        <v>✴️</v>
      </c>
      <c r="G500" s="516" t="str">
        <f t="array" ref="G500">XLOOKUP(LCARS_Off[AbilityID],RawOfficer[AbilityID],RawOfficer[Tag_NonArmadaHostiles])</f>
        <v>➖</v>
      </c>
      <c r="H500" s="516" t="str">
        <f t="array" ref="H500">XLOOKUP(LCARS_Off[AbilityID],RawOfficer[AbilityID],RawOfficer[Tag_WaveDefense])</f>
        <v>➖</v>
      </c>
      <c r="I500" s="516" t="str">
        <f t="array" ref="I500">XLOOKUP(LCARS_Off[AbilityID],RawOfficer[AbilityID],RawOfficer[Tag_QTrial])</f>
        <v>➖</v>
      </c>
      <c r="J500" s="516" t="str">
        <f t="array" ref="J500">XLOOKUP(LCARS_Off[AbilityID],RawOfficer[AbilityID],RawOfficer[Tag_MissionBosses])</f>
        <v>➖</v>
      </c>
      <c r="K500" s="516" t="str">
        <f t="array" ref="K500">XLOOKUP(LCARS_Off[AbilityID],RawOfficer[AbilityID],RawOfficer[Tag_GroupArmadas])</f>
        <v>➖</v>
      </c>
      <c r="L500" s="516" t="str">
        <f t="array" ref="L500">XLOOKUP(LCARS_Off[AbilityID],RawOfficer[AbilityID],RawOfficer[Tag_SoloArmadas])</f>
        <v>➖</v>
      </c>
      <c r="M500" s="516" t="str">
        <f t="array" ref="M500">XLOOKUP(LCARS_Off[AbilityID],RawOfficer[AbilityID],RawOfficer[Tag_InvadingEntities])</f>
        <v>➖</v>
      </c>
      <c r="N500" s="516" t="str">
        <f t="array" ref="N500">XLOOKUP(LCARS_Off[AbilityID],RawOfficer[AbilityID],RawOfficer[Tag_Assaults])</f>
        <v>➖</v>
      </c>
      <c r="O500" s="516" t="str">
        <f t="array" ref="O500">XLOOKUP(LCARS_Off[AbilityID],RawOfficer[AbilityID],RawOfficer[Tag_OutpostArmadas])</f>
        <v>➖</v>
      </c>
      <c r="P500" s="516" t="str">
        <f t="array" ref="P500">XLOOKUP(LCARS_Off[AbilityID],RawOfficer[AbilityID],RawOfficer[Tag_OutpostRetaliators])</f>
        <v>➖</v>
      </c>
      <c r="Q500" s="517" t="str">
        <f t="array" ref="Q500">XLOOKUP(LCARS_Off[AbilityID],RawOfficer[AbilityID],RawOfficer[Conditional_Reason])</f>
        <v>TargetHasHullBreach, SelfOfficerTalNotOnBridge</v>
      </c>
      <c r="R500" s="518" t="str">
        <f t="array" ref="R500">XLOOKUP(LCARS_Off[AbilityID],RawOfficer[AbilityID],RawOfficer[Tag_Loot])</f>
        <v>➖</v>
      </c>
      <c r="S500" s="516" t="str">
        <f t="array" ref="S500">XLOOKUP(LCARS_Off[AbilityID],RawOfficer[AbilityID],RawOfficer[Tag_Utility])</f>
        <v>➖</v>
      </c>
      <c r="T500" s="429" t="str">
        <f t="array" ref="T500">XLOOKUP(LCARS_Off[AbilityID],RawOfficer[AbilityID],RawOfficer[OfficerSynergy])</f>
        <v>EXPLORER RETALIATION SQUAD</v>
      </c>
      <c r="U500" s="519" t="str">
        <f t="array" ref="U500">XLOOKUP(LCARS_Off[AbilityID],RawOfficer[AbilityID],RawOfficer[AbilityModifier])</f>
        <v>ApexBarrier</v>
      </c>
      <c r="V500" s="519" t="str">
        <f t="array" ref="V500">XLOOKUP(LCARS_Off[AbilityID],RawOfficer[AbilityID],RawOfficer[AbilityAttributes])</f>
        <v>num_rounds=1</v>
      </c>
      <c r="W500" s="520" t="str">
        <f t="array" ref="W500">XLOOKUP(LCARS_Off[AbilityID],RawOfficer[AbilityID],RawOfficer[AbilityConditions])</f>
        <v>EnemyPlayer, TargetHasHullBreach, SelfOfficerTalNotOnBridge</v>
      </c>
      <c r="X500" s="519" t="str">
        <f t="array" ref="X500">XLOOKUP(LCARS_Off[AbilityID],RawOfficer[AbilityID],RawOfficer[AbilityTrigger])</f>
        <v>RoundStart</v>
      </c>
      <c r="Y500" s="519" t="str">
        <f t="array" ref="Y500">XLOOKUP(LCARS_Off[AbilityID],RawOfficer[AbilityID],RawOfficer[AbilityTarget])</f>
        <v>SelfShip</v>
      </c>
      <c r="Z500" s="519" t="str">
        <f t="array" ref="Z500">XLOOKUP(LCARS_Off[AbilityID],RawOfficer[AbilityID],RawOfficer[AbilityOperation])</f>
        <v>Add</v>
      </c>
      <c r="AA500" s="521" t="str">
        <f t="array" ref="AA500">XLOOKUP(LCARS_Off[AbilityID],RawOfficer[AbilityID],RawOfficer[AbilityDescription])</f>
        <v>On round start against players afflicted by Hull Breach, Romi increases your Apex Barrier by X (X at rank X) for 1 round. -- This ability does not trigger when Tal is assigned to the bridge of your ship.</v>
      </c>
      <c r="AB500" s="429" t="b">
        <v>0</v>
      </c>
      <c r="AC500" s="522" t="str">
        <f t="array" ref="AC500">XLOOKUP(LCARS_Off[AbilityID],RawOfficer[AbilityID],RawOfficer[AbilityDescriptionShort])</f>
        <v>On round start against players afflicted by Hull Breach, Romi increases your Apex Barrier by X for 1 round.</v>
      </c>
      <c r="AD500" s="523"/>
      <c r="AE500" s="524"/>
      <c r="AF500" s="524"/>
      <c r="AG500" s="525" t="str">
        <f t="array" ref="AG500">XLOOKUP(LCARS_Off[AbilityID],RawOfficer[AbilityID],RawOfficer[AbilityChances])</f>
        <v>1.0, 1.0, 1.0, 1.0, 1.0</v>
      </c>
      <c r="AH500" s="525" t="str">
        <f t="array" ref="AH500">XLOOKUP(LCARS_Off[AbilityID],RawOfficer[AbilityID],RawOfficer[AbilityValues])</f>
        <v>7000.0, 8000.0, 10000.0, 12000.0, 15000.0</v>
      </c>
      <c r="AI500" s="428" t="b">
        <f t="array" ref="AI500">XLOOKUP(LCARS_Off[AbilityID],RawOfficer[AbilityID],RawOfficer[AbilityHasChance])</f>
        <v>0</v>
      </c>
      <c r="AJ500" s="428" t="b">
        <f t="array" ref="AJ500">XLOOKUP(LCARS_Off[AbilityID],RawOfficer[AbilityID],RawOfficer[AbilityShowPercentage])</f>
        <v>0</v>
      </c>
      <c r="AK500" s="429">
        <f t="array" ref="AK500">XLOOKUP(LCARS_Off[AbilityID],RawOfficer[AbilityID],RawOfficer[OfficerArt])</f>
        <v>293</v>
      </c>
      <c r="AL500" s="430">
        <v>2.315532916E9</v>
      </c>
      <c r="AM500" s="430">
        <f t="array" ref="AM500">XLOOKUP(LCARS_Off[AbilityID],RawOfficer[AbilityID],RawOfficer[Default Order])</f>
        <v>497</v>
      </c>
    </row>
    <row r="501">
      <c r="A501" s="429" t="str">
        <f t="array" ref="A501">LEFT(XLOOKUP(LCARS_Off[AbilityID],RawOfficer[AbilityID],RawOfficer[OfficerRarity]), 1)</f>
        <v>R</v>
      </c>
      <c r="B501" s="429"/>
      <c r="C501" s="514" t="str">
        <f t="array" ref="C501">HYPERLINK("https://stfc.space/officers/" &amp; XLOOKUP(LCARS_Off[AbilityID],RawOfficer[AbilityID],RawOfficer[OfficerId]), XLOOKUP(LCARS_Off[AbilityID],RawOfficer[AbilityID],RawOfficer[OfficerName]))</f>
        <v>MISS Q</v>
      </c>
      <c r="D501" s="515" t="str">
        <f t="array" ref="D501">XLOOKUP(LCARS_Off[AbilityID],RawOfficer[AbilityID],RawOfficer[AbilityType])</f>
        <v>OA</v>
      </c>
      <c r="E501" s="516" t="str">
        <f t="array" ref="E501">XLOOKUP(LCARS_Off[AbilityID],RawOfficer[AbilityID],RawOfficer[Tag_PvPinSpace])</f>
        <v>✴️</v>
      </c>
      <c r="F501" s="516" t="str">
        <f t="array" ref="F501">XLOOKUP(LCARS_Off[AbilityID],RawOfficer[AbilityID],RawOfficer[Tag_PvPStation])</f>
        <v>✴️</v>
      </c>
      <c r="G501" s="516" t="str">
        <f t="array" ref="G501">XLOOKUP(LCARS_Off[AbilityID],RawOfficer[AbilityID],RawOfficer[Tag_NonArmadaHostiles])</f>
        <v>➖</v>
      </c>
      <c r="H501" s="516" t="str">
        <f t="array" ref="H501">XLOOKUP(LCARS_Off[AbilityID],RawOfficer[AbilityID],RawOfficer[Tag_WaveDefense])</f>
        <v>➖</v>
      </c>
      <c r="I501" s="516" t="str">
        <f t="array" ref="I501">XLOOKUP(LCARS_Off[AbilityID],RawOfficer[AbilityID],RawOfficer[Tag_QTrial])</f>
        <v>➖</v>
      </c>
      <c r="J501" s="516" t="str">
        <f t="array" ref="J501">XLOOKUP(LCARS_Off[AbilityID],RawOfficer[AbilityID],RawOfficer[Tag_MissionBosses])</f>
        <v>➖</v>
      </c>
      <c r="K501" s="516" t="str">
        <f t="array" ref="K501">XLOOKUP(LCARS_Off[AbilityID],RawOfficer[AbilityID],RawOfficer[Tag_GroupArmadas])</f>
        <v>➖</v>
      </c>
      <c r="L501" s="516" t="str">
        <f t="array" ref="L501">XLOOKUP(LCARS_Off[AbilityID],RawOfficer[AbilityID],RawOfficer[Tag_SoloArmadas])</f>
        <v>➖</v>
      </c>
      <c r="M501" s="516" t="str">
        <f t="array" ref="M501">XLOOKUP(LCARS_Off[AbilityID],RawOfficer[AbilityID],RawOfficer[Tag_InvadingEntities])</f>
        <v>➖</v>
      </c>
      <c r="N501" s="516" t="str">
        <f t="array" ref="N501">XLOOKUP(LCARS_Off[AbilityID],RawOfficer[AbilityID],RawOfficer[Tag_Assaults])</f>
        <v>➖</v>
      </c>
      <c r="O501" s="516" t="str">
        <f t="array" ref="O501">XLOOKUP(LCARS_Off[AbilityID],RawOfficer[AbilityID],RawOfficer[Tag_OutpostArmadas])</f>
        <v>➖</v>
      </c>
      <c r="P501" s="516" t="str">
        <f t="array" ref="P501">XLOOKUP(LCARS_Off[AbilityID],RawOfficer[AbilityID],RawOfficer[Tag_OutpostRetaliators])</f>
        <v>➖</v>
      </c>
      <c r="Q501" s="517" t="str">
        <f t="array" ref="Q501">XLOOKUP(LCARS_Off[AbilityID],RawOfficer[AbilityID],RawOfficer[Conditional_Reason])</f>
        <v>TargetHasBurning</v>
      </c>
      <c r="R501" s="518" t="str">
        <f t="array" ref="R501">XLOOKUP(LCARS_Off[AbilityID],RawOfficer[AbilityID],RawOfficer[Tag_Loot])</f>
        <v>➖</v>
      </c>
      <c r="S501" s="516" t="str">
        <f t="array" ref="S501">XLOOKUP(LCARS_Off[AbilityID],RawOfficer[AbilityID],RawOfficer[Tag_Utility])</f>
        <v>➖</v>
      </c>
      <c r="T501" s="429" t="str">
        <f t="array" ref="T501">XLOOKUP(LCARS_Off[AbilityID],RawOfficer[AbilityID],RawOfficer[OfficerSynergy])</f>
        <v>EXPLORER RETALIATION SQUAD</v>
      </c>
      <c r="U501" s="519" t="str">
        <f t="array" ref="U501">XLOOKUP(LCARS_Off[AbilityID],RawOfficer[AbilityID],RawOfficer[AbilityModifier])</f>
        <v>IsolyticDamage</v>
      </c>
      <c r="V501" s="519" t="str">
        <f t="array" ref="V501">XLOOKUP(LCARS_Off[AbilityID],RawOfficer[AbilityID],RawOfficer[AbilityAttributes])</f>
        <v>num_rounds=3</v>
      </c>
      <c r="W501" s="520" t="str">
        <f t="array" ref="W501">XLOOKUP(LCARS_Off[AbilityID],RawOfficer[AbilityID],RawOfficer[AbilityConditions])</f>
        <v>EnemyPlayer, TargetHasBurning</v>
      </c>
      <c r="X501" s="519" t="str">
        <f t="array" ref="X501">XLOOKUP(LCARS_Off[AbilityID],RawOfficer[AbilityID],RawOfficer[AbilityTrigger])</f>
        <v>RoundStart</v>
      </c>
      <c r="Y501" s="519" t="str">
        <f t="array" ref="Y501">XLOOKUP(LCARS_Off[AbilityID],RawOfficer[AbilityID],RawOfficer[AbilityTarget])</f>
        <v>SelfShip</v>
      </c>
      <c r="Z501" s="519" t="str">
        <f t="array" ref="Z501">XLOOKUP(LCARS_Off[AbilityID],RawOfficer[AbilityID],RawOfficer[AbilityOperation])</f>
        <v>MultiplyAdd</v>
      </c>
      <c r="AA501" s="521" t="str">
        <f t="array" ref="AA501">XLOOKUP(LCARS_Off[AbilityID],RawOfficer[AbilityID],RawOfficer[AbilityDescription])</f>
        <v>On round start against players afflicted by Burning, Miss Q increases your Isolytic Cascade damage by X (X at rank X) for 3 rounds.</v>
      </c>
      <c r="AB501" s="429" t="b">
        <v>0</v>
      </c>
      <c r="AC501" s="522" t="str">
        <f t="array" ref="AC501">XLOOKUP(LCARS_Off[AbilityID],RawOfficer[AbilityID],RawOfficer[AbilityDescriptionShort])</f>
        <v>On round start against players afflicted by Burning, Miss Q increases your Isolytic Cascade damage by X for 3 rounds.</v>
      </c>
      <c r="AD501" s="523"/>
      <c r="AE501" s="524"/>
      <c r="AF501" s="524"/>
      <c r="AG501" s="525" t="str">
        <f t="array" ref="AG501">XLOOKUP(LCARS_Off[AbilityID],RawOfficer[AbilityID],RawOfficer[AbilityChances])</f>
        <v>1.0, 1.0, 1.0, 1.0, 1.0</v>
      </c>
      <c r="AH501" s="525" t="str">
        <f t="array" ref="AH501">XLOOKUP(LCARS_Off[AbilityID],RawOfficer[AbilityID],RawOfficer[AbilityValues])</f>
        <v>0.5, 0.6, 0.75, 0.95, 1.2</v>
      </c>
      <c r="AI501" s="428" t="b">
        <f t="array" ref="AI501">XLOOKUP(LCARS_Off[AbilityID],RawOfficer[AbilityID],RawOfficer[AbilityHasChance])</f>
        <v>0</v>
      </c>
      <c r="AJ501" s="428" t="b">
        <f t="array" ref="AJ501">XLOOKUP(LCARS_Off[AbilityID],RawOfficer[AbilityID],RawOfficer[AbilityShowPercentage])</f>
        <v>1</v>
      </c>
      <c r="AK501" s="429">
        <f t="array" ref="AK501">XLOOKUP(LCARS_Off[AbilityID],RawOfficer[AbilityID],RawOfficer[OfficerArt])</f>
        <v>295</v>
      </c>
      <c r="AL501" s="430">
        <v>3.605405429E9</v>
      </c>
      <c r="AM501" s="430">
        <f t="array" ref="AM501">XLOOKUP(LCARS_Off[AbilityID],RawOfficer[AbilityID],RawOfficer[Default Order])</f>
        <v>498</v>
      </c>
    </row>
    <row r="502">
      <c r="A502" s="429" t="str">
        <f t="array" ref="A502">LEFT(XLOOKUP(LCARS_Off[AbilityID],RawOfficer[AbilityID],RawOfficer[OfficerRarity]), 1)</f>
        <v>R</v>
      </c>
      <c r="B502" s="429"/>
      <c r="C502" s="514" t="str">
        <f t="array" ref="C502">HYPERLINK("https://stfc.space/officers/" &amp; XLOOKUP(LCARS_Off[AbilityID],RawOfficer[AbilityID],RawOfficer[OfficerId]), XLOOKUP(LCARS_Off[AbilityID],RawOfficer[AbilityID],RawOfficer[OfficerName]))</f>
        <v>MISS Q</v>
      </c>
      <c r="D502" s="515" t="str">
        <f t="array" ref="D502">XLOOKUP(LCARS_Off[AbilityID],RawOfficer[AbilityID],RawOfficer[AbilityType])</f>
        <v>BDA</v>
      </c>
      <c r="E502" s="516" t="str">
        <f t="array" ref="E502">XLOOKUP(LCARS_Off[AbilityID],RawOfficer[AbilityID],RawOfficer[Tag_PvPinSpace])</f>
        <v>✴️</v>
      </c>
      <c r="F502" s="516" t="str">
        <f t="array" ref="F502">XLOOKUP(LCARS_Off[AbilityID],RawOfficer[AbilityID],RawOfficer[Tag_PvPStation])</f>
        <v>✴️</v>
      </c>
      <c r="G502" s="516" t="str">
        <f t="array" ref="G502">XLOOKUP(LCARS_Off[AbilityID],RawOfficer[AbilityID],RawOfficer[Tag_NonArmadaHostiles])</f>
        <v>➖</v>
      </c>
      <c r="H502" s="516" t="str">
        <f t="array" ref="H502">XLOOKUP(LCARS_Off[AbilityID],RawOfficer[AbilityID],RawOfficer[Tag_WaveDefense])</f>
        <v>➖</v>
      </c>
      <c r="I502" s="516" t="str">
        <f t="array" ref="I502">XLOOKUP(LCARS_Off[AbilityID],RawOfficer[AbilityID],RawOfficer[Tag_QTrial])</f>
        <v>➖</v>
      </c>
      <c r="J502" s="516" t="str">
        <f t="array" ref="J502">XLOOKUP(LCARS_Off[AbilityID],RawOfficer[AbilityID],RawOfficer[Tag_MissionBosses])</f>
        <v>➖</v>
      </c>
      <c r="K502" s="516" t="str">
        <f t="array" ref="K502">XLOOKUP(LCARS_Off[AbilityID],RawOfficer[AbilityID],RawOfficer[Tag_GroupArmadas])</f>
        <v>➖</v>
      </c>
      <c r="L502" s="516" t="str">
        <f t="array" ref="L502">XLOOKUP(LCARS_Off[AbilityID],RawOfficer[AbilityID],RawOfficer[Tag_SoloArmadas])</f>
        <v>➖</v>
      </c>
      <c r="M502" s="516" t="str">
        <f t="array" ref="M502">XLOOKUP(LCARS_Off[AbilityID],RawOfficer[AbilityID],RawOfficer[Tag_InvadingEntities])</f>
        <v>➖</v>
      </c>
      <c r="N502" s="516" t="str">
        <f t="array" ref="N502">XLOOKUP(LCARS_Off[AbilityID],RawOfficer[AbilityID],RawOfficer[Tag_Assaults])</f>
        <v>➖</v>
      </c>
      <c r="O502" s="516" t="str">
        <f t="array" ref="O502">XLOOKUP(LCARS_Off[AbilityID],RawOfficer[AbilityID],RawOfficer[Tag_OutpostArmadas])</f>
        <v>➖</v>
      </c>
      <c r="P502" s="516" t="str">
        <f t="array" ref="P502">XLOOKUP(LCARS_Off[AbilityID],RawOfficer[AbilityID],RawOfficer[Tag_OutpostRetaliators])</f>
        <v>➖</v>
      </c>
      <c r="Q502" s="517" t="str">
        <f t="array" ref="Q502">XLOOKUP(LCARS_Off[AbilityID],RawOfficer[AbilityID],RawOfficer[Conditional_Reason])</f>
        <v>SelfHasMorale, SelfOfficerTalNotOnBridge</v>
      </c>
      <c r="R502" s="518" t="str">
        <f t="array" ref="R502">XLOOKUP(LCARS_Off[AbilityID],RawOfficer[AbilityID],RawOfficer[Tag_Loot])</f>
        <v>➖</v>
      </c>
      <c r="S502" s="516" t="str">
        <f t="array" ref="S502">XLOOKUP(LCARS_Off[AbilityID],RawOfficer[AbilityID],RawOfficer[Tag_Utility])</f>
        <v>➖</v>
      </c>
      <c r="T502" s="429" t="str">
        <f t="array" ref="T502">XLOOKUP(LCARS_Off[AbilityID],RawOfficer[AbilityID],RawOfficer[OfficerSynergy])</f>
        <v>EXPLORER RETALIATION SQUAD</v>
      </c>
      <c r="U502" s="519" t="str">
        <f t="array" ref="U502">XLOOKUP(LCARS_Off[AbilityID],RawOfficer[AbilityID],RawOfficer[AbilityModifier])</f>
        <v>ApexBarrier</v>
      </c>
      <c r="V502" s="519" t="str">
        <f t="array" ref="V502">XLOOKUP(LCARS_Off[AbilityID],RawOfficer[AbilityID],RawOfficer[AbilityAttributes])</f>
        <v>num_rounds=1</v>
      </c>
      <c r="W502" s="520" t="str">
        <f t="array" ref="W502">XLOOKUP(LCARS_Off[AbilityID],RawOfficer[AbilityID],RawOfficer[AbilityConditions])</f>
        <v>SelfHasMorale, EnemyPlayer, SelfOfficerTalNotOnBridge</v>
      </c>
      <c r="X502" s="519" t="str">
        <f t="array" ref="X502">XLOOKUP(LCARS_Off[AbilityID],RawOfficer[AbilityID],RawOfficer[AbilityTrigger])</f>
        <v>RoundStart</v>
      </c>
      <c r="Y502" s="519" t="str">
        <f t="array" ref="Y502">XLOOKUP(LCARS_Off[AbilityID],RawOfficer[AbilityID],RawOfficer[AbilityTarget])</f>
        <v>SelfShip</v>
      </c>
      <c r="Z502" s="519" t="str">
        <f t="array" ref="Z502">XLOOKUP(LCARS_Off[AbilityID],RawOfficer[AbilityID],RawOfficer[AbilityOperation])</f>
        <v>Add</v>
      </c>
      <c r="AA502" s="521" t="str">
        <f t="array" ref="AA502">XLOOKUP(LCARS_Off[AbilityID],RawOfficer[AbilityID],RawOfficer[AbilityDescription])</f>
        <v>On round start, if placed on a ship with Morale against players, Miss Q increases your Apex Barrier by X (X at rank X) for 1 round. -- This ability does not trigger when Tal is assigned to the bridge of your ship.</v>
      </c>
      <c r="AB502" s="429" t="b">
        <v>0</v>
      </c>
      <c r="AC502" s="522" t="str">
        <f t="array" ref="AC502">XLOOKUP(LCARS_Off[AbilityID],RawOfficer[AbilityID],RawOfficer[AbilityDescriptionShort])</f>
        <v>On round start, if placed on a ship with Morale against players, Miss Q increases your Apex Barrier by X for 1 round.</v>
      </c>
      <c r="AD502" s="523"/>
      <c r="AE502" s="524"/>
      <c r="AF502" s="524"/>
      <c r="AG502" s="525" t="str">
        <f t="array" ref="AG502">XLOOKUP(LCARS_Off[AbilityID],RawOfficer[AbilityID],RawOfficer[AbilityChances])</f>
        <v>1.0, 1.0, 1.0, 1.0, 1.0</v>
      </c>
      <c r="AH502" s="525" t="str">
        <f t="array" ref="AH502">XLOOKUP(LCARS_Off[AbilityID],RawOfficer[AbilityID],RawOfficer[AbilityValues])</f>
        <v>7000.0, 8000.0, 10000.0, 12000.0, 15000.0</v>
      </c>
      <c r="AI502" s="428" t="b">
        <f t="array" ref="AI502">XLOOKUP(LCARS_Off[AbilityID],RawOfficer[AbilityID],RawOfficer[AbilityHasChance])</f>
        <v>0</v>
      </c>
      <c r="AJ502" s="428" t="b">
        <f t="array" ref="AJ502">XLOOKUP(LCARS_Off[AbilityID],RawOfficer[AbilityID],RawOfficer[AbilityShowPercentage])</f>
        <v>0</v>
      </c>
      <c r="AK502" s="429">
        <f t="array" ref="AK502">XLOOKUP(LCARS_Off[AbilityID],RawOfficer[AbilityID],RawOfficer[OfficerArt])</f>
        <v>295</v>
      </c>
      <c r="AL502" s="430">
        <v>1.775722178E9</v>
      </c>
      <c r="AM502" s="430">
        <f t="array" ref="AM502">XLOOKUP(LCARS_Off[AbilityID],RawOfficer[AbilityID],RawOfficer[Default Order])</f>
        <v>499</v>
      </c>
    </row>
    <row r="503">
      <c r="A503" s="429" t="str">
        <f t="array" ref="A503">LEFT(XLOOKUP(LCARS_Off[AbilityID],RawOfficer[AbilityID],RawOfficer[OfficerRarity]), 1)</f>
        <v>E</v>
      </c>
      <c r="B503" s="429"/>
      <c r="C503" s="514" t="str">
        <f t="array" ref="C503">HYPERLINK("https://stfc.space/officers/" &amp; XLOOKUP(LCARS_Off[AbilityID],RawOfficer[AbilityID],RawOfficer[OfficerId]), XLOOKUP(LCARS_Off[AbilityID],RawOfficer[AbilityID],RawOfficer[OfficerName]))</f>
        <v>SPECIALIST SEVEN</v>
      </c>
      <c r="D503" s="515" t="str">
        <f t="array" ref="D503">XLOOKUP(LCARS_Off[AbilityID],RawOfficer[AbilityID],RawOfficer[AbilityType])</f>
        <v>CM</v>
      </c>
      <c r="E503" s="516" t="str">
        <f t="array" ref="E503">XLOOKUP(LCARS_Off[AbilityID],RawOfficer[AbilityID],RawOfficer[Tag_PvPinSpace])</f>
        <v>✴️</v>
      </c>
      <c r="F503" s="516" t="str">
        <f t="array" ref="F503">XLOOKUP(LCARS_Off[AbilityID],RawOfficer[AbilityID],RawOfficer[Tag_PvPStation])</f>
        <v>✴️</v>
      </c>
      <c r="G503" s="516" t="str">
        <f t="array" ref="G503">XLOOKUP(LCARS_Off[AbilityID],RawOfficer[AbilityID],RawOfficer[Tag_NonArmadaHostiles])</f>
        <v>➖</v>
      </c>
      <c r="H503" s="516" t="str">
        <f t="array" ref="H503">XLOOKUP(LCARS_Off[AbilityID],RawOfficer[AbilityID],RawOfficer[Tag_WaveDefense])</f>
        <v>➖</v>
      </c>
      <c r="I503" s="516" t="str">
        <f t="array" ref="I503">XLOOKUP(LCARS_Off[AbilityID],RawOfficer[AbilityID],RawOfficer[Tag_QTrial])</f>
        <v>➖</v>
      </c>
      <c r="J503" s="516" t="str">
        <f t="array" ref="J503">XLOOKUP(LCARS_Off[AbilityID],RawOfficer[AbilityID],RawOfficer[Tag_MissionBosses])</f>
        <v>➖</v>
      </c>
      <c r="K503" s="516" t="str">
        <f t="array" ref="K503">XLOOKUP(LCARS_Off[AbilityID],RawOfficer[AbilityID],RawOfficer[Tag_GroupArmadas])</f>
        <v>➖</v>
      </c>
      <c r="L503" s="516" t="str">
        <f t="array" ref="L503">XLOOKUP(LCARS_Off[AbilityID],RawOfficer[AbilityID],RawOfficer[Tag_SoloArmadas])</f>
        <v>➖</v>
      </c>
      <c r="M503" s="516" t="str">
        <f t="array" ref="M503">XLOOKUP(LCARS_Off[AbilityID],RawOfficer[AbilityID],RawOfficer[Tag_InvadingEntities])</f>
        <v>➖</v>
      </c>
      <c r="N503" s="516" t="str">
        <f t="array" ref="N503">XLOOKUP(LCARS_Off[AbilityID],RawOfficer[AbilityID],RawOfficer[Tag_Assaults])</f>
        <v>➖</v>
      </c>
      <c r="O503" s="516" t="str">
        <f t="array" ref="O503">XLOOKUP(LCARS_Off[AbilityID],RawOfficer[AbilityID],RawOfficer[Tag_OutpostArmadas])</f>
        <v>➖</v>
      </c>
      <c r="P503" s="516" t="str">
        <f t="array" ref="P503">XLOOKUP(LCARS_Off[AbilityID],RawOfficer[AbilityID],RawOfficer[Tag_OutpostRetaliators])</f>
        <v>➖</v>
      </c>
      <c r="Q503" s="517" t="str">
        <f t="array" ref="Q503">XLOOKUP(LCARS_Off[AbilityID],RawOfficer[AbilityID],RawOfficer[Conditional_Reason])</f>
        <v>TargetHasHullBreach, EnemyBattleship</v>
      </c>
      <c r="R503" s="518" t="str">
        <f t="array" ref="R503">XLOOKUP(LCARS_Off[AbilityID],RawOfficer[AbilityID],RawOfficer[Tag_Loot])</f>
        <v>➖</v>
      </c>
      <c r="S503" s="516" t="str">
        <f t="array" ref="S503">XLOOKUP(LCARS_Off[AbilityID],RawOfficer[AbilityID],RawOfficer[Tag_Utility])</f>
        <v>➖</v>
      </c>
      <c r="T503" s="429" t="str">
        <f t="array" ref="T503">XLOOKUP(LCARS_Off[AbilityID],RawOfficer[AbilityID],RawOfficer[OfficerSynergy])</f>
        <v>BATTLESHIP RETALIATION SQUAD</v>
      </c>
      <c r="U503" s="519" t="str">
        <f t="array" ref="U503">XLOOKUP(LCARS_Off[AbilityID],RawOfficer[AbilityID],RawOfficer[AbilityModifier])</f>
        <v>ShotsPerAttack</v>
      </c>
      <c r="V503" s="519" t="str">
        <f t="array" ref="V503">XLOOKUP(LCARS_Off[AbilityID],RawOfficer[AbilityID],RawOfficer[AbilityAttributes])</f>
        <v>num_rounds=4</v>
      </c>
      <c r="W503" s="520" t="str">
        <f t="array" ref="W503">XLOOKUP(LCARS_Off[AbilityID],RawOfficer[AbilityID],RawOfficer[AbilityConditions])</f>
        <v>EnemyPlayer, TargetHasHullBreach, EnemyBattleship</v>
      </c>
      <c r="X503" s="519" t="str">
        <f t="array" ref="X503">XLOOKUP(LCARS_Off[AbilityID],RawOfficer[AbilityID],RawOfficer[AbilityTrigger])</f>
        <v>RoundStart</v>
      </c>
      <c r="Y503" s="519" t="str">
        <f t="array" ref="Y503">XLOOKUP(LCARS_Off[AbilityID],RawOfficer[AbilityID],RawOfficer[AbilityTarget])</f>
        <v>SelfShip</v>
      </c>
      <c r="Z503" s="519" t="str">
        <f t="array" ref="Z503">XLOOKUP(LCARS_Off[AbilityID],RawOfficer[AbilityID],RawOfficer[AbilityOperation])</f>
        <v>MultiplyAdd</v>
      </c>
      <c r="AA503" s="521" t="str">
        <f t="array" ref="AA503">XLOOKUP(LCARS_Off[AbilityID],RawOfficer[AbilityID],RawOfficer[AbilityDescription])</f>
        <v>On round start against player Battleships with Hull Breach, Specialist Seven increases your shots by X each round for 4 rounds (Cumulative)</v>
      </c>
      <c r="AB503" s="429" t="b">
        <v>0</v>
      </c>
      <c r="AC503" s="522" t="str">
        <f t="array" ref="AC503">XLOOKUP(LCARS_Off[AbilityID],RawOfficer[AbilityID],RawOfficer[AbilityDescriptionShort])</f>
        <v>On round start against player Battleships with Hull Breach, increases your shots by X each round for 4 rounds (Cumulative).</v>
      </c>
      <c r="AD503" s="523"/>
      <c r="AE503" s="524"/>
      <c r="AF503" s="524"/>
      <c r="AG503" s="525" t="str">
        <f t="array" ref="AG503">XLOOKUP(LCARS_Off[AbilityID],RawOfficer[AbilityID],RawOfficer[AbilityChances])</f>
        <v>1.0, 1.0, 1.0</v>
      </c>
      <c r="AH503" s="525" t="str">
        <f t="array" ref="AH503">XLOOKUP(LCARS_Off[AbilityID],RawOfficer[AbilityID],RawOfficer[AbilityValues])</f>
        <v>0.6, 0.1, 0.3</v>
      </c>
      <c r="AI503" s="428" t="b">
        <f t="array" ref="AI503">XLOOKUP(LCARS_Off[AbilityID],RawOfficer[AbilityID],RawOfficer[AbilityHasChance])</f>
        <v>0</v>
      </c>
      <c r="AJ503" s="428" t="b">
        <f t="array" ref="AJ503">XLOOKUP(LCARS_Off[AbilityID],RawOfficer[AbilityID],RawOfficer[AbilityShowPercentage])</f>
        <v>1</v>
      </c>
      <c r="AK503" s="429">
        <f t="array" ref="AK503">XLOOKUP(LCARS_Off[AbilityID],RawOfficer[AbilityID],RawOfficer[OfficerArt])</f>
        <v>296</v>
      </c>
      <c r="AL503" s="430">
        <v>1.848008929E9</v>
      </c>
      <c r="AM503" s="430">
        <f t="array" ref="AM503">XLOOKUP(LCARS_Off[AbilityID],RawOfficer[AbilityID],RawOfficer[Default Order])</f>
        <v>500</v>
      </c>
    </row>
    <row r="504">
      <c r="A504" s="429" t="str">
        <f t="array" ref="A504">LEFT(XLOOKUP(LCARS_Off[AbilityID],RawOfficer[AbilityID],RawOfficer[OfficerRarity]), 1)</f>
        <v>E</v>
      </c>
      <c r="B504" s="429"/>
      <c r="C504" s="514" t="str">
        <f t="array" ref="C504">HYPERLINK("https://stfc.space/officers/" &amp; XLOOKUP(LCARS_Off[AbilityID],RawOfficer[AbilityID],RawOfficer[OfficerId]), XLOOKUP(LCARS_Off[AbilityID],RawOfficer[AbilityID],RawOfficer[OfficerName]))</f>
        <v>SPECIALIST SEVEN</v>
      </c>
      <c r="D504" s="515" t="str">
        <f t="array" ref="D504">XLOOKUP(LCARS_Off[AbilityID],RawOfficer[AbilityID],RawOfficer[AbilityType])</f>
        <v>OA</v>
      </c>
      <c r="E504" s="516" t="str">
        <f t="array" ref="E504">XLOOKUP(LCARS_Off[AbilityID],RawOfficer[AbilityID],RawOfficer[Tag_PvPinSpace])</f>
        <v>✅</v>
      </c>
      <c r="F504" s="516" t="str">
        <f t="array" ref="F504">XLOOKUP(LCARS_Off[AbilityID],RawOfficer[AbilityID],RawOfficer[Tag_PvPStation])</f>
        <v>✅</v>
      </c>
      <c r="G504" s="516" t="str">
        <f t="array" ref="G504">XLOOKUP(LCARS_Off[AbilityID],RawOfficer[AbilityID],RawOfficer[Tag_NonArmadaHostiles])</f>
        <v>➖</v>
      </c>
      <c r="H504" s="516" t="str">
        <f t="array" ref="H504">XLOOKUP(LCARS_Off[AbilityID],RawOfficer[AbilityID],RawOfficer[Tag_WaveDefense])</f>
        <v>➖</v>
      </c>
      <c r="I504" s="516" t="str">
        <f t="array" ref="I504">XLOOKUP(LCARS_Off[AbilityID],RawOfficer[AbilityID],RawOfficer[Tag_QTrial])</f>
        <v>➖</v>
      </c>
      <c r="J504" s="516" t="str">
        <f t="array" ref="J504">XLOOKUP(LCARS_Off[AbilityID],RawOfficer[AbilityID],RawOfficer[Tag_MissionBosses])</f>
        <v>➖</v>
      </c>
      <c r="K504" s="516" t="str">
        <f t="array" ref="K504">XLOOKUP(LCARS_Off[AbilityID],RawOfficer[AbilityID],RawOfficer[Tag_GroupArmadas])</f>
        <v>➖</v>
      </c>
      <c r="L504" s="516" t="str">
        <f t="array" ref="L504">XLOOKUP(LCARS_Off[AbilityID],RawOfficer[AbilityID],RawOfficer[Tag_SoloArmadas])</f>
        <v>➖</v>
      </c>
      <c r="M504" s="516" t="str">
        <f t="array" ref="M504">XLOOKUP(LCARS_Off[AbilityID],RawOfficer[AbilityID],RawOfficer[Tag_InvadingEntities])</f>
        <v>➖</v>
      </c>
      <c r="N504" s="516" t="str">
        <f t="array" ref="N504">XLOOKUP(LCARS_Off[AbilityID],RawOfficer[AbilityID],RawOfficer[Tag_Assaults])</f>
        <v>➖</v>
      </c>
      <c r="O504" s="516" t="str">
        <f t="array" ref="O504">XLOOKUP(LCARS_Off[AbilityID],RawOfficer[AbilityID],RawOfficer[Tag_OutpostArmadas])</f>
        <v>➖</v>
      </c>
      <c r="P504" s="516" t="str">
        <f t="array" ref="P504">XLOOKUP(LCARS_Off[AbilityID],RawOfficer[AbilityID],RawOfficer[Tag_OutpostRetaliators])</f>
        <v>➖</v>
      </c>
      <c r="Q504" s="517" t="str">
        <f t="array" ref="Q504">XLOOKUP(LCARS_Off[AbilityID],RawOfficer[AbilityID],RawOfficer[Conditional_Reason])</f>
        <v/>
      </c>
      <c r="R504" s="518" t="str">
        <f t="array" ref="R504">XLOOKUP(LCARS_Off[AbilityID],RawOfficer[AbilityID],RawOfficer[Tag_Loot])</f>
        <v>➖</v>
      </c>
      <c r="S504" s="516" t="str">
        <f t="array" ref="S504">XLOOKUP(LCARS_Off[AbilityID],RawOfficer[AbilityID],RawOfficer[Tag_Utility])</f>
        <v>➖</v>
      </c>
      <c r="T504" s="429" t="str">
        <f t="array" ref="T504">XLOOKUP(LCARS_Off[AbilityID],RawOfficer[AbilityID],RawOfficer[OfficerSynergy])</f>
        <v>BATTLESHIP RETALIATION SQUAD</v>
      </c>
      <c r="U504" s="519" t="str">
        <f t="array" ref="U504">XLOOKUP(LCARS_Off[AbilityID],RawOfficer[AbilityID],RawOfficer[AbilityModifier])</f>
        <v>AddState</v>
      </c>
      <c r="V504" s="519" t="str">
        <f t="array" ref="V504">XLOOKUP(LCARS_Off[AbilityID],RawOfficer[AbilityID],RawOfficer[AbilityAttributes])</f>
        <v>num_rounds=2, state=4</v>
      </c>
      <c r="W504" s="520" t="str">
        <f t="array" ref="W504">XLOOKUP(LCARS_Off[AbilityID],RawOfficer[AbilityID],RawOfficer[AbilityConditions])</f>
        <v>EnemyPlayer</v>
      </c>
      <c r="X504" s="519" t="str">
        <f t="array" ref="X504">XLOOKUP(LCARS_Off[AbilityID],RawOfficer[AbilityID],RawOfficer[AbilityTrigger])</f>
        <v>RoundStart</v>
      </c>
      <c r="Y504" s="519" t="str">
        <f t="array" ref="Y504">XLOOKUP(LCARS_Off[AbilityID],RawOfficer[AbilityID],RawOfficer[AbilityTarget])</f>
        <v>EnemyShip</v>
      </c>
      <c r="Z504" s="519" t="str">
        <f t="array" ref="Z504">XLOOKUP(LCARS_Off[AbilityID],RawOfficer[AbilityID],RawOfficer[AbilityOperation])</f>
        <v>MultiplyAdd</v>
      </c>
      <c r="AA504" s="521" t="str">
        <f t="array" ref="AA504">XLOOKUP(LCARS_Off[AbilityID],RawOfficer[AbilityID],RawOfficer[AbilityDescription])</f>
        <v>On round start against players, Specialist Seven has X (X at rank X) chance to apply Hull Breach to your target for 2 rounds.</v>
      </c>
      <c r="AB504" s="429" t="b">
        <v>0</v>
      </c>
      <c r="AC504" s="522" t="str">
        <f t="array" ref="AC504">XLOOKUP(LCARS_Off[AbilityID],RawOfficer[AbilityID],RawOfficer[AbilityDescriptionShort])</f>
        <v>On round start against players, has X chance to apply Hull Breach to your target for 2 rounds.</v>
      </c>
      <c r="AD504" s="523"/>
      <c r="AE504" s="524"/>
      <c r="AF504" s="524"/>
      <c r="AG504" s="525" t="str">
        <f t="array" ref="AG504">XLOOKUP(LCARS_Off[AbilityID],RawOfficer[AbilityID],RawOfficer[AbilityChances])</f>
        <v>0.6, 0.7, 0.8, 0.9, 1.0</v>
      </c>
      <c r="AH504" s="525" t="str">
        <f t="array" ref="AH504">XLOOKUP(LCARS_Off[AbilityID],RawOfficer[AbilityID],RawOfficer[AbilityValues])</f>
        <v>1.0, 1.0, 1.0, 1.0, 1.0</v>
      </c>
      <c r="AI504" s="428" t="b">
        <f t="array" ref="AI504">XLOOKUP(LCARS_Off[AbilityID],RawOfficer[AbilityID],RawOfficer[AbilityHasChance])</f>
        <v>1</v>
      </c>
      <c r="AJ504" s="428" t="b">
        <f t="array" ref="AJ504">XLOOKUP(LCARS_Off[AbilityID],RawOfficer[AbilityID],RawOfficer[AbilityShowPercentage])</f>
        <v>1</v>
      </c>
      <c r="AK504" s="429">
        <f t="array" ref="AK504">XLOOKUP(LCARS_Off[AbilityID],RawOfficer[AbilityID],RawOfficer[OfficerArt])</f>
        <v>296</v>
      </c>
      <c r="AL504" s="430">
        <v>4.031461692E9</v>
      </c>
      <c r="AM504" s="430">
        <f t="array" ref="AM504">XLOOKUP(LCARS_Off[AbilityID],RawOfficer[AbilityID],RawOfficer[Default Order])</f>
        <v>501</v>
      </c>
    </row>
    <row r="505">
      <c r="A505" s="429" t="str">
        <f t="array" ref="A505">LEFT(XLOOKUP(LCARS_Off[AbilityID],RawOfficer[AbilityID],RawOfficer[OfficerRarity]), 1)</f>
        <v>R</v>
      </c>
      <c r="B505" s="429"/>
      <c r="C505" s="514" t="str">
        <f t="array" ref="C505">HYPERLINK("https://stfc.space/officers/" &amp; XLOOKUP(LCARS_Off[AbilityID],RawOfficer[AbilityID],RawOfficer[OfficerId]), XLOOKUP(LCARS_Off[AbilityID],RawOfficer[AbilityID],RawOfficer[OfficerName]))</f>
        <v>ICHEB</v>
      </c>
      <c r="D505" s="515" t="str">
        <f t="array" ref="D505">XLOOKUP(LCARS_Off[AbilityID],RawOfficer[AbilityID],RawOfficer[AbilityType])</f>
        <v>OA</v>
      </c>
      <c r="E505" s="516" t="str">
        <f t="array" ref="E505">XLOOKUP(LCARS_Off[AbilityID],RawOfficer[AbilityID],RawOfficer[Tag_PvPinSpace])</f>
        <v>✴️</v>
      </c>
      <c r="F505" s="516" t="str">
        <f t="array" ref="F505">XLOOKUP(LCARS_Off[AbilityID],RawOfficer[AbilityID],RawOfficer[Tag_PvPStation])</f>
        <v>✴️</v>
      </c>
      <c r="G505" s="516" t="str">
        <f t="array" ref="G505">XLOOKUP(LCARS_Off[AbilityID],RawOfficer[AbilityID],RawOfficer[Tag_NonArmadaHostiles])</f>
        <v>➖</v>
      </c>
      <c r="H505" s="516" t="str">
        <f t="array" ref="H505">XLOOKUP(LCARS_Off[AbilityID],RawOfficer[AbilityID],RawOfficer[Tag_WaveDefense])</f>
        <v>➖</v>
      </c>
      <c r="I505" s="516" t="str">
        <f t="array" ref="I505">XLOOKUP(LCARS_Off[AbilityID],RawOfficer[AbilityID],RawOfficer[Tag_QTrial])</f>
        <v>➖</v>
      </c>
      <c r="J505" s="516" t="str">
        <f t="array" ref="J505">XLOOKUP(LCARS_Off[AbilityID],RawOfficer[AbilityID],RawOfficer[Tag_MissionBosses])</f>
        <v>➖</v>
      </c>
      <c r="K505" s="516" t="str">
        <f t="array" ref="K505">XLOOKUP(LCARS_Off[AbilityID],RawOfficer[AbilityID],RawOfficer[Tag_GroupArmadas])</f>
        <v>➖</v>
      </c>
      <c r="L505" s="516" t="str">
        <f t="array" ref="L505">XLOOKUP(LCARS_Off[AbilityID],RawOfficer[AbilityID],RawOfficer[Tag_SoloArmadas])</f>
        <v>➖</v>
      </c>
      <c r="M505" s="516" t="str">
        <f t="array" ref="M505">XLOOKUP(LCARS_Off[AbilityID],RawOfficer[AbilityID],RawOfficer[Tag_InvadingEntities])</f>
        <v>➖</v>
      </c>
      <c r="N505" s="516" t="str">
        <f t="array" ref="N505">XLOOKUP(LCARS_Off[AbilityID],RawOfficer[AbilityID],RawOfficer[Tag_Assaults])</f>
        <v>➖</v>
      </c>
      <c r="O505" s="516" t="str">
        <f t="array" ref="O505">XLOOKUP(LCARS_Off[AbilityID],RawOfficer[AbilityID],RawOfficer[Tag_OutpostArmadas])</f>
        <v>➖</v>
      </c>
      <c r="P505" s="516" t="str">
        <f t="array" ref="P505">XLOOKUP(LCARS_Off[AbilityID],RawOfficer[AbilityID],RawOfficer[Tag_OutpostRetaliators])</f>
        <v>➖</v>
      </c>
      <c r="Q505" s="517" t="str">
        <f t="array" ref="Q505">XLOOKUP(LCARS_Off[AbilityID],RawOfficer[AbilityID],RawOfficer[Conditional_Reason])</f>
        <v>TargetHasHullBreach, SelfOfficerTalNotOnBridge</v>
      </c>
      <c r="R505" s="518" t="str">
        <f t="array" ref="R505">XLOOKUP(LCARS_Off[AbilityID],RawOfficer[AbilityID],RawOfficer[Tag_Loot])</f>
        <v>➖</v>
      </c>
      <c r="S505" s="516" t="str">
        <f t="array" ref="S505">XLOOKUP(LCARS_Off[AbilityID],RawOfficer[AbilityID],RawOfficer[Tag_Utility])</f>
        <v>➖</v>
      </c>
      <c r="T505" s="429" t="str">
        <f t="array" ref="T505">XLOOKUP(LCARS_Off[AbilityID],RawOfficer[AbilityID],RawOfficer[OfficerSynergy])</f>
        <v>BATTLESHIP RETALIATION SQUAD</v>
      </c>
      <c r="U505" s="519" t="str">
        <f t="array" ref="U505">XLOOKUP(LCARS_Off[AbilityID],RawOfficer[AbilityID],RawOfficer[AbilityModifier])</f>
        <v>ApexBarrier</v>
      </c>
      <c r="V505" s="519" t="str">
        <f t="array" ref="V505">XLOOKUP(LCARS_Off[AbilityID],RawOfficer[AbilityID],RawOfficer[AbilityAttributes])</f>
        <v>num_rounds=4</v>
      </c>
      <c r="W505" s="520" t="str">
        <f t="array" ref="W505">XLOOKUP(LCARS_Off[AbilityID],RawOfficer[AbilityID],RawOfficer[AbilityConditions])</f>
        <v>EnemyPlayer, TargetHasHullBreach, SelfOfficerTalNotOnBridge</v>
      </c>
      <c r="X505" s="519" t="str">
        <f t="array" ref="X505">XLOOKUP(LCARS_Off[AbilityID],RawOfficer[AbilityID],RawOfficer[AbilityTrigger])</f>
        <v>EnemyTakesHit</v>
      </c>
      <c r="Y505" s="519" t="str">
        <f t="array" ref="Y505">XLOOKUP(LCARS_Off[AbilityID],RawOfficer[AbilityID],RawOfficer[AbilityTarget])</f>
        <v>SelfShip</v>
      </c>
      <c r="Z505" s="519" t="str">
        <f t="array" ref="Z505">XLOOKUP(LCARS_Off[AbilityID],RawOfficer[AbilityID],RawOfficer[AbilityOperation])</f>
        <v>Add</v>
      </c>
      <c r="AA505" s="521" t="str">
        <f t="array" ref="AA505">XLOOKUP(LCARS_Off[AbilityID],RawOfficer[AbilityID],RawOfficer[AbilityDescription])</f>
        <v>Against players with Hull Breach, Icheb increases your Apex Barrier by X (X at rank X) for 4 rounds each time you score a hit (Once per weapon)(Cumulative). -- This ability does not trigger when Tal is assigned to the bridge of your ship.</v>
      </c>
      <c r="AB505" s="429" t="b">
        <v>0</v>
      </c>
      <c r="AC505" s="522" t="str">
        <f t="array" ref="AC505">XLOOKUP(LCARS_Off[AbilityID],RawOfficer[AbilityID],RawOfficer[AbilityDescriptionShort])</f>
        <v>Against players with Hull Breach, increases your Apex Barrier by X for 4 rounds each time you score a hit (Cumulative).</v>
      </c>
      <c r="AD505" s="523"/>
      <c r="AE505" s="524"/>
      <c r="AF505" s="524"/>
      <c r="AG505" s="525" t="str">
        <f t="array" ref="AG505">XLOOKUP(LCARS_Off[AbilityID],RawOfficer[AbilityID],RawOfficer[AbilityChances])</f>
        <v>1.0, 1.0, 1.0, 1.0, 1.0</v>
      </c>
      <c r="AH505" s="525" t="str">
        <f t="array" ref="AH505">XLOOKUP(LCARS_Off[AbilityID],RawOfficer[AbilityID],RawOfficer[AbilityValues])</f>
        <v>5500.0, 6500.0, 8000.0, 10000.0, 12500.0</v>
      </c>
      <c r="AI505" s="428" t="b">
        <f t="array" ref="AI505">XLOOKUP(LCARS_Off[AbilityID],RawOfficer[AbilityID],RawOfficer[AbilityHasChance])</f>
        <v>0</v>
      </c>
      <c r="AJ505" s="428" t="b">
        <f t="array" ref="AJ505">XLOOKUP(LCARS_Off[AbilityID],RawOfficer[AbilityID],RawOfficer[AbilityShowPercentage])</f>
        <v>0</v>
      </c>
      <c r="AK505" s="429">
        <f t="array" ref="AK505">XLOOKUP(LCARS_Off[AbilityID],RawOfficer[AbilityID],RawOfficer[OfficerArt])</f>
        <v>297</v>
      </c>
      <c r="AL505" s="430">
        <v>1.870364263E9</v>
      </c>
      <c r="AM505" s="430">
        <f t="array" ref="AM505">XLOOKUP(LCARS_Off[AbilityID],RawOfficer[AbilityID],RawOfficer[Default Order])</f>
        <v>502</v>
      </c>
    </row>
    <row r="506">
      <c r="A506" s="429" t="str">
        <f t="array" ref="A506">LEFT(XLOOKUP(LCARS_Off[AbilityID],RawOfficer[AbilityID],RawOfficer[OfficerRarity]), 1)</f>
        <v>R</v>
      </c>
      <c r="B506" s="429"/>
      <c r="C506" s="514" t="str">
        <f t="array" ref="C506">HYPERLINK("https://stfc.space/officers/" &amp; XLOOKUP(LCARS_Off[AbilityID],RawOfficer[AbilityID],RawOfficer[OfficerId]), XLOOKUP(LCARS_Off[AbilityID],RawOfficer[AbilityID],RawOfficer[OfficerName]))</f>
        <v>ICHEB</v>
      </c>
      <c r="D506" s="515" t="str">
        <f t="array" ref="D506">XLOOKUP(LCARS_Off[AbilityID],RawOfficer[AbilityID],RawOfficer[AbilityType])</f>
        <v>BDA</v>
      </c>
      <c r="E506" s="516" t="str">
        <f t="array" ref="E506">XLOOKUP(LCARS_Off[AbilityID],RawOfficer[AbilityID],RawOfficer[Tag_PvPinSpace])</f>
        <v>✴️</v>
      </c>
      <c r="F506" s="516" t="str">
        <f t="array" ref="F506">XLOOKUP(LCARS_Off[AbilityID],RawOfficer[AbilityID],RawOfficer[Tag_PvPStation])</f>
        <v>✴️</v>
      </c>
      <c r="G506" s="516" t="str">
        <f t="array" ref="G506">XLOOKUP(LCARS_Off[AbilityID],RawOfficer[AbilityID],RawOfficer[Tag_NonArmadaHostiles])</f>
        <v>➖</v>
      </c>
      <c r="H506" s="516" t="str">
        <f t="array" ref="H506">XLOOKUP(LCARS_Off[AbilityID],RawOfficer[AbilityID],RawOfficer[Tag_WaveDefense])</f>
        <v>➖</v>
      </c>
      <c r="I506" s="516" t="str">
        <f t="array" ref="I506">XLOOKUP(LCARS_Off[AbilityID],RawOfficer[AbilityID],RawOfficer[Tag_QTrial])</f>
        <v>➖</v>
      </c>
      <c r="J506" s="516" t="str">
        <f t="array" ref="J506">XLOOKUP(LCARS_Off[AbilityID],RawOfficer[AbilityID],RawOfficer[Tag_MissionBosses])</f>
        <v>➖</v>
      </c>
      <c r="K506" s="516" t="str">
        <f t="array" ref="K506">XLOOKUP(LCARS_Off[AbilityID],RawOfficer[AbilityID],RawOfficer[Tag_GroupArmadas])</f>
        <v>➖</v>
      </c>
      <c r="L506" s="516" t="str">
        <f t="array" ref="L506">XLOOKUP(LCARS_Off[AbilityID],RawOfficer[AbilityID],RawOfficer[Tag_SoloArmadas])</f>
        <v>➖</v>
      </c>
      <c r="M506" s="516" t="str">
        <f t="array" ref="M506">XLOOKUP(LCARS_Off[AbilityID],RawOfficer[AbilityID],RawOfficer[Tag_InvadingEntities])</f>
        <v>➖</v>
      </c>
      <c r="N506" s="516" t="str">
        <f t="array" ref="N506">XLOOKUP(LCARS_Off[AbilityID],RawOfficer[AbilityID],RawOfficer[Tag_Assaults])</f>
        <v>➖</v>
      </c>
      <c r="O506" s="516" t="str">
        <f t="array" ref="O506">XLOOKUP(LCARS_Off[AbilityID],RawOfficer[AbilityID],RawOfficer[Tag_OutpostArmadas])</f>
        <v>➖</v>
      </c>
      <c r="P506" s="516" t="str">
        <f t="array" ref="P506">XLOOKUP(LCARS_Off[AbilityID],RawOfficer[AbilityID],RawOfficer[Tag_OutpostRetaliators])</f>
        <v>➖</v>
      </c>
      <c r="Q506" s="517" t="str">
        <f t="array" ref="Q506">XLOOKUP(LCARS_Off[AbilityID],RawOfficer[AbilityID],RawOfficer[Conditional_Reason])</f>
        <v>SelfStateNone</v>
      </c>
      <c r="R506" s="518" t="str">
        <f t="array" ref="R506">XLOOKUP(LCARS_Off[AbilityID],RawOfficer[AbilityID],RawOfficer[Tag_Loot])</f>
        <v>➖</v>
      </c>
      <c r="S506" s="516" t="str">
        <f t="array" ref="S506">XLOOKUP(LCARS_Off[AbilityID],RawOfficer[AbilityID],RawOfficer[Tag_Utility])</f>
        <v>➖</v>
      </c>
      <c r="T506" s="429" t="str">
        <f t="array" ref="T506">XLOOKUP(LCARS_Off[AbilityID],RawOfficer[AbilityID],RawOfficer[OfficerSynergy])</f>
        <v>BATTLESHIP RETALIATION SQUAD</v>
      </c>
      <c r="U506" s="519" t="str">
        <f t="array" ref="U506">XLOOKUP(LCARS_Off[AbilityID],RawOfficer[AbilityID],RawOfficer[AbilityModifier])</f>
        <v>IsolyticDamage</v>
      </c>
      <c r="V506" s="519" t="str">
        <f t="array" ref="V506">XLOOKUP(LCARS_Off[AbilityID],RawOfficer[AbilityID],RawOfficer[AbilityAttributes])</f>
        <v>num_rounds=3</v>
      </c>
      <c r="W506" s="520" t="str">
        <f t="array" ref="W506">XLOOKUP(LCARS_Off[AbilityID],RawOfficer[AbilityID],RawOfficer[AbilityConditions])</f>
        <v>EnemyPlayer, SelfStateNone</v>
      </c>
      <c r="X506" s="519" t="str">
        <f t="array" ref="X506">XLOOKUP(LCARS_Off[AbilityID],RawOfficer[AbilityID],RawOfficer[AbilityTrigger])</f>
        <v>RoundStart</v>
      </c>
      <c r="Y506" s="519" t="str">
        <f t="array" ref="Y506">XLOOKUP(LCARS_Off[AbilityID],RawOfficer[AbilityID],RawOfficer[AbilityTarget])</f>
        <v>SelfShip</v>
      </c>
      <c r="Z506" s="519" t="str">
        <f t="array" ref="Z506">XLOOKUP(LCARS_Off[AbilityID],RawOfficer[AbilityID],RawOfficer[AbilityOperation])</f>
        <v>MultiplyAdd</v>
      </c>
      <c r="AA506" s="521" t="str">
        <f t="array" ref="AA506">XLOOKUP(LCARS_Off[AbilityID],RawOfficer[AbilityID],RawOfficer[AbilityDescription])</f>
        <v>On round start against players, if on a ship with no State applied Icheb increases your Isolytic Cascade damage by X (X at rank X) for 3 rounds (Cumulative). -- Isolytic Cascade multiplies your total damage, including Isolytic Damage, and all research and other bonuses.</v>
      </c>
      <c r="AB506" s="429" t="b">
        <v>0</v>
      </c>
      <c r="AC506" s="522" t="str">
        <f t="array" ref="AC506">XLOOKUP(LCARS_Off[AbilityID],RawOfficer[AbilityID],RawOfficer[AbilityDescriptionShort])</f>
        <v>On round start against players, if on a ship with no State applied increases your Isolytic Cascade damage by X for 3 rounds (Cumulative).</v>
      </c>
      <c r="AD506" s="523"/>
      <c r="AE506" s="524"/>
      <c r="AF506" s="524"/>
      <c r="AG506" s="525" t="str">
        <f t="array" ref="AG506">XLOOKUP(LCARS_Off[AbilityID],RawOfficer[AbilityID],RawOfficer[AbilityChances])</f>
        <v>1.0, 1.0, 1.0, 1.0, 1.0</v>
      </c>
      <c r="AH506" s="525" t="str">
        <f t="array" ref="AH506">XLOOKUP(LCARS_Off[AbilityID],RawOfficer[AbilityID],RawOfficer[AbilityValues])</f>
        <v>0.7, 0.8, 0.95, 1.15, 1.4</v>
      </c>
      <c r="AI506" s="428" t="b">
        <f t="array" ref="AI506">XLOOKUP(LCARS_Off[AbilityID],RawOfficer[AbilityID],RawOfficer[AbilityHasChance])</f>
        <v>0</v>
      </c>
      <c r="AJ506" s="428" t="b">
        <f t="array" ref="AJ506">XLOOKUP(LCARS_Off[AbilityID],RawOfficer[AbilityID],RawOfficer[AbilityShowPercentage])</f>
        <v>1</v>
      </c>
      <c r="AK506" s="429">
        <f t="array" ref="AK506">XLOOKUP(LCARS_Off[AbilityID],RawOfficer[AbilityID],RawOfficer[OfficerArt])</f>
        <v>297</v>
      </c>
      <c r="AL506" s="430">
        <v>2.348699497E9</v>
      </c>
      <c r="AM506" s="430">
        <f t="array" ref="AM506">XLOOKUP(LCARS_Off[AbilityID],RawOfficer[AbilityID],RawOfficer[Default Order])</f>
        <v>503</v>
      </c>
    </row>
    <row r="507">
      <c r="A507" s="429" t="str">
        <f t="array" ref="A507">LEFT(XLOOKUP(LCARS_Off[AbilityID],RawOfficer[AbilityID],RawOfficer[OfficerRarity]), 1)</f>
        <v>R</v>
      </c>
      <c r="B507" s="429"/>
      <c r="C507" s="514" t="str">
        <f t="array" ref="C507">HYPERLINK("https://stfc.space/officers/" &amp; XLOOKUP(LCARS_Off[AbilityID],RawOfficer[AbilityID],RawOfficer[OfficerId]), XLOOKUP(LCARS_Off[AbilityID],RawOfficer[AbilityID],RawOfficer[OfficerName]))</f>
        <v>INFILTRATOR TUVOK</v>
      </c>
      <c r="D507" s="515" t="str">
        <f t="array" ref="D507">XLOOKUP(LCARS_Off[AbilityID],RawOfficer[AbilityID],RawOfficer[AbilityType])</f>
        <v>OA</v>
      </c>
      <c r="E507" s="516" t="str">
        <f t="array" ref="E507">XLOOKUP(LCARS_Off[AbilityID],RawOfficer[AbilityID],RawOfficer[Tag_PvPinSpace])</f>
        <v>✴️</v>
      </c>
      <c r="F507" s="516" t="str">
        <f t="array" ref="F507">XLOOKUP(LCARS_Off[AbilityID],RawOfficer[AbilityID],RawOfficer[Tag_PvPStation])</f>
        <v>✴️</v>
      </c>
      <c r="G507" s="516" t="str">
        <f t="array" ref="G507">XLOOKUP(LCARS_Off[AbilityID],RawOfficer[AbilityID],RawOfficer[Tag_NonArmadaHostiles])</f>
        <v>➖</v>
      </c>
      <c r="H507" s="516" t="str">
        <f t="array" ref="H507">XLOOKUP(LCARS_Off[AbilityID],RawOfficer[AbilityID],RawOfficer[Tag_WaveDefense])</f>
        <v>➖</v>
      </c>
      <c r="I507" s="516" t="str">
        <f t="array" ref="I507">XLOOKUP(LCARS_Off[AbilityID],RawOfficer[AbilityID],RawOfficer[Tag_QTrial])</f>
        <v>➖</v>
      </c>
      <c r="J507" s="516" t="str">
        <f t="array" ref="J507">XLOOKUP(LCARS_Off[AbilityID],RawOfficer[AbilityID],RawOfficer[Tag_MissionBosses])</f>
        <v>➖</v>
      </c>
      <c r="K507" s="516" t="str">
        <f t="array" ref="K507">XLOOKUP(LCARS_Off[AbilityID],RawOfficer[AbilityID],RawOfficer[Tag_GroupArmadas])</f>
        <v>➖</v>
      </c>
      <c r="L507" s="516" t="str">
        <f t="array" ref="L507">XLOOKUP(LCARS_Off[AbilityID],RawOfficer[AbilityID],RawOfficer[Tag_SoloArmadas])</f>
        <v>➖</v>
      </c>
      <c r="M507" s="516" t="str">
        <f t="array" ref="M507">XLOOKUP(LCARS_Off[AbilityID],RawOfficer[AbilityID],RawOfficer[Tag_InvadingEntities])</f>
        <v>➖</v>
      </c>
      <c r="N507" s="516" t="str">
        <f t="array" ref="N507">XLOOKUP(LCARS_Off[AbilityID],RawOfficer[AbilityID],RawOfficer[Tag_Assaults])</f>
        <v>➖</v>
      </c>
      <c r="O507" s="516" t="str">
        <f t="array" ref="O507">XLOOKUP(LCARS_Off[AbilityID],RawOfficer[AbilityID],RawOfficer[Tag_OutpostArmadas])</f>
        <v>➖</v>
      </c>
      <c r="P507" s="516" t="str">
        <f t="array" ref="P507">XLOOKUP(LCARS_Off[AbilityID],RawOfficer[AbilityID],RawOfficer[Tag_OutpostRetaliators])</f>
        <v>➖</v>
      </c>
      <c r="Q507" s="517" t="str">
        <f t="array" ref="Q507">XLOOKUP(LCARS_Off[AbilityID],RawOfficer[AbilityID],RawOfficer[Conditional_Reason])</f>
        <v>TargetHasHullBreach</v>
      </c>
      <c r="R507" s="518" t="str">
        <f t="array" ref="R507">XLOOKUP(LCARS_Off[AbilityID],RawOfficer[AbilityID],RawOfficer[Tag_Loot])</f>
        <v>➖</v>
      </c>
      <c r="S507" s="516" t="str">
        <f t="array" ref="S507">XLOOKUP(LCARS_Off[AbilityID],RawOfficer[AbilityID],RawOfficer[Tag_Utility])</f>
        <v>➖</v>
      </c>
      <c r="T507" s="429" t="str">
        <f t="array" ref="T507">XLOOKUP(LCARS_Off[AbilityID],RawOfficer[AbilityID],RawOfficer[OfficerSynergy])</f>
        <v>BATTLESHIP RETALIATION SQUAD</v>
      </c>
      <c r="U507" s="519" t="str">
        <f t="array" ref="U507">XLOOKUP(LCARS_Off[AbilityID],RawOfficer[AbilityID],RawOfficer[AbilityModifier])</f>
        <v>IsolyticDamage</v>
      </c>
      <c r="V507" s="519" t="str">
        <f t="array" ref="V507">XLOOKUP(LCARS_Off[AbilityID],RawOfficer[AbilityID],RawOfficer[AbilityAttributes])</f>
        <v>num_rounds=3</v>
      </c>
      <c r="W507" s="520" t="str">
        <f t="array" ref="W507">XLOOKUP(LCARS_Off[AbilityID],RawOfficer[AbilityID],RawOfficer[AbilityConditions])</f>
        <v>EnemyPlayer, TargetHasHullBreach</v>
      </c>
      <c r="X507" s="519" t="str">
        <f t="array" ref="X507">XLOOKUP(LCARS_Off[AbilityID],RawOfficer[AbilityID],RawOfficer[AbilityTrigger])</f>
        <v>EnemyTakesHit</v>
      </c>
      <c r="Y507" s="519" t="str">
        <f t="array" ref="Y507">XLOOKUP(LCARS_Off[AbilityID],RawOfficer[AbilityID],RawOfficer[AbilityTarget])</f>
        <v>SelfShip</v>
      </c>
      <c r="Z507" s="519" t="str">
        <f t="array" ref="Z507">XLOOKUP(LCARS_Off[AbilityID],RawOfficer[AbilityID],RawOfficer[AbilityOperation])</f>
        <v>MultiplyAdd</v>
      </c>
      <c r="AA507" s="521" t="str">
        <f t="array" ref="AA507">XLOOKUP(LCARS_Off[AbilityID],RawOfficer[AbilityID],RawOfficer[AbilityDescription])</f>
        <v>Against players with Hull Breach, Infiltrator Tuvok increases your Isolytic Cascade damage by X (X at rank X) for 3 rounds each time you score a hit (Once per weapon)(Cumulative). -- Isolytic Cascade multiplies your total damage, including Isolytic Damage, and all research and other bonuses.</v>
      </c>
      <c r="AB507" s="429" t="b">
        <v>0</v>
      </c>
      <c r="AC507" s="522" t="str">
        <f t="array" ref="AC507">XLOOKUP(LCARS_Off[AbilityID],RawOfficer[AbilityID],RawOfficer[AbilityDescriptionShort])</f>
        <v>Against players with Hull Breach, increases your Isolytic Cascade damage by X for 3 rounds each time you score a hit (Cumulative).</v>
      </c>
      <c r="AD507" s="523"/>
      <c r="AE507" s="524"/>
      <c r="AF507" s="524"/>
      <c r="AG507" s="525" t="str">
        <f t="array" ref="AG507">XLOOKUP(LCARS_Off[AbilityID],RawOfficer[AbilityID],RawOfficer[AbilityChances])</f>
        <v>1.0, 1.0, 1.0, 1.0, 1.0</v>
      </c>
      <c r="AH507" s="525" t="str">
        <f t="array" ref="AH507">XLOOKUP(LCARS_Off[AbilityID],RawOfficer[AbilityID],RawOfficer[AbilityValues])</f>
        <v>0.28, 0.34, 0.42, 0.52, 0.65</v>
      </c>
      <c r="AI507" s="428" t="b">
        <f t="array" ref="AI507">XLOOKUP(LCARS_Off[AbilityID],RawOfficer[AbilityID],RawOfficer[AbilityHasChance])</f>
        <v>0</v>
      </c>
      <c r="AJ507" s="428" t="b">
        <f t="array" ref="AJ507">XLOOKUP(LCARS_Off[AbilityID],RawOfficer[AbilityID],RawOfficer[AbilityShowPercentage])</f>
        <v>1</v>
      </c>
      <c r="AK507" s="429">
        <f t="array" ref="AK507">XLOOKUP(LCARS_Off[AbilityID],RawOfficer[AbilityID],RawOfficer[OfficerArt])</f>
        <v>298</v>
      </c>
      <c r="AL507" s="430">
        <v>4.042455437E9</v>
      </c>
      <c r="AM507" s="430">
        <f t="array" ref="AM507">XLOOKUP(LCARS_Off[AbilityID],RawOfficer[AbilityID],RawOfficer[Default Order])</f>
        <v>504</v>
      </c>
    </row>
    <row r="508">
      <c r="A508" s="429" t="str">
        <f t="array" ref="A508">LEFT(XLOOKUP(LCARS_Off[AbilityID],RawOfficer[AbilityID],RawOfficer[OfficerRarity]), 1)</f>
        <v>R</v>
      </c>
      <c r="B508" s="429"/>
      <c r="C508" s="514" t="str">
        <f t="array" ref="C508">HYPERLINK("https://stfc.space/officers/" &amp; XLOOKUP(LCARS_Off[AbilityID],RawOfficer[AbilityID],RawOfficer[OfficerId]), XLOOKUP(LCARS_Off[AbilityID],RawOfficer[AbilityID],RawOfficer[OfficerName]))</f>
        <v>INFILTRATOR TUVOK</v>
      </c>
      <c r="D508" s="515" t="str">
        <f t="array" ref="D508">XLOOKUP(LCARS_Off[AbilityID],RawOfficer[AbilityID],RawOfficer[AbilityType])</f>
        <v>BDA</v>
      </c>
      <c r="E508" s="516" t="str">
        <f t="array" ref="E508">XLOOKUP(LCARS_Off[AbilityID],RawOfficer[AbilityID],RawOfficer[Tag_PvPinSpace])</f>
        <v>✴️</v>
      </c>
      <c r="F508" s="516" t="str">
        <f t="array" ref="F508">XLOOKUP(LCARS_Off[AbilityID],RawOfficer[AbilityID],RawOfficer[Tag_PvPStation])</f>
        <v>✴️</v>
      </c>
      <c r="G508" s="516" t="str">
        <f t="array" ref="G508">XLOOKUP(LCARS_Off[AbilityID],RawOfficer[AbilityID],RawOfficer[Tag_NonArmadaHostiles])</f>
        <v>➖</v>
      </c>
      <c r="H508" s="516" t="str">
        <f t="array" ref="H508">XLOOKUP(LCARS_Off[AbilityID],RawOfficer[AbilityID],RawOfficer[Tag_WaveDefense])</f>
        <v>➖</v>
      </c>
      <c r="I508" s="516" t="str">
        <f t="array" ref="I508">XLOOKUP(LCARS_Off[AbilityID],RawOfficer[AbilityID],RawOfficer[Tag_QTrial])</f>
        <v>➖</v>
      </c>
      <c r="J508" s="516" t="str">
        <f t="array" ref="J508">XLOOKUP(LCARS_Off[AbilityID],RawOfficer[AbilityID],RawOfficer[Tag_MissionBosses])</f>
        <v>➖</v>
      </c>
      <c r="K508" s="516" t="str">
        <f t="array" ref="K508">XLOOKUP(LCARS_Off[AbilityID],RawOfficer[AbilityID],RawOfficer[Tag_GroupArmadas])</f>
        <v>➖</v>
      </c>
      <c r="L508" s="516" t="str">
        <f t="array" ref="L508">XLOOKUP(LCARS_Off[AbilityID],RawOfficer[AbilityID],RawOfficer[Tag_SoloArmadas])</f>
        <v>➖</v>
      </c>
      <c r="M508" s="516" t="str">
        <f t="array" ref="M508">XLOOKUP(LCARS_Off[AbilityID],RawOfficer[AbilityID],RawOfficer[Tag_InvadingEntities])</f>
        <v>➖</v>
      </c>
      <c r="N508" s="516" t="str">
        <f t="array" ref="N508">XLOOKUP(LCARS_Off[AbilityID],RawOfficer[AbilityID],RawOfficer[Tag_Assaults])</f>
        <v>➖</v>
      </c>
      <c r="O508" s="516" t="str">
        <f t="array" ref="O508">XLOOKUP(LCARS_Off[AbilityID],RawOfficer[AbilityID],RawOfficer[Tag_OutpostArmadas])</f>
        <v>➖</v>
      </c>
      <c r="P508" s="516" t="str">
        <f t="array" ref="P508">XLOOKUP(LCARS_Off[AbilityID],RawOfficer[AbilityID],RawOfficer[Tag_OutpostRetaliators])</f>
        <v>➖</v>
      </c>
      <c r="Q508" s="517" t="str">
        <f t="array" ref="Q508">XLOOKUP(LCARS_Off[AbilityID],RawOfficer[AbilityID],RawOfficer[Conditional_Reason])</f>
        <v>SelfStateNone, SelfOfficerTalNotOnBridge</v>
      </c>
      <c r="R508" s="518" t="str">
        <f t="array" ref="R508">XLOOKUP(LCARS_Off[AbilityID],RawOfficer[AbilityID],RawOfficer[Tag_Loot])</f>
        <v>➖</v>
      </c>
      <c r="S508" s="516" t="str">
        <f t="array" ref="S508">XLOOKUP(LCARS_Off[AbilityID],RawOfficer[AbilityID],RawOfficer[Tag_Utility])</f>
        <v>➖</v>
      </c>
      <c r="T508" s="429" t="str">
        <f t="array" ref="T508">XLOOKUP(LCARS_Off[AbilityID],RawOfficer[AbilityID],RawOfficer[OfficerSynergy])</f>
        <v>BATTLESHIP RETALIATION SQUAD</v>
      </c>
      <c r="U508" s="519" t="str">
        <f t="array" ref="U508">XLOOKUP(LCARS_Off[AbilityID],RawOfficer[AbilityID],RawOfficer[AbilityModifier])</f>
        <v>ApexBarrier</v>
      </c>
      <c r="V508" s="519" t="str">
        <f t="array" ref="V508">XLOOKUP(LCARS_Off[AbilityID],RawOfficer[AbilityID],RawOfficer[AbilityAttributes])</f>
        <v>num_rounds=3</v>
      </c>
      <c r="W508" s="520" t="str">
        <f t="array" ref="W508">XLOOKUP(LCARS_Off[AbilityID],RawOfficer[AbilityID],RawOfficer[AbilityConditions])</f>
        <v>EnemyPlayer, SelfStateNone, SelfOfficerTalNotOnBridge</v>
      </c>
      <c r="X508" s="519" t="str">
        <f t="array" ref="X508">XLOOKUP(LCARS_Off[AbilityID],RawOfficer[AbilityID],RawOfficer[AbilityTrigger])</f>
        <v>RoundStart</v>
      </c>
      <c r="Y508" s="519" t="str">
        <f t="array" ref="Y508">XLOOKUP(LCARS_Off[AbilityID],RawOfficer[AbilityID],RawOfficer[AbilityTarget])</f>
        <v>SelfShip</v>
      </c>
      <c r="Z508" s="519" t="str">
        <f t="array" ref="Z508">XLOOKUP(LCARS_Off[AbilityID],RawOfficer[AbilityID],RawOfficer[AbilityOperation])</f>
        <v>Add</v>
      </c>
      <c r="AA508" s="521" t="str">
        <f t="array" ref="AA508">XLOOKUP(LCARS_Off[AbilityID],RawOfficer[AbilityID],RawOfficer[AbilityDescription])</f>
        <v>On round start against players, if on a ship with no State applied Infiltrator Tuvok increases your Apex Barrier by X (X at rank X) for 3 rounds (Cumulative). -- This ability does not trigger when Tal is assigned to the bridge of your ship.</v>
      </c>
      <c r="AB508" s="429" t="b">
        <v>0</v>
      </c>
      <c r="AC508" s="522" t="str">
        <f t="array" ref="AC508">XLOOKUP(LCARS_Off[AbilityID],RawOfficer[AbilityID],RawOfficer[AbilityDescriptionShort])</f>
        <v>On round start against players, if on a ship with no State applied increases your Apex Barrier by X for 3 rounds (Cumulative).</v>
      </c>
      <c r="AD508" s="523"/>
      <c r="AE508" s="524"/>
      <c r="AF508" s="524"/>
      <c r="AG508" s="525" t="str">
        <f t="array" ref="AG508">XLOOKUP(LCARS_Off[AbilityID],RawOfficer[AbilityID],RawOfficer[AbilityChances])</f>
        <v>1.0, 1.0, 1.0, 1.0, 1.0</v>
      </c>
      <c r="AH508" s="525" t="str">
        <f t="array" ref="AH508">XLOOKUP(LCARS_Off[AbilityID],RawOfficer[AbilityID],RawOfficer[AbilityValues])</f>
        <v>12000.0, 14500.0, 17500.0, 21000.0, 25000.0</v>
      </c>
      <c r="AI508" s="428" t="b">
        <f t="array" ref="AI508">XLOOKUP(LCARS_Off[AbilityID],RawOfficer[AbilityID],RawOfficer[AbilityHasChance])</f>
        <v>0</v>
      </c>
      <c r="AJ508" s="428" t="b">
        <f t="array" ref="AJ508">XLOOKUP(LCARS_Off[AbilityID],RawOfficer[AbilityID],RawOfficer[AbilityShowPercentage])</f>
        <v>0</v>
      </c>
      <c r="AK508" s="429">
        <f t="array" ref="AK508">XLOOKUP(LCARS_Off[AbilityID],RawOfficer[AbilityID],RawOfficer[OfficerArt])</f>
        <v>298</v>
      </c>
      <c r="AL508" s="430">
        <v>2.34626269E8</v>
      </c>
      <c r="AM508" s="430">
        <f t="array" ref="AM508">XLOOKUP(LCARS_Off[AbilityID],RawOfficer[AbilityID],RawOfficer[Default Order])</f>
        <v>505</v>
      </c>
    </row>
    <row r="509">
      <c r="A509" s="429" t="str">
        <f t="array" ref="A509">LEFT(XLOOKUP(LCARS_Off[AbilityID],RawOfficer[AbilityID],RawOfficer[OfficerRarity]), 1)</f>
        <v>E</v>
      </c>
      <c r="B509" s="429"/>
      <c r="C509" s="514" t="str">
        <f t="array" ref="C509">HYPERLINK("https://stfc.space/officers/" &amp; XLOOKUP(LCARS_Off[AbilityID],RawOfficer[AbilityID],RawOfficer[OfficerId]), XLOOKUP(LCARS_Off[AbilityID],RawOfficer[AbilityID],RawOfficer[OfficerName]))</f>
        <v>ANNORAX</v>
      </c>
      <c r="D509" s="515" t="str">
        <f t="array" ref="D509">XLOOKUP(LCARS_Off[AbilityID],RawOfficer[AbilityID],RawOfficer[AbilityType])</f>
        <v>CM</v>
      </c>
      <c r="E509" s="516" t="str">
        <f t="array" ref="E509">XLOOKUP(LCARS_Off[AbilityID],RawOfficer[AbilityID],RawOfficer[Tag_PvPinSpace])</f>
        <v>➖</v>
      </c>
      <c r="F509" s="516" t="str">
        <f t="array" ref="F509">XLOOKUP(LCARS_Off[AbilityID],RawOfficer[AbilityID],RawOfficer[Tag_PvPStation])</f>
        <v>➖</v>
      </c>
      <c r="G509" s="516" t="str">
        <f t="array" ref="G509">XLOOKUP(LCARS_Off[AbilityID],RawOfficer[AbilityID],RawOfficer[Tag_NonArmadaHostiles])</f>
        <v>✴️</v>
      </c>
      <c r="H509" s="516" t="str">
        <f t="array" ref="H509">XLOOKUP(LCARS_Off[AbilityID],RawOfficer[AbilityID],RawOfficer[Tag_WaveDefense])</f>
        <v>➖</v>
      </c>
      <c r="I509" s="516" t="str">
        <f t="array" ref="I509">XLOOKUP(LCARS_Off[AbilityID],RawOfficer[AbilityID],RawOfficer[Tag_QTrial])</f>
        <v>➖</v>
      </c>
      <c r="J509" s="516" t="str">
        <f t="array" ref="J509">XLOOKUP(LCARS_Off[AbilityID],RawOfficer[AbilityID],RawOfficer[Tag_MissionBosses])</f>
        <v>➖</v>
      </c>
      <c r="K509" s="516" t="str">
        <f t="array" ref="K509">XLOOKUP(LCARS_Off[AbilityID],RawOfficer[AbilityID],RawOfficer[Tag_GroupArmadas])</f>
        <v>➖</v>
      </c>
      <c r="L509" s="516" t="str">
        <f t="array" ref="L509">XLOOKUP(LCARS_Off[AbilityID],RawOfficer[AbilityID],RawOfficer[Tag_SoloArmadas])</f>
        <v>➖</v>
      </c>
      <c r="M509" s="516" t="str">
        <f t="array" ref="M509">XLOOKUP(LCARS_Off[AbilityID],RawOfficer[AbilityID],RawOfficer[Tag_InvadingEntities])</f>
        <v>➖</v>
      </c>
      <c r="N509" s="516" t="str">
        <f t="array" ref="N509">XLOOKUP(LCARS_Off[AbilityID],RawOfficer[AbilityID],RawOfficer[Tag_Assaults])</f>
        <v>➖</v>
      </c>
      <c r="O509" s="516" t="str">
        <f t="array" ref="O509">XLOOKUP(LCARS_Off[AbilityID],RawOfficer[AbilityID],RawOfficer[Tag_OutpostArmadas])</f>
        <v>➖</v>
      </c>
      <c r="P509" s="516" t="str">
        <f t="array" ref="P509">XLOOKUP(LCARS_Off[AbilityID],RawOfficer[AbilityID],RawOfficer[Tag_OutpostRetaliators])</f>
        <v>➖</v>
      </c>
      <c r="Q509" s="517" t="str">
        <f t="array" ref="Q509">XLOOKUP(LCARS_Off[AbilityID],RawOfficer[AbilityID],RawOfficer[Conditional_Reason])</f>
        <v>PveChestLootMultiplierLimitedResources</v>
      </c>
      <c r="R509" s="518" t="str">
        <f t="array" ref="R509">XLOOKUP(LCARS_Off[AbilityID],RawOfficer[AbilityID],RawOfficer[Tag_Loot])</f>
        <v>✅</v>
      </c>
      <c r="S509" s="516" t="str">
        <f t="array" ref="S509">XLOOKUP(LCARS_Off[AbilityID],RawOfficer[AbilityID],RawOfficer[Tag_Utility])</f>
        <v>➖</v>
      </c>
      <c r="T509" s="429" t="str">
        <f t="array" ref="T509">XLOOKUP(LCARS_Off[AbilityID],RawOfficer[AbilityID],RawOfficer[OfficerSynergy])</f>
        <v>VOYAGER 30TH ANNIVERSARY</v>
      </c>
      <c r="U509" s="519" t="str">
        <f t="array" ref="U509">XLOOKUP(LCARS_Off[AbilityID],RawOfficer[AbilityID],RawOfficer[AbilityModifier])</f>
        <v>PveChestLootMultiplierLimitedResources</v>
      </c>
      <c r="V509" s="519" t="str">
        <f t="array" ref="V509">XLOOKUP(LCARS_Off[AbilityID],RawOfficer[AbilityID],RawOfficer[AbilityAttributes])</f>
        <v/>
      </c>
      <c r="W509" s="520" t="str">
        <f t="array" ref="W509">XLOOKUP(LCARS_Off[AbilityID],RawOfficer[AbilityID],RawOfficer[AbilityConditions])</f>
        <v/>
      </c>
      <c r="X509" s="519" t="str">
        <f t="array" ref="X509">XLOOKUP(LCARS_Off[AbilityID],RawOfficer[AbilityID],RawOfficer[AbilityTrigger])</f>
        <v>ShipLaunched</v>
      </c>
      <c r="Y509" s="519" t="str">
        <f t="array" ref="Y509">XLOOKUP(LCARS_Off[AbilityID],RawOfficer[AbilityID],RawOfficer[AbilityTarget])</f>
        <v>SelfShip</v>
      </c>
      <c r="Z509" s="519" t="str">
        <f t="array" ref="Z509">XLOOKUP(LCARS_Off[AbilityID],RawOfficer[AbilityID],RawOfficer[AbilityOperation])</f>
        <v>MultiplyAdd</v>
      </c>
      <c r="AA509" s="521" t="str">
        <f t="array" ref="AA509">XLOOKUP(LCARS_Off[AbilityID],RawOfficer[AbilityID],RawOfficer[AbilityDescription])</f>
        <v>Increases select rewards from hostile chests (G3-G6 Parts &amp; Refined Materials, FKR Messages &amp; Credits, Hirogen Relics, Mycellium, Exotic Biotoxins, Xindi Scraps &amp; Bounties, Trellium, Fatu-Kray Scraps) by X of base.</v>
      </c>
      <c r="AB509" s="429" t="b">
        <v>0</v>
      </c>
      <c r="AC509" s="522" t="str">
        <f t="array" ref="AC509">XLOOKUP(LCARS_Off[AbilityID],RawOfficer[AbilityID],RawOfficer[AbilityDescriptionShort])</f>
        <v>Increases the rewards gained from Hostile Chests by X of base.</v>
      </c>
      <c r="AD509" s="523"/>
      <c r="AE509" s="524"/>
      <c r="AF509" s="524"/>
      <c r="AG509" s="525" t="str">
        <f t="array" ref="AG509">XLOOKUP(LCARS_Off[AbilityID],RawOfficer[AbilityID],RawOfficer[AbilityChances])</f>
        <v>1.0, 1.0, 1.0</v>
      </c>
      <c r="AH509" s="525" t="str">
        <f t="array" ref="AH509">XLOOKUP(LCARS_Off[AbilityID],RawOfficer[AbilityID],RawOfficer[AbilityValues])</f>
        <v>0.3, 0.05, 0.1</v>
      </c>
      <c r="AI509" s="428" t="b">
        <f t="array" ref="AI509">XLOOKUP(LCARS_Off[AbilityID],RawOfficer[AbilityID],RawOfficer[AbilityHasChance])</f>
        <v>0</v>
      </c>
      <c r="AJ509" s="428" t="b">
        <f t="array" ref="AJ509">XLOOKUP(LCARS_Off[AbilityID],RawOfficer[AbilityID],RawOfficer[AbilityShowPercentage])</f>
        <v>1</v>
      </c>
      <c r="AK509" s="429">
        <f t="array" ref="AK509">XLOOKUP(LCARS_Off[AbilityID],RawOfficer[AbilityID],RawOfficer[OfficerArt])</f>
        <v>299</v>
      </c>
      <c r="AL509" s="430">
        <v>2.565476998E9</v>
      </c>
      <c r="AM509" s="430">
        <f t="array" ref="AM509">XLOOKUP(LCARS_Off[AbilityID],RawOfficer[AbilityID],RawOfficer[Default Order])</f>
        <v>506</v>
      </c>
    </row>
    <row r="510">
      <c r="A510" s="429" t="str">
        <f t="array" ref="A510">LEFT(XLOOKUP(LCARS_Off[AbilityID],RawOfficer[AbilityID],RawOfficer[OfficerRarity]), 1)</f>
        <v>E</v>
      </c>
      <c r="B510" s="429"/>
      <c r="C510" s="514" t="str">
        <f t="array" ref="C510">HYPERLINK("https://stfc.space/officers/" &amp; XLOOKUP(LCARS_Off[AbilityID],RawOfficer[AbilityID],RawOfficer[OfficerId]), XLOOKUP(LCARS_Off[AbilityID],RawOfficer[AbilityID],RawOfficer[OfficerName]))</f>
        <v>ANNORAX</v>
      </c>
      <c r="D510" s="515" t="str">
        <f t="array" ref="D510">XLOOKUP(LCARS_Off[AbilityID],RawOfficer[AbilityID],RawOfficer[AbilityType])</f>
        <v>OA</v>
      </c>
      <c r="E510" s="516" t="str">
        <f t="array" ref="E510">XLOOKUP(LCARS_Off[AbilityID],RawOfficer[AbilityID],RawOfficer[Tag_PvPinSpace])</f>
        <v>➖</v>
      </c>
      <c r="F510" s="516" t="str">
        <f t="array" ref="F510">XLOOKUP(LCARS_Off[AbilityID],RawOfficer[AbilityID],RawOfficer[Tag_PvPStation])</f>
        <v>➖</v>
      </c>
      <c r="G510" s="516" t="str">
        <f t="array" ref="G510">XLOOKUP(LCARS_Off[AbilityID],RawOfficer[AbilityID],RawOfficer[Tag_NonArmadaHostiles])</f>
        <v>✴️</v>
      </c>
      <c r="H510" s="516" t="str">
        <f t="array" ref="H510">XLOOKUP(LCARS_Off[AbilityID],RawOfficer[AbilityID],RawOfficer[Tag_WaveDefense])</f>
        <v>✴️</v>
      </c>
      <c r="I510" s="516" t="str">
        <f t="array" ref="I510">XLOOKUP(LCARS_Off[AbilityID],RawOfficer[AbilityID],RawOfficer[Tag_QTrial])</f>
        <v>✴️</v>
      </c>
      <c r="J510" s="516" t="str">
        <f t="array" ref="J510">XLOOKUP(LCARS_Off[AbilityID],RawOfficer[AbilityID],RawOfficer[Tag_MissionBosses])</f>
        <v>➖</v>
      </c>
      <c r="K510" s="516" t="str">
        <f t="array" ref="K510">XLOOKUP(LCARS_Off[AbilityID],RawOfficer[AbilityID],RawOfficer[Tag_GroupArmadas])</f>
        <v>➖</v>
      </c>
      <c r="L510" s="516" t="str">
        <f t="array" ref="L510">XLOOKUP(LCARS_Off[AbilityID],RawOfficer[AbilityID],RawOfficer[Tag_SoloArmadas])</f>
        <v>➖</v>
      </c>
      <c r="M510" s="516" t="str">
        <f t="array" ref="M510">XLOOKUP(LCARS_Off[AbilityID],RawOfficer[AbilityID],RawOfficer[Tag_InvadingEntities])</f>
        <v>➖</v>
      </c>
      <c r="N510" s="516" t="str">
        <f t="array" ref="N510">XLOOKUP(LCARS_Off[AbilityID],RawOfficer[AbilityID],RawOfficer[Tag_Assaults])</f>
        <v>➖</v>
      </c>
      <c r="O510" s="516" t="str">
        <f t="array" ref="O510">XLOOKUP(LCARS_Off[AbilityID],RawOfficer[AbilityID],RawOfficer[Tag_OutpostArmadas])</f>
        <v>➖</v>
      </c>
      <c r="P510" s="516" t="str">
        <f t="array" ref="P510">XLOOKUP(LCARS_Off[AbilityID],RawOfficer[AbilityID],RawOfficer[Tag_OutpostRetaliators])</f>
        <v>➖</v>
      </c>
      <c r="Q510" s="517" t="str">
        <f t="array" ref="Q510">XLOOKUP(LCARS_Off[AbilityID],RawOfficer[AbilityID],RawOfficer[Conditional_Reason])</f>
        <v>SelfOfficerTalNotOnBridge</v>
      </c>
      <c r="R510" s="518" t="str">
        <f t="array" ref="R510">XLOOKUP(LCARS_Off[AbilityID],RawOfficer[AbilityID],RawOfficer[Tag_Loot])</f>
        <v>➖</v>
      </c>
      <c r="S510" s="516" t="str">
        <f t="array" ref="S510">XLOOKUP(LCARS_Off[AbilityID],RawOfficer[AbilityID],RawOfficer[Tag_Utility])</f>
        <v>➖</v>
      </c>
      <c r="T510" s="429" t="str">
        <f t="array" ref="T510">XLOOKUP(LCARS_Off[AbilityID],RawOfficer[AbilityID],RawOfficer[OfficerSynergy])</f>
        <v>VOYAGER 30TH ANNIVERSARY</v>
      </c>
      <c r="U510" s="519" t="str">
        <f t="array" ref="U510">XLOOKUP(LCARS_Off[AbilityID],RawOfficer[AbilityID],RawOfficer[AbilityModifier])</f>
        <v>ApexBarrier</v>
      </c>
      <c r="V510" s="519" t="str">
        <f t="array" ref="V510">XLOOKUP(LCARS_Off[AbilityID],RawOfficer[AbilityID],RawOfficer[AbilityAttributes])</f>
        <v>num_rounds=2</v>
      </c>
      <c r="W510" s="520" t="str">
        <f t="array" ref="W510">XLOOKUP(LCARS_Off[AbilityID],RawOfficer[AbilityID],RawOfficer[AbilityConditions])</f>
        <v>EnemyHostile, TargetNotArmada, SelfOfficerTalNotOnBridge</v>
      </c>
      <c r="X510" s="519" t="str">
        <f t="array" ref="X510">XLOOKUP(LCARS_Off[AbilityID],RawOfficer[AbilityID],RawOfficer[AbilityTrigger])</f>
        <v>HitTaken</v>
      </c>
      <c r="Y510" s="519" t="str">
        <f t="array" ref="Y510">XLOOKUP(LCARS_Off[AbilityID],RawOfficer[AbilityID],RawOfficer[AbilityTarget])</f>
        <v>SelfShip</v>
      </c>
      <c r="Z510" s="519" t="str">
        <f t="array" ref="Z510">XLOOKUP(LCARS_Off[AbilityID],RawOfficer[AbilityID],RawOfficer[AbilityOperation])</f>
        <v>Add</v>
      </c>
      <c r="AA510" s="521" t="str">
        <f t="array" ref="AA510">XLOOKUP(LCARS_Off[AbilityID],RawOfficer[AbilityID],RawOfficer[AbilityDescription])</f>
        <v>Increases Apex Barrier by X (X at rank X) for 2 rounds when hit by a hostile (Once per weapon)(Cumulative). -- This ability does not trigger when Tal is assigned to the bridge of your ship.</v>
      </c>
      <c r="AB510" s="429" t="b">
        <v>0</v>
      </c>
      <c r="AC510" s="522" t="str">
        <f t="array" ref="AC510">XLOOKUP(LCARS_Off[AbilityID],RawOfficer[AbilityID],RawOfficer[AbilityDescriptionShort])</f>
        <v>Increases Apex Barrier by X  for 2 rounds when hit by a hostile.</v>
      </c>
      <c r="AD510" s="523"/>
      <c r="AE510" s="524"/>
      <c r="AF510" s="524"/>
      <c r="AG510" s="525" t="str">
        <f t="array" ref="AG510">XLOOKUP(LCARS_Off[AbilityID],RawOfficer[AbilityID],RawOfficer[AbilityChances])</f>
        <v>1.0, 1.0, 1.0, 1.0, 1.0</v>
      </c>
      <c r="AH510" s="525" t="str">
        <f t="array" ref="AH510">XLOOKUP(LCARS_Off[AbilityID],RawOfficer[AbilityID],RawOfficer[AbilityValues])</f>
        <v>2000.0, 2300.0, 2600.0, 2900.0, 3200.0</v>
      </c>
      <c r="AI510" s="428" t="b">
        <f t="array" ref="AI510">XLOOKUP(LCARS_Off[AbilityID],RawOfficer[AbilityID],RawOfficer[AbilityHasChance])</f>
        <v>0</v>
      </c>
      <c r="AJ510" s="428" t="b">
        <f t="array" ref="AJ510">XLOOKUP(LCARS_Off[AbilityID],RawOfficer[AbilityID],RawOfficer[AbilityShowPercentage])</f>
        <v>0</v>
      </c>
      <c r="AK510" s="429">
        <f t="array" ref="AK510">XLOOKUP(LCARS_Off[AbilityID],RawOfficer[AbilityID],RawOfficer[OfficerArt])</f>
        <v>299</v>
      </c>
      <c r="AL510" s="430">
        <v>2.281926825E9</v>
      </c>
      <c r="AM510" s="430">
        <f t="array" ref="AM510">XLOOKUP(LCARS_Off[AbilityID],RawOfficer[AbilityID],RawOfficer[Default Order])</f>
        <v>507</v>
      </c>
    </row>
    <row r="511">
      <c r="A511" s="429" t="str">
        <f t="array" ref="A511">LEFT(XLOOKUP(LCARS_Off[AbilityID],RawOfficer[AbilityID],RawOfficer[OfficerRarity]), 1)</f>
        <v>E</v>
      </c>
      <c r="B511" s="429"/>
      <c r="C511" s="514" t="str">
        <f t="array" ref="C511">HYPERLINK("https://stfc.space/officers/" &amp; XLOOKUP(LCARS_Off[AbilityID],RawOfficer[AbilityID],RawOfficer[OfficerId]), XLOOKUP(LCARS_Off[AbilityID],RawOfficer[AbilityID],RawOfficer[OfficerName]))</f>
        <v>SESKA</v>
      </c>
      <c r="D511" s="515" t="str">
        <f t="array" ref="D511">XLOOKUP(LCARS_Off[AbilityID],RawOfficer[AbilityID],RawOfficer[AbilityType])</f>
        <v>OA</v>
      </c>
      <c r="E511" s="516" t="str">
        <f t="array" ref="E511">XLOOKUP(LCARS_Off[AbilityID],RawOfficer[AbilityID],RawOfficer[Tag_PvPinSpace])</f>
        <v>➖</v>
      </c>
      <c r="F511" s="516" t="str">
        <f t="array" ref="F511">XLOOKUP(LCARS_Off[AbilityID],RawOfficer[AbilityID],RawOfficer[Tag_PvPStation])</f>
        <v>➖</v>
      </c>
      <c r="G511" s="516" t="str">
        <f t="array" ref="G511">XLOOKUP(LCARS_Off[AbilityID],RawOfficer[AbilityID],RawOfficer[Tag_NonArmadaHostiles])</f>
        <v>✅</v>
      </c>
      <c r="H511" s="516" t="str">
        <f t="array" ref="H511">XLOOKUP(LCARS_Off[AbilityID],RawOfficer[AbilityID],RawOfficer[Tag_WaveDefense])</f>
        <v>✅</v>
      </c>
      <c r="I511" s="516" t="str">
        <f t="array" ref="I511">XLOOKUP(LCARS_Off[AbilityID],RawOfficer[AbilityID],RawOfficer[Tag_QTrial])</f>
        <v>✅</v>
      </c>
      <c r="J511" s="516" t="str">
        <f t="array" ref="J511">XLOOKUP(LCARS_Off[AbilityID],RawOfficer[AbilityID],RawOfficer[Tag_MissionBosses])</f>
        <v>➖</v>
      </c>
      <c r="K511" s="516" t="str">
        <f t="array" ref="K511">XLOOKUP(LCARS_Off[AbilityID],RawOfficer[AbilityID],RawOfficer[Tag_GroupArmadas])</f>
        <v>➖</v>
      </c>
      <c r="L511" s="516" t="str">
        <f t="array" ref="L511">XLOOKUP(LCARS_Off[AbilityID],RawOfficer[AbilityID],RawOfficer[Tag_SoloArmadas])</f>
        <v>➖</v>
      </c>
      <c r="M511" s="516" t="str">
        <f t="array" ref="M511">XLOOKUP(LCARS_Off[AbilityID],RawOfficer[AbilityID],RawOfficer[Tag_InvadingEntities])</f>
        <v>➖</v>
      </c>
      <c r="N511" s="516" t="str">
        <f t="array" ref="N511">XLOOKUP(LCARS_Off[AbilityID],RawOfficer[AbilityID],RawOfficer[Tag_Assaults])</f>
        <v>➖</v>
      </c>
      <c r="O511" s="516" t="str">
        <f t="array" ref="O511">XLOOKUP(LCARS_Off[AbilityID],RawOfficer[AbilityID],RawOfficer[Tag_OutpostArmadas])</f>
        <v>➖</v>
      </c>
      <c r="P511" s="516" t="str">
        <f t="array" ref="P511">XLOOKUP(LCARS_Off[AbilityID],RawOfficer[AbilityID],RawOfficer[Tag_OutpostRetaliators])</f>
        <v>➖</v>
      </c>
      <c r="Q511" s="517" t="str">
        <f t="array" ref="Q511">XLOOKUP(LCARS_Off[AbilityID],RawOfficer[AbilityID],RawOfficer[Conditional_Reason])</f>
        <v/>
      </c>
      <c r="R511" s="518" t="str">
        <f t="array" ref="R511">XLOOKUP(LCARS_Off[AbilityID],RawOfficer[AbilityID],RawOfficer[Tag_Loot])</f>
        <v>➖</v>
      </c>
      <c r="S511" s="516" t="str">
        <f t="array" ref="S511">XLOOKUP(LCARS_Off[AbilityID],RawOfficer[AbilityID],RawOfficer[Tag_Utility])</f>
        <v>➖</v>
      </c>
      <c r="T511" s="429" t="str">
        <f t="array" ref="T511">XLOOKUP(LCARS_Off[AbilityID],RawOfficer[AbilityID],RawOfficer[OfficerSynergy])</f>
        <v>VOYAGER 30TH ANNIVERSARY</v>
      </c>
      <c r="U511" s="519" t="str">
        <f t="array" ref="U511">XLOOKUP(LCARS_Off[AbilityID],RawOfficer[AbilityID],RawOfficer[AbilityModifier])</f>
        <v>ShieldHPRepair</v>
      </c>
      <c r="V511" s="519" t="str">
        <f t="array" ref="V511">XLOOKUP(LCARS_Off[AbilityID],RawOfficer[AbilityID],RawOfficer[AbilityAttributes])</f>
        <v/>
      </c>
      <c r="W511" s="520" t="str">
        <f t="array" ref="W511">XLOOKUP(LCARS_Off[AbilityID],RawOfficer[AbilityID],RawOfficer[AbilityConditions])</f>
        <v>EnemyHostile, TargetNotArmada</v>
      </c>
      <c r="X511" s="519" t="str">
        <f t="array" ref="X511">XLOOKUP(LCARS_Off[AbilityID],RawOfficer[AbilityID],RawOfficer[AbilityTrigger])</f>
        <v>RoundStart</v>
      </c>
      <c r="Y511" s="519" t="str">
        <f t="array" ref="Y511">XLOOKUP(LCARS_Off[AbilityID],RawOfficer[AbilityID],RawOfficer[AbilityTarget])</f>
        <v>SelfShip</v>
      </c>
      <c r="Z511" s="519" t="str">
        <f t="array" ref="Z511">XLOOKUP(LCARS_Off[AbilityID],RawOfficer[AbilityID],RawOfficer[AbilityOperation])</f>
        <v>MultiplyAdd</v>
      </c>
      <c r="AA511" s="521" t="str">
        <f t="array" ref="AA511">XLOOKUP(LCARS_Off[AbilityID],RawOfficer[AbilityID],RawOfficer[AbilityDescription])</f>
        <v>Restores the Shield Health of your ship every round by X (X at rank X) when fighting hostiles.</v>
      </c>
      <c r="AB511" s="429" t="b">
        <v>0</v>
      </c>
      <c r="AC511" s="522" t="str">
        <f t="array" ref="AC511">XLOOKUP(LCARS_Off[AbilityID],RawOfficer[AbilityID],RawOfficer[AbilityDescriptionShort])</f>
        <v>Restores the Shield Health of your ship every round by X when fighting hostiles.</v>
      </c>
      <c r="AD511" s="523"/>
      <c r="AE511" s="524"/>
      <c r="AF511" s="524"/>
      <c r="AG511" s="525" t="str">
        <f t="array" ref="AG511">XLOOKUP(LCARS_Off[AbilityID],RawOfficer[AbilityID],RawOfficer[AbilityChances])</f>
        <v>1.0, 1.0, 1.0, 1.0, 1.0</v>
      </c>
      <c r="AH511" s="525" t="str">
        <f t="array" ref="AH511">XLOOKUP(LCARS_Off[AbilityID],RawOfficer[AbilityID],RawOfficer[AbilityValues])</f>
        <v>0.12, 0.16, 0.2, 0.25, 0.3</v>
      </c>
      <c r="AI511" s="428" t="b">
        <f t="array" ref="AI511">XLOOKUP(LCARS_Off[AbilityID],RawOfficer[AbilityID],RawOfficer[AbilityHasChance])</f>
        <v>0</v>
      </c>
      <c r="AJ511" s="428" t="b">
        <f t="array" ref="AJ511">XLOOKUP(LCARS_Off[AbilityID],RawOfficer[AbilityID],RawOfficer[AbilityShowPercentage])</f>
        <v>1</v>
      </c>
      <c r="AK511" s="429">
        <f t="array" ref="AK511">XLOOKUP(LCARS_Off[AbilityID],RawOfficer[AbilityID],RawOfficer[OfficerArt])</f>
        <v>300</v>
      </c>
      <c r="AL511" s="430">
        <v>3.196098481E9</v>
      </c>
      <c r="AM511" s="430">
        <f t="array" ref="AM511">XLOOKUP(LCARS_Off[AbilityID],RawOfficer[AbilityID],RawOfficer[Default Order])</f>
        <v>508</v>
      </c>
    </row>
    <row r="512">
      <c r="A512" s="429" t="str">
        <f t="array" ref="A512">LEFT(XLOOKUP(LCARS_Off[AbilityID],RawOfficer[AbilityID],RawOfficer[OfficerRarity]), 1)</f>
        <v>E</v>
      </c>
      <c r="B512" s="429"/>
      <c r="C512" s="514" t="str">
        <f t="array" ref="C512">HYPERLINK("https://stfc.space/officers/" &amp; XLOOKUP(LCARS_Off[AbilityID],RawOfficer[AbilityID],RawOfficer[OfficerId]), XLOOKUP(LCARS_Off[AbilityID],RawOfficer[AbilityID],RawOfficer[OfficerName]))</f>
        <v>SESKA</v>
      </c>
      <c r="D512" s="515" t="str">
        <f t="array" ref="D512">XLOOKUP(LCARS_Off[AbilityID],RawOfficer[AbilityID],RawOfficer[AbilityType])</f>
        <v>BDA</v>
      </c>
      <c r="E512" s="516" t="str">
        <f t="array" ref="E512">XLOOKUP(LCARS_Off[AbilityID],RawOfficer[AbilityID],RawOfficer[Tag_PvPinSpace])</f>
        <v>➖</v>
      </c>
      <c r="F512" s="516" t="str">
        <f t="array" ref="F512">XLOOKUP(LCARS_Off[AbilityID],RawOfficer[AbilityID],RawOfficer[Tag_PvPStation])</f>
        <v>➖</v>
      </c>
      <c r="G512" s="516" t="str">
        <f t="array" ref="G512">XLOOKUP(LCARS_Off[AbilityID],RawOfficer[AbilityID],RawOfficer[Tag_NonArmadaHostiles])</f>
        <v>✅</v>
      </c>
      <c r="H512" s="516" t="str">
        <f t="array" ref="H512">XLOOKUP(LCARS_Off[AbilityID],RawOfficer[AbilityID],RawOfficer[Tag_WaveDefense])</f>
        <v>✅</v>
      </c>
      <c r="I512" s="516" t="str">
        <f t="array" ref="I512">XLOOKUP(LCARS_Off[AbilityID],RawOfficer[AbilityID],RawOfficer[Tag_QTrial])</f>
        <v>✅</v>
      </c>
      <c r="J512" s="516" t="str">
        <f t="array" ref="J512">XLOOKUP(LCARS_Off[AbilityID],RawOfficer[AbilityID],RawOfficer[Tag_MissionBosses])</f>
        <v>➖</v>
      </c>
      <c r="K512" s="516" t="str">
        <f t="array" ref="K512">XLOOKUP(LCARS_Off[AbilityID],RawOfficer[AbilityID],RawOfficer[Tag_GroupArmadas])</f>
        <v>➖</v>
      </c>
      <c r="L512" s="516" t="str">
        <f t="array" ref="L512">XLOOKUP(LCARS_Off[AbilityID],RawOfficer[AbilityID],RawOfficer[Tag_SoloArmadas])</f>
        <v>➖</v>
      </c>
      <c r="M512" s="516" t="str">
        <f t="array" ref="M512">XLOOKUP(LCARS_Off[AbilityID],RawOfficer[AbilityID],RawOfficer[Tag_InvadingEntities])</f>
        <v>➖</v>
      </c>
      <c r="N512" s="516" t="str">
        <f t="array" ref="N512">XLOOKUP(LCARS_Off[AbilityID],RawOfficer[AbilityID],RawOfficer[Tag_Assaults])</f>
        <v>➖</v>
      </c>
      <c r="O512" s="516" t="str">
        <f t="array" ref="O512">XLOOKUP(LCARS_Off[AbilityID],RawOfficer[AbilityID],RawOfficer[Tag_OutpostArmadas])</f>
        <v>➖</v>
      </c>
      <c r="P512" s="516" t="str">
        <f t="array" ref="P512">XLOOKUP(LCARS_Off[AbilityID],RawOfficer[AbilityID],RawOfficer[Tag_OutpostRetaliators])</f>
        <v>➖</v>
      </c>
      <c r="Q512" s="517" t="str">
        <f t="array" ref="Q512">XLOOKUP(LCARS_Off[AbilityID],RawOfficer[AbilityID],RawOfficer[Conditional_Reason])</f>
        <v/>
      </c>
      <c r="R512" s="518" t="str">
        <f t="array" ref="R512">XLOOKUP(LCARS_Off[AbilityID],RawOfficer[AbilityID],RawOfficer[Tag_Loot])</f>
        <v>➖</v>
      </c>
      <c r="S512" s="516" t="str">
        <f t="array" ref="S512">XLOOKUP(LCARS_Off[AbilityID],RawOfficer[AbilityID],RawOfficer[Tag_Utility])</f>
        <v>➖</v>
      </c>
      <c r="T512" s="429" t="str">
        <f t="array" ref="T512">XLOOKUP(LCARS_Off[AbilityID],RawOfficer[AbilityID],RawOfficer[OfficerSynergy])</f>
        <v>VOYAGER 30TH ANNIVERSARY</v>
      </c>
      <c r="U512" s="519" t="str">
        <f t="array" ref="U512">XLOOKUP(LCARS_Off[AbilityID],RawOfficer[AbilityID],RawOfficer[AbilityModifier])</f>
        <v>CritDamage</v>
      </c>
      <c r="V512" s="519" t="str">
        <f t="array" ref="V512">XLOOKUP(LCARS_Off[AbilityID],RawOfficer[AbilityID],RawOfficer[AbilityAttributes])</f>
        <v>num_rounds=4</v>
      </c>
      <c r="W512" s="520" t="str">
        <f t="array" ref="W512">XLOOKUP(LCARS_Off[AbilityID],RawOfficer[AbilityID],RawOfficer[AbilityConditions])</f>
        <v>EnemyHostile, TargetNotArmada</v>
      </c>
      <c r="X512" s="519" t="str">
        <f t="array" ref="X512">XLOOKUP(LCARS_Off[AbilityID],RawOfficer[AbilityID],RawOfficer[AbilityTrigger])</f>
        <v>EnemyTakesHit</v>
      </c>
      <c r="Y512" s="519" t="str">
        <f t="array" ref="Y512">XLOOKUP(LCARS_Off[AbilityID],RawOfficer[AbilityID],RawOfficer[AbilityTarget])</f>
        <v>SelfShip</v>
      </c>
      <c r="Z512" s="519" t="str">
        <f t="array" ref="Z512">XLOOKUP(LCARS_Off[AbilityID],RawOfficer[AbilityID],RawOfficer[AbilityOperation])</f>
        <v>Add</v>
      </c>
      <c r="AA512" s="521" t="str">
        <f t="array" ref="AA512">XLOOKUP(LCARS_Off[AbilityID],RawOfficer[AbilityID],RawOfficer[AbilityDescription])</f>
        <v>Increases Critical Hit Damage by X (X at rank X) for 4 rounds each time you score a hit (Once per weapon) when fighting hostiles.</v>
      </c>
      <c r="AB512" s="429" t="b">
        <v>0</v>
      </c>
      <c r="AC512" s="522" t="str">
        <f t="array" ref="AC512">XLOOKUP(LCARS_Off[AbilityID],RawOfficer[AbilityID],RawOfficer[AbilityDescriptionShort])</f>
        <v>Increases Critical Hit Damage by X for 4 rounds each time you score a hit when fighting hostiles.</v>
      </c>
      <c r="AD512" s="523"/>
      <c r="AE512" s="524"/>
      <c r="AF512" s="524"/>
      <c r="AG512" s="525" t="str">
        <f t="array" ref="AG512">XLOOKUP(LCARS_Off[AbilityID],RawOfficer[AbilityID],RawOfficer[AbilityChances])</f>
        <v>1.0, 1.0, 1.0, 1.0, 1.0</v>
      </c>
      <c r="AH512" s="525" t="str">
        <f t="array" ref="AH512">XLOOKUP(LCARS_Off[AbilityID],RawOfficer[AbilityID],RawOfficer[AbilityValues])</f>
        <v>0.12, 0.16, 0.22, 0.3, 0.4</v>
      </c>
      <c r="AI512" s="428" t="b">
        <f t="array" ref="AI512">XLOOKUP(LCARS_Off[AbilityID],RawOfficer[AbilityID],RawOfficer[AbilityHasChance])</f>
        <v>0</v>
      </c>
      <c r="AJ512" s="428" t="b">
        <f t="array" ref="AJ512">XLOOKUP(LCARS_Off[AbilityID],RawOfficer[AbilityID],RawOfficer[AbilityShowPercentage])</f>
        <v>1</v>
      </c>
      <c r="AK512" s="429">
        <f t="array" ref="AK512">XLOOKUP(LCARS_Off[AbilityID],RawOfficer[AbilityID],RawOfficer[OfficerArt])</f>
        <v>300</v>
      </c>
      <c r="AL512" s="430">
        <v>2.435779542E9</v>
      </c>
      <c r="AM512" s="430">
        <f t="array" ref="AM512">XLOOKUP(LCARS_Off[AbilityID],RawOfficer[AbilityID],RawOfficer[Default Order])</f>
        <v>509</v>
      </c>
    </row>
    <row r="513">
      <c r="A513" s="429" t="str">
        <f t="array" ref="A513">LEFT(XLOOKUP(LCARS_Off[AbilityID],RawOfficer[AbilityID],RawOfficer[OfficerRarity]), 1)</f>
        <v>R</v>
      </c>
      <c r="B513" s="429"/>
      <c r="C513" s="514" t="str">
        <f t="array" ref="C513">HYPERLINK("https://stfc.space/officers/" &amp; XLOOKUP(LCARS_Off[AbilityID],RawOfficer[AbilityID],RawOfficer[OfficerId]), XLOOKUP(LCARS_Off[AbilityID],RawOfficer[AbilityID],RawOfficer[OfficerName]))</f>
        <v>SUDER</v>
      </c>
      <c r="D513" s="515" t="str">
        <f t="array" ref="D513">XLOOKUP(LCARS_Off[AbilityID],RawOfficer[AbilityID],RawOfficer[AbilityType])</f>
        <v>OA</v>
      </c>
      <c r="E513" s="516" t="str">
        <f t="array" ref="E513">XLOOKUP(LCARS_Off[AbilityID],RawOfficer[AbilityID],RawOfficer[Tag_PvPinSpace])</f>
        <v>➖</v>
      </c>
      <c r="F513" s="516" t="str">
        <f t="array" ref="F513">XLOOKUP(LCARS_Off[AbilityID],RawOfficer[AbilityID],RawOfficer[Tag_PvPStation])</f>
        <v>➖</v>
      </c>
      <c r="G513" s="516" t="str">
        <f t="array" ref="G513">XLOOKUP(LCARS_Off[AbilityID],RawOfficer[AbilityID],RawOfficer[Tag_NonArmadaHostiles])</f>
        <v>✅</v>
      </c>
      <c r="H513" s="516" t="str">
        <f t="array" ref="H513">XLOOKUP(LCARS_Off[AbilityID],RawOfficer[AbilityID],RawOfficer[Tag_WaveDefense])</f>
        <v>✅</v>
      </c>
      <c r="I513" s="516" t="str">
        <f t="array" ref="I513">XLOOKUP(LCARS_Off[AbilityID],RawOfficer[AbilityID],RawOfficer[Tag_QTrial])</f>
        <v>✅</v>
      </c>
      <c r="J513" s="516" t="str">
        <f t="array" ref="J513">XLOOKUP(LCARS_Off[AbilityID],RawOfficer[AbilityID],RawOfficer[Tag_MissionBosses])</f>
        <v>➖</v>
      </c>
      <c r="K513" s="516" t="str">
        <f t="array" ref="K513">XLOOKUP(LCARS_Off[AbilityID],RawOfficer[AbilityID],RawOfficer[Tag_GroupArmadas])</f>
        <v>➖</v>
      </c>
      <c r="L513" s="516" t="str">
        <f t="array" ref="L513">XLOOKUP(LCARS_Off[AbilityID],RawOfficer[AbilityID],RawOfficer[Tag_SoloArmadas])</f>
        <v>➖</v>
      </c>
      <c r="M513" s="516" t="str">
        <f t="array" ref="M513">XLOOKUP(LCARS_Off[AbilityID],RawOfficer[AbilityID],RawOfficer[Tag_InvadingEntities])</f>
        <v>➖</v>
      </c>
      <c r="N513" s="516" t="str">
        <f t="array" ref="N513">XLOOKUP(LCARS_Off[AbilityID],RawOfficer[AbilityID],RawOfficer[Tag_Assaults])</f>
        <v>➖</v>
      </c>
      <c r="O513" s="516" t="str">
        <f t="array" ref="O513">XLOOKUP(LCARS_Off[AbilityID],RawOfficer[AbilityID],RawOfficer[Tag_OutpostArmadas])</f>
        <v>➖</v>
      </c>
      <c r="P513" s="516" t="str">
        <f t="array" ref="P513">XLOOKUP(LCARS_Off[AbilityID],RawOfficer[AbilityID],RawOfficer[Tag_OutpostRetaliators])</f>
        <v>➖</v>
      </c>
      <c r="Q513" s="517" t="str">
        <f t="array" ref="Q513">XLOOKUP(LCARS_Off[AbilityID],RawOfficer[AbilityID],RawOfficer[Conditional_Reason])</f>
        <v/>
      </c>
      <c r="R513" s="518" t="str">
        <f t="array" ref="R513">XLOOKUP(LCARS_Off[AbilityID],RawOfficer[AbilityID],RawOfficer[Tag_Loot])</f>
        <v>➖</v>
      </c>
      <c r="S513" s="516" t="str">
        <f t="array" ref="S513">XLOOKUP(LCARS_Off[AbilityID],RawOfficer[AbilityID],RawOfficer[Tag_Utility])</f>
        <v>➖</v>
      </c>
      <c r="T513" s="429" t="str">
        <f t="array" ref="T513">XLOOKUP(LCARS_Off[AbilityID],RawOfficer[AbilityID],RawOfficer[OfficerSynergy])</f>
        <v>VOYAGER 30TH ANNIVERSARY</v>
      </c>
      <c r="U513" s="519" t="str">
        <f t="array" ref="U513">XLOOKUP(LCARS_Off[AbilityID],RawOfficer[AbilityID],RawOfficer[AbilityModifier])</f>
        <v>HullRepair</v>
      </c>
      <c r="V513" s="519" t="str">
        <f t="array" ref="V513">XLOOKUP(LCARS_Off[AbilityID],RawOfficer[AbilityID],RawOfficer[AbilityAttributes])</f>
        <v/>
      </c>
      <c r="W513" s="520" t="str">
        <f t="array" ref="W513">XLOOKUP(LCARS_Off[AbilityID],RawOfficer[AbilityID],RawOfficer[AbilityConditions])</f>
        <v>EnemyHostile, TargetNotArmada</v>
      </c>
      <c r="X513" s="519" t="str">
        <f t="array" ref="X513">XLOOKUP(LCARS_Off[AbilityID],RawOfficer[AbilityID],RawOfficer[AbilityTrigger])</f>
        <v>RoundEnd</v>
      </c>
      <c r="Y513" s="519" t="str">
        <f t="array" ref="Y513">XLOOKUP(LCARS_Off[AbilityID],RawOfficer[AbilityID],RawOfficer[AbilityTarget])</f>
        <v>SelfShip</v>
      </c>
      <c r="Z513" s="519" t="str">
        <f t="array" ref="Z513">XLOOKUP(LCARS_Off[AbilityID],RawOfficer[AbilityID],RawOfficer[AbilityOperation])</f>
        <v>MultiplyAdd</v>
      </c>
      <c r="AA513" s="521" t="str">
        <f t="array" ref="AA513">XLOOKUP(LCARS_Off[AbilityID],RawOfficer[AbilityID],RawOfficer[AbilityDescription])</f>
        <v>Repairs X (X at rank X) of hull damage taken in the previous round of combat when fighting hostiles.</v>
      </c>
      <c r="AB513" s="429" t="b">
        <v>0</v>
      </c>
      <c r="AC513" s="522" t="str">
        <f t="array" ref="AC513">XLOOKUP(LCARS_Off[AbilityID],RawOfficer[AbilityID],RawOfficer[AbilityDescriptionShort])</f>
        <v>At the end of each round repair X of hull damage taken during it when fighting hostiles.</v>
      </c>
      <c r="AD513" s="523"/>
      <c r="AE513" s="524"/>
      <c r="AF513" s="524"/>
      <c r="AG513" s="525" t="str">
        <f t="array" ref="AG513">XLOOKUP(LCARS_Off[AbilityID],RawOfficer[AbilityID],RawOfficer[AbilityChances])</f>
        <v>1.0, 1.0, 1.0, 1.0, 1.0</v>
      </c>
      <c r="AH513" s="525" t="str">
        <f t="array" ref="AH513">XLOOKUP(LCARS_Off[AbilityID],RawOfficer[AbilityID],RawOfficer[AbilityValues])</f>
        <v>0.12, 0.15, 0.18, 0.21, 0.24</v>
      </c>
      <c r="AI513" s="428" t="b">
        <f t="array" ref="AI513">XLOOKUP(LCARS_Off[AbilityID],RawOfficer[AbilityID],RawOfficer[AbilityHasChance])</f>
        <v>0</v>
      </c>
      <c r="AJ513" s="428" t="b">
        <f t="array" ref="AJ513">XLOOKUP(LCARS_Off[AbilityID],RawOfficer[AbilityID],RawOfficer[AbilityShowPercentage])</f>
        <v>1</v>
      </c>
      <c r="AK513" s="429">
        <f t="array" ref="AK513">XLOOKUP(LCARS_Off[AbilityID],RawOfficer[AbilityID],RawOfficer[OfficerArt])</f>
        <v>301</v>
      </c>
      <c r="AL513" s="430">
        <v>2.041170794E9</v>
      </c>
      <c r="AM513" s="430">
        <f t="array" ref="AM513">XLOOKUP(LCARS_Off[AbilityID],RawOfficer[AbilityID],RawOfficer[Default Order])</f>
        <v>510</v>
      </c>
    </row>
    <row r="514">
      <c r="A514" s="429" t="str">
        <f t="array" ref="A514">LEFT(XLOOKUP(LCARS_Off[AbilityID],RawOfficer[AbilityID],RawOfficer[OfficerRarity]), 1)</f>
        <v>R</v>
      </c>
      <c r="B514" s="429"/>
      <c r="C514" s="514" t="str">
        <f t="array" ref="C514">HYPERLINK("https://stfc.space/officers/" &amp; XLOOKUP(LCARS_Off[AbilityID],RawOfficer[AbilityID],RawOfficer[OfficerId]), XLOOKUP(LCARS_Off[AbilityID],RawOfficer[AbilityID],RawOfficer[OfficerName]))</f>
        <v>SUDER</v>
      </c>
      <c r="D514" s="515" t="str">
        <f t="array" ref="D514">XLOOKUP(LCARS_Off[AbilityID],RawOfficer[AbilityID],RawOfficer[AbilityType])</f>
        <v>BDA</v>
      </c>
      <c r="E514" s="516" t="str">
        <f t="array" ref="E514">XLOOKUP(LCARS_Off[AbilityID],RawOfficer[AbilityID],RawOfficer[Tag_PvPinSpace])</f>
        <v>➖</v>
      </c>
      <c r="F514" s="516" t="str">
        <f t="array" ref="F514">XLOOKUP(LCARS_Off[AbilityID],RawOfficer[AbilityID],RawOfficer[Tag_PvPStation])</f>
        <v>➖</v>
      </c>
      <c r="G514" s="516" t="str">
        <f t="array" ref="G514">XLOOKUP(LCARS_Off[AbilityID],RawOfficer[AbilityID],RawOfficer[Tag_NonArmadaHostiles])</f>
        <v>✅</v>
      </c>
      <c r="H514" s="516" t="str">
        <f t="array" ref="H514">XLOOKUP(LCARS_Off[AbilityID],RawOfficer[AbilityID],RawOfficer[Tag_WaveDefense])</f>
        <v>✅</v>
      </c>
      <c r="I514" s="516" t="str">
        <f t="array" ref="I514">XLOOKUP(LCARS_Off[AbilityID],RawOfficer[AbilityID],RawOfficer[Tag_QTrial])</f>
        <v>✅</v>
      </c>
      <c r="J514" s="516" t="str">
        <f t="array" ref="J514">XLOOKUP(LCARS_Off[AbilityID],RawOfficer[AbilityID],RawOfficer[Tag_MissionBosses])</f>
        <v>➖</v>
      </c>
      <c r="K514" s="516" t="str">
        <f t="array" ref="K514">XLOOKUP(LCARS_Off[AbilityID],RawOfficer[AbilityID],RawOfficer[Tag_GroupArmadas])</f>
        <v>➖</v>
      </c>
      <c r="L514" s="516" t="str">
        <f t="array" ref="L514">XLOOKUP(LCARS_Off[AbilityID],RawOfficer[AbilityID],RawOfficer[Tag_SoloArmadas])</f>
        <v>➖</v>
      </c>
      <c r="M514" s="516" t="str">
        <f t="array" ref="M514">XLOOKUP(LCARS_Off[AbilityID],RawOfficer[AbilityID],RawOfficer[Tag_InvadingEntities])</f>
        <v>➖</v>
      </c>
      <c r="N514" s="516" t="str">
        <f t="array" ref="N514">XLOOKUP(LCARS_Off[AbilityID],RawOfficer[AbilityID],RawOfficer[Tag_Assaults])</f>
        <v>➖</v>
      </c>
      <c r="O514" s="516" t="str">
        <f t="array" ref="O514">XLOOKUP(LCARS_Off[AbilityID],RawOfficer[AbilityID],RawOfficer[Tag_OutpostArmadas])</f>
        <v>➖</v>
      </c>
      <c r="P514" s="516" t="str">
        <f t="array" ref="P514">XLOOKUP(LCARS_Off[AbilityID],RawOfficer[AbilityID],RawOfficer[Tag_OutpostRetaliators])</f>
        <v>➖</v>
      </c>
      <c r="Q514" s="517" t="str">
        <f t="array" ref="Q514">XLOOKUP(LCARS_Off[AbilityID],RawOfficer[AbilityID],RawOfficer[Conditional_Reason])</f>
        <v/>
      </c>
      <c r="R514" s="518" t="str">
        <f t="array" ref="R514">XLOOKUP(LCARS_Off[AbilityID],RawOfficer[AbilityID],RawOfficer[Tag_Loot])</f>
        <v>➖</v>
      </c>
      <c r="S514" s="516" t="str">
        <f t="array" ref="S514">XLOOKUP(LCARS_Off[AbilityID],RawOfficer[AbilityID],RawOfficer[Tag_Utility])</f>
        <v>➖</v>
      </c>
      <c r="T514" s="429" t="str">
        <f t="array" ref="T514">XLOOKUP(LCARS_Off[AbilityID],RawOfficer[AbilityID],RawOfficer[OfficerSynergy])</f>
        <v>VOYAGER 30TH ANNIVERSARY</v>
      </c>
      <c r="U514" s="519" t="str">
        <f t="array" ref="U514">XLOOKUP(LCARS_Off[AbilityID],RawOfficer[AbilityID],RawOfficer[AbilityModifier])</f>
        <v>CritDamage</v>
      </c>
      <c r="V514" s="519" t="str">
        <f t="array" ref="V514">XLOOKUP(LCARS_Off[AbilityID],RawOfficer[AbilityID],RawOfficer[AbilityAttributes])</f>
        <v>num_rounds=5</v>
      </c>
      <c r="W514" s="520" t="str">
        <f t="array" ref="W514">XLOOKUP(LCARS_Off[AbilityID],RawOfficer[AbilityID],RawOfficer[AbilityConditions])</f>
        <v>EnemyHostile, TargetNotArmada</v>
      </c>
      <c r="X514" s="519" t="str">
        <f t="array" ref="X514">XLOOKUP(LCARS_Off[AbilityID],RawOfficer[AbilityID],RawOfficer[AbilityTrigger])</f>
        <v>CombatStart</v>
      </c>
      <c r="Y514" s="519" t="str">
        <f t="array" ref="Y514">XLOOKUP(LCARS_Off[AbilityID],RawOfficer[AbilityID],RawOfficer[AbilityTarget])</f>
        <v>SelfShip</v>
      </c>
      <c r="Z514" s="519" t="str">
        <f t="array" ref="Z514">XLOOKUP(LCARS_Off[AbilityID],RawOfficer[AbilityID],RawOfficer[AbilityOperation])</f>
        <v>Add</v>
      </c>
      <c r="AA514" s="521" t="str">
        <f t="array" ref="AA514">XLOOKUP(LCARS_Off[AbilityID],RawOfficer[AbilityID],RawOfficer[AbilityDescription])</f>
        <v>At the start of combat increases Critical Hit Damage by X (X at rank X) for 5 rounds when fighting hostiles.</v>
      </c>
      <c r="AB514" s="429" t="b">
        <v>0</v>
      </c>
      <c r="AC514" s="522" t="str">
        <f t="array" ref="AC514">XLOOKUP(LCARS_Off[AbilityID],RawOfficer[AbilityID],RawOfficer[AbilityDescriptionShort])</f>
        <v>Increases Critical Hit Damage by X for 5 rounds when fighting hostiles.</v>
      </c>
      <c r="AD514" s="523"/>
      <c r="AE514" s="524"/>
      <c r="AF514" s="524"/>
      <c r="AG514" s="525" t="str">
        <f t="array" ref="AG514">XLOOKUP(LCARS_Off[AbilityID],RawOfficer[AbilityID],RawOfficer[AbilityChances])</f>
        <v>1.0, 1.0, 1.0, 1.0, 1.0</v>
      </c>
      <c r="AH514" s="525" t="str">
        <f t="array" ref="AH514">XLOOKUP(LCARS_Off[AbilityID],RawOfficer[AbilityID],RawOfficer[AbilityValues])</f>
        <v>0.3, 0.45, 0.65, 0.9, 1.2</v>
      </c>
      <c r="AI514" s="428" t="b">
        <f t="array" ref="AI514">XLOOKUP(LCARS_Off[AbilityID],RawOfficer[AbilityID],RawOfficer[AbilityHasChance])</f>
        <v>0</v>
      </c>
      <c r="AJ514" s="428" t="b">
        <f t="array" ref="AJ514">XLOOKUP(LCARS_Off[AbilityID],RawOfficer[AbilityID],RawOfficer[AbilityShowPercentage])</f>
        <v>1</v>
      </c>
      <c r="AK514" s="429">
        <f t="array" ref="AK514">XLOOKUP(LCARS_Off[AbilityID],RawOfficer[AbilityID],RawOfficer[OfficerArt])</f>
        <v>301</v>
      </c>
      <c r="AL514" s="430">
        <v>4.145846912E9</v>
      </c>
      <c r="AM514" s="430">
        <f t="array" ref="AM514">XLOOKUP(LCARS_Off[AbilityID],RawOfficer[AbilityID],RawOfficer[Default Order])</f>
        <v>511</v>
      </c>
    </row>
    <row r="515">
      <c r="A515" s="429" t="str">
        <f t="array" ref="A515">LEFT(XLOOKUP(LCARS_Off[AbilityID],RawOfficer[AbilityID],RawOfficer[OfficerRarity]), 1)</f>
        <v>E</v>
      </c>
      <c r="B515" s="429"/>
      <c r="C515" s="514" t="str">
        <f t="array" ref="C515">HYPERLINK("https://stfc.space/officers/" &amp; XLOOKUP(LCARS_Off[AbilityID],RawOfficer[AbilityID],RawOfficer[OfficerId]), XLOOKUP(LCARS_Off[AbilityID],RawOfficer[AbilityID],RawOfficer[OfficerName]))</f>
        <v>S31 GEORGIOU</v>
      </c>
      <c r="D515" s="515" t="str">
        <f t="array" ref="D515">XLOOKUP(LCARS_Off[AbilityID],RawOfficer[AbilityID],RawOfficer[AbilityType])</f>
        <v>OA</v>
      </c>
      <c r="E515" s="516" t="str">
        <f t="array" ref="E515">XLOOKUP(LCARS_Off[AbilityID],RawOfficer[AbilityID],RawOfficer[Tag_PvPinSpace])</f>
        <v>➖</v>
      </c>
      <c r="F515" s="516" t="str">
        <f t="array" ref="F515">XLOOKUP(LCARS_Off[AbilityID],RawOfficer[AbilityID],RawOfficer[Tag_PvPStation])</f>
        <v>➖</v>
      </c>
      <c r="G515" s="516" t="str">
        <f t="array" ref="G515">XLOOKUP(LCARS_Off[AbilityID],RawOfficer[AbilityID],RawOfficer[Tag_NonArmadaHostiles])</f>
        <v>✅</v>
      </c>
      <c r="H515" s="516" t="str">
        <f t="array" ref="H515">XLOOKUP(LCARS_Off[AbilityID],RawOfficer[AbilityID],RawOfficer[Tag_WaveDefense])</f>
        <v>✅</v>
      </c>
      <c r="I515" s="516" t="str">
        <f t="array" ref="I515">XLOOKUP(LCARS_Off[AbilityID],RawOfficer[AbilityID],RawOfficer[Tag_QTrial])</f>
        <v>✅</v>
      </c>
      <c r="J515" s="516" t="str">
        <f t="array" ref="J515">XLOOKUP(LCARS_Off[AbilityID],RawOfficer[AbilityID],RawOfficer[Tag_MissionBosses])</f>
        <v>➖</v>
      </c>
      <c r="K515" s="516" t="str">
        <f t="array" ref="K515">XLOOKUP(LCARS_Off[AbilityID],RawOfficer[AbilityID],RawOfficer[Tag_GroupArmadas])</f>
        <v>➖</v>
      </c>
      <c r="L515" s="516" t="str">
        <f t="array" ref="L515">XLOOKUP(LCARS_Off[AbilityID],RawOfficer[AbilityID],RawOfficer[Tag_SoloArmadas])</f>
        <v>➖</v>
      </c>
      <c r="M515" s="516" t="str">
        <f t="array" ref="M515">XLOOKUP(LCARS_Off[AbilityID],RawOfficer[AbilityID],RawOfficer[Tag_InvadingEntities])</f>
        <v>➖</v>
      </c>
      <c r="N515" s="516" t="str">
        <f t="array" ref="N515">XLOOKUP(LCARS_Off[AbilityID],RawOfficer[AbilityID],RawOfficer[Tag_Assaults])</f>
        <v>➖</v>
      </c>
      <c r="O515" s="516" t="str">
        <f t="array" ref="O515">XLOOKUP(LCARS_Off[AbilityID],RawOfficer[AbilityID],RawOfficer[Tag_OutpostArmadas])</f>
        <v>➖</v>
      </c>
      <c r="P515" s="516" t="str">
        <f t="array" ref="P515">XLOOKUP(LCARS_Off[AbilityID],RawOfficer[AbilityID],RawOfficer[Tag_OutpostRetaliators])</f>
        <v>➖</v>
      </c>
      <c r="Q515" s="517" t="str">
        <f t="array" ref="Q515">XLOOKUP(LCARS_Off[AbilityID],RawOfficer[AbilityID],RawOfficer[Conditional_Reason])</f>
        <v/>
      </c>
      <c r="R515" s="518" t="str">
        <f t="array" ref="R515">XLOOKUP(LCARS_Off[AbilityID],RawOfficer[AbilityID],RawOfficer[Tag_Loot])</f>
        <v>➖</v>
      </c>
      <c r="S515" s="516" t="str">
        <f t="array" ref="S515">XLOOKUP(LCARS_Off[AbilityID],RawOfficer[AbilityID],RawOfficer[Tag_Utility])</f>
        <v>➖</v>
      </c>
      <c r="T515" s="429" t="str">
        <f t="array" ref="T515">XLOOKUP(LCARS_Off[AbilityID],RawOfficer[AbilityID],RawOfficer[OfficerSynergy])</f>
        <v>STRANGE NEW WORLDS</v>
      </c>
      <c r="U515" s="519" t="str">
        <f t="array" ref="U515">XLOOKUP(LCARS_Off[AbilityID],RawOfficer[AbilityID],RawOfficer[AbilityModifier])</f>
        <v>ApexShred</v>
      </c>
      <c r="V515" s="519" t="str">
        <f t="array" ref="V515">XLOOKUP(LCARS_Off[AbilityID],RawOfficer[AbilityID],RawOfficer[AbilityAttributes])</f>
        <v/>
      </c>
      <c r="W515" s="520" t="str">
        <f t="array" ref="W515">XLOOKUP(LCARS_Off[AbilityID],RawOfficer[AbilityID],RawOfficer[AbilityConditions])</f>
        <v>EnemyHostile, TargetNotArmada</v>
      </c>
      <c r="X515" s="519" t="str">
        <f t="array" ref="X515">XLOOKUP(LCARS_Off[AbilityID],RawOfficer[AbilityID],RawOfficer[AbilityTrigger])</f>
        <v>CombatStart</v>
      </c>
      <c r="Y515" s="519" t="str">
        <f t="array" ref="Y515">XLOOKUP(LCARS_Off[AbilityID],RawOfficer[AbilityID],RawOfficer[AbilityTarget])</f>
        <v>EnemyShip</v>
      </c>
      <c r="Z515" s="519" t="str">
        <f t="array" ref="Z515">XLOOKUP(LCARS_Off[AbilityID],RawOfficer[AbilityID],RawOfficer[AbilityOperation])</f>
        <v>Add</v>
      </c>
      <c r="AA515" s="521" t="str">
        <f t="array" ref="AA515">XLOOKUP(LCARS_Off[AbilityID],RawOfficer[AbilityID],RawOfficer[AbilityDescription])</f>
        <v>Increases Apex Shred  against non-Armada hostiles by X (X at rank X). -- Apex Barrier remaining after Apex Shred is equal to: -- Apex Barrier / (100% + Apex Shred) -- 100% Apex Shred reduces Apex Barrier by 50%.</v>
      </c>
      <c r="AB515" s="429" t="b">
        <v>0</v>
      </c>
      <c r="AC515" s="522" t="str">
        <f t="array" ref="AC515">XLOOKUP(LCARS_Off[AbilityID],RawOfficer[AbilityID],RawOfficer[AbilityDescriptionShort])</f>
        <v>Increases Apex Shred against non-Armada hostiles by X.</v>
      </c>
      <c r="AD515" s="523"/>
      <c r="AE515" s="524"/>
      <c r="AF515" s="524"/>
      <c r="AG515" s="525" t="str">
        <f t="array" ref="AG515">XLOOKUP(LCARS_Off[AbilityID],RawOfficer[AbilityID],RawOfficer[AbilityChances])</f>
        <v>1.0, 1.0, 1.0, 1.0, 1.0</v>
      </c>
      <c r="AH515" s="525" t="str">
        <f t="array" ref="AH515">XLOOKUP(LCARS_Off[AbilityID],RawOfficer[AbilityID],RawOfficer[AbilityValues])</f>
        <v>0.5, 0.55, 0.7, 1.0, 1.5</v>
      </c>
      <c r="AI515" s="428" t="b">
        <f t="array" ref="AI515">XLOOKUP(LCARS_Off[AbilityID],RawOfficer[AbilityID],RawOfficer[AbilityHasChance])</f>
        <v>0</v>
      </c>
      <c r="AJ515" s="428" t="b">
        <f t="array" ref="AJ515">XLOOKUP(LCARS_Off[AbilityID],RawOfficer[AbilityID],RawOfficer[AbilityShowPercentage])</f>
        <v>1</v>
      </c>
      <c r="AK515" s="429">
        <f t="array" ref="AK515">XLOOKUP(LCARS_Off[AbilityID],RawOfficer[AbilityID],RawOfficer[OfficerArt])</f>
        <v>302</v>
      </c>
      <c r="AL515" s="430">
        <v>3.22892959E8</v>
      </c>
      <c r="AM515" s="430">
        <f t="array" ref="AM515">XLOOKUP(LCARS_Off[AbilityID],RawOfficer[AbilityID],RawOfficer[Default Order])</f>
        <v>512</v>
      </c>
    </row>
    <row r="516">
      <c r="A516" s="429" t="str">
        <f t="array" ref="A516">LEFT(XLOOKUP(LCARS_Off[AbilityID],RawOfficer[AbilityID],RawOfficer[OfficerRarity]), 1)</f>
        <v>E</v>
      </c>
      <c r="B516" s="429"/>
      <c r="C516" s="514" t="str">
        <f t="array" ref="C516">HYPERLINK("https://stfc.space/officers/" &amp; XLOOKUP(LCARS_Off[AbilityID],RawOfficer[AbilityID],RawOfficer[OfficerId]), XLOOKUP(LCARS_Off[AbilityID],RawOfficer[AbilityID],RawOfficer[OfficerName]))</f>
        <v>S31 GEORGIOU</v>
      </c>
      <c r="D516" s="515" t="str">
        <f t="array" ref="D516">XLOOKUP(LCARS_Off[AbilityID],RawOfficer[AbilityID],RawOfficer[AbilityType])</f>
        <v>BDA</v>
      </c>
      <c r="E516" s="516" t="str">
        <f t="array" ref="E516">XLOOKUP(LCARS_Off[AbilityID],RawOfficer[AbilityID],RawOfficer[Tag_PvPinSpace])</f>
        <v>✅</v>
      </c>
      <c r="F516" s="516" t="str">
        <f t="array" ref="F516">XLOOKUP(LCARS_Off[AbilityID],RawOfficer[AbilityID],RawOfficer[Tag_PvPStation])</f>
        <v>✅</v>
      </c>
      <c r="G516" s="516" t="str">
        <f t="array" ref="G516">XLOOKUP(LCARS_Off[AbilityID],RawOfficer[AbilityID],RawOfficer[Tag_NonArmadaHostiles])</f>
        <v>➖</v>
      </c>
      <c r="H516" s="516" t="str">
        <f t="array" ref="H516">XLOOKUP(LCARS_Off[AbilityID],RawOfficer[AbilityID],RawOfficer[Tag_WaveDefense])</f>
        <v>➖</v>
      </c>
      <c r="I516" s="516" t="str">
        <f t="array" ref="I516">XLOOKUP(LCARS_Off[AbilityID],RawOfficer[AbilityID],RawOfficer[Tag_QTrial])</f>
        <v>➖</v>
      </c>
      <c r="J516" s="516" t="str">
        <f t="array" ref="J516">XLOOKUP(LCARS_Off[AbilityID],RawOfficer[AbilityID],RawOfficer[Tag_MissionBosses])</f>
        <v>➖</v>
      </c>
      <c r="K516" s="516" t="str">
        <f t="array" ref="K516">XLOOKUP(LCARS_Off[AbilityID],RawOfficer[AbilityID],RawOfficer[Tag_GroupArmadas])</f>
        <v>➖</v>
      </c>
      <c r="L516" s="516" t="str">
        <f t="array" ref="L516">XLOOKUP(LCARS_Off[AbilityID],RawOfficer[AbilityID],RawOfficer[Tag_SoloArmadas])</f>
        <v>➖</v>
      </c>
      <c r="M516" s="516" t="str">
        <f t="array" ref="M516">XLOOKUP(LCARS_Off[AbilityID],RawOfficer[AbilityID],RawOfficer[Tag_InvadingEntities])</f>
        <v>➖</v>
      </c>
      <c r="N516" s="516" t="str">
        <f t="array" ref="N516">XLOOKUP(LCARS_Off[AbilityID],RawOfficer[AbilityID],RawOfficer[Tag_Assaults])</f>
        <v>➖</v>
      </c>
      <c r="O516" s="516" t="str">
        <f t="array" ref="O516">XLOOKUP(LCARS_Off[AbilityID],RawOfficer[AbilityID],RawOfficer[Tag_OutpostArmadas])</f>
        <v>➖</v>
      </c>
      <c r="P516" s="516" t="str">
        <f t="array" ref="P516">XLOOKUP(LCARS_Off[AbilityID],RawOfficer[AbilityID],RawOfficer[Tag_OutpostRetaliators])</f>
        <v>➖</v>
      </c>
      <c r="Q516" s="517" t="str">
        <f t="array" ref="Q516">XLOOKUP(LCARS_Off[AbilityID],RawOfficer[AbilityID],RawOfficer[Conditional_Reason])</f>
        <v/>
      </c>
      <c r="R516" s="518" t="str">
        <f t="array" ref="R516">XLOOKUP(LCARS_Off[AbilityID],RawOfficer[AbilityID],RawOfficer[Tag_Loot])</f>
        <v>➖</v>
      </c>
      <c r="S516" s="516" t="str">
        <f t="array" ref="S516">XLOOKUP(LCARS_Off[AbilityID],RawOfficer[AbilityID],RawOfficer[Tag_Utility])</f>
        <v>➖</v>
      </c>
      <c r="T516" s="429" t="str">
        <f t="array" ref="T516">XLOOKUP(LCARS_Off[AbilityID],RawOfficer[AbilityID],RawOfficer[OfficerSynergy])</f>
        <v>STRANGE NEW WORLDS</v>
      </c>
      <c r="U516" s="519" t="str">
        <f t="array" ref="U516">XLOOKUP(LCARS_Off[AbilityID],RawOfficer[AbilityID],RawOfficer[AbilityModifier])</f>
        <v>ApexShred</v>
      </c>
      <c r="V516" s="519" t="str">
        <f t="array" ref="V516">XLOOKUP(LCARS_Off[AbilityID],RawOfficer[AbilityID],RawOfficer[AbilityAttributes])</f>
        <v/>
      </c>
      <c r="W516" s="520" t="str">
        <f t="array" ref="W516">XLOOKUP(LCARS_Off[AbilityID],RawOfficer[AbilityID],RawOfficer[AbilityConditions])</f>
        <v>EnemyPlayer</v>
      </c>
      <c r="X516" s="519" t="str">
        <f t="array" ref="X516">XLOOKUP(LCARS_Off[AbilityID],RawOfficer[AbilityID],RawOfficer[AbilityTrigger])</f>
        <v>CombatStart</v>
      </c>
      <c r="Y516" s="519" t="str">
        <f t="array" ref="Y516">XLOOKUP(LCARS_Off[AbilityID],RawOfficer[AbilityID],RawOfficer[AbilityTarget])</f>
        <v>EnemyShip</v>
      </c>
      <c r="Z516" s="519" t="str">
        <f t="array" ref="Z516">XLOOKUP(LCARS_Off[AbilityID],RawOfficer[AbilityID],RawOfficer[AbilityOperation])</f>
        <v>Add</v>
      </c>
      <c r="AA516" s="521" t="str">
        <f t="array" ref="AA516">XLOOKUP(LCARS_Off[AbilityID],RawOfficer[AbilityID],RawOfficer[AbilityDescription])</f>
        <v>Increases Apex Shred against players by X (X at rank X). -- Apex Barrier remaining after Apex Shred is equal to: -- Apex Barrier / (100% + Apex Shred) -- 100% Apex Shred reduces Apex Barrier by 50%.</v>
      </c>
      <c r="AB516" s="429" t="b">
        <v>0</v>
      </c>
      <c r="AC516" s="522" t="str">
        <f t="array" ref="AC516">XLOOKUP(LCARS_Off[AbilityID],RawOfficer[AbilityID],RawOfficer[AbilityDescriptionShort])</f>
        <v>Increase Apex Shred against players by X.</v>
      </c>
      <c r="AD516" s="523"/>
      <c r="AE516" s="524"/>
      <c r="AF516" s="524"/>
      <c r="AG516" s="525" t="str">
        <f t="array" ref="AG516">XLOOKUP(LCARS_Off[AbilityID],RawOfficer[AbilityID],RawOfficer[AbilityChances])</f>
        <v>1.0, 1.0, 1.0, 1.0, 1.0</v>
      </c>
      <c r="AH516" s="525" t="str">
        <f t="array" ref="AH516">XLOOKUP(LCARS_Off[AbilityID],RawOfficer[AbilityID],RawOfficer[AbilityValues])</f>
        <v>0.25, 0.35, 0.5, 0.7, 1.0</v>
      </c>
      <c r="AI516" s="428" t="b">
        <f t="array" ref="AI516">XLOOKUP(LCARS_Off[AbilityID],RawOfficer[AbilityID],RawOfficer[AbilityHasChance])</f>
        <v>0</v>
      </c>
      <c r="AJ516" s="428" t="b">
        <f t="array" ref="AJ516">XLOOKUP(LCARS_Off[AbilityID],RawOfficer[AbilityID],RawOfficer[AbilityShowPercentage])</f>
        <v>1</v>
      </c>
      <c r="AK516" s="429">
        <f t="array" ref="AK516">XLOOKUP(LCARS_Off[AbilityID],RawOfficer[AbilityID],RawOfficer[OfficerArt])</f>
        <v>302</v>
      </c>
      <c r="AL516" s="430">
        <v>1.924653048E9</v>
      </c>
      <c r="AM516" s="430">
        <f t="array" ref="AM516">XLOOKUP(LCARS_Off[AbilityID],RawOfficer[AbilityID],RawOfficer[Default Order])</f>
        <v>513</v>
      </c>
    </row>
    <row r="517">
      <c r="A517" s="429" t="str">
        <f t="array" ref="A517">LEFT(XLOOKUP(LCARS_Off[AbilityID],RawOfficer[AbilityID],RawOfficer[OfficerRarity]), 1)</f>
        <v>R</v>
      </c>
      <c r="B517" s="429"/>
      <c r="C517" s="514" t="str">
        <f t="array" ref="C517">HYPERLINK("https://stfc.space/officers/" &amp; XLOOKUP(LCARS_Off[AbilityID],RawOfficer[AbilityID],RawOfficer[OfficerId]), XLOOKUP(LCARS_Off[AbilityID],RawOfficer[AbilityID],RawOfficer[OfficerName]))</f>
        <v>RACHEL GARRETT</v>
      </c>
      <c r="D517" s="515" t="str">
        <f t="array" ref="D517">XLOOKUP(LCARS_Off[AbilityID],RawOfficer[AbilityID],RawOfficer[AbilityType])</f>
        <v>OA</v>
      </c>
      <c r="E517" s="516" t="str">
        <f t="array" ref="E517">XLOOKUP(LCARS_Off[AbilityID],RawOfficer[AbilityID],RawOfficer[Tag_PvPinSpace])</f>
        <v>➖</v>
      </c>
      <c r="F517" s="516" t="str">
        <f t="array" ref="F517">XLOOKUP(LCARS_Off[AbilityID],RawOfficer[AbilityID],RawOfficer[Tag_PvPStation])</f>
        <v>➖</v>
      </c>
      <c r="G517" s="516" t="str">
        <f t="array" ref="G517">XLOOKUP(LCARS_Off[AbilityID],RawOfficer[AbilityID],RawOfficer[Tag_NonArmadaHostiles])</f>
        <v>✅</v>
      </c>
      <c r="H517" s="516" t="str">
        <f t="array" ref="H517">XLOOKUP(LCARS_Off[AbilityID],RawOfficer[AbilityID],RawOfficer[Tag_WaveDefense])</f>
        <v>➖</v>
      </c>
      <c r="I517" s="516" t="str">
        <f t="array" ref="I517">XLOOKUP(LCARS_Off[AbilityID],RawOfficer[AbilityID],RawOfficer[Tag_QTrial])</f>
        <v>➖</v>
      </c>
      <c r="J517" s="516" t="str">
        <f t="array" ref="J517">XLOOKUP(LCARS_Off[AbilityID],RawOfficer[AbilityID],RawOfficer[Tag_MissionBosses])</f>
        <v>➖</v>
      </c>
      <c r="K517" s="516" t="str">
        <f t="array" ref="K517">XLOOKUP(LCARS_Off[AbilityID],RawOfficer[AbilityID],RawOfficer[Tag_GroupArmadas])</f>
        <v>➖</v>
      </c>
      <c r="L517" s="516" t="str">
        <f t="array" ref="L517">XLOOKUP(LCARS_Off[AbilityID],RawOfficer[AbilityID],RawOfficer[Tag_SoloArmadas])</f>
        <v>➖</v>
      </c>
      <c r="M517" s="516" t="str">
        <f t="array" ref="M517">XLOOKUP(LCARS_Off[AbilityID],RawOfficer[AbilityID],RawOfficer[Tag_InvadingEntities])</f>
        <v>➖</v>
      </c>
      <c r="N517" s="516" t="str">
        <f t="array" ref="N517">XLOOKUP(LCARS_Off[AbilityID],RawOfficer[AbilityID],RawOfficer[Tag_Assaults])</f>
        <v>➖</v>
      </c>
      <c r="O517" s="516" t="str">
        <f t="array" ref="O517">XLOOKUP(LCARS_Off[AbilityID],RawOfficer[AbilityID],RawOfficer[Tag_OutpostArmadas])</f>
        <v>➖</v>
      </c>
      <c r="P517" s="516" t="str">
        <f t="array" ref="P517">XLOOKUP(LCARS_Off[AbilityID],RawOfficer[AbilityID],RawOfficer[Tag_OutpostRetaliators])</f>
        <v>➖</v>
      </c>
      <c r="Q517" s="517" t="str">
        <f t="array" ref="Q517">XLOOKUP(LCARS_Off[AbilityID],RawOfficer[AbilityID],RawOfficer[Conditional_Reason])</f>
        <v/>
      </c>
      <c r="R517" s="518" t="str">
        <f t="array" ref="R517">XLOOKUP(LCARS_Off[AbilityID],RawOfficer[AbilityID],RawOfficer[Tag_Loot])</f>
        <v>✅</v>
      </c>
      <c r="S517" s="516" t="str">
        <f t="array" ref="S517">XLOOKUP(LCARS_Off[AbilityID],RawOfficer[AbilityID],RawOfficer[Tag_Utility])</f>
        <v>➖</v>
      </c>
      <c r="T517" s="429" t="str">
        <f t="array" ref="T517">XLOOKUP(LCARS_Off[AbilityID],RawOfficer[AbilityID],RawOfficer[OfficerSynergy])</f>
        <v>ENTERPRISE-E</v>
      </c>
      <c r="U517" s="519" t="str">
        <f t="array" ref="U517">XLOOKUP(LCARS_Off[AbilityID],RawOfficer[AbilityID],RawOfficer[AbilityModifier])</f>
        <v>HostileLoot</v>
      </c>
      <c r="V517" s="519" t="str">
        <f t="array" ref="V517">XLOOKUP(LCARS_Off[AbilityID],RawOfficer[AbilityID],RawOfficer[AbilityAttributes])</f>
        <v/>
      </c>
      <c r="W517" s="520" t="str">
        <f t="array" ref="W517">XLOOKUP(LCARS_Off[AbilityID],RawOfficer[AbilityID],RawOfficer[AbilityConditions])</f>
        <v/>
      </c>
      <c r="X517" s="519" t="str">
        <f t="array" ref="X517">XLOOKUP(LCARS_Off[AbilityID],RawOfficer[AbilityID],RawOfficer[AbilityTrigger])</f>
        <v>ShipLaunched</v>
      </c>
      <c r="Y517" s="519" t="str">
        <f t="array" ref="Y517">XLOOKUP(LCARS_Off[AbilityID],RawOfficer[AbilityID],RawOfficer[AbilityTarget])</f>
        <v>SelfShip</v>
      </c>
      <c r="Z517" s="519" t="str">
        <f t="array" ref="Z517">XLOOKUP(LCARS_Off[AbilityID],RawOfficer[AbilityID],RawOfficer[AbilityOperation])</f>
        <v>MultiplyAdd</v>
      </c>
      <c r="AA517" s="521" t="str">
        <f t="array" ref="AA517">XLOOKUP(LCARS_Off[AbilityID],RawOfficer[AbilityID],RawOfficer[AbilityDescription])</f>
        <v>Increases base Loot gained from non-Armada hostiles by X (X at rank X).</v>
      </c>
      <c r="AB517" s="429" t="b">
        <v>0</v>
      </c>
      <c r="AC517" s="522" t="str">
        <f t="array" ref="AC517">XLOOKUP(LCARS_Off[AbilityID],RawOfficer[AbilityID],RawOfficer[AbilityDescriptionShort])</f>
        <v>Increases base Loot gained from non-Armada hostiles by X.</v>
      </c>
      <c r="AD517" s="523"/>
      <c r="AE517" s="524"/>
      <c r="AF517" s="524"/>
      <c r="AG517" s="525" t="str">
        <f t="array" ref="AG517">XLOOKUP(LCARS_Off[AbilityID],RawOfficer[AbilityID],RawOfficer[AbilityChances])</f>
        <v>1.0, 1.0, 1.0, 1.0, 1.0</v>
      </c>
      <c r="AH517" s="525" t="str">
        <f t="array" ref="AH517">XLOOKUP(LCARS_Off[AbilityID],RawOfficer[AbilityID],RawOfficer[AbilityValues])</f>
        <v>0.3, 0.5, 0.8, 1.2, 2.0</v>
      </c>
      <c r="AI517" s="428" t="b">
        <f t="array" ref="AI517">XLOOKUP(LCARS_Off[AbilityID],RawOfficer[AbilityID],RawOfficer[AbilityHasChance])</f>
        <v>0</v>
      </c>
      <c r="AJ517" s="428" t="b">
        <f t="array" ref="AJ517">XLOOKUP(LCARS_Off[AbilityID],RawOfficer[AbilityID],RawOfficer[AbilityShowPercentage])</f>
        <v>1</v>
      </c>
      <c r="AK517" s="429">
        <f t="array" ref="AK517">XLOOKUP(LCARS_Off[AbilityID],RawOfficer[AbilityID],RawOfficer[OfficerArt])</f>
        <v>303</v>
      </c>
      <c r="AL517" s="430">
        <v>1.386103827E9</v>
      </c>
      <c r="AM517" s="430">
        <f t="array" ref="AM517">XLOOKUP(LCARS_Off[AbilityID],RawOfficer[AbilityID],RawOfficer[Default Order])</f>
        <v>514</v>
      </c>
    </row>
    <row r="518">
      <c r="A518" s="429" t="str">
        <f t="array" ref="A518">LEFT(XLOOKUP(LCARS_Off[AbilityID],RawOfficer[AbilityID],RawOfficer[OfficerRarity]), 1)</f>
        <v>R</v>
      </c>
      <c r="B518" s="429"/>
      <c r="C518" s="514" t="str">
        <f t="array" ref="C518">HYPERLINK("https://stfc.space/officers/" &amp; XLOOKUP(LCARS_Off[AbilityID],RawOfficer[AbilityID],RawOfficer[OfficerId]), XLOOKUP(LCARS_Off[AbilityID],RawOfficer[AbilityID],RawOfficer[OfficerName]))</f>
        <v>RACHEL GARRETT</v>
      </c>
      <c r="D518" s="515" t="str">
        <f t="array" ref="D518">XLOOKUP(LCARS_Off[AbilityID],RawOfficer[AbilityID],RawOfficer[AbilityType])</f>
        <v>BDA</v>
      </c>
      <c r="E518" s="516" t="str">
        <f t="array" ref="E518">XLOOKUP(LCARS_Off[AbilityID],RawOfficer[AbilityID],RawOfficer[Tag_PvPinSpace])</f>
        <v>➖</v>
      </c>
      <c r="F518" s="516" t="str">
        <f t="array" ref="F518">XLOOKUP(LCARS_Off[AbilityID],RawOfficer[AbilityID],RawOfficer[Tag_PvPStation])</f>
        <v>➖</v>
      </c>
      <c r="G518" s="516" t="str">
        <f t="array" ref="G518">XLOOKUP(LCARS_Off[AbilityID],RawOfficer[AbilityID],RawOfficer[Tag_NonArmadaHostiles])</f>
        <v>✴️</v>
      </c>
      <c r="H518" s="516" t="str">
        <f t="array" ref="H518">XLOOKUP(LCARS_Off[AbilityID],RawOfficer[AbilityID],RawOfficer[Tag_WaveDefense])</f>
        <v>✴️</v>
      </c>
      <c r="I518" s="516" t="str">
        <f t="array" ref="I518">XLOOKUP(LCARS_Off[AbilityID],RawOfficer[AbilityID],RawOfficer[Tag_QTrial])</f>
        <v>✴️</v>
      </c>
      <c r="J518" s="516" t="str">
        <f t="array" ref="J518">XLOOKUP(LCARS_Off[AbilityID],RawOfficer[AbilityID],RawOfficer[Tag_MissionBosses])</f>
        <v>➖</v>
      </c>
      <c r="K518" s="516" t="str">
        <f t="array" ref="K518">XLOOKUP(LCARS_Off[AbilityID],RawOfficer[AbilityID],RawOfficer[Tag_GroupArmadas])</f>
        <v>➖</v>
      </c>
      <c r="L518" s="516" t="str">
        <f t="array" ref="L518">XLOOKUP(LCARS_Off[AbilityID],RawOfficer[AbilityID],RawOfficer[Tag_SoloArmadas])</f>
        <v>➖</v>
      </c>
      <c r="M518" s="516" t="str">
        <f t="array" ref="M518">XLOOKUP(LCARS_Off[AbilityID],RawOfficer[AbilityID],RawOfficer[Tag_InvadingEntities])</f>
        <v>➖</v>
      </c>
      <c r="N518" s="516" t="str">
        <f t="array" ref="N518">XLOOKUP(LCARS_Off[AbilityID],RawOfficer[AbilityID],RawOfficer[Tag_Assaults])</f>
        <v>➖</v>
      </c>
      <c r="O518" s="516" t="str">
        <f t="array" ref="O518">XLOOKUP(LCARS_Off[AbilityID],RawOfficer[AbilityID],RawOfficer[Tag_OutpostArmadas])</f>
        <v>➖</v>
      </c>
      <c r="P518" s="516" t="str">
        <f t="array" ref="P518">XLOOKUP(LCARS_Off[AbilityID],RawOfficer[AbilityID],RawOfficer[Tag_OutpostRetaliators])</f>
        <v>➖</v>
      </c>
      <c r="Q518" s="517" t="str">
        <f t="array" ref="Q518">XLOOKUP(LCARS_Off[AbilityID],RawOfficer[AbilityID],RawOfficer[Conditional_Reason])</f>
        <v>SelfOfficerTalNotOnBridge, EnemyBattleship</v>
      </c>
      <c r="R518" s="518" t="str">
        <f t="array" ref="R518">XLOOKUP(LCARS_Off[AbilityID],RawOfficer[AbilityID],RawOfficer[Tag_Loot])</f>
        <v>➖</v>
      </c>
      <c r="S518" s="516" t="str">
        <f t="array" ref="S518">XLOOKUP(LCARS_Off[AbilityID],RawOfficer[AbilityID],RawOfficer[Tag_Utility])</f>
        <v>➖</v>
      </c>
      <c r="T518" s="429" t="str">
        <f t="array" ref="T518">XLOOKUP(LCARS_Off[AbilityID],RawOfficer[AbilityID],RawOfficer[OfficerSynergy])</f>
        <v>ENTERPRISE-E</v>
      </c>
      <c r="U518" s="519" t="str">
        <f t="array" ref="U518">XLOOKUP(LCARS_Off[AbilityID],RawOfficer[AbilityID],RawOfficer[AbilityModifier])</f>
        <v>ApexBarrier</v>
      </c>
      <c r="V518" s="519" t="str">
        <f t="array" ref="V518">XLOOKUP(LCARS_Off[AbilityID],RawOfficer[AbilityID],RawOfficer[AbilityAttributes])</f>
        <v/>
      </c>
      <c r="W518" s="520" t="str">
        <f t="array" ref="W518">XLOOKUP(LCARS_Off[AbilityID],RawOfficer[AbilityID],RawOfficer[AbilityConditions])</f>
        <v>EnemyHostile, TargetNotArmada, SelfOfficerTalNotOnBridge, EnemyBattleship</v>
      </c>
      <c r="X518" s="519" t="str">
        <f t="array" ref="X518">XLOOKUP(LCARS_Off[AbilityID],RawOfficer[AbilityID],RawOfficer[AbilityTrigger])</f>
        <v>CombatStart</v>
      </c>
      <c r="Y518" s="519" t="str">
        <f t="array" ref="Y518">XLOOKUP(LCARS_Off[AbilityID],RawOfficer[AbilityID],RawOfficer[AbilityTarget])</f>
        <v>SelfShip</v>
      </c>
      <c r="Z518" s="519" t="str">
        <f t="array" ref="Z518">XLOOKUP(LCARS_Off[AbilityID],RawOfficer[AbilityID],RawOfficer[AbilityOperation])</f>
        <v>Add</v>
      </c>
      <c r="AA518" s="521" t="str">
        <f t="array" ref="AA518">XLOOKUP(LCARS_Off[AbilityID],RawOfficer[AbilityID],RawOfficer[AbilityDescription])</f>
        <v>Increases Apex Barrier against Battleship hostiles by X (X at rank X). -- This ability does not trigger when Tal is assigned to the bridge of your ship.</v>
      </c>
      <c r="AB518" s="429" t="b">
        <v>0</v>
      </c>
      <c r="AC518" s="522" t="str">
        <f t="array" ref="AC518">XLOOKUP(LCARS_Off[AbilityID],RawOfficer[AbilityID],RawOfficer[AbilityDescriptionShort])</f>
        <v>Increases Apex Barrier against Battleship hostiles by X.</v>
      </c>
      <c r="AD518" s="523"/>
      <c r="AE518" s="524"/>
      <c r="AF518" s="524"/>
      <c r="AG518" s="525" t="str">
        <f t="array" ref="AG518">XLOOKUP(LCARS_Off[AbilityID],RawOfficer[AbilityID],RawOfficer[AbilityChances])</f>
        <v>1.0, 1.0, 1.0, 1.0, 1.0</v>
      </c>
      <c r="AH518" s="525" t="str">
        <f t="array" ref="AH518">XLOOKUP(LCARS_Off[AbilityID],RawOfficer[AbilityID],RawOfficer[AbilityValues])</f>
        <v>1000.0, 1200.0, 1500.0, 2000.0, 3000.0</v>
      </c>
      <c r="AI518" s="428" t="b">
        <f t="array" ref="AI518">XLOOKUP(LCARS_Off[AbilityID],RawOfficer[AbilityID],RawOfficer[AbilityHasChance])</f>
        <v>0</v>
      </c>
      <c r="AJ518" s="428" t="b">
        <f t="array" ref="AJ518">XLOOKUP(LCARS_Off[AbilityID],RawOfficer[AbilityID],RawOfficer[AbilityShowPercentage])</f>
        <v>0</v>
      </c>
      <c r="AK518" s="429">
        <f t="array" ref="AK518">XLOOKUP(LCARS_Off[AbilityID],RawOfficer[AbilityID],RawOfficer[OfficerArt])</f>
        <v>303</v>
      </c>
      <c r="AL518" s="430">
        <v>1.46541033E8</v>
      </c>
      <c r="AM518" s="430">
        <f t="array" ref="AM518">XLOOKUP(LCARS_Off[AbilityID],RawOfficer[AbilityID],RawOfficer[Default Order])</f>
        <v>515</v>
      </c>
    </row>
    <row r="519">
      <c r="A519" s="429" t="str">
        <f t="array" ref="A519">LEFT(XLOOKUP(LCARS_Off[AbilityID],RawOfficer[AbilityID],RawOfficer[OfficerRarity]), 1)</f>
        <v>R</v>
      </c>
      <c r="B519" s="429"/>
      <c r="C519" s="514" t="str">
        <f t="array" ref="C519">HYPERLINK("https://stfc.space/officers/" &amp; XLOOKUP(LCARS_Off[AbilityID],RawOfficer[AbilityID],RawOfficer[OfficerId]), XLOOKUP(LCARS_Off[AbilityID],RawOfficer[AbilityID],RawOfficer[OfficerName]))</f>
        <v>ZEPH</v>
      </c>
      <c r="D519" s="515" t="str">
        <f t="array" ref="D519">XLOOKUP(LCARS_Off[AbilityID],RawOfficer[AbilityID],RawOfficer[AbilityType])</f>
        <v>OA</v>
      </c>
      <c r="E519" s="516" t="str">
        <f t="array" ref="E519">XLOOKUP(LCARS_Off[AbilityID],RawOfficer[AbilityID],RawOfficer[Tag_PvPinSpace])</f>
        <v>➖</v>
      </c>
      <c r="F519" s="516" t="str">
        <f t="array" ref="F519">XLOOKUP(LCARS_Off[AbilityID],RawOfficer[AbilityID],RawOfficer[Tag_PvPStation])</f>
        <v>➖</v>
      </c>
      <c r="G519" s="516" t="str">
        <f t="array" ref="G519">XLOOKUP(LCARS_Off[AbilityID],RawOfficer[AbilityID],RawOfficer[Tag_NonArmadaHostiles])</f>
        <v>✅</v>
      </c>
      <c r="H519" s="516" t="str">
        <f t="array" ref="H519">XLOOKUP(LCARS_Off[AbilityID],RawOfficer[AbilityID],RawOfficer[Tag_WaveDefense])</f>
        <v>✅</v>
      </c>
      <c r="I519" s="516" t="str">
        <f t="array" ref="I519">XLOOKUP(LCARS_Off[AbilityID],RawOfficer[AbilityID],RawOfficer[Tag_QTrial])</f>
        <v>✅</v>
      </c>
      <c r="J519" s="516" t="str">
        <f t="array" ref="J519">XLOOKUP(LCARS_Off[AbilityID],RawOfficer[AbilityID],RawOfficer[Tag_MissionBosses])</f>
        <v>➖</v>
      </c>
      <c r="K519" s="516" t="str">
        <f t="array" ref="K519">XLOOKUP(LCARS_Off[AbilityID],RawOfficer[AbilityID],RawOfficer[Tag_GroupArmadas])</f>
        <v>✅</v>
      </c>
      <c r="L519" s="516" t="str">
        <f t="array" ref="L519">XLOOKUP(LCARS_Off[AbilityID],RawOfficer[AbilityID],RawOfficer[Tag_SoloArmadas])</f>
        <v>✅</v>
      </c>
      <c r="M519" s="516" t="str">
        <f t="array" ref="M519">XLOOKUP(LCARS_Off[AbilityID],RawOfficer[AbilityID],RawOfficer[Tag_InvadingEntities])</f>
        <v>✅</v>
      </c>
      <c r="N519" s="516" t="str">
        <f t="array" ref="N519">XLOOKUP(LCARS_Off[AbilityID],RawOfficer[AbilityID],RawOfficer[Tag_Assaults])</f>
        <v>➖</v>
      </c>
      <c r="O519" s="516" t="str">
        <f t="array" ref="O519">XLOOKUP(LCARS_Off[AbilityID],RawOfficer[AbilityID],RawOfficer[Tag_OutpostArmadas])</f>
        <v>➖</v>
      </c>
      <c r="P519" s="516" t="str">
        <f t="array" ref="P519">XLOOKUP(LCARS_Off[AbilityID],RawOfficer[AbilityID],RawOfficer[Tag_OutpostRetaliators])</f>
        <v>➖</v>
      </c>
      <c r="Q519" s="517" t="str">
        <f t="array" ref="Q519">XLOOKUP(LCARS_Off[AbilityID],RawOfficer[AbilityID],RawOfficer[Conditional_Reason])</f>
        <v/>
      </c>
      <c r="R519" s="518" t="str">
        <f t="array" ref="R519">XLOOKUP(LCARS_Off[AbilityID],RawOfficer[AbilityID],RawOfficer[Tag_Loot])</f>
        <v>➖</v>
      </c>
      <c r="S519" s="516" t="str">
        <f t="array" ref="S519">XLOOKUP(LCARS_Off[AbilityID],RawOfficer[AbilityID],RawOfficer[Tag_Utility])</f>
        <v>➖</v>
      </c>
      <c r="T519" s="429" t="str">
        <f t="array" ref="T519">XLOOKUP(LCARS_Off[AbilityID],RawOfficer[AbilityID],RawOfficer[OfficerSynergy])</f>
        <v>SECTION 31</v>
      </c>
      <c r="U519" s="519" t="str">
        <f t="array" ref="U519">XLOOKUP(LCARS_Off[AbilityID],RawOfficer[AbilityID],RawOfficer[AbilityModifier])</f>
        <v>AddRandomState</v>
      </c>
      <c r="V519" s="519" t="str">
        <f t="array" ref="V519">XLOOKUP(LCARS_Off[AbilityID],RawOfficer[AbilityID],RawOfficer[AbilityAttributes])</f>
        <v>multi_state=[8, 4, 2], num_rounds=3</v>
      </c>
      <c r="W519" s="520" t="str">
        <f t="array" ref="W519">XLOOKUP(LCARS_Off[AbilityID],RawOfficer[AbilityID],RawOfficer[AbilityConditions])</f>
        <v>EnemyHostile</v>
      </c>
      <c r="X519" s="519" t="str">
        <f t="array" ref="X519">XLOOKUP(LCARS_Off[AbilityID],RawOfficer[AbilityID],RawOfficer[AbilityTrigger])</f>
        <v>RoundStart</v>
      </c>
      <c r="Y519" s="519" t="str">
        <f t="array" ref="Y519">XLOOKUP(LCARS_Off[AbilityID],RawOfficer[AbilityID],RawOfficer[AbilityTarget])</f>
        <v>EnemyShip</v>
      </c>
      <c r="Z519" s="519" t="str">
        <f t="array" ref="Z519">XLOOKUP(LCARS_Off[AbilityID],RawOfficer[AbilityID],RawOfficer[AbilityOperation])</f>
        <v>MultiplyAdd</v>
      </c>
      <c r="AA519" s="521" t="str">
        <f t="array" ref="AA519">XLOOKUP(LCARS_Off[AbilityID],RawOfficer[AbilityID],RawOfficer[AbilityDescription])</f>
        <v>On round start against hostiles, Zeph has a X chance to apply a random State to the enemy for 3 rounds. -- Random States: Morale, Burning, Hull Breach</v>
      </c>
      <c r="AB519" s="429" t="b">
        <v>0</v>
      </c>
      <c r="AC519" s="522" t="str">
        <f t="array" ref="AC519">XLOOKUP(LCARS_Off[AbilityID],RawOfficer[AbilityID],RawOfficer[AbilityDescriptionShort])</f>
        <v>On round start against hostiles, Zeph has a X chance to apply a random State to the enemy for 3 rounds.</v>
      </c>
      <c r="AD519" s="523"/>
      <c r="AE519" s="524"/>
      <c r="AF519" s="524"/>
      <c r="AG519" s="525" t="str">
        <f t="array" ref="AG519">XLOOKUP(LCARS_Off[AbilityID],RawOfficer[AbilityID],RawOfficer[AbilityChances])</f>
        <v>0.4, 0.45, 0.55, 0.75, 1.0</v>
      </c>
      <c r="AH519" s="525" t="str">
        <f t="array" ref="AH519">XLOOKUP(LCARS_Off[AbilityID],RawOfficer[AbilityID],RawOfficer[AbilityValues])</f>
        <v>1.0, 1.0, 1.0, 1.0, 1.0</v>
      </c>
      <c r="AI519" s="428" t="b">
        <f t="array" ref="AI519">XLOOKUP(LCARS_Off[AbilityID],RawOfficer[AbilityID],RawOfficer[AbilityHasChance])</f>
        <v>1</v>
      </c>
      <c r="AJ519" s="428" t="b">
        <f t="array" ref="AJ519">XLOOKUP(LCARS_Off[AbilityID],RawOfficer[AbilityID],RawOfficer[AbilityShowPercentage])</f>
        <v>1</v>
      </c>
      <c r="AK519" s="429">
        <f t="array" ref="AK519">XLOOKUP(LCARS_Off[AbilityID],RawOfficer[AbilityID],RawOfficer[OfficerArt])</f>
        <v>304</v>
      </c>
      <c r="AL519" s="430">
        <v>3.682632277E9</v>
      </c>
      <c r="AM519" s="430">
        <f t="array" ref="AM519">XLOOKUP(LCARS_Off[AbilityID],RawOfficer[AbilityID],RawOfficer[Default Order])</f>
        <v>516</v>
      </c>
    </row>
    <row r="520">
      <c r="A520" s="429" t="str">
        <f t="array" ref="A520">LEFT(XLOOKUP(LCARS_Off[AbilityID],RawOfficer[AbilityID],RawOfficer[OfficerRarity]), 1)</f>
        <v>R</v>
      </c>
      <c r="B520" s="429"/>
      <c r="C520" s="514" t="str">
        <f t="array" ref="C520">HYPERLINK("https://stfc.space/officers/" &amp; XLOOKUP(LCARS_Off[AbilityID],RawOfficer[AbilityID],RawOfficer[OfficerId]), XLOOKUP(LCARS_Off[AbilityID],RawOfficer[AbilityID],RawOfficer[OfficerName]))</f>
        <v>ZEPH</v>
      </c>
      <c r="D520" s="515" t="str">
        <f t="array" ref="D520">XLOOKUP(LCARS_Off[AbilityID],RawOfficer[AbilityID],RawOfficer[AbilityType])</f>
        <v>BDA</v>
      </c>
      <c r="E520" s="516" t="str">
        <f t="array" ref="E520">XLOOKUP(LCARS_Off[AbilityID],RawOfficer[AbilityID],RawOfficer[Tag_PvPinSpace])</f>
        <v>➖</v>
      </c>
      <c r="F520" s="516" t="str">
        <f t="array" ref="F520">XLOOKUP(LCARS_Off[AbilityID],RawOfficer[AbilityID],RawOfficer[Tag_PvPStation])</f>
        <v>➖</v>
      </c>
      <c r="G520" s="516" t="str">
        <f t="array" ref="G520">XLOOKUP(LCARS_Off[AbilityID],RawOfficer[AbilityID],RawOfficer[Tag_NonArmadaHostiles])</f>
        <v>✴️</v>
      </c>
      <c r="H520" s="516" t="str">
        <f t="array" ref="H520">XLOOKUP(LCARS_Off[AbilityID],RawOfficer[AbilityID],RawOfficer[Tag_WaveDefense])</f>
        <v>✴️</v>
      </c>
      <c r="I520" s="516" t="str">
        <f t="array" ref="I520">XLOOKUP(LCARS_Off[AbilityID],RawOfficer[AbilityID],RawOfficer[Tag_QTrial])</f>
        <v>✴️</v>
      </c>
      <c r="J520" s="516" t="str">
        <f t="array" ref="J520">XLOOKUP(LCARS_Off[AbilityID],RawOfficer[AbilityID],RawOfficer[Tag_MissionBosses])</f>
        <v>➖</v>
      </c>
      <c r="K520" s="516" t="str">
        <f t="array" ref="K520">XLOOKUP(LCARS_Off[AbilityID],RawOfficer[AbilityID],RawOfficer[Tag_GroupArmadas])</f>
        <v>➖</v>
      </c>
      <c r="L520" s="516" t="str">
        <f t="array" ref="L520">XLOOKUP(LCARS_Off[AbilityID],RawOfficer[AbilityID],RawOfficer[Tag_SoloArmadas])</f>
        <v>➖</v>
      </c>
      <c r="M520" s="516" t="str">
        <f t="array" ref="M520">XLOOKUP(LCARS_Off[AbilityID],RawOfficer[AbilityID],RawOfficer[Tag_InvadingEntities])</f>
        <v>➖</v>
      </c>
      <c r="N520" s="516" t="str">
        <f t="array" ref="N520">XLOOKUP(LCARS_Off[AbilityID],RawOfficer[AbilityID],RawOfficer[Tag_Assaults])</f>
        <v>➖</v>
      </c>
      <c r="O520" s="516" t="str">
        <f t="array" ref="O520">XLOOKUP(LCARS_Off[AbilityID],RawOfficer[AbilityID],RawOfficer[Tag_OutpostArmadas])</f>
        <v>➖</v>
      </c>
      <c r="P520" s="516" t="str">
        <f t="array" ref="P520">XLOOKUP(LCARS_Off[AbilityID],RawOfficer[AbilityID],RawOfficer[Tag_OutpostRetaliators])</f>
        <v>➖</v>
      </c>
      <c r="Q520" s="517" t="str">
        <f t="array" ref="Q520">XLOOKUP(LCARS_Off[AbilityID],RawOfficer[AbilityID],RawOfficer[Conditional_Reason])</f>
        <v>EnemyInterceptor, SelfOfficerTalNotOnBridge</v>
      </c>
      <c r="R520" s="518" t="str">
        <f t="array" ref="R520">XLOOKUP(LCARS_Off[AbilityID],RawOfficer[AbilityID],RawOfficer[Tag_Loot])</f>
        <v>➖</v>
      </c>
      <c r="S520" s="516" t="str">
        <f t="array" ref="S520">XLOOKUP(LCARS_Off[AbilityID],RawOfficer[AbilityID],RawOfficer[Tag_Utility])</f>
        <v>➖</v>
      </c>
      <c r="T520" s="429" t="str">
        <f t="array" ref="T520">XLOOKUP(LCARS_Off[AbilityID],RawOfficer[AbilityID],RawOfficer[OfficerSynergy])</f>
        <v>SECTION 31</v>
      </c>
      <c r="U520" s="519" t="str">
        <f t="array" ref="U520">XLOOKUP(LCARS_Off[AbilityID],RawOfficer[AbilityID],RawOfficer[AbilityModifier])</f>
        <v>ApexBarrier</v>
      </c>
      <c r="V520" s="519" t="str">
        <f t="array" ref="V520">XLOOKUP(LCARS_Off[AbilityID],RawOfficer[AbilityID],RawOfficer[AbilityAttributes])</f>
        <v/>
      </c>
      <c r="W520" s="520" t="str">
        <f t="array" ref="W520">XLOOKUP(LCARS_Off[AbilityID],RawOfficer[AbilityID],RawOfficer[AbilityConditions])</f>
        <v>EnemyHostile, TargetNotArmada, EnemyInterceptor, SelfOfficerTalNotOnBridge</v>
      </c>
      <c r="X520" s="519" t="str">
        <f t="array" ref="X520">XLOOKUP(LCARS_Off[AbilityID],RawOfficer[AbilityID],RawOfficer[AbilityTrigger])</f>
        <v>CombatStart</v>
      </c>
      <c r="Y520" s="519" t="str">
        <f t="array" ref="Y520">XLOOKUP(LCARS_Off[AbilityID],RawOfficer[AbilityID],RawOfficer[AbilityTarget])</f>
        <v>SelfShip</v>
      </c>
      <c r="Z520" s="519" t="str">
        <f t="array" ref="Z520">XLOOKUP(LCARS_Off[AbilityID],RawOfficer[AbilityID],RawOfficer[AbilityOperation])</f>
        <v>Add</v>
      </c>
      <c r="AA520" s="521" t="str">
        <f t="array" ref="AA520">XLOOKUP(LCARS_Off[AbilityID],RawOfficer[AbilityID],RawOfficer[AbilityDescription])</f>
        <v>Increases Apex Barrier against Interceptor hostiles by X (X at rank X). -- This ability does not trigger when Tal is assigned to the bridge of your ship.</v>
      </c>
      <c r="AB520" s="429" t="b">
        <v>0</v>
      </c>
      <c r="AC520" s="522" t="str">
        <f t="array" ref="AC520">XLOOKUP(LCARS_Off[AbilityID],RawOfficer[AbilityID],RawOfficer[AbilityDescriptionShort])</f>
        <v>Increases Apex Barrier against Interceptor hostiles by X.</v>
      </c>
      <c r="AD520" s="523"/>
      <c r="AE520" s="524"/>
      <c r="AF520" s="524"/>
      <c r="AG520" s="525" t="str">
        <f t="array" ref="AG520">XLOOKUP(LCARS_Off[AbilityID],RawOfficer[AbilityID],RawOfficer[AbilityChances])</f>
        <v>1.0, 1.0, 1.0, 1.0, 1.0</v>
      </c>
      <c r="AH520" s="525" t="str">
        <f t="array" ref="AH520">XLOOKUP(LCARS_Off[AbilityID],RawOfficer[AbilityID],RawOfficer[AbilityValues])</f>
        <v>1000.0, 1200.0, 1500.0, 2000.0, 3000.0</v>
      </c>
      <c r="AI520" s="428" t="b">
        <f t="array" ref="AI520">XLOOKUP(LCARS_Off[AbilityID],RawOfficer[AbilityID],RawOfficer[AbilityHasChance])</f>
        <v>0</v>
      </c>
      <c r="AJ520" s="428" t="b">
        <f t="array" ref="AJ520">XLOOKUP(LCARS_Off[AbilityID],RawOfficer[AbilityID],RawOfficer[AbilityShowPercentage])</f>
        <v>0</v>
      </c>
      <c r="AK520" s="429">
        <f t="array" ref="AK520">XLOOKUP(LCARS_Off[AbilityID],RawOfficer[AbilityID],RawOfficer[OfficerArt])</f>
        <v>304</v>
      </c>
      <c r="AL520" s="430">
        <v>6.88153966E8</v>
      </c>
      <c r="AM520" s="430">
        <f t="array" ref="AM520">XLOOKUP(LCARS_Off[AbilityID],RawOfficer[AbilityID],RawOfficer[Default Order])</f>
        <v>517</v>
      </c>
    </row>
    <row r="521">
      <c r="A521" s="429" t="str">
        <f t="array" ref="A521">LEFT(XLOOKUP(LCARS_Off[AbilityID],RawOfficer[AbilityID],RawOfficer[OfficerRarity]), 1)</f>
        <v>E</v>
      </c>
      <c r="B521" s="429"/>
      <c r="C521" s="514" t="str">
        <f t="array" ref="C521">HYPERLINK("https://stfc.space/officers/" &amp; XLOOKUP(LCARS_Off[AbilityID],RawOfficer[AbilityID],RawOfficer[OfficerId]), XLOOKUP(LCARS_Off[AbilityID],RawOfficer[AbilityID],RawOfficer[OfficerName]))</f>
        <v>QUASI</v>
      </c>
      <c r="D521" s="515" t="str">
        <f t="array" ref="D521">XLOOKUP(LCARS_Off[AbilityID],RawOfficer[AbilityID],RawOfficer[AbilityType])</f>
        <v>OA</v>
      </c>
      <c r="E521" s="516" t="str">
        <f t="array" ref="E521">XLOOKUP(LCARS_Off[AbilityID],RawOfficer[AbilityID],RawOfficer[Tag_PvPinSpace])</f>
        <v>✅</v>
      </c>
      <c r="F521" s="516" t="str">
        <f t="array" ref="F521">XLOOKUP(LCARS_Off[AbilityID],RawOfficer[AbilityID],RawOfficer[Tag_PvPStation])</f>
        <v>✅</v>
      </c>
      <c r="G521" s="516" t="str">
        <f t="array" ref="G521">XLOOKUP(LCARS_Off[AbilityID],RawOfficer[AbilityID],RawOfficer[Tag_NonArmadaHostiles])</f>
        <v>➖</v>
      </c>
      <c r="H521" s="516" t="str">
        <f t="array" ref="H521">XLOOKUP(LCARS_Off[AbilityID],RawOfficer[AbilityID],RawOfficer[Tag_WaveDefense])</f>
        <v>➖</v>
      </c>
      <c r="I521" s="516" t="str">
        <f t="array" ref="I521">XLOOKUP(LCARS_Off[AbilityID],RawOfficer[AbilityID],RawOfficer[Tag_QTrial])</f>
        <v>➖</v>
      </c>
      <c r="J521" s="516" t="str">
        <f t="array" ref="J521">XLOOKUP(LCARS_Off[AbilityID],RawOfficer[AbilityID],RawOfficer[Tag_MissionBosses])</f>
        <v>➖</v>
      </c>
      <c r="K521" s="516" t="str">
        <f t="array" ref="K521">XLOOKUP(LCARS_Off[AbilityID],RawOfficer[AbilityID],RawOfficer[Tag_GroupArmadas])</f>
        <v>➖</v>
      </c>
      <c r="L521" s="516" t="str">
        <f t="array" ref="L521">XLOOKUP(LCARS_Off[AbilityID],RawOfficer[AbilityID],RawOfficer[Tag_SoloArmadas])</f>
        <v>➖</v>
      </c>
      <c r="M521" s="516" t="str">
        <f t="array" ref="M521">XLOOKUP(LCARS_Off[AbilityID],RawOfficer[AbilityID],RawOfficer[Tag_InvadingEntities])</f>
        <v>➖</v>
      </c>
      <c r="N521" s="516" t="str">
        <f t="array" ref="N521">XLOOKUP(LCARS_Off[AbilityID],RawOfficer[AbilityID],RawOfficer[Tag_Assaults])</f>
        <v>➖</v>
      </c>
      <c r="O521" s="516" t="str">
        <f t="array" ref="O521">XLOOKUP(LCARS_Off[AbilityID],RawOfficer[AbilityID],RawOfficer[Tag_OutpostArmadas])</f>
        <v>➖</v>
      </c>
      <c r="P521" s="516" t="str">
        <f t="array" ref="P521">XLOOKUP(LCARS_Off[AbilityID],RawOfficer[AbilityID],RawOfficer[Tag_OutpostRetaliators])</f>
        <v>➖</v>
      </c>
      <c r="Q521" s="517" t="str">
        <f t="array" ref="Q521">XLOOKUP(LCARS_Off[AbilityID],RawOfficer[AbilityID],RawOfficer[Conditional_Reason])</f>
        <v/>
      </c>
      <c r="R521" s="518" t="str">
        <f t="array" ref="R521">XLOOKUP(LCARS_Off[AbilityID],RawOfficer[AbilityID],RawOfficer[Tag_Loot])</f>
        <v>➖</v>
      </c>
      <c r="S521" s="516" t="str">
        <f t="array" ref="S521">XLOOKUP(LCARS_Off[AbilityID],RawOfficer[AbilityID],RawOfficer[Tag_Utility])</f>
        <v>➖</v>
      </c>
      <c r="T521" s="429" t="str">
        <f t="array" ref="T521">XLOOKUP(LCARS_Off[AbilityID],RawOfficer[AbilityID],RawOfficer[OfficerSynergy])</f>
        <v>MIRROR UNIVERSE</v>
      </c>
      <c r="U521" s="519" t="str">
        <f t="array" ref="U521">XLOOKUP(LCARS_Off[AbilityID],RawOfficer[AbilityID],RawOfficer[AbilityModifier])</f>
        <v>ApexShred</v>
      </c>
      <c r="V521" s="519" t="str">
        <f t="array" ref="V521">XLOOKUP(LCARS_Off[AbilityID],RawOfficer[AbilityID],RawOfficer[AbilityAttributes])</f>
        <v/>
      </c>
      <c r="W521" s="520" t="str">
        <f t="array" ref="W521">XLOOKUP(LCARS_Off[AbilityID],RawOfficer[AbilityID],RawOfficer[AbilityConditions])</f>
        <v>EnemyPlayer</v>
      </c>
      <c r="X521" s="519" t="str">
        <f t="array" ref="X521">XLOOKUP(LCARS_Off[AbilityID],RawOfficer[AbilityID],RawOfficer[AbilityTrigger])</f>
        <v>CombatStart</v>
      </c>
      <c r="Y521" s="519" t="str">
        <f t="array" ref="Y521">XLOOKUP(LCARS_Off[AbilityID],RawOfficer[AbilityID],RawOfficer[AbilityTarget])</f>
        <v>EnemyShip</v>
      </c>
      <c r="Z521" s="519" t="str">
        <f t="array" ref="Z521">XLOOKUP(LCARS_Off[AbilityID],RawOfficer[AbilityID],RawOfficer[AbilityOperation])</f>
        <v>Add</v>
      </c>
      <c r="AA521" s="521" t="str">
        <f t="array" ref="AA521">XLOOKUP(LCARS_Off[AbilityID],RawOfficer[AbilityID],RawOfficer[AbilityDescription])</f>
        <v>Increases Apex Shred against players by X (X at rank X). -- Apex Barrier remaining after Apex Shred is equal to: -- Apex Barrier / (100% + Apex Shred) -- 100% Apex Shred reduces Apex Barrier by 50%.</v>
      </c>
      <c r="AB521" s="429" t="b">
        <v>0</v>
      </c>
      <c r="AC521" s="522" t="str">
        <f t="array" ref="AC521">XLOOKUP(LCARS_Off[AbilityID],RawOfficer[AbilityID],RawOfficer[AbilityDescriptionShort])</f>
        <v>Increases Apex Shred against players by X.</v>
      </c>
      <c r="AD521" s="523"/>
      <c r="AE521" s="524"/>
      <c r="AF521" s="524"/>
      <c r="AG521" s="525" t="str">
        <f t="array" ref="AG521">XLOOKUP(LCARS_Off[AbilityID],RawOfficer[AbilityID],RawOfficer[AbilityChances])</f>
        <v>1.0, 1.0, 1.0, 1.0, 1.0</v>
      </c>
      <c r="AH521" s="525" t="str">
        <f t="array" ref="AH521">XLOOKUP(LCARS_Off[AbilityID],RawOfficer[AbilityID],RawOfficer[AbilityValues])</f>
        <v>0.5, 0.6, 0.8, 1.1, 1.5</v>
      </c>
      <c r="AI521" s="428" t="b">
        <f t="array" ref="AI521">XLOOKUP(LCARS_Off[AbilityID],RawOfficer[AbilityID],RawOfficer[AbilityHasChance])</f>
        <v>0</v>
      </c>
      <c r="AJ521" s="428" t="b">
        <f t="array" ref="AJ521">XLOOKUP(LCARS_Off[AbilityID],RawOfficer[AbilityID],RawOfficer[AbilityShowPercentage])</f>
        <v>1</v>
      </c>
      <c r="AK521" s="429">
        <f t="array" ref="AK521">XLOOKUP(LCARS_Off[AbilityID],RawOfficer[AbilityID],RawOfficer[OfficerArt])</f>
        <v>305</v>
      </c>
      <c r="AL521" s="430">
        <v>2.437470376E9</v>
      </c>
      <c r="AM521" s="430">
        <f t="array" ref="AM521">XLOOKUP(LCARS_Off[AbilityID],RawOfficer[AbilityID],RawOfficer[Default Order])</f>
        <v>518</v>
      </c>
    </row>
    <row r="522">
      <c r="A522" s="429" t="str">
        <f t="array" ref="A522">LEFT(XLOOKUP(LCARS_Off[AbilityID],RawOfficer[AbilityID],RawOfficer[OfficerRarity]), 1)</f>
        <v>E</v>
      </c>
      <c r="B522" s="429"/>
      <c r="C522" s="514" t="str">
        <f t="array" ref="C522">HYPERLINK("https://stfc.space/officers/" &amp; XLOOKUP(LCARS_Off[AbilityID],RawOfficer[AbilityID],RawOfficer[OfficerId]), XLOOKUP(LCARS_Off[AbilityID],RawOfficer[AbilityID],RawOfficer[OfficerName]))</f>
        <v>QUASI</v>
      </c>
      <c r="D522" s="515" t="str">
        <f t="array" ref="D522">XLOOKUP(LCARS_Off[AbilityID],RawOfficer[AbilityID],RawOfficer[AbilityType])</f>
        <v>BDA</v>
      </c>
      <c r="E522" s="516" t="str">
        <f t="array" ref="E522">XLOOKUP(LCARS_Off[AbilityID],RawOfficer[AbilityID],RawOfficer[Tag_PvPinSpace])</f>
        <v>➖</v>
      </c>
      <c r="F522" s="516" t="str">
        <f t="array" ref="F522">XLOOKUP(LCARS_Off[AbilityID],RawOfficer[AbilityID],RawOfficer[Tag_PvPStation])</f>
        <v>➖</v>
      </c>
      <c r="G522" s="516" t="str">
        <f t="array" ref="G522">XLOOKUP(LCARS_Off[AbilityID],RawOfficer[AbilityID],RawOfficer[Tag_NonArmadaHostiles])</f>
        <v>✅</v>
      </c>
      <c r="H522" s="516" t="str">
        <f t="array" ref="H522">XLOOKUP(LCARS_Off[AbilityID],RawOfficer[AbilityID],RawOfficer[Tag_WaveDefense])</f>
        <v>✅</v>
      </c>
      <c r="I522" s="516" t="str">
        <f t="array" ref="I522">XLOOKUP(LCARS_Off[AbilityID],RawOfficer[AbilityID],RawOfficer[Tag_QTrial])</f>
        <v>✅</v>
      </c>
      <c r="J522" s="516" t="str">
        <f t="array" ref="J522">XLOOKUP(LCARS_Off[AbilityID],RawOfficer[AbilityID],RawOfficer[Tag_MissionBosses])</f>
        <v>➖</v>
      </c>
      <c r="K522" s="516" t="str">
        <f t="array" ref="K522">XLOOKUP(LCARS_Off[AbilityID],RawOfficer[AbilityID],RawOfficer[Tag_GroupArmadas])</f>
        <v>➖</v>
      </c>
      <c r="L522" s="516" t="str">
        <f t="array" ref="L522">XLOOKUP(LCARS_Off[AbilityID],RawOfficer[AbilityID],RawOfficer[Tag_SoloArmadas])</f>
        <v>➖</v>
      </c>
      <c r="M522" s="516" t="str">
        <f t="array" ref="M522">XLOOKUP(LCARS_Off[AbilityID],RawOfficer[AbilityID],RawOfficer[Tag_InvadingEntities])</f>
        <v>➖</v>
      </c>
      <c r="N522" s="516" t="str">
        <f t="array" ref="N522">XLOOKUP(LCARS_Off[AbilityID],RawOfficer[AbilityID],RawOfficer[Tag_Assaults])</f>
        <v>➖</v>
      </c>
      <c r="O522" s="516" t="str">
        <f t="array" ref="O522">XLOOKUP(LCARS_Off[AbilityID],RawOfficer[AbilityID],RawOfficer[Tag_OutpostArmadas])</f>
        <v>➖</v>
      </c>
      <c r="P522" s="516" t="str">
        <f t="array" ref="P522">XLOOKUP(LCARS_Off[AbilityID],RawOfficer[AbilityID],RawOfficer[Tag_OutpostRetaliators])</f>
        <v>➖</v>
      </c>
      <c r="Q522" s="517" t="str">
        <f t="array" ref="Q522">XLOOKUP(LCARS_Off[AbilityID],RawOfficer[AbilityID],RawOfficer[Conditional_Reason])</f>
        <v/>
      </c>
      <c r="R522" s="518" t="str">
        <f t="array" ref="R522">XLOOKUP(LCARS_Off[AbilityID],RawOfficer[AbilityID],RawOfficer[Tag_Loot])</f>
        <v>➖</v>
      </c>
      <c r="S522" s="516" t="str">
        <f t="array" ref="S522">XLOOKUP(LCARS_Off[AbilityID],RawOfficer[AbilityID],RawOfficer[Tag_Utility])</f>
        <v>➖</v>
      </c>
      <c r="T522" s="429" t="str">
        <f t="array" ref="T522">XLOOKUP(LCARS_Off[AbilityID],RawOfficer[AbilityID],RawOfficer[OfficerSynergy])</f>
        <v>MIRROR UNIVERSE</v>
      </c>
      <c r="U522" s="519" t="str">
        <f t="array" ref="U522">XLOOKUP(LCARS_Off[AbilityID],RawOfficer[AbilityID],RawOfficer[AbilityModifier])</f>
        <v>ApexShred</v>
      </c>
      <c r="V522" s="519" t="str">
        <f t="array" ref="V522">XLOOKUP(LCARS_Off[AbilityID],RawOfficer[AbilityID],RawOfficer[AbilityAttributes])</f>
        <v/>
      </c>
      <c r="W522" s="520" t="str">
        <f t="array" ref="W522">XLOOKUP(LCARS_Off[AbilityID],RawOfficer[AbilityID],RawOfficer[AbilityConditions])</f>
        <v>EnemyHostile, TargetNotArmada</v>
      </c>
      <c r="X522" s="519" t="str">
        <f t="array" ref="X522">XLOOKUP(LCARS_Off[AbilityID],RawOfficer[AbilityID],RawOfficer[AbilityTrigger])</f>
        <v>CombatStart</v>
      </c>
      <c r="Y522" s="519" t="str">
        <f t="array" ref="Y522">XLOOKUP(LCARS_Off[AbilityID],RawOfficer[AbilityID],RawOfficer[AbilityTarget])</f>
        <v>EnemyShip</v>
      </c>
      <c r="Z522" s="519" t="str">
        <f t="array" ref="Z522">XLOOKUP(LCARS_Off[AbilityID],RawOfficer[AbilityID],RawOfficer[AbilityOperation])</f>
        <v>Add</v>
      </c>
      <c r="AA522" s="521" t="str">
        <f t="array" ref="AA522">XLOOKUP(LCARS_Off[AbilityID],RawOfficer[AbilityID],RawOfficer[AbilityDescription])</f>
        <v>Increases Apex Shred against non-Armada hostiles by X (X at rank X). -- Apex Barrier remaining after Apex Shred is equal to: -- Apex Barrier / (100% + Apex Shred) -- 100% Apex Shred reduces Apex Barrier by 50%.</v>
      </c>
      <c r="AB522" s="429" t="b">
        <v>0</v>
      </c>
      <c r="AC522" s="522" t="str">
        <f t="array" ref="AC522">XLOOKUP(LCARS_Off[AbilityID],RawOfficer[AbilityID],RawOfficer[AbilityDescriptionShort])</f>
        <v>Increases Apex Shred against non-Armada hostiles by +X.</v>
      </c>
      <c r="AD522" s="523"/>
      <c r="AE522" s="524"/>
      <c r="AF522" s="524"/>
      <c r="AG522" s="525" t="str">
        <f t="array" ref="AG522">XLOOKUP(LCARS_Off[AbilityID],RawOfficer[AbilityID],RawOfficer[AbilityChances])</f>
        <v>1.0, 1.0, 1.0, 1.0, 1.0</v>
      </c>
      <c r="AH522" s="525" t="str">
        <f t="array" ref="AH522">XLOOKUP(LCARS_Off[AbilityID],RawOfficer[AbilityID],RawOfficer[AbilityValues])</f>
        <v>0.25, 0.3, 0.4, 0.55, 0.75</v>
      </c>
      <c r="AI522" s="428" t="b">
        <f t="array" ref="AI522">XLOOKUP(LCARS_Off[AbilityID],RawOfficer[AbilityID],RawOfficer[AbilityHasChance])</f>
        <v>0</v>
      </c>
      <c r="AJ522" s="428" t="b">
        <f t="array" ref="AJ522">XLOOKUP(LCARS_Off[AbilityID],RawOfficer[AbilityID],RawOfficer[AbilityShowPercentage])</f>
        <v>1</v>
      </c>
      <c r="AK522" s="429">
        <f t="array" ref="AK522">XLOOKUP(LCARS_Off[AbilityID],RawOfficer[AbilityID],RawOfficer[OfficerArt])</f>
        <v>305</v>
      </c>
      <c r="AL522" s="430">
        <v>1.6163305E7</v>
      </c>
      <c r="AM522" s="430">
        <f t="array" ref="AM522">XLOOKUP(LCARS_Off[AbilityID],RawOfficer[AbilityID],RawOfficer[Default Order])</f>
        <v>519</v>
      </c>
    </row>
    <row r="523">
      <c r="A523" s="429" t="str">
        <f t="array" ref="A523">LEFT(XLOOKUP(LCARS_Off[AbilityID],RawOfficer[AbilityID],RawOfficer[OfficerRarity]), 1)</f>
        <v>R</v>
      </c>
      <c r="B523" s="429"/>
      <c r="C523" s="514" t="str">
        <f t="array" ref="C523">HYPERLINK("https://stfc.space/officers/" &amp; XLOOKUP(LCARS_Off[AbilityID],RawOfficer[AbilityID],RawOfficer[OfficerId]), XLOOKUP(LCARS_Off[AbilityID],RawOfficer[AbilityID],RawOfficer[OfficerName]))</f>
        <v>ALOK SAHAR</v>
      </c>
      <c r="D523" s="515" t="str">
        <f t="array" ref="D523">XLOOKUP(LCARS_Off[AbilityID],RawOfficer[AbilityID],RawOfficer[AbilityType])</f>
        <v>OA</v>
      </c>
      <c r="E523" s="516" t="str">
        <f t="array" ref="E523">XLOOKUP(LCARS_Off[AbilityID],RawOfficer[AbilityID],RawOfficer[Tag_PvPinSpace])</f>
        <v>✴️</v>
      </c>
      <c r="F523" s="516" t="str">
        <f t="array" ref="F523">XLOOKUP(LCARS_Off[AbilityID],RawOfficer[AbilityID],RawOfficer[Tag_PvPStation])</f>
        <v>✴️</v>
      </c>
      <c r="G523" s="516" t="str">
        <f t="array" ref="G523">XLOOKUP(LCARS_Off[AbilityID],RawOfficer[AbilityID],RawOfficer[Tag_NonArmadaHostiles])</f>
        <v>➖</v>
      </c>
      <c r="H523" s="516" t="str">
        <f t="array" ref="H523">XLOOKUP(LCARS_Off[AbilityID],RawOfficer[AbilityID],RawOfficer[Tag_WaveDefense])</f>
        <v>➖</v>
      </c>
      <c r="I523" s="516" t="str">
        <f t="array" ref="I523">XLOOKUP(LCARS_Off[AbilityID],RawOfficer[AbilityID],RawOfficer[Tag_QTrial])</f>
        <v>➖</v>
      </c>
      <c r="J523" s="516" t="str">
        <f t="array" ref="J523">XLOOKUP(LCARS_Off[AbilityID],RawOfficer[AbilityID],RawOfficer[Tag_MissionBosses])</f>
        <v>➖</v>
      </c>
      <c r="K523" s="516" t="str">
        <f t="array" ref="K523">XLOOKUP(LCARS_Off[AbilityID],RawOfficer[AbilityID],RawOfficer[Tag_GroupArmadas])</f>
        <v>➖</v>
      </c>
      <c r="L523" s="516" t="str">
        <f t="array" ref="L523">XLOOKUP(LCARS_Off[AbilityID],RawOfficer[AbilityID],RawOfficer[Tag_SoloArmadas])</f>
        <v>➖</v>
      </c>
      <c r="M523" s="516" t="str">
        <f t="array" ref="M523">XLOOKUP(LCARS_Off[AbilityID],RawOfficer[AbilityID],RawOfficer[Tag_InvadingEntities])</f>
        <v>➖</v>
      </c>
      <c r="N523" s="516" t="str">
        <f t="array" ref="N523">XLOOKUP(LCARS_Off[AbilityID],RawOfficer[AbilityID],RawOfficer[Tag_Assaults])</f>
        <v>➖</v>
      </c>
      <c r="O523" s="516" t="str">
        <f t="array" ref="O523">XLOOKUP(LCARS_Off[AbilityID],RawOfficer[AbilityID],RawOfficer[Tag_OutpostArmadas])</f>
        <v>➖</v>
      </c>
      <c r="P523" s="516" t="str">
        <f t="array" ref="P523">XLOOKUP(LCARS_Off[AbilityID],RawOfficer[AbilityID],RawOfficer[Tag_OutpostRetaliators])</f>
        <v>➖</v>
      </c>
      <c r="Q523" s="517" t="str">
        <f t="array" ref="Q523">XLOOKUP(LCARS_Off[AbilityID],RawOfficer[AbilityID],RawOfficer[Conditional_Reason])</f>
        <v>SelfHullJunker</v>
      </c>
      <c r="R523" s="518" t="str">
        <f t="array" ref="R523">XLOOKUP(LCARS_Off[AbilityID],RawOfficer[AbilityID],RawOfficer[Tag_Loot])</f>
        <v>➖</v>
      </c>
      <c r="S523" s="516" t="str">
        <f t="array" ref="S523">XLOOKUP(LCARS_Off[AbilityID],RawOfficer[AbilityID],RawOfficer[Tag_Utility])</f>
        <v>➖</v>
      </c>
      <c r="T523" s="429" t="str">
        <f t="array" ref="T523">XLOOKUP(LCARS_Off[AbilityID],RawOfficer[AbilityID],RawOfficer[OfficerSynergy])</f>
        <v>SECTION 31</v>
      </c>
      <c r="U523" s="519" t="str">
        <f t="array" ref="U523">XLOOKUP(LCARS_Off[AbilityID],RawOfficer[AbilityID],RawOfficer[AbilityModifier])</f>
        <v>ApexShred</v>
      </c>
      <c r="V523" s="519" t="str">
        <f t="array" ref="V523">XLOOKUP(LCARS_Off[AbilityID],RawOfficer[AbilityID],RawOfficer[AbilityAttributes])</f>
        <v/>
      </c>
      <c r="W523" s="520" t="str">
        <f t="array" ref="W523">XLOOKUP(LCARS_Off[AbilityID],RawOfficer[AbilityID],RawOfficer[AbilityConditions])</f>
        <v>SelfHullJunker, EnemyPlayer</v>
      </c>
      <c r="X523" s="519" t="str">
        <f t="array" ref="X523">XLOOKUP(LCARS_Off[AbilityID],RawOfficer[AbilityID],RawOfficer[AbilityTrigger])</f>
        <v>CombatStart</v>
      </c>
      <c r="Y523" s="519" t="str">
        <f t="array" ref="Y523">XLOOKUP(LCARS_Off[AbilityID],RawOfficer[AbilityID],RawOfficer[AbilityTarget])</f>
        <v>EnemyShip</v>
      </c>
      <c r="Z523" s="519" t="str">
        <f t="array" ref="Z523">XLOOKUP(LCARS_Off[AbilityID],RawOfficer[AbilityID],RawOfficer[AbilityOperation])</f>
        <v>Add</v>
      </c>
      <c r="AA523" s="521" t="str">
        <f t="array" ref="AA523">XLOOKUP(LCARS_Off[AbilityID],RawOfficer[AbilityID],RawOfficer[AbilityDescription])</f>
        <v>Increases Apex Shred against players by X (X at rank X) when assigned to the GS-31. -- Apex Barrier remaining after Apex Shred is equal to: -- Apex Barrier / (100% + Apex Shred). -- 100% Apex Shred reduces Apex Barrier by 50%.</v>
      </c>
      <c r="AB523" s="429" t="b">
        <v>0</v>
      </c>
      <c r="AC523" s="522" t="str">
        <f t="array" ref="AC523">XLOOKUP(LCARS_Off[AbilityID],RawOfficer[AbilityID],RawOfficer[AbilityDescriptionShort])</f>
        <v>Increases Apex Shred against players by X when assigned to the GS-31.</v>
      </c>
      <c r="AD523" s="523"/>
      <c r="AE523" s="524"/>
      <c r="AF523" s="524"/>
      <c r="AG523" s="525" t="str">
        <f t="array" ref="AG523">XLOOKUP(LCARS_Off[AbilityID],RawOfficer[AbilityID],RawOfficer[AbilityChances])</f>
        <v>1.0, 1.0, 1.0, 1.0, 1.0</v>
      </c>
      <c r="AH523" s="525" t="str">
        <f t="array" ref="AH523">XLOOKUP(LCARS_Off[AbilityID],RawOfficer[AbilityID],RawOfficer[AbilityValues])</f>
        <v>0.15, 0.25, 0.35, 0.5, 0.7</v>
      </c>
      <c r="AI523" s="428" t="b">
        <f t="array" ref="AI523">XLOOKUP(LCARS_Off[AbilityID],RawOfficer[AbilityID],RawOfficer[AbilityHasChance])</f>
        <v>0</v>
      </c>
      <c r="AJ523" s="428" t="b">
        <f t="array" ref="AJ523">XLOOKUP(LCARS_Off[AbilityID],RawOfficer[AbilityID],RawOfficer[AbilityShowPercentage])</f>
        <v>1</v>
      </c>
      <c r="AK523" s="429">
        <f t="array" ref="AK523">XLOOKUP(LCARS_Off[AbilityID],RawOfficer[AbilityID],RawOfficer[OfficerArt])</f>
        <v>306</v>
      </c>
      <c r="AL523" s="430">
        <v>3.778774634E9</v>
      </c>
      <c r="AM523" s="430">
        <f t="array" ref="AM523">XLOOKUP(LCARS_Off[AbilityID],RawOfficer[AbilityID],RawOfficer[Default Order])</f>
        <v>520</v>
      </c>
    </row>
    <row r="524">
      <c r="A524" s="429" t="str">
        <f t="array" ref="A524">LEFT(XLOOKUP(LCARS_Off[AbilityID],RawOfficer[AbilityID],RawOfficer[OfficerRarity]), 1)</f>
        <v>R</v>
      </c>
      <c r="B524" s="429"/>
      <c r="C524" s="514" t="str">
        <f t="array" ref="C524">HYPERLINK("https://stfc.space/officers/" &amp; XLOOKUP(LCARS_Off[AbilityID],RawOfficer[AbilityID],RawOfficer[OfficerId]), XLOOKUP(LCARS_Off[AbilityID],RawOfficer[AbilityID],RawOfficer[OfficerName]))</f>
        <v>ALOK SAHAR</v>
      </c>
      <c r="D524" s="515" t="str">
        <f t="array" ref="D524">XLOOKUP(LCARS_Off[AbilityID],RawOfficer[AbilityID],RawOfficer[AbilityType])</f>
        <v>BDA</v>
      </c>
      <c r="E524" s="516" t="str">
        <f t="array" ref="E524">XLOOKUP(LCARS_Off[AbilityID],RawOfficer[AbilityID],RawOfficer[Tag_PvPinSpace])</f>
        <v>➖</v>
      </c>
      <c r="F524" s="516" t="str">
        <f t="array" ref="F524">XLOOKUP(LCARS_Off[AbilityID],RawOfficer[AbilityID],RawOfficer[Tag_PvPStation])</f>
        <v>➖</v>
      </c>
      <c r="G524" s="516" t="str">
        <f t="array" ref="G524">XLOOKUP(LCARS_Off[AbilityID],RawOfficer[AbilityID],RawOfficer[Tag_NonArmadaHostiles])</f>
        <v>✴️</v>
      </c>
      <c r="H524" s="516" t="str">
        <f t="array" ref="H524">XLOOKUP(LCARS_Off[AbilityID],RawOfficer[AbilityID],RawOfficer[Tag_WaveDefense])</f>
        <v>✴️</v>
      </c>
      <c r="I524" s="516" t="str">
        <f t="array" ref="I524">XLOOKUP(LCARS_Off[AbilityID],RawOfficer[AbilityID],RawOfficer[Tag_QTrial])</f>
        <v>✴️</v>
      </c>
      <c r="J524" s="516" t="str">
        <f t="array" ref="J524">XLOOKUP(LCARS_Off[AbilityID],RawOfficer[AbilityID],RawOfficer[Tag_MissionBosses])</f>
        <v>➖</v>
      </c>
      <c r="K524" s="516" t="str">
        <f t="array" ref="K524">XLOOKUP(LCARS_Off[AbilityID],RawOfficer[AbilityID],RawOfficer[Tag_GroupArmadas])</f>
        <v>➖</v>
      </c>
      <c r="L524" s="516" t="str">
        <f t="array" ref="L524">XLOOKUP(LCARS_Off[AbilityID],RawOfficer[AbilityID],RawOfficer[Tag_SoloArmadas])</f>
        <v>➖</v>
      </c>
      <c r="M524" s="516" t="str">
        <f t="array" ref="M524">XLOOKUP(LCARS_Off[AbilityID],RawOfficer[AbilityID],RawOfficer[Tag_InvadingEntities])</f>
        <v>➖</v>
      </c>
      <c r="N524" s="516" t="str">
        <f t="array" ref="N524">XLOOKUP(LCARS_Off[AbilityID],RawOfficer[AbilityID],RawOfficer[Tag_Assaults])</f>
        <v>➖</v>
      </c>
      <c r="O524" s="516" t="str">
        <f t="array" ref="O524">XLOOKUP(LCARS_Off[AbilityID],RawOfficer[AbilityID],RawOfficer[Tag_OutpostArmadas])</f>
        <v>➖</v>
      </c>
      <c r="P524" s="516" t="str">
        <f t="array" ref="P524">XLOOKUP(LCARS_Off[AbilityID],RawOfficer[AbilityID],RawOfficer[Tag_OutpostRetaliators])</f>
        <v>➖</v>
      </c>
      <c r="Q524" s="517" t="str">
        <f t="array" ref="Q524">XLOOKUP(LCARS_Off[AbilityID],RawOfficer[AbilityID],RawOfficer[Conditional_Reason])</f>
        <v>EnemyExplorer, SelfOfficerTalNotOnBridge</v>
      </c>
      <c r="R524" s="518" t="str">
        <f t="array" ref="R524">XLOOKUP(LCARS_Off[AbilityID],RawOfficer[AbilityID],RawOfficer[Tag_Loot])</f>
        <v>➖</v>
      </c>
      <c r="S524" s="516" t="str">
        <f t="array" ref="S524">XLOOKUP(LCARS_Off[AbilityID],RawOfficer[AbilityID],RawOfficer[Tag_Utility])</f>
        <v>➖</v>
      </c>
      <c r="T524" s="429" t="str">
        <f t="array" ref="T524">XLOOKUP(LCARS_Off[AbilityID],RawOfficer[AbilityID],RawOfficer[OfficerSynergy])</f>
        <v>SECTION 31</v>
      </c>
      <c r="U524" s="519" t="str">
        <f t="array" ref="U524">XLOOKUP(LCARS_Off[AbilityID],RawOfficer[AbilityID],RawOfficer[AbilityModifier])</f>
        <v>ApexBarrier</v>
      </c>
      <c r="V524" s="519" t="str">
        <f t="array" ref="V524">XLOOKUP(LCARS_Off[AbilityID],RawOfficer[AbilityID],RawOfficer[AbilityAttributes])</f>
        <v/>
      </c>
      <c r="W524" s="520" t="str">
        <f t="array" ref="W524">XLOOKUP(LCARS_Off[AbilityID],RawOfficer[AbilityID],RawOfficer[AbilityConditions])</f>
        <v>EnemyHostile, TargetNotArmada, EnemyExplorer, SelfOfficerTalNotOnBridge</v>
      </c>
      <c r="X524" s="519" t="str">
        <f t="array" ref="X524">XLOOKUP(LCARS_Off[AbilityID],RawOfficer[AbilityID],RawOfficer[AbilityTrigger])</f>
        <v>CombatStart</v>
      </c>
      <c r="Y524" s="519" t="str">
        <f t="array" ref="Y524">XLOOKUP(LCARS_Off[AbilityID],RawOfficer[AbilityID],RawOfficer[AbilityTarget])</f>
        <v>SelfShip</v>
      </c>
      <c r="Z524" s="519" t="str">
        <f t="array" ref="Z524">XLOOKUP(LCARS_Off[AbilityID],RawOfficer[AbilityID],RawOfficer[AbilityOperation])</f>
        <v>Add</v>
      </c>
      <c r="AA524" s="521" t="str">
        <f t="array" ref="AA524">XLOOKUP(LCARS_Off[AbilityID],RawOfficer[AbilityID],RawOfficer[AbilityDescription])</f>
        <v>Increases Apex Barrier against Explorer hostiles by X (X at rank X). -- This ability does not trigger when Tal is assigned to the bridge of your ship.</v>
      </c>
      <c r="AB524" s="429" t="b">
        <v>0</v>
      </c>
      <c r="AC524" s="522" t="str">
        <f t="array" ref="AC524">XLOOKUP(LCARS_Off[AbilityID],RawOfficer[AbilityID],RawOfficer[AbilityDescriptionShort])</f>
        <v>Increases Apex Barrier against Explorer hostiles by X.</v>
      </c>
      <c r="AD524" s="523"/>
      <c r="AE524" s="524"/>
      <c r="AF524" s="524"/>
      <c r="AG524" s="525" t="str">
        <f t="array" ref="AG524">XLOOKUP(LCARS_Off[AbilityID],RawOfficer[AbilityID],RawOfficer[AbilityChances])</f>
        <v>1.0, 1.0, 1.0, 1.0, 1.0</v>
      </c>
      <c r="AH524" s="525" t="str">
        <f t="array" ref="AH524">XLOOKUP(LCARS_Off[AbilityID],RawOfficer[AbilityID],RawOfficer[AbilityValues])</f>
        <v>1000.0, 1200.0, 1500.0, 2000.0, 3000.0</v>
      </c>
      <c r="AI524" s="428" t="b">
        <f t="array" ref="AI524">XLOOKUP(LCARS_Off[AbilityID],RawOfficer[AbilityID],RawOfficer[AbilityHasChance])</f>
        <v>0</v>
      </c>
      <c r="AJ524" s="428" t="b">
        <f t="array" ref="AJ524">XLOOKUP(LCARS_Off[AbilityID],RawOfficer[AbilityID],RawOfficer[AbilityShowPercentage])</f>
        <v>0</v>
      </c>
      <c r="AK524" s="429">
        <f t="array" ref="AK524">XLOOKUP(LCARS_Off[AbilityID],RawOfficer[AbilityID],RawOfficer[OfficerArt])</f>
        <v>306</v>
      </c>
      <c r="AL524" s="430">
        <v>3.098652344E9</v>
      </c>
      <c r="AM524" s="430">
        <f t="array" ref="AM524">XLOOKUP(LCARS_Off[AbilityID],RawOfficer[AbilityID],RawOfficer[Default Order])</f>
        <v>521</v>
      </c>
    </row>
    <row r="525">
      <c r="A525" s="429" t="str">
        <f t="array" ref="A525">LEFT(XLOOKUP(LCARS_Off[AbilityID],RawOfficer[AbilityID],RawOfficer[OfficerRarity]), 1)</f>
        <v>E</v>
      </c>
      <c r="B525" s="429"/>
      <c r="C525" s="514" t="str">
        <f t="array" ref="C525">HYPERLINK("https://stfc.space/officers/" &amp; XLOOKUP(LCARS_Off[AbilityID],RawOfficer[AbilityID],RawOfficer[OfficerId]), XLOOKUP(LCARS_Off[AbilityID],RawOfficer[AbilityID],RawOfficer[OfficerName]))</f>
        <v>WOK CAROL</v>
      </c>
      <c r="D525" s="515" t="str">
        <f t="array" ref="D525">XLOOKUP(LCARS_Off[AbilityID],RawOfficer[AbilityID],RawOfficer[AbilityType])</f>
        <v>OA</v>
      </c>
      <c r="E525" s="516" t="str">
        <f t="array" ref="E525">XLOOKUP(LCARS_Off[AbilityID],RawOfficer[AbilityID],RawOfficer[Tag_PvPinSpace])</f>
        <v>➖</v>
      </c>
      <c r="F525" s="516" t="str">
        <f t="array" ref="F525">XLOOKUP(LCARS_Off[AbilityID],RawOfficer[AbilityID],RawOfficer[Tag_PvPStation])</f>
        <v>➖</v>
      </c>
      <c r="G525" s="516" t="str">
        <f t="array" ref="G525">XLOOKUP(LCARS_Off[AbilityID],RawOfficer[AbilityID],RawOfficer[Tag_NonArmadaHostiles])</f>
        <v>✴️</v>
      </c>
      <c r="H525" s="516" t="str">
        <f t="array" ref="H525">XLOOKUP(LCARS_Off[AbilityID],RawOfficer[AbilityID],RawOfficer[Tag_WaveDefense])</f>
        <v>➖</v>
      </c>
      <c r="I525" s="516" t="str">
        <f t="array" ref="I525">XLOOKUP(LCARS_Off[AbilityID],RawOfficer[AbilityID],RawOfficer[Tag_QTrial])</f>
        <v>➖</v>
      </c>
      <c r="J525" s="516" t="str">
        <f t="array" ref="J525">XLOOKUP(LCARS_Off[AbilityID],RawOfficer[AbilityID],RawOfficer[Tag_MissionBosses])</f>
        <v>➖</v>
      </c>
      <c r="K525" s="516" t="str">
        <f t="array" ref="K525">XLOOKUP(LCARS_Off[AbilityID],RawOfficer[AbilityID],RawOfficer[Tag_GroupArmadas])</f>
        <v>➖</v>
      </c>
      <c r="L525" s="516" t="str">
        <f t="array" ref="L525">XLOOKUP(LCARS_Off[AbilityID],RawOfficer[AbilityID],RawOfficer[Tag_SoloArmadas])</f>
        <v>➖</v>
      </c>
      <c r="M525" s="516" t="str">
        <f t="array" ref="M525">XLOOKUP(LCARS_Off[AbilityID],RawOfficer[AbilityID],RawOfficer[Tag_InvadingEntities])</f>
        <v>➖</v>
      </c>
      <c r="N525" s="516" t="str">
        <f t="array" ref="N525">XLOOKUP(LCARS_Off[AbilityID],RawOfficer[AbilityID],RawOfficer[Tag_Assaults])</f>
        <v>➖</v>
      </c>
      <c r="O525" s="516" t="str">
        <f t="array" ref="O525">XLOOKUP(LCARS_Off[AbilityID],RawOfficer[AbilityID],RawOfficer[Tag_OutpostArmadas])</f>
        <v>➖</v>
      </c>
      <c r="P525" s="516" t="str">
        <f t="array" ref="P525">XLOOKUP(LCARS_Off[AbilityID],RawOfficer[AbilityID],RawOfficer[Tag_OutpostRetaliators])</f>
        <v>➖</v>
      </c>
      <c r="Q525" s="517" t="str">
        <f t="array" ref="Q525">XLOOKUP(LCARS_Off[AbilityID],RawOfficer[AbilityID],RawOfficer[Conditional_Reason])</f>
        <v>WokAugmentAllLootRewards</v>
      </c>
      <c r="R525" s="518" t="str">
        <f t="array" ref="R525">XLOOKUP(LCARS_Off[AbilityID],RawOfficer[AbilityID],RawOfficer[Tag_Loot])</f>
        <v>✅</v>
      </c>
      <c r="S525" s="516" t="str">
        <f t="array" ref="S525">XLOOKUP(LCARS_Off[AbilityID],RawOfficer[AbilityID],RawOfficer[Tag_Utility])</f>
        <v>➖</v>
      </c>
      <c r="T525" s="429" t="str">
        <f t="array" ref="T525">XLOOKUP(LCARS_Off[AbilityID],RawOfficer[AbilityID],RawOfficer[OfficerSynergy])</f>
        <v>WRATH OF KHAN</v>
      </c>
      <c r="U525" s="519" t="str">
        <f t="array" ref="U525">XLOOKUP(LCARS_Off[AbilityID],RawOfficer[AbilityID],RawOfficer[AbilityModifier])</f>
        <v>WokAugmentAllLootRewards</v>
      </c>
      <c r="V525" s="519" t="str">
        <f t="array" ref="V525">XLOOKUP(LCARS_Off[AbilityID],RawOfficer[AbilityID],RawOfficer[AbilityAttributes])</f>
        <v/>
      </c>
      <c r="W525" s="520" t="str">
        <f t="array" ref="W525">XLOOKUP(LCARS_Off[AbilityID],RawOfficer[AbilityID],RawOfficer[AbilityConditions])</f>
        <v/>
      </c>
      <c r="X525" s="519" t="str">
        <f t="array" ref="X525">XLOOKUP(LCARS_Off[AbilityID],RawOfficer[AbilityID],RawOfficer[AbilityTrigger])</f>
        <v>ShipLaunched</v>
      </c>
      <c r="Y525" s="519" t="str">
        <f t="array" ref="Y525">XLOOKUP(LCARS_Off[AbilityID],RawOfficer[AbilityID],RawOfficer[AbilityTarget])</f>
        <v>SelfShip</v>
      </c>
      <c r="Z525" s="519" t="str">
        <f t="array" ref="Z525">XLOOKUP(LCARS_Off[AbilityID],RawOfficer[AbilityID],RawOfficer[AbilityOperation])</f>
        <v>MultiplyAdd</v>
      </c>
      <c r="AA525" s="521" t="str">
        <f t="array" ref="AA525">XLOOKUP(LCARS_Off[AbilityID],RawOfficer[AbilityID],RawOfficer[AbilityDescription])</f>
        <v>WOK Carol Marcus increases Common, Uncommon, Rare and Epic loot dropped by Augment Exile hostiles by X (X at rank X).</v>
      </c>
      <c r="AB525" s="429" t="b">
        <v>0</v>
      </c>
      <c r="AC525" s="522" t="str">
        <f t="array" ref="AC525">XLOOKUP(LCARS_Off[AbilityID],RawOfficer[AbilityID],RawOfficer[AbilityDescriptionShort])</f>
        <v>Increases Common/Uncommon/Rare/Epic loot dropped by Augment Exile hostiles by X.</v>
      </c>
      <c r="AD525" s="523"/>
      <c r="AE525" s="524"/>
      <c r="AF525" s="524"/>
      <c r="AG525" s="525" t="str">
        <f t="array" ref="AG525">XLOOKUP(LCARS_Off[AbilityID],RawOfficer[AbilityID],RawOfficer[AbilityChances])</f>
        <v>1.0, 1.0, 1.0, 1.0, 1.0</v>
      </c>
      <c r="AH525" s="525" t="str">
        <f t="array" ref="AH525">XLOOKUP(LCARS_Off[AbilityID],RawOfficer[AbilityID],RawOfficer[AbilityValues])</f>
        <v>1.5, 2.0, 3.5, 5.0, 7.0</v>
      </c>
      <c r="AI525" s="428" t="b">
        <f t="array" ref="AI525">XLOOKUP(LCARS_Off[AbilityID],RawOfficer[AbilityID],RawOfficer[AbilityHasChance])</f>
        <v>0</v>
      </c>
      <c r="AJ525" s="428" t="b">
        <f t="array" ref="AJ525">XLOOKUP(LCARS_Off[AbilityID],RawOfficer[AbilityID],RawOfficer[AbilityShowPercentage])</f>
        <v>1</v>
      </c>
      <c r="AK525" s="429">
        <f t="array" ref="AK525">XLOOKUP(LCARS_Off[AbilityID],RawOfficer[AbilityID],RawOfficer[OfficerArt])</f>
        <v>307</v>
      </c>
      <c r="AL525" s="430">
        <v>2.093942349E9</v>
      </c>
      <c r="AM525" s="430">
        <f t="array" ref="AM525">XLOOKUP(LCARS_Off[AbilityID],RawOfficer[AbilityID],RawOfficer[Default Order])</f>
        <v>522</v>
      </c>
    </row>
    <row r="526">
      <c r="A526" s="429" t="str">
        <f t="array" ref="A526">LEFT(XLOOKUP(LCARS_Off[AbilityID],RawOfficer[AbilityID],RawOfficer[OfficerRarity]), 1)</f>
        <v>E</v>
      </c>
      <c r="B526" s="429"/>
      <c r="C526" s="514" t="str">
        <f t="array" ref="C526">HYPERLINK("https://stfc.space/officers/" &amp; XLOOKUP(LCARS_Off[AbilityID],RawOfficer[AbilityID],RawOfficer[OfficerId]), XLOOKUP(LCARS_Off[AbilityID],RawOfficer[AbilityID],RawOfficer[OfficerName]))</f>
        <v>WOK CAROL</v>
      </c>
      <c r="D526" s="515" t="str">
        <f t="array" ref="D526">XLOOKUP(LCARS_Off[AbilityID],RawOfficer[AbilityID],RawOfficer[AbilityType])</f>
        <v>BDA</v>
      </c>
      <c r="E526" s="516" t="str">
        <f t="array" ref="E526">XLOOKUP(LCARS_Off[AbilityID],RawOfficer[AbilityID],RawOfficer[Tag_PvPinSpace])</f>
        <v>➖</v>
      </c>
      <c r="F526" s="516" t="str">
        <f t="array" ref="F526">XLOOKUP(LCARS_Off[AbilityID],RawOfficer[AbilityID],RawOfficer[Tag_PvPStation])</f>
        <v>➖</v>
      </c>
      <c r="G526" s="516" t="str">
        <f t="array" ref="G526">XLOOKUP(LCARS_Off[AbilityID],RawOfficer[AbilityID],RawOfficer[Tag_NonArmadaHostiles])</f>
        <v>✅</v>
      </c>
      <c r="H526" s="516" t="str">
        <f t="array" ref="H526">XLOOKUP(LCARS_Off[AbilityID],RawOfficer[AbilityID],RawOfficer[Tag_WaveDefense])</f>
        <v>✅</v>
      </c>
      <c r="I526" s="516" t="str">
        <f t="array" ref="I526">XLOOKUP(LCARS_Off[AbilityID],RawOfficer[AbilityID],RawOfficer[Tag_QTrial])</f>
        <v>✅</v>
      </c>
      <c r="J526" s="516" t="str">
        <f t="array" ref="J526">XLOOKUP(LCARS_Off[AbilityID],RawOfficer[AbilityID],RawOfficer[Tag_MissionBosses])</f>
        <v>➖</v>
      </c>
      <c r="K526" s="516" t="str">
        <f t="array" ref="K526">XLOOKUP(LCARS_Off[AbilityID],RawOfficer[AbilityID],RawOfficer[Tag_GroupArmadas])</f>
        <v>➖</v>
      </c>
      <c r="L526" s="516" t="str">
        <f t="array" ref="L526">XLOOKUP(LCARS_Off[AbilityID],RawOfficer[AbilityID],RawOfficer[Tag_SoloArmadas])</f>
        <v>➖</v>
      </c>
      <c r="M526" s="516" t="str">
        <f t="array" ref="M526">XLOOKUP(LCARS_Off[AbilityID],RawOfficer[AbilityID],RawOfficer[Tag_InvadingEntities])</f>
        <v>➖</v>
      </c>
      <c r="N526" s="516" t="str">
        <f t="array" ref="N526">XLOOKUP(LCARS_Off[AbilityID],RawOfficer[AbilityID],RawOfficer[Tag_Assaults])</f>
        <v>➖</v>
      </c>
      <c r="O526" s="516" t="str">
        <f t="array" ref="O526">XLOOKUP(LCARS_Off[AbilityID],RawOfficer[AbilityID],RawOfficer[Tag_OutpostArmadas])</f>
        <v>➖</v>
      </c>
      <c r="P526" s="516" t="str">
        <f t="array" ref="P526">XLOOKUP(LCARS_Off[AbilityID],RawOfficer[AbilityID],RawOfficer[Tag_OutpostRetaliators])</f>
        <v>➖</v>
      </c>
      <c r="Q526" s="517" t="str">
        <f t="array" ref="Q526">XLOOKUP(LCARS_Off[AbilityID],RawOfficer[AbilityID],RawOfficer[Conditional_Reason])</f>
        <v/>
      </c>
      <c r="R526" s="518" t="str">
        <f t="array" ref="R526">XLOOKUP(LCARS_Off[AbilityID],RawOfficer[AbilityID],RawOfficer[Tag_Loot])</f>
        <v>➖</v>
      </c>
      <c r="S526" s="516" t="str">
        <f t="array" ref="S526">XLOOKUP(LCARS_Off[AbilityID],RawOfficer[AbilityID],RawOfficer[Tag_Utility])</f>
        <v>➖</v>
      </c>
      <c r="T526" s="429" t="str">
        <f t="array" ref="T526">XLOOKUP(LCARS_Off[AbilityID],RawOfficer[AbilityID],RawOfficer[OfficerSynergy])</f>
        <v>WRATH OF KHAN</v>
      </c>
      <c r="U526" s="519" t="str">
        <f t="array" ref="U526">XLOOKUP(LCARS_Off[AbilityID],RawOfficer[AbilityID],RawOfficer[AbilityModifier])</f>
        <v>ShieldMitigation</v>
      </c>
      <c r="V526" s="519" t="str">
        <f t="array" ref="V526">XLOOKUP(LCARS_Off[AbilityID],RawOfficer[AbilityID],RawOfficer[AbilityAttributes])</f>
        <v>num_rounds=1</v>
      </c>
      <c r="W526" s="520" t="str">
        <f t="array" ref="W526">XLOOKUP(LCARS_Off[AbilityID],RawOfficer[AbilityID],RawOfficer[AbilityConditions])</f>
        <v>EnemyHostile, TargetNotArmada</v>
      </c>
      <c r="X526" s="519" t="str">
        <f t="array" ref="X526">XLOOKUP(LCARS_Off[AbilityID],RawOfficer[AbilityID],RawOfficer[AbilityTrigger])</f>
        <v>HullDamageTaken</v>
      </c>
      <c r="Y526" s="519" t="str">
        <f t="array" ref="Y526">XLOOKUP(LCARS_Off[AbilityID],RawOfficer[AbilityID],RawOfficer[AbilityTarget])</f>
        <v>SelfShip</v>
      </c>
      <c r="Z526" s="519" t="str">
        <f t="array" ref="Z526">XLOOKUP(LCARS_Off[AbilityID],RawOfficer[AbilityID],RawOfficer[AbilityOperation])</f>
        <v>Add</v>
      </c>
      <c r="AA526" s="521" t="str">
        <f t="array" ref="AA526">XLOOKUP(LCARS_Off[AbilityID],RawOfficer[AbilityID],RawOfficer[AbilityDescription])</f>
        <v>When you take hull damage from a non-Armada hostile, WOK Carol Marcus increases your Shield Mitigation by X (X at rank X) for 1 round (cumulative). -- (Weapons with multiple shots will only trigger this ability once per attack.)</v>
      </c>
      <c r="AB526" s="429" t="b">
        <v>0</v>
      </c>
      <c r="AC526" s="522" t="str">
        <f t="array" ref="AC526">XLOOKUP(LCARS_Off[AbilityID],RawOfficer[AbilityID],RawOfficer[AbilityDescriptionShort])</f>
        <v>When you take hull damage from a non-Armada hostile, increase your Shield Mitigation by X for 1 round (cumulative).</v>
      </c>
      <c r="AD526" s="523"/>
      <c r="AE526" s="524"/>
      <c r="AF526" s="524"/>
      <c r="AG526" s="525" t="str">
        <f t="array" ref="AG526">XLOOKUP(LCARS_Off[AbilityID],RawOfficer[AbilityID],RawOfficer[AbilityChances])</f>
        <v>1.0, 1.0, 1.0, 1.0, 1.0</v>
      </c>
      <c r="AH526" s="525" t="str">
        <f t="array" ref="AH526">XLOOKUP(LCARS_Off[AbilityID],RawOfficer[AbilityID],RawOfficer[AbilityValues])</f>
        <v>0.05, 0.07, 0.1, 0.15, 0.25</v>
      </c>
      <c r="AI526" s="428" t="b">
        <f t="array" ref="AI526">XLOOKUP(LCARS_Off[AbilityID],RawOfficer[AbilityID],RawOfficer[AbilityHasChance])</f>
        <v>0</v>
      </c>
      <c r="AJ526" s="428" t="b">
        <f t="array" ref="AJ526">XLOOKUP(LCARS_Off[AbilityID],RawOfficer[AbilityID],RawOfficer[AbilityShowPercentage])</f>
        <v>1</v>
      </c>
      <c r="AK526" s="429">
        <f t="array" ref="AK526">XLOOKUP(LCARS_Off[AbilityID],RawOfficer[AbilityID],RawOfficer[OfficerArt])</f>
        <v>307</v>
      </c>
      <c r="AL526" s="430">
        <v>1.387906359E9</v>
      </c>
      <c r="AM526" s="430">
        <f t="array" ref="AM526">XLOOKUP(LCARS_Off[AbilityID],RawOfficer[AbilityID],RawOfficer[Default Order])</f>
        <v>523</v>
      </c>
    </row>
    <row r="527">
      <c r="A527" s="429" t="str">
        <f t="array" ref="A527">LEFT(XLOOKUP(LCARS_Off[AbilityID],RawOfficer[AbilityID],RawOfficer[OfficerRarity]), 1)</f>
        <v>R</v>
      </c>
      <c r="B527" s="429"/>
      <c r="C527" s="514" t="str">
        <f t="array" ref="C527">HYPERLINK("https://stfc.space/officers/" &amp; XLOOKUP(LCARS_Off[AbilityID],RawOfficer[AbilityID],RawOfficer[OfficerId]), XLOOKUP(LCARS_Off[AbilityID],RawOfficer[AbilityID],RawOfficer[OfficerName]))</f>
        <v>WOK MCCOY</v>
      </c>
      <c r="D527" s="515" t="str">
        <f t="array" ref="D527">XLOOKUP(LCARS_Off[AbilityID],RawOfficer[AbilityID],RawOfficer[AbilityType])</f>
        <v>OA</v>
      </c>
      <c r="E527" s="516" t="str">
        <f t="array" ref="E527">XLOOKUP(LCARS_Off[AbilityID],RawOfficer[AbilityID],RawOfficer[Tag_PvPinSpace])</f>
        <v>➖</v>
      </c>
      <c r="F527" s="516" t="str">
        <f t="array" ref="F527">XLOOKUP(LCARS_Off[AbilityID],RawOfficer[AbilityID],RawOfficer[Tag_PvPStation])</f>
        <v>➖</v>
      </c>
      <c r="G527" s="516" t="str">
        <f t="array" ref="G527">XLOOKUP(LCARS_Off[AbilityID],RawOfficer[AbilityID],RawOfficer[Tag_NonArmadaHostiles])</f>
        <v>➖</v>
      </c>
      <c r="H527" s="516" t="str">
        <f t="array" ref="H527">XLOOKUP(LCARS_Off[AbilityID],RawOfficer[AbilityID],RawOfficer[Tag_WaveDefense])</f>
        <v>✅</v>
      </c>
      <c r="I527" s="516" t="str">
        <f t="array" ref="I527">XLOOKUP(LCARS_Off[AbilityID],RawOfficer[AbilityID],RawOfficer[Tag_QTrial])</f>
        <v>➖</v>
      </c>
      <c r="J527" s="516" t="str">
        <f t="array" ref="J527">XLOOKUP(LCARS_Off[AbilityID],RawOfficer[AbilityID],RawOfficer[Tag_MissionBosses])</f>
        <v>➖</v>
      </c>
      <c r="K527" s="516" t="str">
        <f t="array" ref="K527">XLOOKUP(LCARS_Off[AbilityID],RawOfficer[AbilityID],RawOfficer[Tag_GroupArmadas])</f>
        <v>➖</v>
      </c>
      <c r="L527" s="516" t="str">
        <f t="array" ref="L527">XLOOKUP(LCARS_Off[AbilityID],RawOfficer[AbilityID],RawOfficer[Tag_SoloArmadas])</f>
        <v>➖</v>
      </c>
      <c r="M527" s="516" t="str">
        <f t="array" ref="M527">XLOOKUP(LCARS_Off[AbilityID],RawOfficer[AbilityID],RawOfficer[Tag_InvadingEntities])</f>
        <v>➖</v>
      </c>
      <c r="N527" s="516" t="str">
        <f t="array" ref="N527">XLOOKUP(LCARS_Off[AbilityID],RawOfficer[AbilityID],RawOfficer[Tag_Assaults])</f>
        <v>➖</v>
      </c>
      <c r="O527" s="516" t="str">
        <f t="array" ref="O527">XLOOKUP(LCARS_Off[AbilityID],RawOfficer[AbilityID],RawOfficer[Tag_OutpostArmadas])</f>
        <v>➖</v>
      </c>
      <c r="P527" s="516" t="str">
        <f t="array" ref="P527">XLOOKUP(LCARS_Off[AbilityID],RawOfficer[AbilityID],RawOfficer[Tag_OutpostRetaliators])</f>
        <v>➖</v>
      </c>
      <c r="Q527" s="517" t="str">
        <f t="array" ref="Q527">XLOOKUP(LCARS_Off[AbilityID],RawOfficer[AbilityID],RawOfficer[Conditional_Reason])</f>
        <v/>
      </c>
      <c r="R527" s="518" t="str">
        <f t="array" ref="R527">XLOOKUP(LCARS_Off[AbilityID],RawOfficer[AbilityID],RawOfficer[Tag_Loot])</f>
        <v>➖</v>
      </c>
      <c r="S527" s="516" t="str">
        <f t="array" ref="S527">XLOOKUP(LCARS_Off[AbilityID],RawOfficer[AbilityID],RawOfficer[Tag_Utility])</f>
        <v>➖</v>
      </c>
      <c r="T527" s="429" t="str">
        <f t="array" ref="T527">XLOOKUP(LCARS_Off[AbilityID],RawOfficer[AbilityID],RawOfficer[OfficerSynergy])</f>
        <v>WRATH OF KHAN</v>
      </c>
      <c r="U527" s="519" t="str">
        <f t="array" ref="U527">XLOOKUP(LCARS_Off[AbilityID],RawOfficer[AbilityID],RawOfficer[AbilityModifier])</f>
        <v>AllDefenses</v>
      </c>
      <c r="V527" s="519" t="str">
        <f t="array" ref="V527">XLOOKUP(LCARS_Off[AbilityID],RawOfficer[AbilityID],RawOfficer[AbilityAttributes])</f>
        <v>officer_stat=3</v>
      </c>
      <c r="W527" s="520" t="str">
        <f t="array" ref="W527">XLOOKUP(LCARS_Off[AbilityID],RawOfficer[AbilityID],RawOfficer[AbilityConditions])</f>
        <v>SelfAtWaveDefenseChallenge</v>
      </c>
      <c r="X527" s="519" t="str">
        <f t="array" ref="X527">XLOOKUP(LCARS_Off[AbilityID],RawOfficer[AbilityID],RawOfficer[AbilityTrigger])</f>
        <v>CombatStart</v>
      </c>
      <c r="Y527" s="519" t="str">
        <f t="array" ref="Y527">XLOOKUP(LCARS_Off[AbilityID],RawOfficer[AbilityID],RawOfficer[AbilityTarget])</f>
        <v>SelfShip</v>
      </c>
      <c r="Z527" s="519" t="str">
        <f t="array" ref="Z527">XLOOKUP(LCARS_Off[AbilityID],RawOfficer[AbilityID],RawOfficer[AbilityOperation])</f>
        <v>MultiplyBaseAdd</v>
      </c>
      <c r="AA527" s="521" t="str">
        <f t="array" ref="AA527">XLOOKUP(LCARS_Off[AbilityID],RawOfficer[AbilityID],RawOfficer[AbilityDescription])</f>
        <v>On combat start, WOK Leonard McCoy increases your Armor, Shield Deflection, and Dodge by X (X at rank X) of Health when in Wave Defense.</v>
      </c>
      <c r="AB527" s="429" t="b">
        <v>0</v>
      </c>
      <c r="AC527" s="522" t="str">
        <f t="array" ref="AC527">XLOOKUP(LCARS_Off[AbilityID],RawOfficer[AbilityID],RawOfficer[AbilityDescriptionShort])</f>
        <v>Increases your Armor, Shield Deflection, and Dodge by X of Health when in Wave Defense.</v>
      </c>
      <c r="AD527" s="523"/>
      <c r="AE527" s="524"/>
      <c r="AF527" s="524"/>
      <c r="AG527" s="525" t="str">
        <f t="array" ref="AG527">XLOOKUP(LCARS_Off[AbilityID],RawOfficer[AbilityID],RawOfficer[AbilityChances])</f>
        <v>1.0, 1.0, 1.0, 1.0, 1.0</v>
      </c>
      <c r="AH527" s="525" t="str">
        <f t="array" ref="AH527">XLOOKUP(LCARS_Off[AbilityID],RawOfficer[AbilityID],RawOfficer[AbilityValues])</f>
        <v>5.0, 7.5, 15.0, 30.0, 50.0</v>
      </c>
      <c r="AI527" s="428" t="b">
        <f t="array" ref="AI527">XLOOKUP(LCARS_Off[AbilityID],RawOfficer[AbilityID],RawOfficer[AbilityHasChance])</f>
        <v>0</v>
      </c>
      <c r="AJ527" s="428" t="b">
        <f t="array" ref="AJ527">XLOOKUP(LCARS_Off[AbilityID],RawOfficer[AbilityID],RawOfficer[AbilityShowPercentage])</f>
        <v>1</v>
      </c>
      <c r="AK527" s="429">
        <f t="array" ref="AK527">XLOOKUP(LCARS_Off[AbilityID],RawOfficer[AbilityID],RawOfficer[OfficerArt])</f>
        <v>308</v>
      </c>
      <c r="AL527" s="430">
        <v>7.96935785E8</v>
      </c>
      <c r="AM527" s="430">
        <f t="array" ref="AM527">XLOOKUP(LCARS_Off[AbilityID],RawOfficer[AbilityID],RawOfficer[Default Order])</f>
        <v>524</v>
      </c>
    </row>
    <row r="528">
      <c r="A528" s="429" t="str">
        <f t="array" ref="A528">LEFT(XLOOKUP(LCARS_Off[AbilityID],RawOfficer[AbilityID],RawOfficer[OfficerRarity]), 1)</f>
        <v>R</v>
      </c>
      <c r="B528" s="429"/>
      <c r="C528" s="514" t="str">
        <f t="array" ref="C528">HYPERLINK("https://stfc.space/officers/" &amp; XLOOKUP(LCARS_Off[AbilityID],RawOfficer[AbilityID],RawOfficer[OfficerId]), XLOOKUP(LCARS_Off[AbilityID],RawOfficer[AbilityID],RawOfficer[OfficerName]))</f>
        <v>WOK MCCOY</v>
      </c>
      <c r="D528" s="515" t="str">
        <f t="array" ref="D528">XLOOKUP(LCARS_Off[AbilityID],RawOfficer[AbilityID],RawOfficer[AbilityType])</f>
        <v>BDA</v>
      </c>
      <c r="E528" s="516" t="str">
        <f t="array" ref="E528">XLOOKUP(LCARS_Off[AbilityID],RawOfficer[AbilityID],RawOfficer[Tag_PvPinSpace])</f>
        <v>➖</v>
      </c>
      <c r="F528" s="516" t="str">
        <f t="array" ref="F528">XLOOKUP(LCARS_Off[AbilityID],RawOfficer[AbilityID],RawOfficer[Tag_PvPStation])</f>
        <v>➖</v>
      </c>
      <c r="G528" s="516" t="str">
        <f t="array" ref="G528">XLOOKUP(LCARS_Off[AbilityID],RawOfficer[AbilityID],RawOfficer[Tag_NonArmadaHostiles])</f>
        <v>✅</v>
      </c>
      <c r="H528" s="516" t="str">
        <f t="array" ref="H528">XLOOKUP(LCARS_Off[AbilityID],RawOfficer[AbilityID],RawOfficer[Tag_WaveDefense])</f>
        <v>✅</v>
      </c>
      <c r="I528" s="516" t="str">
        <f t="array" ref="I528">XLOOKUP(LCARS_Off[AbilityID],RawOfficer[AbilityID],RawOfficer[Tag_QTrial])</f>
        <v>✅</v>
      </c>
      <c r="J528" s="516" t="str">
        <f t="array" ref="J528">XLOOKUP(LCARS_Off[AbilityID],RawOfficer[AbilityID],RawOfficer[Tag_MissionBosses])</f>
        <v>➖</v>
      </c>
      <c r="K528" s="516" t="str">
        <f t="array" ref="K528">XLOOKUP(LCARS_Off[AbilityID],RawOfficer[AbilityID],RawOfficer[Tag_GroupArmadas])</f>
        <v>✅</v>
      </c>
      <c r="L528" s="516" t="str">
        <f t="array" ref="L528">XLOOKUP(LCARS_Off[AbilityID],RawOfficer[AbilityID],RawOfficer[Tag_SoloArmadas])</f>
        <v>✅</v>
      </c>
      <c r="M528" s="516" t="str">
        <f t="array" ref="M528">XLOOKUP(LCARS_Off[AbilityID],RawOfficer[AbilityID],RawOfficer[Tag_InvadingEntities])</f>
        <v>✅</v>
      </c>
      <c r="N528" s="516" t="str">
        <f t="array" ref="N528">XLOOKUP(LCARS_Off[AbilityID],RawOfficer[AbilityID],RawOfficer[Tag_Assaults])</f>
        <v>➖</v>
      </c>
      <c r="O528" s="516" t="str">
        <f t="array" ref="O528">XLOOKUP(LCARS_Off[AbilityID],RawOfficer[AbilityID],RawOfficer[Tag_OutpostArmadas])</f>
        <v>➖</v>
      </c>
      <c r="P528" s="516" t="str">
        <f t="array" ref="P528">XLOOKUP(LCARS_Off[AbilityID],RawOfficer[AbilityID],RawOfficer[Tag_OutpostRetaliators])</f>
        <v>➖</v>
      </c>
      <c r="Q528" s="517" t="str">
        <f t="array" ref="Q528">XLOOKUP(LCARS_Off[AbilityID],RawOfficer[AbilityID],RawOfficer[Conditional_Reason])</f>
        <v/>
      </c>
      <c r="R528" s="518" t="str">
        <f t="array" ref="R528">XLOOKUP(LCARS_Off[AbilityID],RawOfficer[AbilityID],RawOfficer[Tag_Loot])</f>
        <v>➖</v>
      </c>
      <c r="S528" s="516" t="str">
        <f t="array" ref="S528">XLOOKUP(LCARS_Off[AbilityID],RawOfficer[AbilityID],RawOfficer[Tag_Utility])</f>
        <v>➖</v>
      </c>
      <c r="T528" s="429" t="str">
        <f t="array" ref="T528">XLOOKUP(LCARS_Off[AbilityID],RawOfficer[AbilityID],RawOfficer[OfficerSynergy])</f>
        <v>WRATH OF KHAN</v>
      </c>
      <c r="U528" s="519" t="str">
        <f t="array" ref="U528">XLOOKUP(LCARS_Off[AbilityID],RawOfficer[AbilityID],RawOfficer[AbilityModifier])</f>
        <v>AllDefenses</v>
      </c>
      <c r="V528" s="519" t="str">
        <f t="array" ref="V528">XLOOKUP(LCARS_Off[AbilityID],RawOfficer[AbilityID],RawOfficer[AbilityAttributes])</f>
        <v>officer_stat=2</v>
      </c>
      <c r="W528" s="520" t="str">
        <f t="array" ref="W528">XLOOKUP(LCARS_Off[AbilityID],RawOfficer[AbilityID],RawOfficer[AbilityConditions])</f>
        <v>EnemyHostile</v>
      </c>
      <c r="X528" s="519" t="str">
        <f t="array" ref="X528">XLOOKUP(LCARS_Off[AbilityID],RawOfficer[AbilityID],RawOfficer[AbilityTrigger])</f>
        <v>CombatStart</v>
      </c>
      <c r="Y528" s="519" t="str">
        <f t="array" ref="Y528">XLOOKUP(LCARS_Off[AbilityID],RawOfficer[AbilityID],RawOfficer[AbilityTarget])</f>
        <v>SelfShip</v>
      </c>
      <c r="Z528" s="519" t="str">
        <f t="array" ref="Z528">XLOOKUP(LCARS_Off[AbilityID],RawOfficer[AbilityID],RawOfficer[AbilityOperation])</f>
        <v>MultiplyBaseAdd</v>
      </c>
      <c r="AA528" s="521" t="str">
        <f t="array" ref="AA528">XLOOKUP(LCARS_Off[AbilityID],RawOfficer[AbilityID],RawOfficer[AbilityDescription])</f>
        <v>On combat start against non-player hostiles or Armadas, WOK Leonard McCoy increases your Armor, Shield Deflection, and Dodge by X (X at rank X) of Defense.</v>
      </c>
      <c r="AB528" s="429" t="b">
        <v>0</v>
      </c>
      <c r="AC528" s="522" t="str">
        <f t="array" ref="AC528">XLOOKUP(LCARS_Off[AbilityID],RawOfficer[AbilityID],RawOfficer[AbilityDescriptionShort])</f>
        <v>Increases your Armor, Shield Deflection, and Dodge by X of Defense against non-player hostiles or Armadas.</v>
      </c>
      <c r="AD528" s="523"/>
      <c r="AE528" s="524"/>
      <c r="AF528" s="524"/>
      <c r="AG528" s="525" t="str">
        <f t="array" ref="AG528">XLOOKUP(LCARS_Off[AbilityID],RawOfficer[AbilityID],RawOfficer[AbilityChances])</f>
        <v>1.0, 1.0, 1.0, 1.0, 1.0</v>
      </c>
      <c r="AH528" s="525" t="str">
        <f t="array" ref="AH528">XLOOKUP(LCARS_Off[AbilityID],RawOfficer[AbilityID],RawOfficer[AbilityValues])</f>
        <v>3.0, 3.75, 4.5, 6.0, 8.0</v>
      </c>
      <c r="AI528" s="428" t="b">
        <f t="array" ref="AI528">XLOOKUP(LCARS_Off[AbilityID],RawOfficer[AbilityID],RawOfficer[AbilityHasChance])</f>
        <v>0</v>
      </c>
      <c r="AJ528" s="428" t="b">
        <f t="array" ref="AJ528">XLOOKUP(LCARS_Off[AbilityID],RawOfficer[AbilityID],RawOfficer[AbilityShowPercentage])</f>
        <v>1</v>
      </c>
      <c r="AK528" s="429">
        <f t="array" ref="AK528">XLOOKUP(LCARS_Off[AbilityID],RawOfficer[AbilityID],RawOfficer[OfficerArt])</f>
        <v>308</v>
      </c>
      <c r="AL528" s="430">
        <v>5.33816193E8</v>
      </c>
      <c r="AM528" s="430">
        <f t="array" ref="AM528">XLOOKUP(LCARS_Off[AbilityID],RawOfficer[AbilityID],RawOfficer[Default Order])</f>
        <v>525</v>
      </c>
    </row>
    <row r="529">
      <c r="A529" s="429" t="str">
        <f t="array" ref="A529">LEFT(XLOOKUP(LCARS_Off[AbilityID],RawOfficer[AbilityID],RawOfficer[OfficerRarity]), 1)</f>
        <v>E</v>
      </c>
      <c r="B529" s="429"/>
      <c r="C529" s="514" t="str">
        <f t="array" ref="C529">HYPERLINK("https://stfc.space/officers/" &amp; XLOOKUP(LCARS_Off[AbilityID],RawOfficer[AbilityID],RawOfficer[OfficerId]), XLOOKUP(LCARS_Off[AbilityID],RawOfficer[AbilityID],RawOfficer[OfficerName]))</f>
        <v>WOK JOACHIM</v>
      </c>
      <c r="D529" s="515" t="str">
        <f t="array" ref="D529">XLOOKUP(LCARS_Off[AbilityID],RawOfficer[AbilityID],RawOfficer[AbilityType])</f>
        <v>OA</v>
      </c>
      <c r="E529" s="516" t="str">
        <f t="array" ref="E529">XLOOKUP(LCARS_Off[AbilityID],RawOfficer[AbilityID],RawOfficer[Tag_PvPinSpace])</f>
        <v>✴️</v>
      </c>
      <c r="F529" s="516" t="str">
        <f t="array" ref="F529">XLOOKUP(LCARS_Off[AbilityID],RawOfficer[AbilityID],RawOfficer[Tag_PvPStation])</f>
        <v>✴️</v>
      </c>
      <c r="G529" s="516" t="str">
        <f t="array" ref="G529">XLOOKUP(LCARS_Off[AbilityID],RawOfficer[AbilityID],RawOfficer[Tag_NonArmadaHostiles])</f>
        <v>➖</v>
      </c>
      <c r="H529" s="516" t="str">
        <f t="array" ref="H529">XLOOKUP(LCARS_Off[AbilityID],RawOfficer[AbilityID],RawOfficer[Tag_WaveDefense])</f>
        <v>➖</v>
      </c>
      <c r="I529" s="516" t="str">
        <f t="array" ref="I529">XLOOKUP(LCARS_Off[AbilityID],RawOfficer[AbilityID],RawOfficer[Tag_QTrial])</f>
        <v>➖</v>
      </c>
      <c r="J529" s="516" t="str">
        <f t="array" ref="J529">XLOOKUP(LCARS_Off[AbilityID],RawOfficer[AbilityID],RawOfficer[Tag_MissionBosses])</f>
        <v>➖</v>
      </c>
      <c r="K529" s="516" t="str">
        <f t="array" ref="K529">XLOOKUP(LCARS_Off[AbilityID],RawOfficer[AbilityID],RawOfficer[Tag_GroupArmadas])</f>
        <v>➖</v>
      </c>
      <c r="L529" s="516" t="str">
        <f t="array" ref="L529">XLOOKUP(LCARS_Off[AbilityID],RawOfficer[AbilityID],RawOfficer[Tag_SoloArmadas])</f>
        <v>➖</v>
      </c>
      <c r="M529" s="516" t="str">
        <f t="array" ref="M529">XLOOKUP(LCARS_Off[AbilityID],RawOfficer[AbilityID],RawOfficer[Tag_InvadingEntities])</f>
        <v>➖</v>
      </c>
      <c r="N529" s="516" t="str">
        <f t="array" ref="N529">XLOOKUP(LCARS_Off[AbilityID],RawOfficer[AbilityID],RawOfficer[Tag_Assaults])</f>
        <v>➖</v>
      </c>
      <c r="O529" s="516" t="str">
        <f t="array" ref="O529">XLOOKUP(LCARS_Off[AbilityID],RawOfficer[AbilityID],RawOfficer[Tag_OutpostArmadas])</f>
        <v>➖</v>
      </c>
      <c r="P529" s="516" t="str">
        <f t="array" ref="P529">XLOOKUP(LCARS_Off[AbilityID],RawOfficer[AbilityID],RawOfficer[Tag_OutpostRetaliators])</f>
        <v>➖</v>
      </c>
      <c r="Q529" s="517" t="str">
        <f t="array" ref="Q529">XLOOKUP(LCARS_Off[AbilityID],RawOfficer[AbilityID],RawOfficer[Conditional_Reason])</f>
        <v>SelfSurveyor, SelfOfficerTalNotOnBridge</v>
      </c>
      <c r="R529" s="518" t="str">
        <f t="array" ref="R529">XLOOKUP(LCARS_Off[AbilityID],RawOfficer[AbilityID],RawOfficer[Tag_Loot])</f>
        <v>➖</v>
      </c>
      <c r="S529" s="516" t="str">
        <f t="array" ref="S529">XLOOKUP(LCARS_Off[AbilityID],RawOfficer[AbilityID],RawOfficer[Tag_Utility])</f>
        <v>➖</v>
      </c>
      <c r="T529" s="429" t="str">
        <f t="array" ref="T529">XLOOKUP(LCARS_Off[AbilityID],RawOfficer[AbilityID],RawOfficer[OfficerSynergy])</f>
        <v>WRATH OF KHAN</v>
      </c>
      <c r="U529" s="519" t="str">
        <f t="array" ref="U529">XLOOKUP(LCARS_Off[AbilityID],RawOfficer[AbilityID],RawOfficer[AbilityModifier])</f>
        <v>ApexBarrier</v>
      </c>
      <c r="V529" s="519" t="str">
        <f t="array" ref="V529">XLOOKUP(LCARS_Off[AbilityID],RawOfficer[AbilityID],RawOfficer[AbilityAttributes])</f>
        <v/>
      </c>
      <c r="W529" s="520" t="str">
        <f t="array" ref="W529">XLOOKUP(LCARS_Off[AbilityID],RawOfficer[AbilityID],RawOfficer[AbilityConditions])</f>
        <v>SelfSurveyor, EnemyPlayer, SelfOfficerTalNotOnBridge, SelfDefending</v>
      </c>
      <c r="X529" s="519" t="str">
        <f t="array" ref="X529">XLOOKUP(LCARS_Off[AbilityID],RawOfficer[AbilityID],RawOfficer[AbilityTrigger])</f>
        <v>CombatStart</v>
      </c>
      <c r="Y529" s="519" t="str">
        <f t="array" ref="Y529">XLOOKUP(LCARS_Off[AbilityID],RawOfficer[AbilityID],RawOfficer[AbilityTarget])</f>
        <v>SelfShip</v>
      </c>
      <c r="Z529" s="519" t="str">
        <f t="array" ref="Z529">XLOOKUP(LCARS_Off[AbilityID],RawOfficer[AbilityID],RawOfficer[AbilityOperation])</f>
        <v>Add</v>
      </c>
      <c r="AA529" s="521" t="str">
        <f t="array" ref="AA529">XLOOKUP(LCARS_Off[AbilityID],RawOfficer[AbilityID],RawOfficer[AbilityDescription])</f>
        <v>On combat start, WOK Joachim increases your Apex Barrier by X (X at rank X) when attacked by a player while on a Survey ship. -- This ability does not trigger when Tal is assigned to the bridge of your ship.</v>
      </c>
      <c r="AB529" s="429" t="b">
        <v>0</v>
      </c>
      <c r="AC529" s="522" t="str">
        <f t="array" ref="AC529">XLOOKUP(LCARS_Off[AbilityID],RawOfficer[AbilityID],RawOfficer[AbilityDescriptionShort])</f>
        <v>Increases your Apex Barrier by X when attacked by a player while on a Survey ship.</v>
      </c>
      <c r="AD529" s="523"/>
      <c r="AE529" s="524"/>
      <c r="AF529" s="524"/>
      <c r="AG529" s="525" t="str">
        <f t="array" ref="AG529">XLOOKUP(LCARS_Off[AbilityID],RawOfficer[AbilityID],RawOfficer[AbilityChances])</f>
        <v>1.0, 1.0, 1.0, 1.0, 1.0</v>
      </c>
      <c r="AH529" s="525" t="str">
        <f t="array" ref="AH529">XLOOKUP(LCARS_Off[AbilityID],RawOfficer[AbilityID],RawOfficer[AbilityValues])</f>
        <v>10000.0, 20000.0, 35000.0, 50000.0, 75000.0</v>
      </c>
      <c r="AI529" s="428" t="b">
        <f t="array" ref="AI529">XLOOKUP(LCARS_Off[AbilityID],RawOfficer[AbilityID],RawOfficer[AbilityHasChance])</f>
        <v>0</v>
      </c>
      <c r="AJ529" s="428" t="b">
        <f t="array" ref="AJ529">XLOOKUP(LCARS_Off[AbilityID],RawOfficer[AbilityID],RawOfficer[AbilityShowPercentage])</f>
        <v>0</v>
      </c>
      <c r="AK529" s="429">
        <f t="array" ref="AK529">XLOOKUP(LCARS_Off[AbilityID],RawOfficer[AbilityID],RawOfficer[OfficerArt])</f>
        <v>309</v>
      </c>
      <c r="AL529" s="430">
        <v>1.533467574E9</v>
      </c>
      <c r="AM529" s="430">
        <f t="array" ref="AM529">XLOOKUP(LCARS_Off[AbilityID],RawOfficer[AbilityID],RawOfficer[Default Order])</f>
        <v>526</v>
      </c>
    </row>
    <row r="530">
      <c r="A530" s="429" t="str">
        <f t="array" ref="A530">LEFT(XLOOKUP(LCARS_Off[AbilityID],RawOfficer[AbilityID],RawOfficer[OfficerRarity]), 1)</f>
        <v>E</v>
      </c>
      <c r="B530" s="429"/>
      <c r="C530" s="514" t="str">
        <f t="array" ref="C530">HYPERLINK("https://stfc.space/officers/" &amp; XLOOKUP(LCARS_Off[AbilityID],RawOfficer[AbilityID],RawOfficer[OfficerId]), XLOOKUP(LCARS_Off[AbilityID],RawOfficer[AbilityID],RawOfficer[OfficerName]))</f>
        <v>WOK JOACHIM</v>
      </c>
      <c r="D530" s="515" t="str">
        <f t="array" ref="D530">XLOOKUP(LCARS_Off[AbilityID],RawOfficer[AbilityID],RawOfficer[AbilityType])</f>
        <v>BDA</v>
      </c>
      <c r="E530" s="516" t="str">
        <f t="array" ref="E530">XLOOKUP(LCARS_Off[AbilityID],RawOfficer[AbilityID],RawOfficer[Tag_PvPinSpace])</f>
        <v>✅</v>
      </c>
      <c r="F530" s="516" t="str">
        <f t="array" ref="F530">XLOOKUP(LCARS_Off[AbilityID],RawOfficer[AbilityID],RawOfficer[Tag_PvPStation])</f>
        <v>✅</v>
      </c>
      <c r="G530" s="516" t="str">
        <f t="array" ref="G530">XLOOKUP(LCARS_Off[AbilityID],RawOfficer[AbilityID],RawOfficer[Tag_NonArmadaHostiles])</f>
        <v>✅</v>
      </c>
      <c r="H530" s="516" t="str">
        <f t="array" ref="H530">XLOOKUP(LCARS_Off[AbilityID],RawOfficer[AbilityID],RawOfficer[Tag_WaveDefense])</f>
        <v>✅</v>
      </c>
      <c r="I530" s="516" t="str">
        <f t="array" ref="I530">XLOOKUP(LCARS_Off[AbilityID],RawOfficer[AbilityID],RawOfficer[Tag_QTrial])</f>
        <v>✅</v>
      </c>
      <c r="J530" s="516" t="str">
        <f t="array" ref="J530">XLOOKUP(LCARS_Off[AbilityID],RawOfficer[AbilityID],RawOfficer[Tag_MissionBosses])</f>
        <v>✅</v>
      </c>
      <c r="K530" s="516" t="str">
        <f t="array" ref="K530">XLOOKUP(LCARS_Off[AbilityID],RawOfficer[AbilityID],RawOfficer[Tag_GroupArmadas])</f>
        <v>✅</v>
      </c>
      <c r="L530" s="516" t="str">
        <f t="array" ref="L530">XLOOKUP(LCARS_Off[AbilityID],RawOfficer[AbilityID],RawOfficer[Tag_SoloArmadas])</f>
        <v>✅</v>
      </c>
      <c r="M530" s="516" t="str">
        <f t="array" ref="M530">XLOOKUP(LCARS_Off[AbilityID],RawOfficer[AbilityID],RawOfficer[Tag_InvadingEntities])</f>
        <v>✅</v>
      </c>
      <c r="N530" s="516" t="str">
        <f t="array" ref="N530">XLOOKUP(LCARS_Off[AbilityID],RawOfficer[AbilityID],RawOfficer[Tag_Assaults])</f>
        <v>✅</v>
      </c>
      <c r="O530" s="516" t="str">
        <f t="array" ref="O530">XLOOKUP(LCARS_Off[AbilityID],RawOfficer[AbilityID],RawOfficer[Tag_OutpostArmadas])</f>
        <v>✅</v>
      </c>
      <c r="P530" s="516" t="str">
        <f t="array" ref="P530">XLOOKUP(LCARS_Off[AbilityID],RawOfficer[AbilityID],RawOfficer[Tag_OutpostRetaliators])</f>
        <v>✅</v>
      </c>
      <c r="Q530" s="517" t="str">
        <f t="array" ref="Q530">XLOOKUP(LCARS_Off[AbilityID],RawOfficer[AbilityID],RawOfficer[Conditional_Reason])</f>
        <v/>
      </c>
      <c r="R530" s="518" t="str">
        <f t="array" ref="R530">XLOOKUP(LCARS_Off[AbilityID],RawOfficer[AbilityID],RawOfficer[Tag_Loot])</f>
        <v>➖</v>
      </c>
      <c r="S530" s="516" t="str">
        <f t="array" ref="S530">XLOOKUP(LCARS_Off[AbilityID],RawOfficer[AbilityID],RawOfficer[Tag_Utility])</f>
        <v>➖</v>
      </c>
      <c r="T530" s="429" t="str">
        <f t="array" ref="T530">XLOOKUP(LCARS_Off[AbilityID],RawOfficer[AbilityID],RawOfficer[OfficerSynergy])</f>
        <v>WRATH OF KHAN</v>
      </c>
      <c r="U530" s="519" t="str">
        <f t="array" ref="U530">XLOOKUP(LCARS_Off[AbilityID],RawOfficer[AbilityID],RawOfficer[AbilityModifier])</f>
        <v>IsolyticDefense</v>
      </c>
      <c r="V530" s="519" t="str">
        <f t="array" ref="V530">XLOOKUP(LCARS_Off[AbilityID],RawOfficer[AbilityID],RawOfficer[AbilityAttributes])</f>
        <v/>
      </c>
      <c r="W530" s="520" t="str">
        <f t="array" ref="W530">XLOOKUP(LCARS_Off[AbilityID],RawOfficer[AbilityID],RawOfficer[AbilityConditions])</f>
        <v/>
      </c>
      <c r="X530" s="519" t="str">
        <f t="array" ref="X530">XLOOKUP(LCARS_Off[AbilityID],RawOfficer[AbilityID],RawOfficer[AbilityTrigger])</f>
        <v>ShipLaunched</v>
      </c>
      <c r="Y530" s="519" t="str">
        <f t="array" ref="Y530">XLOOKUP(LCARS_Off[AbilityID],RawOfficer[AbilityID],RawOfficer[AbilityTarget])</f>
        <v>SelfShip</v>
      </c>
      <c r="Z530" s="519" t="str">
        <f t="array" ref="Z530">XLOOKUP(LCARS_Off[AbilityID],RawOfficer[AbilityID],RawOfficer[AbilityOperation])</f>
        <v>Add</v>
      </c>
      <c r="AA530" s="521" t="str">
        <f t="array" ref="AA530">XLOOKUP(LCARS_Off[AbilityID],RawOfficer[AbilityID],RawOfficer[AbilityDescription])</f>
        <v>WOK Joachim increases your Isolytic Defense by X (X at rank X) against hostiles and players.</v>
      </c>
      <c r="AB530" s="429" t="b">
        <v>1</v>
      </c>
      <c r="AC530" s="522" t="str">
        <f t="array" ref="AC530">XLOOKUP(LCARS_Off[AbilityID],RawOfficer[AbilityID],RawOfficer[AbilityDescriptionShort])</f>
        <v>Increases your Isolytic Defense by X against hostiles and players.</v>
      </c>
      <c r="AD530" s="523"/>
      <c r="AE530" s="521" t="s">
        <v>580</v>
      </c>
      <c r="AF530" s="521" t="s">
        <v>581</v>
      </c>
      <c r="AG530" s="525" t="str">
        <f t="array" ref="AG530">XLOOKUP(LCARS_Off[AbilityID],RawOfficer[AbilityID],RawOfficer[AbilityChances])</f>
        <v>1.0, 1.0, 1.0, 1.0, 1.0</v>
      </c>
      <c r="AH530" s="525" t="str">
        <f t="array" ref="AH530">XLOOKUP(LCARS_Off[AbilityID],RawOfficer[AbilityID],RawOfficer[AbilityValues])</f>
        <v>1.0, 1.5, 2.0, 3.0, 5.0</v>
      </c>
      <c r="AI530" s="428" t="b">
        <f t="array" ref="AI530">XLOOKUP(LCARS_Off[AbilityID],RawOfficer[AbilityID],RawOfficer[AbilityHasChance])</f>
        <v>0</v>
      </c>
      <c r="AJ530" s="428" t="b">
        <f t="array" ref="AJ530">XLOOKUP(LCARS_Off[AbilityID],RawOfficer[AbilityID],RawOfficer[AbilityShowPercentage])</f>
        <v>1</v>
      </c>
      <c r="AK530" s="429">
        <f t="array" ref="AK530">XLOOKUP(LCARS_Off[AbilityID],RawOfficer[AbilityID],RawOfficer[OfficerArt])</f>
        <v>309</v>
      </c>
      <c r="AL530" s="430">
        <v>3.51013842E8</v>
      </c>
      <c r="AM530" s="430">
        <f t="array" ref="AM530">XLOOKUP(LCARS_Off[AbilityID],RawOfficer[AbilityID],RawOfficer[Default Order])</f>
        <v>527</v>
      </c>
    </row>
    <row r="531">
      <c r="A531" s="429" t="str">
        <f t="array" ref="A531">LEFT(XLOOKUP(LCARS_Off[AbilityID],RawOfficer[AbilityID],RawOfficer[OfficerRarity]), 1)</f>
        <v>E</v>
      </c>
      <c r="B531" s="429"/>
      <c r="C531" s="514" t="str">
        <f t="array" ref="C531">HYPERLINK("https://stfc.space/officers/" &amp; XLOOKUP(LCARS_Off[AbilityID],RawOfficer[AbilityID],RawOfficer[OfficerId]), XLOOKUP(LCARS_Off[AbilityID],RawOfficer[AbilityID],RawOfficer[OfficerName]))</f>
        <v>WOK SCOTTY</v>
      </c>
      <c r="D531" s="515" t="str">
        <f t="array" ref="D531">XLOOKUP(LCARS_Off[AbilityID],RawOfficer[AbilityID],RawOfficer[AbilityType])</f>
        <v>OA</v>
      </c>
      <c r="E531" s="516" t="str">
        <f t="array" ref="E531">XLOOKUP(LCARS_Off[AbilityID],RawOfficer[AbilityID],RawOfficer[Tag_PvPinSpace])</f>
        <v>➖</v>
      </c>
      <c r="F531" s="516" t="str">
        <f t="array" ref="F531">XLOOKUP(LCARS_Off[AbilityID],RawOfficer[AbilityID],RawOfficer[Tag_PvPStation])</f>
        <v>➖</v>
      </c>
      <c r="G531" s="516" t="str">
        <f t="array" ref="G531">XLOOKUP(LCARS_Off[AbilityID],RawOfficer[AbilityID],RawOfficer[Tag_NonArmadaHostiles])</f>
        <v>➖</v>
      </c>
      <c r="H531" s="516" t="str">
        <f t="array" ref="H531">XLOOKUP(LCARS_Off[AbilityID],RawOfficer[AbilityID],RawOfficer[Tag_WaveDefense])</f>
        <v>➖</v>
      </c>
      <c r="I531" s="516" t="str">
        <f t="array" ref="I531">XLOOKUP(LCARS_Off[AbilityID],RawOfficer[AbilityID],RawOfficer[Tag_QTrial])</f>
        <v>➖</v>
      </c>
      <c r="J531" s="516" t="str">
        <f t="array" ref="J531">XLOOKUP(LCARS_Off[AbilityID],RawOfficer[AbilityID],RawOfficer[Tag_MissionBosses])</f>
        <v>➖</v>
      </c>
      <c r="K531" s="516" t="str">
        <f t="array" ref="K531">XLOOKUP(LCARS_Off[AbilityID],RawOfficer[AbilityID],RawOfficer[Tag_GroupArmadas])</f>
        <v>✅</v>
      </c>
      <c r="L531" s="516" t="str">
        <f t="array" ref="L531">XLOOKUP(LCARS_Off[AbilityID],RawOfficer[AbilityID],RawOfficer[Tag_SoloArmadas])</f>
        <v>✅</v>
      </c>
      <c r="M531" s="516" t="str">
        <f t="array" ref="M531">XLOOKUP(LCARS_Off[AbilityID],RawOfficer[AbilityID],RawOfficer[Tag_InvadingEntities])</f>
        <v>✅</v>
      </c>
      <c r="N531" s="516" t="str">
        <f t="array" ref="N531">XLOOKUP(LCARS_Off[AbilityID],RawOfficer[AbilityID],RawOfficer[Tag_Assaults])</f>
        <v>➖</v>
      </c>
      <c r="O531" s="516" t="str">
        <f t="array" ref="O531">XLOOKUP(LCARS_Off[AbilityID],RawOfficer[AbilityID],RawOfficer[Tag_OutpostArmadas])</f>
        <v>✅</v>
      </c>
      <c r="P531" s="516" t="str">
        <f t="array" ref="P531">XLOOKUP(LCARS_Off[AbilityID],RawOfficer[AbilityID],RawOfficer[Tag_OutpostRetaliators])</f>
        <v>➖</v>
      </c>
      <c r="Q531" s="517" t="str">
        <f t="array" ref="Q531">XLOOKUP(LCARS_Off[AbilityID],RawOfficer[AbilityID],RawOfficer[Conditional_Reason])</f>
        <v/>
      </c>
      <c r="R531" s="518" t="str">
        <f t="array" ref="R531">XLOOKUP(LCARS_Off[AbilityID],RawOfficer[AbilityID],RawOfficer[Tag_Loot])</f>
        <v>✅</v>
      </c>
      <c r="S531" s="516" t="str">
        <f t="array" ref="S531">XLOOKUP(LCARS_Off[AbilityID],RawOfficer[AbilityID],RawOfficer[Tag_Utility])</f>
        <v>➖</v>
      </c>
      <c r="T531" s="429" t="str">
        <f t="array" ref="T531">XLOOKUP(LCARS_Off[AbilityID],RawOfficer[AbilityID],RawOfficer[OfficerSynergy])</f>
        <v>WRATH OF KHAN</v>
      </c>
      <c r="U531" s="519" t="str">
        <f t="array" ref="U531">XLOOKUP(LCARS_Off[AbilityID],RawOfficer[AbilityID],RawOfficer[AbilityModifier])</f>
        <v>ArmadaLoot</v>
      </c>
      <c r="V531" s="519" t="str">
        <f t="array" ref="V531">XLOOKUP(LCARS_Off[AbilityID],RawOfficer[AbilityID],RawOfficer[AbilityAttributes])</f>
        <v/>
      </c>
      <c r="W531" s="520" t="str">
        <f t="array" ref="W531">XLOOKUP(LCARS_Off[AbilityID],RawOfficer[AbilityID],RawOfficer[AbilityConditions])</f>
        <v/>
      </c>
      <c r="X531" s="519" t="str">
        <f t="array" ref="X531">XLOOKUP(LCARS_Off[AbilityID],RawOfficer[AbilityID],RawOfficer[AbilityTrigger])</f>
        <v>ShipLaunched</v>
      </c>
      <c r="Y531" s="519" t="str">
        <f t="array" ref="Y531">XLOOKUP(LCARS_Off[AbilityID],RawOfficer[AbilityID],RawOfficer[AbilityTarget])</f>
        <v>SelfShip</v>
      </c>
      <c r="Z531" s="519" t="str">
        <f t="array" ref="Z531">XLOOKUP(LCARS_Off[AbilityID],RawOfficer[AbilityID],RawOfficer[AbilityOperation])</f>
        <v>MultiplyAdd</v>
      </c>
      <c r="AA531" s="521" t="str">
        <f t="array" ref="AA531">XLOOKUP(LCARS_Off[AbilityID],RawOfficer[AbilityID],RawOfficer[AbilityDescription])</f>
        <v>WOK Montgomery Scott increases loot gained from Armadas by X (X at rank X).</v>
      </c>
      <c r="AB531" s="429" t="b">
        <v>1</v>
      </c>
      <c r="AC531" s="522" t="str">
        <f t="array" ref="AC531">XLOOKUP(LCARS_Off[AbilityID],RawOfficer[AbilityID],RawOfficer[AbilityDescriptionShort])</f>
        <v>Increases loot gained from Armadas by X</v>
      </c>
      <c r="AD531" s="523"/>
      <c r="AE531" s="521" t="s">
        <v>571</v>
      </c>
      <c r="AF531" s="521"/>
      <c r="AG531" s="525" t="str">
        <f t="array" ref="AG531">XLOOKUP(LCARS_Off[AbilityID],RawOfficer[AbilityID],RawOfficer[AbilityChances])</f>
        <v>1.0, 1.0, 1.0, 1.0, 1.0</v>
      </c>
      <c r="AH531" s="525" t="str">
        <f t="array" ref="AH531">XLOOKUP(LCARS_Off[AbilityID],RawOfficer[AbilityID],RawOfficer[AbilityValues])</f>
        <v>0.2, 0.4, 0.65, 0.9, 1.25</v>
      </c>
      <c r="AI531" s="428" t="b">
        <f t="array" ref="AI531">XLOOKUP(LCARS_Off[AbilityID],RawOfficer[AbilityID],RawOfficer[AbilityHasChance])</f>
        <v>0</v>
      </c>
      <c r="AJ531" s="428" t="b">
        <f t="array" ref="AJ531">XLOOKUP(LCARS_Off[AbilityID],RawOfficer[AbilityID],RawOfficer[AbilityShowPercentage])</f>
        <v>1</v>
      </c>
      <c r="AK531" s="429">
        <f t="array" ref="AK531">XLOOKUP(LCARS_Off[AbilityID],RawOfficer[AbilityID],RawOfficer[OfficerArt])</f>
        <v>310</v>
      </c>
      <c r="AL531" s="430">
        <v>3.910983177E9</v>
      </c>
      <c r="AM531" s="430">
        <f t="array" ref="AM531">XLOOKUP(LCARS_Off[AbilityID],RawOfficer[AbilityID],RawOfficer[Default Order])</f>
        <v>528</v>
      </c>
    </row>
    <row r="532">
      <c r="A532" s="429" t="str">
        <f t="array" ref="A532">LEFT(XLOOKUP(LCARS_Off[AbilityID],RawOfficer[AbilityID],RawOfficer[OfficerRarity]), 1)</f>
        <v>E</v>
      </c>
      <c r="B532" s="429"/>
      <c r="C532" s="514" t="str">
        <f t="array" ref="C532">HYPERLINK("https://stfc.space/officers/" &amp; XLOOKUP(LCARS_Off[AbilityID],RawOfficer[AbilityID],RawOfficer[OfficerId]), XLOOKUP(LCARS_Off[AbilityID],RawOfficer[AbilityID],RawOfficer[OfficerName]))</f>
        <v>WOK SCOTTY</v>
      </c>
      <c r="D532" s="515" t="str">
        <f t="array" ref="D532">XLOOKUP(LCARS_Off[AbilityID],RawOfficer[AbilityID],RawOfficer[AbilityType])</f>
        <v>BDA</v>
      </c>
      <c r="E532" s="516" t="str">
        <f t="array" ref="E532">XLOOKUP(LCARS_Off[AbilityID],RawOfficer[AbilityID],RawOfficer[Tag_PvPinSpace])</f>
        <v>➖</v>
      </c>
      <c r="F532" s="516" t="str">
        <f t="array" ref="F532">XLOOKUP(LCARS_Off[AbilityID],RawOfficer[AbilityID],RawOfficer[Tag_PvPStation])</f>
        <v>➖</v>
      </c>
      <c r="G532" s="516" t="str">
        <f t="array" ref="G532">XLOOKUP(LCARS_Off[AbilityID],RawOfficer[AbilityID],RawOfficer[Tag_NonArmadaHostiles])</f>
        <v>✅</v>
      </c>
      <c r="H532" s="516" t="str">
        <f t="array" ref="H532">XLOOKUP(LCARS_Off[AbilityID],RawOfficer[AbilityID],RawOfficer[Tag_WaveDefense])</f>
        <v>✅</v>
      </c>
      <c r="I532" s="516" t="str">
        <f t="array" ref="I532">XLOOKUP(LCARS_Off[AbilityID],RawOfficer[AbilityID],RawOfficer[Tag_QTrial])</f>
        <v>✅</v>
      </c>
      <c r="J532" s="516" t="str">
        <f t="array" ref="J532">XLOOKUP(LCARS_Off[AbilityID],RawOfficer[AbilityID],RawOfficer[Tag_MissionBosses])</f>
        <v>➖</v>
      </c>
      <c r="K532" s="516" t="str">
        <f t="array" ref="K532">XLOOKUP(LCARS_Off[AbilityID],RawOfficer[AbilityID],RawOfficer[Tag_GroupArmadas])</f>
        <v>➖</v>
      </c>
      <c r="L532" s="516" t="str">
        <f t="array" ref="L532">XLOOKUP(LCARS_Off[AbilityID],RawOfficer[AbilityID],RawOfficer[Tag_SoloArmadas])</f>
        <v>➖</v>
      </c>
      <c r="M532" s="516" t="str">
        <f t="array" ref="M532">XLOOKUP(LCARS_Off[AbilityID],RawOfficer[AbilityID],RawOfficer[Tag_InvadingEntities])</f>
        <v>➖</v>
      </c>
      <c r="N532" s="516" t="str">
        <f t="array" ref="N532">XLOOKUP(LCARS_Off[AbilityID],RawOfficer[AbilityID],RawOfficer[Tag_Assaults])</f>
        <v>➖</v>
      </c>
      <c r="O532" s="516" t="str">
        <f t="array" ref="O532">XLOOKUP(LCARS_Off[AbilityID],RawOfficer[AbilityID],RawOfficer[Tag_OutpostArmadas])</f>
        <v>➖</v>
      </c>
      <c r="P532" s="516" t="str">
        <f t="array" ref="P532">XLOOKUP(LCARS_Off[AbilityID],RawOfficer[AbilityID],RawOfficer[Tag_OutpostRetaliators])</f>
        <v>➖</v>
      </c>
      <c r="Q532" s="517" t="str">
        <f t="array" ref="Q532">XLOOKUP(LCARS_Off[AbilityID],RawOfficer[AbilityID],RawOfficer[Conditional_Reason])</f>
        <v/>
      </c>
      <c r="R532" s="518" t="str">
        <f t="array" ref="R532">XLOOKUP(LCARS_Off[AbilityID],RawOfficer[AbilityID],RawOfficer[Tag_Loot])</f>
        <v>➖</v>
      </c>
      <c r="S532" s="516" t="str">
        <f t="array" ref="S532">XLOOKUP(LCARS_Off[AbilityID],RawOfficer[AbilityID],RawOfficer[Tag_Utility])</f>
        <v>➖</v>
      </c>
      <c r="T532" s="429" t="str">
        <f t="array" ref="T532">XLOOKUP(LCARS_Off[AbilityID],RawOfficer[AbilityID],RawOfficer[OfficerSynergy])</f>
        <v>WRATH OF KHAN</v>
      </c>
      <c r="U532" s="519" t="str">
        <f t="array" ref="U532">XLOOKUP(LCARS_Off[AbilityID],RawOfficer[AbilityID],RawOfficer[AbilityModifier])</f>
        <v>ShieldMitigation</v>
      </c>
      <c r="V532" s="519" t="str">
        <f t="array" ref="V532">XLOOKUP(LCARS_Off[AbilityID],RawOfficer[AbilityID],RawOfficer[AbilityAttributes])</f>
        <v/>
      </c>
      <c r="W532" s="520" t="str">
        <f t="array" ref="W532">XLOOKUP(LCARS_Off[AbilityID],RawOfficer[AbilityID],RawOfficer[AbilityConditions])</f>
        <v>EnemyHostile, TargetNotArmada</v>
      </c>
      <c r="X532" s="519" t="str">
        <f t="array" ref="X532">XLOOKUP(LCARS_Off[AbilityID],RawOfficer[AbilityID],RawOfficer[AbilityTrigger])</f>
        <v>CombatStart</v>
      </c>
      <c r="Y532" s="519" t="str">
        <f t="array" ref="Y532">XLOOKUP(LCARS_Off[AbilityID],RawOfficer[AbilityID],RawOfficer[AbilityTarget])</f>
        <v>EnemyShip</v>
      </c>
      <c r="Z532" s="519" t="str">
        <f t="array" ref="Z532">XLOOKUP(LCARS_Off[AbilityID],RawOfficer[AbilityID],RawOfficer[AbilityOperation])</f>
        <v>Sub</v>
      </c>
      <c r="AA532" s="521" t="str">
        <f t="array" ref="AA532">XLOOKUP(LCARS_Off[AbilityID],RawOfficer[AbilityID],RawOfficer[AbilityDescription])</f>
        <v>WOK Montgomery Scott reduces enemy Shield Mitigation by X (X at rank X) when fighting non-Armada hostiles.</v>
      </c>
      <c r="AB532" s="429" t="b">
        <v>0</v>
      </c>
      <c r="AC532" s="522" t="str">
        <f t="array" ref="AC532">XLOOKUP(LCARS_Off[AbilityID],RawOfficer[AbilityID],RawOfficer[AbilityDescriptionShort])</f>
        <v>Reduces enemy Shield Mitigation by X when fighting non-Armada hostiles.</v>
      </c>
      <c r="AD532" s="523"/>
      <c r="AE532" s="524"/>
      <c r="AF532" s="524"/>
      <c r="AG532" s="525" t="str">
        <f t="array" ref="AG532">XLOOKUP(LCARS_Off[AbilityID],RawOfficer[AbilityID],RawOfficer[AbilityChances])</f>
        <v>1.0, 1.0, 1.0, 1.0, 1.0</v>
      </c>
      <c r="AH532" s="525" t="str">
        <f t="array" ref="AH532">XLOOKUP(LCARS_Off[AbilityID],RawOfficer[AbilityID],RawOfficer[AbilityValues])</f>
        <v>0.1, 0.15, 0.2, 0.3, 0.4</v>
      </c>
      <c r="AI532" s="428" t="b">
        <f t="array" ref="AI532">XLOOKUP(LCARS_Off[AbilityID],RawOfficer[AbilityID],RawOfficer[AbilityHasChance])</f>
        <v>0</v>
      </c>
      <c r="AJ532" s="428" t="b">
        <f t="array" ref="AJ532">XLOOKUP(LCARS_Off[AbilityID],RawOfficer[AbilityID],RawOfficer[AbilityShowPercentage])</f>
        <v>1</v>
      </c>
      <c r="AK532" s="429">
        <f t="array" ref="AK532">XLOOKUP(LCARS_Off[AbilityID],RawOfficer[AbilityID],RawOfficer[OfficerArt])</f>
        <v>310</v>
      </c>
      <c r="AL532" s="430">
        <v>1.897079104E9</v>
      </c>
      <c r="AM532" s="430">
        <f t="array" ref="AM532">XLOOKUP(LCARS_Off[AbilityID],RawOfficer[AbilityID],RawOfficer[Default Order])</f>
        <v>529</v>
      </c>
    </row>
    <row r="533">
      <c r="A533" s="429" t="str">
        <f t="array" ref="A533">LEFT(XLOOKUP(LCARS_Off[AbilityID],RawOfficer[AbilityID],RawOfficer[OfficerRarity]), 1)</f>
        <v>R</v>
      </c>
      <c r="B533" s="429"/>
      <c r="C533" s="514" t="str">
        <f t="array" ref="C533">HYPERLINK("https://stfc.space/officers/" &amp; XLOOKUP(LCARS_Off[AbilityID],RawOfficer[AbilityID],RawOfficer[OfficerId]), XLOOKUP(LCARS_Off[AbilityID],RawOfficer[AbilityID],RawOfficer[OfficerName]))</f>
        <v>WOK SAAVIK</v>
      </c>
      <c r="D533" s="515" t="str">
        <f t="array" ref="D533">XLOOKUP(LCARS_Off[AbilityID],RawOfficer[AbilityID],RawOfficer[AbilityType])</f>
        <v>OA</v>
      </c>
      <c r="E533" s="516" t="str">
        <f t="array" ref="E533">XLOOKUP(LCARS_Off[AbilityID],RawOfficer[AbilityID],RawOfficer[Tag_PvPinSpace])</f>
        <v>➖</v>
      </c>
      <c r="F533" s="516" t="str">
        <f t="array" ref="F533">XLOOKUP(LCARS_Off[AbilityID],RawOfficer[AbilityID],RawOfficer[Tag_PvPStation])</f>
        <v>➖</v>
      </c>
      <c r="G533" s="516" t="str">
        <f t="array" ref="G533">XLOOKUP(LCARS_Off[AbilityID],RawOfficer[AbilityID],RawOfficer[Tag_NonArmadaHostiles])</f>
        <v>➖</v>
      </c>
      <c r="H533" s="516" t="str">
        <f t="array" ref="H533">XLOOKUP(LCARS_Off[AbilityID],RawOfficer[AbilityID],RawOfficer[Tag_WaveDefense])</f>
        <v>✅</v>
      </c>
      <c r="I533" s="516" t="str">
        <f t="array" ref="I533">XLOOKUP(LCARS_Off[AbilityID],RawOfficer[AbilityID],RawOfficer[Tag_QTrial])</f>
        <v>➖</v>
      </c>
      <c r="J533" s="516" t="str">
        <f t="array" ref="J533">XLOOKUP(LCARS_Off[AbilityID],RawOfficer[AbilityID],RawOfficer[Tag_MissionBosses])</f>
        <v>➖</v>
      </c>
      <c r="K533" s="516" t="str">
        <f t="array" ref="K533">XLOOKUP(LCARS_Off[AbilityID],RawOfficer[AbilityID],RawOfficer[Tag_GroupArmadas])</f>
        <v>➖</v>
      </c>
      <c r="L533" s="516" t="str">
        <f t="array" ref="L533">XLOOKUP(LCARS_Off[AbilityID],RawOfficer[AbilityID],RawOfficer[Tag_SoloArmadas])</f>
        <v>➖</v>
      </c>
      <c r="M533" s="516" t="str">
        <f t="array" ref="M533">XLOOKUP(LCARS_Off[AbilityID],RawOfficer[AbilityID],RawOfficer[Tag_InvadingEntities])</f>
        <v>➖</v>
      </c>
      <c r="N533" s="516" t="str">
        <f t="array" ref="N533">XLOOKUP(LCARS_Off[AbilityID],RawOfficer[AbilityID],RawOfficer[Tag_Assaults])</f>
        <v>➖</v>
      </c>
      <c r="O533" s="516" t="str">
        <f t="array" ref="O533">XLOOKUP(LCARS_Off[AbilityID],RawOfficer[AbilityID],RawOfficer[Tag_OutpostArmadas])</f>
        <v>➖</v>
      </c>
      <c r="P533" s="516" t="str">
        <f t="array" ref="P533">XLOOKUP(LCARS_Off[AbilityID],RawOfficer[AbilityID],RawOfficer[Tag_OutpostRetaliators])</f>
        <v>➖</v>
      </c>
      <c r="Q533" s="517" t="str">
        <f t="array" ref="Q533">XLOOKUP(LCARS_Off[AbilityID],RawOfficer[AbilityID],RawOfficer[Conditional_Reason])</f>
        <v/>
      </c>
      <c r="R533" s="518" t="str">
        <f t="array" ref="R533">XLOOKUP(LCARS_Off[AbilityID],RawOfficer[AbilityID],RawOfficer[Tag_Loot])</f>
        <v>➖</v>
      </c>
      <c r="S533" s="516" t="str">
        <f t="array" ref="S533">XLOOKUP(LCARS_Off[AbilityID],RawOfficer[AbilityID],RawOfficer[Tag_Utility])</f>
        <v>➖</v>
      </c>
      <c r="T533" s="429" t="str">
        <f t="array" ref="T533">XLOOKUP(LCARS_Off[AbilityID],RawOfficer[AbilityID],RawOfficer[OfficerSynergy])</f>
        <v>WRATH OF KHAN</v>
      </c>
      <c r="U533" s="519" t="str">
        <f t="array" ref="U533">XLOOKUP(LCARS_Off[AbilityID],RawOfficer[AbilityID],RawOfficer[AbilityModifier])</f>
        <v>IsolyticDamage</v>
      </c>
      <c r="V533" s="519" t="str">
        <f t="array" ref="V533">XLOOKUP(LCARS_Off[AbilityID],RawOfficer[AbilityID],RawOfficer[AbilityAttributes])</f>
        <v/>
      </c>
      <c r="W533" s="520" t="str">
        <f t="array" ref="W533">XLOOKUP(LCARS_Off[AbilityID],RawOfficer[AbilityID],RawOfficer[AbilityConditions])</f>
        <v>SelfAtWaveDefenseChallenge</v>
      </c>
      <c r="X533" s="519" t="str">
        <f t="array" ref="X533">XLOOKUP(LCARS_Off[AbilityID],RawOfficer[AbilityID],RawOfficer[AbilityTrigger])</f>
        <v>CombatStart</v>
      </c>
      <c r="Y533" s="519" t="str">
        <f t="array" ref="Y533">XLOOKUP(LCARS_Off[AbilityID],RawOfficer[AbilityID],RawOfficer[AbilityTarget])</f>
        <v>SelfShip</v>
      </c>
      <c r="Z533" s="519" t="str">
        <f t="array" ref="Z533">XLOOKUP(LCARS_Off[AbilityID],RawOfficer[AbilityID],RawOfficer[AbilityOperation])</f>
        <v>MultiplyAdd</v>
      </c>
      <c r="AA533" s="521" t="str">
        <f t="array" ref="AA533">XLOOKUP(LCARS_Off[AbilityID],RawOfficer[AbilityID],RawOfficer[AbilityDescription])</f>
        <v>On combat start, WOK Saavik increases Isolytic Cascade damage by X (X at rank X) when in Wave Defense.</v>
      </c>
      <c r="AB533" s="429" t="b">
        <v>0</v>
      </c>
      <c r="AC533" s="522" t="str">
        <f t="array" ref="AC533">XLOOKUP(LCARS_Off[AbilityID],RawOfficer[AbilityID],RawOfficer[AbilityDescriptionShort])</f>
        <v>Increases Isolytic Cascade damage by X when in Wave Defense.</v>
      </c>
      <c r="AD533" s="523"/>
      <c r="AE533" s="524"/>
      <c r="AF533" s="524"/>
      <c r="AG533" s="525" t="str">
        <f t="array" ref="AG533">XLOOKUP(LCARS_Off[AbilityID],RawOfficer[AbilityID],RawOfficer[AbilityChances])</f>
        <v>1.0, 1.0, 1.0, 1.0, 1.0</v>
      </c>
      <c r="AH533" s="525" t="str">
        <f t="array" ref="AH533">XLOOKUP(LCARS_Off[AbilityID],RawOfficer[AbilityID],RawOfficer[AbilityValues])</f>
        <v>0.7, 0.9, 1.1, 1.3, 1.5</v>
      </c>
      <c r="AI533" s="428" t="b">
        <f t="array" ref="AI533">XLOOKUP(LCARS_Off[AbilityID],RawOfficer[AbilityID],RawOfficer[AbilityHasChance])</f>
        <v>0</v>
      </c>
      <c r="AJ533" s="428" t="b">
        <f t="array" ref="AJ533">XLOOKUP(LCARS_Off[AbilityID],RawOfficer[AbilityID],RawOfficer[AbilityShowPercentage])</f>
        <v>1</v>
      </c>
      <c r="AK533" s="429">
        <f t="array" ref="AK533">XLOOKUP(LCARS_Off[AbilityID],RawOfficer[AbilityID],RawOfficer[OfficerArt])</f>
        <v>311</v>
      </c>
      <c r="AL533" s="430">
        <v>2.156699259E9</v>
      </c>
      <c r="AM533" s="430">
        <f t="array" ref="AM533">XLOOKUP(LCARS_Off[AbilityID],RawOfficer[AbilityID],RawOfficer[Default Order])</f>
        <v>530</v>
      </c>
    </row>
    <row r="534">
      <c r="A534" s="429" t="str">
        <f t="array" ref="A534">LEFT(XLOOKUP(LCARS_Off[AbilityID],RawOfficer[AbilityID],RawOfficer[OfficerRarity]), 1)</f>
        <v>R</v>
      </c>
      <c r="B534" s="429"/>
      <c r="C534" s="514" t="str">
        <f t="array" ref="C534">HYPERLINK("https://stfc.space/officers/" &amp; XLOOKUP(LCARS_Off[AbilityID],RawOfficer[AbilityID],RawOfficer[OfficerId]), XLOOKUP(LCARS_Off[AbilityID],RawOfficer[AbilityID],RawOfficer[OfficerName]))</f>
        <v>WOK SAAVIK</v>
      </c>
      <c r="D534" s="515" t="str">
        <f t="array" ref="D534">XLOOKUP(LCARS_Off[AbilityID],RawOfficer[AbilityID],RawOfficer[AbilityType])</f>
        <v>BDA</v>
      </c>
      <c r="E534" s="516" t="str">
        <f t="array" ref="E534">XLOOKUP(LCARS_Off[AbilityID],RawOfficer[AbilityID],RawOfficer[Tag_PvPinSpace])</f>
        <v>➖</v>
      </c>
      <c r="F534" s="516" t="str">
        <f t="array" ref="F534">XLOOKUP(LCARS_Off[AbilityID],RawOfficer[AbilityID],RawOfficer[Tag_PvPStation])</f>
        <v>➖</v>
      </c>
      <c r="G534" s="516" t="str">
        <f t="array" ref="G534">XLOOKUP(LCARS_Off[AbilityID],RawOfficer[AbilityID],RawOfficer[Tag_NonArmadaHostiles])</f>
        <v>✴️</v>
      </c>
      <c r="H534" s="516" t="str">
        <f t="array" ref="H534">XLOOKUP(LCARS_Off[AbilityID],RawOfficer[AbilityID],RawOfficer[Tag_WaveDefense])</f>
        <v>✴️</v>
      </c>
      <c r="I534" s="516" t="str">
        <f t="array" ref="I534">XLOOKUP(LCARS_Off[AbilityID],RawOfficer[AbilityID],RawOfficer[Tag_QTrial])</f>
        <v>✴️</v>
      </c>
      <c r="J534" s="516" t="str">
        <f t="array" ref="J534">XLOOKUP(LCARS_Off[AbilityID],RawOfficer[AbilityID],RawOfficer[Tag_MissionBosses])</f>
        <v>➖</v>
      </c>
      <c r="K534" s="516" t="str">
        <f t="array" ref="K534">XLOOKUP(LCARS_Off[AbilityID],RawOfficer[AbilityID],RawOfficer[Tag_GroupArmadas])</f>
        <v>➖</v>
      </c>
      <c r="L534" s="516" t="str">
        <f t="array" ref="L534">XLOOKUP(LCARS_Off[AbilityID],RawOfficer[AbilityID],RawOfficer[Tag_SoloArmadas])</f>
        <v>➖</v>
      </c>
      <c r="M534" s="516" t="str">
        <f t="array" ref="M534">XLOOKUP(LCARS_Off[AbilityID],RawOfficer[AbilityID],RawOfficer[Tag_InvadingEntities])</f>
        <v>➖</v>
      </c>
      <c r="N534" s="516" t="str">
        <f t="array" ref="N534">XLOOKUP(LCARS_Off[AbilityID],RawOfficer[AbilityID],RawOfficer[Tag_Assaults])</f>
        <v>➖</v>
      </c>
      <c r="O534" s="516" t="str">
        <f t="array" ref="O534">XLOOKUP(LCARS_Off[AbilityID],RawOfficer[AbilityID],RawOfficer[Tag_OutpostArmadas])</f>
        <v>➖</v>
      </c>
      <c r="P534" s="516" t="str">
        <f t="array" ref="P534">XLOOKUP(LCARS_Off[AbilityID],RawOfficer[AbilityID],RawOfficer[Tag_OutpostRetaliators])</f>
        <v>➖</v>
      </c>
      <c r="Q534" s="517" t="str">
        <f t="array" ref="Q534">XLOOKUP(LCARS_Off[AbilityID],RawOfficer[AbilityID],RawOfficer[Conditional_Reason])</f>
        <v>TargetStateAny</v>
      </c>
      <c r="R534" s="518" t="str">
        <f t="array" ref="R534">XLOOKUP(LCARS_Off[AbilityID],RawOfficer[AbilityID],RawOfficer[Tag_Loot])</f>
        <v>➖</v>
      </c>
      <c r="S534" s="516" t="str">
        <f t="array" ref="S534">XLOOKUP(LCARS_Off[AbilityID],RawOfficer[AbilityID],RawOfficer[Tag_Utility])</f>
        <v>➖</v>
      </c>
      <c r="T534" s="429" t="str">
        <f t="array" ref="T534">XLOOKUP(LCARS_Off[AbilityID],RawOfficer[AbilityID],RawOfficer[OfficerSynergy])</f>
        <v>WRATH OF KHAN</v>
      </c>
      <c r="U534" s="519" t="str">
        <f t="array" ref="U534">XLOOKUP(LCARS_Off[AbilityID],RawOfficer[AbilityID],RawOfficer[AbilityModifier])</f>
        <v>IsolyticDamage</v>
      </c>
      <c r="V534" s="519" t="str">
        <f t="array" ref="V534">XLOOKUP(LCARS_Off[AbilityID],RawOfficer[AbilityID],RawOfficer[AbilityAttributes])</f>
        <v>num_rounds=1</v>
      </c>
      <c r="W534" s="520" t="str">
        <f t="array" ref="W534">XLOOKUP(LCARS_Off[AbilityID],RawOfficer[AbilityID],RawOfficer[AbilityConditions])</f>
        <v>EnemyHostile, TargetNotArmada, TargetStateAny</v>
      </c>
      <c r="X534" s="519" t="str">
        <f t="array" ref="X534">XLOOKUP(LCARS_Off[AbilityID],RawOfficer[AbilityID],RawOfficer[AbilityTrigger])</f>
        <v>RoundStart</v>
      </c>
      <c r="Y534" s="519" t="str">
        <f t="array" ref="Y534">XLOOKUP(LCARS_Off[AbilityID],RawOfficer[AbilityID],RawOfficer[AbilityTarget])</f>
        <v>SelfShip</v>
      </c>
      <c r="Z534" s="519" t="str">
        <f t="array" ref="Z534">XLOOKUP(LCARS_Off[AbilityID],RawOfficer[AbilityID],RawOfficer[AbilityOperation])</f>
        <v>MultiplyAdd</v>
      </c>
      <c r="AA534" s="521" t="str">
        <f t="array" ref="AA534">XLOOKUP(LCARS_Off[AbilityID],RawOfficer[AbilityID],RawOfficer[AbilityDescription])</f>
        <v>On round start, against non-Armada hostiles, WOK Saavik increases your Isolytic Cascade damage by X (X at rank X) for 1 round, if the enemy has any state.</v>
      </c>
      <c r="AB534" s="429" t="b">
        <v>0</v>
      </c>
      <c r="AC534" s="522" t="str">
        <f t="array" ref="AC534">XLOOKUP(LCARS_Off[AbilityID],RawOfficer[AbilityID],RawOfficer[AbilityDescriptionShort])</f>
        <v>On round start, against non-Armada hostiles, increase your Isolytic Cascade damage by X for 1 round, if the enemy has any state.</v>
      </c>
      <c r="AD534" s="523"/>
      <c r="AE534" s="524"/>
      <c r="AF534" s="524"/>
      <c r="AG534" s="525" t="str">
        <f t="array" ref="AG534">XLOOKUP(LCARS_Off[AbilityID],RawOfficer[AbilityID],RawOfficer[AbilityChances])</f>
        <v>1.0, 1.0, 1.0, 1.0, 1.0</v>
      </c>
      <c r="AH534" s="525" t="str">
        <f t="array" ref="AH534">XLOOKUP(LCARS_Off[AbilityID],RawOfficer[AbilityID],RawOfficer[AbilityValues])</f>
        <v>0.15, 0.2, 0.3, 0.5, 0.7</v>
      </c>
      <c r="AI534" s="428" t="b">
        <f t="array" ref="AI534">XLOOKUP(LCARS_Off[AbilityID],RawOfficer[AbilityID],RawOfficer[AbilityHasChance])</f>
        <v>0</v>
      </c>
      <c r="AJ534" s="428" t="b">
        <f t="array" ref="AJ534">XLOOKUP(LCARS_Off[AbilityID],RawOfficer[AbilityID],RawOfficer[AbilityShowPercentage])</f>
        <v>1</v>
      </c>
      <c r="AK534" s="429">
        <f t="array" ref="AK534">XLOOKUP(LCARS_Off[AbilityID],RawOfficer[AbilityID],RawOfficer[OfficerArt])</f>
        <v>311</v>
      </c>
      <c r="AL534" s="430">
        <v>3.649514938E9</v>
      </c>
      <c r="AM534" s="430">
        <f t="array" ref="AM534">XLOOKUP(LCARS_Off[AbilityID],RawOfficer[AbilityID],RawOfficer[Default Order])</f>
        <v>531</v>
      </c>
    </row>
    <row r="535">
      <c r="A535" s="429" t="str">
        <f t="array" ref="A535">LEFT(XLOOKUP(LCARS_Off[AbilityID],RawOfficer[AbilityID],RawOfficer[OfficerRarity]), 1)</f>
        <v>E</v>
      </c>
      <c r="B535" s="429"/>
      <c r="C535" s="514" t="str">
        <f t="array" ref="C535">HYPERLINK("https://stfc.space/officers/" &amp; XLOOKUP(LCARS_Off[AbilityID],RawOfficer[AbilityID],RawOfficer[OfficerId]), XLOOKUP(LCARS_Off[AbilityID],RawOfficer[AbilityID],RawOfficer[OfficerName]))</f>
        <v>SNW SCOTTY</v>
      </c>
      <c r="D535" s="515" t="str">
        <f t="array" ref="D535">XLOOKUP(LCARS_Off[AbilityID],RawOfficer[AbilityID],RawOfficer[AbilityType])</f>
        <v>OA</v>
      </c>
      <c r="E535" s="516" t="str">
        <f t="array" ref="E535">XLOOKUP(LCARS_Off[AbilityID],RawOfficer[AbilityID],RawOfficer[Tag_PvPinSpace])</f>
        <v>➖</v>
      </c>
      <c r="F535" s="516" t="str">
        <f t="array" ref="F535">XLOOKUP(LCARS_Off[AbilityID],RawOfficer[AbilityID],RawOfficer[Tag_PvPStation])</f>
        <v>➖</v>
      </c>
      <c r="G535" s="516" t="str">
        <f t="array" ref="G535">XLOOKUP(LCARS_Off[AbilityID],RawOfficer[AbilityID],RawOfficer[Tag_NonArmadaHostiles])</f>
        <v>✴️</v>
      </c>
      <c r="H535" s="516" t="str">
        <f t="array" ref="H535">XLOOKUP(LCARS_Off[AbilityID],RawOfficer[AbilityID],RawOfficer[Tag_WaveDefense])</f>
        <v>✴️</v>
      </c>
      <c r="I535" s="516" t="str">
        <f t="array" ref="I535">XLOOKUP(LCARS_Off[AbilityID],RawOfficer[AbilityID],RawOfficer[Tag_QTrial])</f>
        <v>✴️</v>
      </c>
      <c r="J535" s="516" t="str">
        <f t="array" ref="J535">XLOOKUP(LCARS_Off[AbilityID],RawOfficer[AbilityID],RawOfficer[Tag_MissionBosses])</f>
        <v>✴️</v>
      </c>
      <c r="K535" s="516" t="str">
        <f t="array" ref="K535">XLOOKUP(LCARS_Off[AbilityID],RawOfficer[AbilityID],RawOfficer[Tag_GroupArmadas])</f>
        <v>✴️</v>
      </c>
      <c r="L535" s="516" t="str">
        <f t="array" ref="L535">XLOOKUP(LCARS_Off[AbilityID],RawOfficer[AbilityID],RawOfficer[Tag_SoloArmadas])</f>
        <v>✴️</v>
      </c>
      <c r="M535" s="516" t="str">
        <f t="array" ref="M535">XLOOKUP(LCARS_Off[AbilityID],RawOfficer[AbilityID],RawOfficer[Tag_InvadingEntities])</f>
        <v>➖</v>
      </c>
      <c r="N535" s="516" t="str">
        <f t="array" ref="N535">XLOOKUP(LCARS_Off[AbilityID],RawOfficer[AbilityID],RawOfficer[Tag_Assaults])</f>
        <v>✴️</v>
      </c>
      <c r="O535" s="516" t="str">
        <f t="array" ref="O535">XLOOKUP(LCARS_Off[AbilityID],RawOfficer[AbilityID],RawOfficer[Tag_OutpostArmadas])</f>
        <v>➖</v>
      </c>
      <c r="P535" s="516" t="str">
        <f t="array" ref="P535">XLOOKUP(LCARS_Off[AbilityID],RawOfficer[AbilityID],RawOfficer[Tag_OutpostRetaliators])</f>
        <v>➖</v>
      </c>
      <c r="Q535" s="517" t="str">
        <f t="array" ref="Q535">XLOOKUP(LCARS_Off[AbilityID],RawOfficer[AbilityID],RawOfficer[Conditional_Reason])</f>
        <v>Suliban</v>
      </c>
      <c r="R535" s="518" t="str">
        <f t="array" ref="R535">XLOOKUP(LCARS_Off[AbilityID],RawOfficer[AbilityID],RawOfficer[Tag_Loot])</f>
        <v>➖</v>
      </c>
      <c r="S535" s="516" t="str">
        <f t="array" ref="S535">XLOOKUP(LCARS_Off[AbilityID],RawOfficer[AbilityID],RawOfficer[Tag_Utility])</f>
        <v>➖</v>
      </c>
      <c r="T535" s="429" t="str">
        <f t="array" ref="T535">XLOOKUP(LCARS_Off[AbilityID],RawOfficer[AbilityID],RawOfficer[OfficerSynergy])</f>
        <v>STRANGE NEW WORLDS</v>
      </c>
      <c r="U535" s="519" t="str">
        <f t="array" ref="U535">XLOOKUP(LCARS_Off[AbilityID],RawOfficer[AbilityID],RawOfficer[AbilityModifier])</f>
        <v>IsolyticDamage</v>
      </c>
      <c r="V535" s="519" t="str">
        <f t="array" ref="V535">XLOOKUP(LCARS_Off[AbilityID],RawOfficer[AbilityID],RawOfficer[AbilityAttributes])</f>
        <v>faction_id=3292196998</v>
      </c>
      <c r="W535" s="520" t="str">
        <f t="array" ref="W535">XLOOKUP(LCARS_Off[AbilityID],RawOfficer[AbilityID],RawOfficer[AbilityConditions])</f>
        <v>EnemyHullFaction</v>
      </c>
      <c r="X535" s="519" t="str">
        <f t="array" ref="X535">XLOOKUP(LCARS_Off[AbilityID],RawOfficer[AbilityID],RawOfficer[AbilityTrigger])</f>
        <v>CombatStart</v>
      </c>
      <c r="Y535" s="519" t="str">
        <f t="array" ref="Y535">XLOOKUP(LCARS_Off[AbilityID],RawOfficer[AbilityID],RawOfficer[AbilityTarget])</f>
        <v>SelfShip</v>
      </c>
      <c r="Z535" s="519" t="str">
        <f t="array" ref="Z535">XLOOKUP(LCARS_Off[AbilityID],RawOfficer[AbilityID],RawOfficer[AbilityOperation])</f>
        <v>MultiplyAdd</v>
      </c>
      <c r="AA535" s="521" t="str">
        <f t="array" ref="AA535">XLOOKUP(LCARS_Off[AbilityID],RawOfficer[AbilityID],RawOfficer[AbilityDescription])</f>
        <v>SNW Montgomery Scott increases Isolytic Cascade Damage by X (X at rank X) versus Suliban Hostiles.</v>
      </c>
      <c r="AB535" s="429" t="b">
        <v>0</v>
      </c>
      <c r="AC535" s="522" t="str">
        <f t="array" ref="AC535">XLOOKUP(LCARS_Off[AbilityID],RawOfficer[AbilityID],RawOfficer[AbilityDescriptionShort])</f>
        <v>Increases Isolytic Cascade Damage by X versus Suliban Hostiles.</v>
      </c>
      <c r="AD535" s="523"/>
      <c r="AE535" s="524"/>
      <c r="AF535" s="524"/>
      <c r="AG535" s="525" t="str">
        <f t="array" ref="AG535">XLOOKUP(LCARS_Off[AbilityID],RawOfficer[AbilityID],RawOfficer[AbilityChances])</f>
        <v>1.0, 1.0, 1.0, 1.0, 1.0</v>
      </c>
      <c r="AH535" s="525" t="str">
        <f t="array" ref="AH535">XLOOKUP(LCARS_Off[AbilityID],RawOfficer[AbilityID],RawOfficer[AbilityValues])</f>
        <v>0.4, 0.55, 0.8, 1.1, 1.5</v>
      </c>
      <c r="AI535" s="428" t="b">
        <f t="array" ref="AI535">XLOOKUP(LCARS_Off[AbilityID],RawOfficer[AbilityID],RawOfficer[AbilityHasChance])</f>
        <v>0</v>
      </c>
      <c r="AJ535" s="428" t="b">
        <f t="array" ref="AJ535">XLOOKUP(LCARS_Off[AbilityID],RawOfficer[AbilityID],RawOfficer[AbilityShowPercentage])</f>
        <v>1</v>
      </c>
      <c r="AK535" s="429">
        <f t="array" ref="AK535">XLOOKUP(LCARS_Off[AbilityID],RawOfficer[AbilityID],RawOfficer[OfficerArt])</f>
        <v>312</v>
      </c>
      <c r="AL535" s="430">
        <v>3.735581723E9</v>
      </c>
      <c r="AM535" s="430">
        <f t="array" ref="AM535">XLOOKUP(LCARS_Off[AbilityID],RawOfficer[AbilityID],RawOfficer[Default Order])</f>
        <v>532</v>
      </c>
    </row>
    <row r="536">
      <c r="A536" s="429" t="str">
        <f t="array" ref="A536">LEFT(XLOOKUP(LCARS_Off[AbilityID],RawOfficer[AbilityID],RawOfficer[OfficerRarity]), 1)</f>
        <v>E</v>
      </c>
      <c r="B536" s="429"/>
      <c r="C536" s="514" t="str">
        <f t="array" ref="C536">HYPERLINK("https://stfc.space/officers/" &amp; XLOOKUP(LCARS_Off[AbilityID],RawOfficer[AbilityID],RawOfficer[OfficerId]), XLOOKUP(LCARS_Off[AbilityID],RawOfficer[AbilityID],RawOfficer[OfficerName]))</f>
        <v>SNW SCOTTY</v>
      </c>
      <c r="D536" s="515" t="str">
        <f t="array" ref="D536">XLOOKUP(LCARS_Off[AbilityID],RawOfficer[AbilityID],RawOfficer[AbilityType])</f>
        <v>BDA</v>
      </c>
      <c r="E536" s="516" t="str">
        <f t="array" ref="E536">XLOOKUP(LCARS_Off[AbilityID],RawOfficer[AbilityID],RawOfficer[Tag_PvPinSpace])</f>
        <v>✅</v>
      </c>
      <c r="F536" s="516" t="str">
        <f t="array" ref="F536">XLOOKUP(LCARS_Off[AbilityID],RawOfficer[AbilityID],RawOfficer[Tag_PvPStation])</f>
        <v>✅</v>
      </c>
      <c r="G536" s="516" t="str">
        <f t="array" ref="G536">XLOOKUP(LCARS_Off[AbilityID],RawOfficer[AbilityID],RawOfficer[Tag_NonArmadaHostiles])</f>
        <v>✅</v>
      </c>
      <c r="H536" s="516" t="str">
        <f t="array" ref="H536">XLOOKUP(LCARS_Off[AbilityID],RawOfficer[AbilityID],RawOfficer[Tag_WaveDefense])</f>
        <v>✅</v>
      </c>
      <c r="I536" s="516" t="str">
        <f t="array" ref="I536">XLOOKUP(LCARS_Off[AbilityID],RawOfficer[AbilityID],RawOfficer[Tag_QTrial])</f>
        <v>✅</v>
      </c>
      <c r="J536" s="516" t="str">
        <f t="array" ref="J536">XLOOKUP(LCARS_Off[AbilityID],RawOfficer[AbilityID],RawOfficer[Tag_MissionBosses])</f>
        <v>✅</v>
      </c>
      <c r="K536" s="516" t="str">
        <f t="array" ref="K536">XLOOKUP(LCARS_Off[AbilityID],RawOfficer[AbilityID],RawOfficer[Tag_GroupArmadas])</f>
        <v>✅</v>
      </c>
      <c r="L536" s="516" t="str">
        <f t="array" ref="L536">XLOOKUP(LCARS_Off[AbilityID],RawOfficer[AbilityID],RawOfficer[Tag_SoloArmadas])</f>
        <v>✅</v>
      </c>
      <c r="M536" s="516" t="str">
        <f t="array" ref="M536">XLOOKUP(LCARS_Off[AbilityID],RawOfficer[AbilityID],RawOfficer[Tag_InvadingEntities])</f>
        <v>✅</v>
      </c>
      <c r="N536" s="516" t="str">
        <f t="array" ref="N536">XLOOKUP(LCARS_Off[AbilityID],RawOfficer[AbilityID],RawOfficer[Tag_Assaults])</f>
        <v>✅</v>
      </c>
      <c r="O536" s="516" t="str">
        <f t="array" ref="O536">XLOOKUP(LCARS_Off[AbilityID],RawOfficer[AbilityID],RawOfficer[Tag_OutpostArmadas])</f>
        <v>✅</v>
      </c>
      <c r="P536" s="516" t="str">
        <f t="array" ref="P536">XLOOKUP(LCARS_Off[AbilityID],RawOfficer[AbilityID],RawOfficer[Tag_OutpostRetaliators])</f>
        <v>✅</v>
      </c>
      <c r="Q536" s="517" t="str">
        <f t="array" ref="Q536">XLOOKUP(LCARS_Off[AbilityID],RawOfficer[AbilityID],RawOfficer[Conditional_Reason])</f>
        <v/>
      </c>
      <c r="R536" s="518" t="str">
        <f t="array" ref="R536">XLOOKUP(LCARS_Off[AbilityID],RawOfficer[AbilityID],RawOfficer[Tag_Loot])</f>
        <v>➖</v>
      </c>
      <c r="S536" s="516" t="str">
        <f t="array" ref="S536">XLOOKUP(LCARS_Off[AbilityID],RawOfficer[AbilityID],RawOfficer[Tag_Utility])</f>
        <v>➖</v>
      </c>
      <c r="T536" s="429" t="str">
        <f t="array" ref="T536">XLOOKUP(LCARS_Off[AbilityID],RawOfficer[AbilityID],RawOfficer[OfficerSynergy])</f>
        <v>STRANGE NEW WORLDS</v>
      </c>
      <c r="U536" s="519" t="str">
        <f t="array" ref="U536">XLOOKUP(LCARS_Off[AbilityID],RawOfficer[AbilityID],RawOfficer[AbilityModifier])</f>
        <v>ShieldHPMax</v>
      </c>
      <c r="V536" s="519" t="str">
        <f t="array" ref="V536">XLOOKUP(LCARS_Off[AbilityID],RawOfficer[AbilityID],RawOfficer[AbilityAttributes])</f>
        <v/>
      </c>
      <c r="W536" s="520" t="str">
        <f t="array" ref="W536">XLOOKUP(LCARS_Off[AbilityID],RawOfficer[AbilityID],RawOfficer[AbilityConditions])</f>
        <v/>
      </c>
      <c r="X536" s="519" t="str">
        <f t="array" ref="X536">XLOOKUP(LCARS_Off[AbilityID],RawOfficer[AbilityID],RawOfficer[AbilityTrigger])</f>
        <v>ShipLaunched</v>
      </c>
      <c r="Y536" s="519" t="str">
        <f t="array" ref="Y536">XLOOKUP(LCARS_Off[AbilityID],RawOfficer[AbilityID],RawOfficer[AbilityTarget])</f>
        <v>SelfShip</v>
      </c>
      <c r="Z536" s="519" t="str">
        <f t="array" ref="Z536">XLOOKUP(LCARS_Off[AbilityID],RawOfficer[AbilityID],RawOfficer[AbilityOperation])</f>
        <v>MultiplyAdd</v>
      </c>
      <c r="AA536" s="521" t="str">
        <f t="array" ref="AA536">XLOOKUP(LCARS_Off[AbilityID],RawOfficer[AbilityID],RawOfficer[AbilityDescription])</f>
        <v>SNW Montgomery Scott increases the ship's Shield Health by X (X at rank X).</v>
      </c>
      <c r="AB536" s="429" t="b">
        <v>0</v>
      </c>
      <c r="AC536" s="522" t="str">
        <f t="array" ref="AC536">XLOOKUP(LCARS_Off[AbilityID],RawOfficer[AbilityID],RawOfficer[AbilityDescriptionShort])</f>
        <v>Increases the ship's Shield Health by X.</v>
      </c>
      <c r="AD536" s="523"/>
      <c r="AE536" s="524"/>
      <c r="AF536" s="524"/>
      <c r="AG536" s="525" t="str">
        <f t="array" ref="AG536">XLOOKUP(LCARS_Off[AbilityID],RawOfficer[AbilityID],RawOfficer[AbilityChances])</f>
        <v>1.0, 1.0, 1.0, 1.0, 1.0</v>
      </c>
      <c r="AH536" s="525" t="str">
        <f t="array" ref="AH536">XLOOKUP(LCARS_Off[AbilityID],RawOfficer[AbilityID],RawOfficer[AbilityValues])</f>
        <v>1.0, 2.0, 3.5, 5.0, 7.0</v>
      </c>
      <c r="AI536" s="428" t="b">
        <f t="array" ref="AI536">XLOOKUP(LCARS_Off[AbilityID],RawOfficer[AbilityID],RawOfficer[AbilityHasChance])</f>
        <v>0</v>
      </c>
      <c r="AJ536" s="428" t="b">
        <f t="array" ref="AJ536">XLOOKUP(LCARS_Off[AbilityID],RawOfficer[AbilityID],RawOfficer[AbilityShowPercentage])</f>
        <v>1</v>
      </c>
      <c r="AK536" s="429">
        <f t="array" ref="AK536">XLOOKUP(LCARS_Off[AbilityID],RawOfficer[AbilityID],RawOfficer[OfficerArt])</f>
        <v>312</v>
      </c>
      <c r="AL536" s="430">
        <v>2.927268716E9</v>
      </c>
      <c r="AM536" s="430">
        <f t="array" ref="AM536">XLOOKUP(LCARS_Off[AbilityID],RawOfficer[AbilityID],RawOfficer[Default Order])</f>
        <v>533</v>
      </c>
    </row>
    <row r="537">
      <c r="A537" s="429" t="str">
        <f t="array" ref="A537">LEFT(XLOOKUP(LCARS_Off[AbilityID],RawOfficer[AbilityID],RawOfficer[OfficerRarity]), 1)</f>
        <v>E</v>
      </c>
      <c r="B537" s="429"/>
      <c r="C537" s="514" t="str">
        <f t="array" ref="C537">HYPERLINK("https://stfc.space/officers/" &amp; XLOOKUP(LCARS_Off[AbilityID],RawOfficer[AbilityID],RawOfficer[OfficerId]), XLOOKUP(LCARS_Off[AbilityID],RawOfficer[AbilityID],RawOfficer[OfficerName]))</f>
        <v>SNW T'PRING</v>
      </c>
      <c r="D537" s="515" t="str">
        <f t="array" ref="D537">XLOOKUP(LCARS_Off[AbilityID],RawOfficer[AbilityID],RawOfficer[AbilityType])</f>
        <v>OA</v>
      </c>
      <c r="E537" s="516" t="str">
        <f t="array" ref="E537">XLOOKUP(LCARS_Off[AbilityID],RawOfficer[AbilityID],RawOfficer[Tag_PvPinSpace])</f>
        <v>➖</v>
      </c>
      <c r="F537" s="516" t="str">
        <f t="array" ref="F537">XLOOKUP(LCARS_Off[AbilityID],RawOfficer[AbilityID],RawOfficer[Tag_PvPStation])</f>
        <v>➖</v>
      </c>
      <c r="G537" s="516" t="str">
        <f t="array" ref="G537">XLOOKUP(LCARS_Off[AbilityID],RawOfficer[AbilityID],RawOfficer[Tag_NonArmadaHostiles])</f>
        <v>✅</v>
      </c>
      <c r="H537" s="516" t="str">
        <f t="array" ref="H537">XLOOKUP(LCARS_Off[AbilityID],RawOfficer[AbilityID],RawOfficer[Tag_WaveDefense])</f>
        <v>✅</v>
      </c>
      <c r="I537" s="516" t="str">
        <f t="array" ref="I537">XLOOKUP(LCARS_Off[AbilityID],RawOfficer[AbilityID],RawOfficer[Tag_QTrial])</f>
        <v>✅</v>
      </c>
      <c r="J537" s="516" t="str">
        <f t="array" ref="J537">XLOOKUP(LCARS_Off[AbilityID],RawOfficer[AbilityID],RawOfficer[Tag_MissionBosses])</f>
        <v>➖</v>
      </c>
      <c r="K537" s="516" t="str">
        <f t="array" ref="K537">XLOOKUP(LCARS_Off[AbilityID],RawOfficer[AbilityID],RawOfficer[Tag_GroupArmadas])</f>
        <v>➖</v>
      </c>
      <c r="L537" s="516" t="str">
        <f t="array" ref="L537">XLOOKUP(LCARS_Off[AbilityID],RawOfficer[AbilityID],RawOfficer[Tag_SoloArmadas])</f>
        <v>➖</v>
      </c>
      <c r="M537" s="516" t="str">
        <f t="array" ref="M537">XLOOKUP(LCARS_Off[AbilityID],RawOfficer[AbilityID],RawOfficer[Tag_InvadingEntities])</f>
        <v>➖</v>
      </c>
      <c r="N537" s="516" t="str">
        <f t="array" ref="N537">XLOOKUP(LCARS_Off[AbilityID],RawOfficer[AbilityID],RawOfficer[Tag_Assaults])</f>
        <v>➖</v>
      </c>
      <c r="O537" s="516" t="str">
        <f t="array" ref="O537">XLOOKUP(LCARS_Off[AbilityID],RawOfficer[AbilityID],RawOfficer[Tag_OutpostArmadas])</f>
        <v>➖</v>
      </c>
      <c r="P537" s="516" t="str">
        <f t="array" ref="P537">XLOOKUP(LCARS_Off[AbilityID],RawOfficer[AbilityID],RawOfficer[Tag_OutpostRetaliators])</f>
        <v>➖</v>
      </c>
      <c r="Q537" s="517" t="str">
        <f t="array" ref="Q537">XLOOKUP(LCARS_Off[AbilityID],RawOfficer[AbilityID],RawOfficer[Conditional_Reason])</f>
        <v/>
      </c>
      <c r="R537" s="518" t="str">
        <f t="array" ref="R537">XLOOKUP(LCARS_Off[AbilityID],RawOfficer[AbilityID],RawOfficer[Tag_Loot])</f>
        <v>➖</v>
      </c>
      <c r="S537" s="516" t="str">
        <f t="array" ref="S537">XLOOKUP(LCARS_Off[AbilityID],RawOfficer[AbilityID],RawOfficer[Tag_Utility])</f>
        <v>➖</v>
      </c>
      <c r="T537" s="429" t="str">
        <f t="array" ref="T537">XLOOKUP(LCARS_Off[AbilityID],RawOfficer[AbilityID],RawOfficer[OfficerSynergy])</f>
        <v>STRANGE NEW WORLDS</v>
      </c>
      <c r="U537" s="519" t="str">
        <f t="array" ref="U537">XLOOKUP(LCARS_Off[AbilityID],RawOfficer[AbilityID],RawOfficer[AbilityModifier])</f>
        <v>AllDefenses</v>
      </c>
      <c r="V537" s="519" t="str">
        <f t="array" ref="V537">XLOOKUP(LCARS_Off[AbilityID],RawOfficer[AbilityID],RawOfficer[AbilityAttributes])</f>
        <v>officer_stat=2</v>
      </c>
      <c r="W537" s="520" t="str">
        <f t="array" ref="W537">XLOOKUP(LCARS_Off[AbilityID],RawOfficer[AbilityID],RawOfficer[AbilityConditions])</f>
        <v>EnemyHostile, TargetNotArmada</v>
      </c>
      <c r="X537" s="519" t="str">
        <f t="array" ref="X537">XLOOKUP(LCARS_Off[AbilityID],RawOfficer[AbilityID],RawOfficer[AbilityTrigger])</f>
        <v>CombatStart</v>
      </c>
      <c r="Y537" s="519" t="str">
        <f t="array" ref="Y537">XLOOKUP(LCARS_Off[AbilityID],RawOfficer[AbilityID],RawOfficer[AbilityTarget])</f>
        <v>SelfShip</v>
      </c>
      <c r="Z537" s="519" t="str">
        <f t="array" ref="Z537">XLOOKUP(LCARS_Off[AbilityID],RawOfficer[AbilityID],RawOfficer[AbilityOperation])</f>
        <v>MultiplyBaseAdd</v>
      </c>
      <c r="AA537" s="521" t="str">
        <f t="array" ref="AA537">XLOOKUP(LCARS_Off[AbilityID],RawOfficer[AbilityID],RawOfficer[AbilityDescription])</f>
        <v>SNW T'Pring increases Armor, Shield Deflection, and Dodge by X (X at rank X) of total Defense against non-Armada hostiles.</v>
      </c>
      <c r="AB537" s="429" t="b">
        <v>0</v>
      </c>
      <c r="AC537" s="522" t="str">
        <f t="array" ref="AC537">XLOOKUP(LCARS_Off[AbilityID],RawOfficer[AbilityID],RawOfficer[AbilityDescriptionShort])</f>
        <v>Increases Armor, Shield Deflection, and Dodge by X of total Defense against non-Armada hostiles.</v>
      </c>
      <c r="AD537" s="523"/>
      <c r="AE537" s="524"/>
      <c r="AF537" s="524"/>
      <c r="AG537" s="525" t="str">
        <f t="array" ref="AG537">XLOOKUP(LCARS_Off[AbilityID],RawOfficer[AbilityID],RawOfficer[AbilityChances])</f>
        <v>1.0, 1.0, 1.0, 1.0, 1.0</v>
      </c>
      <c r="AH537" s="525" t="str">
        <f t="array" ref="AH537">XLOOKUP(LCARS_Off[AbilityID],RawOfficer[AbilityID],RawOfficer[AbilityValues])</f>
        <v>12.0, 15.0, 18.0, 21.0, 25.0</v>
      </c>
      <c r="AI537" s="428" t="b">
        <f t="array" ref="AI537">XLOOKUP(LCARS_Off[AbilityID],RawOfficer[AbilityID],RawOfficer[AbilityHasChance])</f>
        <v>0</v>
      </c>
      <c r="AJ537" s="428" t="b">
        <f t="array" ref="AJ537">XLOOKUP(LCARS_Off[AbilityID],RawOfficer[AbilityID],RawOfficer[AbilityShowPercentage])</f>
        <v>1</v>
      </c>
      <c r="AK537" s="429">
        <f t="array" ref="AK537">XLOOKUP(LCARS_Off[AbilityID],RawOfficer[AbilityID],RawOfficer[OfficerArt])</f>
        <v>313</v>
      </c>
      <c r="AL537" s="430">
        <v>1.70208867E9</v>
      </c>
      <c r="AM537" s="430">
        <f t="array" ref="AM537">XLOOKUP(LCARS_Off[AbilityID],RawOfficer[AbilityID],RawOfficer[Default Order])</f>
        <v>534</v>
      </c>
    </row>
    <row r="538">
      <c r="A538" s="429" t="str">
        <f t="array" ref="A538">LEFT(XLOOKUP(LCARS_Off[AbilityID],RawOfficer[AbilityID],RawOfficer[OfficerRarity]), 1)</f>
        <v>E</v>
      </c>
      <c r="B538" s="429"/>
      <c r="C538" s="514" t="str">
        <f t="array" ref="C538">HYPERLINK("https://stfc.space/officers/" &amp; XLOOKUP(LCARS_Off[AbilityID],RawOfficer[AbilityID],RawOfficer[OfficerId]), XLOOKUP(LCARS_Off[AbilityID],RawOfficer[AbilityID],RawOfficer[OfficerName]))</f>
        <v>SNW T'PRING</v>
      </c>
      <c r="D538" s="515" t="str">
        <f t="array" ref="D538">XLOOKUP(LCARS_Off[AbilityID],RawOfficer[AbilityID],RawOfficer[AbilityType])</f>
        <v>BDA</v>
      </c>
      <c r="E538" s="516" t="str">
        <f t="array" ref="E538">XLOOKUP(LCARS_Off[AbilityID],RawOfficer[AbilityID],RawOfficer[Tag_PvPinSpace])</f>
        <v>➖</v>
      </c>
      <c r="F538" s="516" t="str">
        <f t="array" ref="F538">XLOOKUP(LCARS_Off[AbilityID],RawOfficer[AbilityID],RawOfficer[Tag_PvPStation])</f>
        <v>➖</v>
      </c>
      <c r="G538" s="516" t="str">
        <f t="array" ref="G538">XLOOKUP(LCARS_Off[AbilityID],RawOfficer[AbilityID],RawOfficer[Tag_NonArmadaHostiles])</f>
        <v>➖</v>
      </c>
      <c r="H538" s="516" t="str">
        <f t="array" ref="H538">XLOOKUP(LCARS_Off[AbilityID],RawOfficer[AbilityID],RawOfficer[Tag_WaveDefense])</f>
        <v>➖</v>
      </c>
      <c r="I538" s="516" t="str">
        <f t="array" ref="I538">XLOOKUP(LCARS_Off[AbilityID],RawOfficer[AbilityID],RawOfficer[Tag_QTrial])</f>
        <v>➖</v>
      </c>
      <c r="J538" s="516" t="str">
        <f t="array" ref="J538">XLOOKUP(LCARS_Off[AbilityID],RawOfficer[AbilityID],RawOfficer[Tag_MissionBosses])</f>
        <v>➖</v>
      </c>
      <c r="K538" s="516" t="str">
        <f t="array" ref="K538">XLOOKUP(LCARS_Off[AbilityID],RawOfficer[AbilityID],RawOfficer[Tag_GroupArmadas])</f>
        <v>➖</v>
      </c>
      <c r="L538" s="516" t="str">
        <f t="array" ref="L538">XLOOKUP(LCARS_Off[AbilityID],RawOfficer[AbilityID],RawOfficer[Tag_SoloArmadas])</f>
        <v>➖</v>
      </c>
      <c r="M538" s="516" t="str">
        <f t="array" ref="M538">XLOOKUP(LCARS_Off[AbilityID],RawOfficer[AbilityID],RawOfficer[Tag_InvadingEntities])</f>
        <v>➖</v>
      </c>
      <c r="N538" s="516" t="str">
        <f t="array" ref="N538">XLOOKUP(LCARS_Off[AbilityID],RawOfficer[AbilityID],RawOfficer[Tag_Assaults])</f>
        <v>➖</v>
      </c>
      <c r="O538" s="516" t="str">
        <f t="array" ref="O538">XLOOKUP(LCARS_Off[AbilityID],RawOfficer[AbilityID],RawOfficer[Tag_OutpostArmadas])</f>
        <v>➖</v>
      </c>
      <c r="P538" s="516" t="str">
        <f t="array" ref="P538">XLOOKUP(LCARS_Off[AbilityID],RawOfficer[AbilityID],RawOfficer[Tag_OutpostRetaliators])</f>
        <v>➖</v>
      </c>
      <c r="Q538" s="517" t="str">
        <f t="array" ref="Q538">XLOOKUP(LCARS_Off[AbilityID],RawOfficer[AbilityID],RawOfficer[Conditional_Reason])</f>
        <v/>
      </c>
      <c r="R538" s="518" t="str">
        <f t="array" ref="R538">XLOOKUP(LCARS_Off[AbilityID],RawOfficer[AbilityID],RawOfficer[Tag_Loot])</f>
        <v>➖</v>
      </c>
      <c r="S538" s="516" t="str">
        <f t="array" ref="S538">XLOOKUP(LCARS_Off[AbilityID],RawOfficer[AbilityID],RawOfficer[Tag_Utility])</f>
        <v>✅</v>
      </c>
      <c r="T538" s="429" t="str">
        <f t="array" ref="T538">XLOOKUP(LCARS_Off[AbilityID],RawOfficer[AbilityID],RawOfficer[OfficerSynergy])</f>
        <v>STRANGE NEW WORLDS</v>
      </c>
      <c r="U538" s="519" t="str">
        <f t="array" ref="U538">XLOOKUP(LCARS_Off[AbilityID],RawOfficer[AbilityID],RawOfficer[AbilityModifier])</f>
        <v>MiningReward</v>
      </c>
      <c r="V538" s="519" t="str">
        <f t="array" ref="V538">XLOOKUP(LCARS_Off[AbilityID],RawOfficer[AbilityID],RawOfficer[AbilityAttributes])</f>
        <v>resources=[680796905, 3735331456, 3598797204, 3739531165, 1779416627, 2964093937, 1349464922, 2002611017, 84292608, 802509572, 2905009151, 3842158911]</v>
      </c>
      <c r="W538" s="520" t="str">
        <f t="array" ref="W538">XLOOKUP(LCARS_Off[AbilityID],RawOfficer[AbilityID],RawOfficer[AbilityConditions])</f>
        <v/>
      </c>
      <c r="X538" s="519" t="str">
        <f t="array" ref="X538">XLOOKUP(LCARS_Off[AbilityID],RawOfficer[AbilityID],RawOfficer[AbilityTrigger])</f>
        <v>ShipLaunched</v>
      </c>
      <c r="Y538" s="519" t="str">
        <f t="array" ref="Y538">XLOOKUP(LCARS_Off[AbilityID],RawOfficer[AbilityID],RawOfficer[AbilityTarget])</f>
        <v>SelfShip</v>
      </c>
      <c r="Z538" s="519" t="str">
        <f t="array" ref="Z538">XLOOKUP(LCARS_Off[AbilityID],RawOfficer[AbilityID],RawOfficer[AbilityOperation])</f>
        <v>MultiplyAdd</v>
      </c>
      <c r="AA538" s="521" t="str">
        <f t="array" ref="AA538">XLOOKUP(LCARS_Off[AbilityID],RawOfficer[AbilityID],RawOfficer[AbilityDescription])</f>
        <v>SNW T'Pring Increases the amount of 3⇵-6⇵ Ore/Crystal/Gas collected by X (X at rank X), without draining the mining node faster.</v>
      </c>
      <c r="AB538" s="429" t="b">
        <v>0</v>
      </c>
      <c r="AC538" s="522" t="str">
        <f t="array" ref="AC538">XLOOKUP(LCARS_Off[AbilityID],RawOfficer[AbilityID],RawOfficer[AbilityDescriptionShort])</f>
        <v>Increases the amount of 3⇵-6⇵ Ore/Crystal/Gas collected by X, without draining the mining node faster.</v>
      </c>
      <c r="AD538" s="523"/>
      <c r="AE538" s="524"/>
      <c r="AF538" s="524"/>
      <c r="AG538" s="525" t="str">
        <f t="array" ref="AG538">XLOOKUP(LCARS_Off[AbilityID],RawOfficer[AbilityID],RawOfficer[AbilityChances])</f>
        <v>1.0, 1.0, 1.0, 1.0, 1.0</v>
      </c>
      <c r="AH538" s="525" t="str">
        <f t="array" ref="AH538">XLOOKUP(LCARS_Off[AbilityID],RawOfficer[AbilityID],RawOfficer[AbilityValues])</f>
        <v>0.05, 0.1, 0.15, 0.2, 0.3</v>
      </c>
      <c r="AI538" s="428" t="b">
        <f t="array" ref="AI538">XLOOKUP(LCARS_Off[AbilityID],RawOfficer[AbilityID],RawOfficer[AbilityHasChance])</f>
        <v>0</v>
      </c>
      <c r="AJ538" s="428" t="b">
        <f t="array" ref="AJ538">XLOOKUP(LCARS_Off[AbilityID],RawOfficer[AbilityID],RawOfficer[AbilityShowPercentage])</f>
        <v>1</v>
      </c>
      <c r="AK538" s="429">
        <f t="array" ref="AK538">XLOOKUP(LCARS_Off[AbilityID],RawOfficer[AbilityID],RawOfficer[OfficerArt])</f>
        <v>313</v>
      </c>
      <c r="AL538" s="430">
        <v>5.18597711E8</v>
      </c>
      <c r="AM538" s="430">
        <f t="array" ref="AM538">XLOOKUP(LCARS_Off[AbilityID],RawOfficer[AbilityID],RawOfficer[Default Order])</f>
        <v>535</v>
      </c>
    </row>
    <row r="539">
      <c r="A539" s="429" t="str">
        <f t="array" ref="A539">LEFT(XLOOKUP(LCARS_Off[AbilityID],RawOfficer[AbilityID],RawOfficer[OfficerRarity]), 1)</f>
        <v>E</v>
      </c>
      <c r="B539" s="429"/>
      <c r="C539" s="514" t="str">
        <f t="array" ref="C539">HYPERLINK("https://stfc.space/officers/" &amp; XLOOKUP(LCARS_Off[AbilityID],RawOfficer[AbilityID],RawOfficer[OfficerId]), XLOOKUP(LCARS_Off[AbilityID],RawOfficer[AbilityID],RawOfficer[OfficerName]))</f>
        <v>SNW D'CHOK</v>
      </c>
      <c r="D539" s="515" t="str">
        <f t="array" ref="D539">XLOOKUP(LCARS_Off[AbilityID],RawOfficer[AbilityID],RawOfficer[AbilityType])</f>
        <v>OA</v>
      </c>
      <c r="E539" s="516" t="str">
        <f t="array" ref="E539">XLOOKUP(LCARS_Off[AbilityID],RawOfficer[AbilityID],RawOfficer[Tag_PvPinSpace])</f>
        <v>➖</v>
      </c>
      <c r="F539" s="516" t="str">
        <f t="array" ref="F539">XLOOKUP(LCARS_Off[AbilityID],RawOfficer[AbilityID],RawOfficer[Tag_PvPStation])</f>
        <v>➖</v>
      </c>
      <c r="G539" s="516" t="str">
        <f t="array" ref="G539">XLOOKUP(LCARS_Off[AbilityID],RawOfficer[AbilityID],RawOfficer[Tag_NonArmadaHostiles])</f>
        <v>➖</v>
      </c>
      <c r="H539" s="516" t="str">
        <f t="array" ref="H539">XLOOKUP(LCARS_Off[AbilityID],RawOfficer[AbilityID],RawOfficer[Tag_WaveDefense])</f>
        <v>➖</v>
      </c>
      <c r="I539" s="516" t="str">
        <f t="array" ref="I539">XLOOKUP(LCARS_Off[AbilityID],RawOfficer[AbilityID],RawOfficer[Tag_QTrial])</f>
        <v>➖</v>
      </c>
      <c r="J539" s="516" t="str">
        <f t="array" ref="J539">XLOOKUP(LCARS_Off[AbilityID],RawOfficer[AbilityID],RawOfficer[Tag_MissionBosses])</f>
        <v>➖</v>
      </c>
      <c r="K539" s="516" t="str">
        <f t="array" ref="K539">XLOOKUP(LCARS_Off[AbilityID],RawOfficer[AbilityID],RawOfficer[Tag_GroupArmadas])</f>
        <v>➖</v>
      </c>
      <c r="L539" s="516" t="str">
        <f t="array" ref="L539">XLOOKUP(LCARS_Off[AbilityID],RawOfficer[AbilityID],RawOfficer[Tag_SoloArmadas])</f>
        <v>➖</v>
      </c>
      <c r="M539" s="516" t="str">
        <f t="array" ref="M539">XLOOKUP(LCARS_Off[AbilityID],RawOfficer[AbilityID],RawOfficer[Tag_InvadingEntities])</f>
        <v>➖</v>
      </c>
      <c r="N539" s="516" t="str">
        <f t="array" ref="N539">XLOOKUP(LCARS_Off[AbilityID],RawOfficer[AbilityID],RawOfficer[Tag_Assaults])</f>
        <v>➖</v>
      </c>
      <c r="O539" s="516" t="str">
        <f t="array" ref="O539">XLOOKUP(LCARS_Off[AbilityID],RawOfficer[AbilityID],RawOfficer[Tag_OutpostArmadas])</f>
        <v>➖</v>
      </c>
      <c r="P539" s="516" t="str">
        <f t="array" ref="P539">XLOOKUP(LCARS_Off[AbilityID],RawOfficer[AbilityID],RawOfficer[Tag_OutpostRetaliators])</f>
        <v>➖</v>
      </c>
      <c r="Q539" s="517" t="str">
        <f t="array" ref="Q539">XLOOKUP(LCARS_Off[AbilityID],RawOfficer[AbilityID],RawOfficer[Conditional_Reason])</f>
        <v/>
      </c>
      <c r="R539" s="518" t="str">
        <f t="array" ref="R539">XLOOKUP(LCARS_Off[AbilityID],RawOfficer[AbilityID],RawOfficer[Tag_Loot])</f>
        <v>➖</v>
      </c>
      <c r="S539" s="516" t="str">
        <f t="array" ref="S539">XLOOKUP(LCARS_Off[AbilityID],RawOfficer[AbilityID],RawOfficer[Tag_Utility])</f>
        <v>✅</v>
      </c>
      <c r="T539" s="429" t="str">
        <f t="array" ref="T539">XLOOKUP(LCARS_Off[AbilityID],RawOfficer[AbilityID],RawOfficer[OfficerSynergy])</f>
        <v>STRANGE NEW WORLDS</v>
      </c>
      <c r="U539" s="519" t="str">
        <f t="array" ref="U539">XLOOKUP(LCARS_Off[AbilityID],RawOfficer[AbilityID],RawOfficer[AbilityModifier])</f>
        <v>MiningRate</v>
      </c>
      <c r="V539" s="519" t="str">
        <f t="array" ref="V539">XLOOKUP(LCARS_Off[AbilityID],RawOfficer[AbilityID],RawOfficer[AbilityAttributes])</f>
        <v>resources=[1495067766, 2431214132, 3342042571, 819663825]</v>
      </c>
      <c r="W539" s="520" t="str">
        <f t="array" ref="W539">XLOOKUP(LCARS_Off[AbilityID],RawOfficer[AbilityID],RawOfficer[AbilityConditions])</f>
        <v/>
      </c>
      <c r="X539" s="519" t="str">
        <f t="array" ref="X539">XLOOKUP(LCARS_Off[AbilityID],RawOfficer[AbilityID],RawOfficer[AbilityTrigger])</f>
        <v>ShipLaunched</v>
      </c>
      <c r="Y539" s="519" t="str">
        <f t="array" ref="Y539">XLOOKUP(LCARS_Off[AbilityID],RawOfficer[AbilityID],RawOfficer[AbilityTarget])</f>
        <v>SelfShip</v>
      </c>
      <c r="Z539" s="519" t="str">
        <f t="array" ref="Z539">XLOOKUP(LCARS_Off[AbilityID],RawOfficer[AbilityID],RawOfficer[AbilityOperation])</f>
        <v>MultiplyAdd</v>
      </c>
      <c r="AA539" s="521" t="str">
        <f t="array" ref="AA539">XLOOKUP(LCARS_Off[AbilityID],RawOfficer[AbilityID],RawOfficer[AbilityDescription])</f>
        <v>SNW D'Chok increases Common, Uncommon, Rare, and Epic Transogen Mining Speed by X (X at rank X).</v>
      </c>
      <c r="AB539" s="429" t="b">
        <v>0</v>
      </c>
      <c r="AC539" s="522" t="str">
        <f t="array" ref="AC539">XLOOKUP(LCARS_Off[AbilityID],RawOfficer[AbilityID],RawOfficer[AbilityDescriptionShort])</f>
        <v>Increases Transogen Mining Speed by X.</v>
      </c>
      <c r="AD539" s="523"/>
      <c r="AE539" s="524"/>
      <c r="AF539" s="524"/>
      <c r="AG539" s="525" t="str">
        <f t="array" ref="AG539">XLOOKUP(LCARS_Off[AbilityID],RawOfficer[AbilityID],RawOfficer[AbilityChances])</f>
        <v>1.0, 1.0, 1.0, 1.0, 1.0</v>
      </c>
      <c r="AH539" s="525" t="str">
        <f t="array" ref="AH539">XLOOKUP(LCARS_Off[AbilityID],RawOfficer[AbilityID],RawOfficer[AbilityValues])</f>
        <v>10.0, 20.0, 35.0, 50.0, 75.0</v>
      </c>
      <c r="AI539" s="428" t="b">
        <f t="array" ref="AI539">XLOOKUP(LCARS_Off[AbilityID],RawOfficer[AbilityID],RawOfficer[AbilityHasChance])</f>
        <v>0</v>
      </c>
      <c r="AJ539" s="428" t="b">
        <f t="array" ref="AJ539">XLOOKUP(LCARS_Off[AbilityID],RawOfficer[AbilityID],RawOfficer[AbilityShowPercentage])</f>
        <v>1</v>
      </c>
      <c r="AK539" s="429">
        <f t="array" ref="AK539">XLOOKUP(LCARS_Off[AbilityID],RawOfficer[AbilityID],RawOfficer[OfficerArt])</f>
        <v>314</v>
      </c>
      <c r="AL539" s="430">
        <v>9.19105554E8</v>
      </c>
      <c r="AM539" s="430">
        <f t="array" ref="AM539">XLOOKUP(LCARS_Off[AbilityID],RawOfficer[AbilityID],RawOfficer[Default Order])</f>
        <v>536</v>
      </c>
    </row>
    <row r="540">
      <c r="A540" s="429" t="str">
        <f t="array" ref="A540">LEFT(XLOOKUP(LCARS_Off[AbilityID],RawOfficer[AbilityID],RawOfficer[OfficerRarity]), 1)</f>
        <v>E</v>
      </c>
      <c r="B540" s="429"/>
      <c r="C540" s="514" t="str">
        <f t="array" ref="C540">HYPERLINK("https://stfc.space/officers/" &amp; XLOOKUP(LCARS_Off[AbilityID],RawOfficer[AbilityID],RawOfficer[OfficerId]), XLOOKUP(LCARS_Off[AbilityID],RawOfficer[AbilityID],RawOfficer[OfficerName]))</f>
        <v>SNW D'CHOK</v>
      </c>
      <c r="D540" s="515" t="str">
        <f t="array" ref="D540">XLOOKUP(LCARS_Off[AbilityID],RawOfficer[AbilityID],RawOfficer[AbilityType])</f>
        <v>BDA</v>
      </c>
      <c r="E540" s="516" t="str">
        <f t="array" ref="E540">XLOOKUP(LCARS_Off[AbilityID],RawOfficer[AbilityID],RawOfficer[Tag_PvPinSpace])</f>
        <v>✅</v>
      </c>
      <c r="F540" s="516" t="str">
        <f t="array" ref="F540">XLOOKUP(LCARS_Off[AbilityID],RawOfficer[AbilityID],RawOfficer[Tag_PvPStation])</f>
        <v>✅</v>
      </c>
      <c r="G540" s="516" t="str">
        <f t="array" ref="G540">XLOOKUP(LCARS_Off[AbilityID],RawOfficer[AbilityID],RawOfficer[Tag_NonArmadaHostiles])</f>
        <v>✅</v>
      </c>
      <c r="H540" s="516" t="str">
        <f t="array" ref="H540">XLOOKUP(LCARS_Off[AbilityID],RawOfficer[AbilityID],RawOfficer[Tag_WaveDefense])</f>
        <v>✅</v>
      </c>
      <c r="I540" s="516" t="str">
        <f t="array" ref="I540">XLOOKUP(LCARS_Off[AbilityID],RawOfficer[AbilityID],RawOfficer[Tag_QTrial])</f>
        <v>✅</v>
      </c>
      <c r="J540" s="516" t="str">
        <f t="array" ref="J540">XLOOKUP(LCARS_Off[AbilityID],RawOfficer[AbilityID],RawOfficer[Tag_MissionBosses])</f>
        <v>✅</v>
      </c>
      <c r="K540" s="516" t="str">
        <f t="array" ref="K540">XLOOKUP(LCARS_Off[AbilityID],RawOfficer[AbilityID],RawOfficer[Tag_GroupArmadas])</f>
        <v>✅</v>
      </c>
      <c r="L540" s="516" t="str">
        <f t="array" ref="L540">XLOOKUP(LCARS_Off[AbilityID],RawOfficer[AbilityID],RawOfficer[Tag_SoloArmadas])</f>
        <v>✅</v>
      </c>
      <c r="M540" s="516" t="str">
        <f t="array" ref="M540">XLOOKUP(LCARS_Off[AbilityID],RawOfficer[AbilityID],RawOfficer[Tag_InvadingEntities])</f>
        <v>✅</v>
      </c>
      <c r="N540" s="516" t="str">
        <f t="array" ref="N540">XLOOKUP(LCARS_Off[AbilityID],RawOfficer[AbilityID],RawOfficer[Tag_Assaults])</f>
        <v>✅</v>
      </c>
      <c r="O540" s="516" t="str">
        <f t="array" ref="O540">XLOOKUP(LCARS_Off[AbilityID],RawOfficer[AbilityID],RawOfficer[Tag_OutpostArmadas])</f>
        <v>✅</v>
      </c>
      <c r="P540" s="516" t="str">
        <f t="array" ref="P540">XLOOKUP(LCARS_Off[AbilityID],RawOfficer[AbilityID],RawOfficer[Tag_OutpostRetaliators])</f>
        <v>✅</v>
      </c>
      <c r="Q540" s="517" t="str">
        <f t="array" ref="Q540">XLOOKUP(LCARS_Off[AbilityID],RawOfficer[AbilityID],RawOfficer[Conditional_Reason])</f>
        <v/>
      </c>
      <c r="R540" s="518" t="str">
        <f t="array" ref="R540">XLOOKUP(LCARS_Off[AbilityID],RawOfficer[AbilityID],RawOfficer[Tag_Loot])</f>
        <v>➖</v>
      </c>
      <c r="S540" s="516" t="str">
        <f t="array" ref="S540">XLOOKUP(LCARS_Off[AbilityID],RawOfficer[AbilityID],RawOfficer[Tag_Utility])</f>
        <v>➖</v>
      </c>
      <c r="T540" s="429" t="str">
        <f t="array" ref="T540">XLOOKUP(LCARS_Off[AbilityID],RawOfficer[AbilityID],RawOfficer[OfficerSynergy])</f>
        <v>STRANGE NEW WORLDS</v>
      </c>
      <c r="U540" s="519" t="str">
        <f t="array" ref="U540">XLOOKUP(LCARS_Off[AbilityID],RawOfficer[AbilityID],RawOfficer[AbilityModifier])</f>
        <v>AllDamage</v>
      </c>
      <c r="V540" s="519" t="str">
        <f t="array" ref="V540">XLOOKUP(LCARS_Off[AbilityID],RawOfficer[AbilityID],RawOfficer[AbilityAttributes])</f>
        <v/>
      </c>
      <c r="W540" s="520" t="str">
        <f t="array" ref="W540">XLOOKUP(LCARS_Off[AbilityID],RawOfficer[AbilityID],RawOfficer[AbilityConditions])</f>
        <v/>
      </c>
      <c r="X540" s="519" t="str">
        <f t="array" ref="X540">XLOOKUP(LCARS_Off[AbilityID],RawOfficer[AbilityID],RawOfficer[AbilityTrigger])</f>
        <v>ShipLaunched</v>
      </c>
      <c r="Y540" s="519" t="str">
        <f t="array" ref="Y540">XLOOKUP(LCARS_Off[AbilityID],RawOfficer[AbilityID],RawOfficer[AbilityTarget])</f>
        <v>SelfShip</v>
      </c>
      <c r="Z540" s="519" t="str">
        <f t="array" ref="Z540">XLOOKUP(LCARS_Off[AbilityID],RawOfficer[AbilityID],RawOfficer[AbilityOperation])</f>
        <v>MultiplyAdd</v>
      </c>
      <c r="AA540" s="521" t="str">
        <f t="array" ref="AA540">XLOOKUP(LCARS_Off[AbilityID],RawOfficer[AbilityID],RawOfficer[AbilityDescription])</f>
        <v>SNW D'Chok increases the ship's Weapon Damage by X (X at rank X).</v>
      </c>
      <c r="AB540" s="429" t="b">
        <v>0</v>
      </c>
      <c r="AC540" s="522" t="str">
        <f t="array" ref="AC540">XLOOKUP(LCARS_Off[AbilityID],RawOfficer[AbilityID],RawOfficer[AbilityDescriptionShort])</f>
        <v>Increases the ship's Weapon Damage by X.</v>
      </c>
      <c r="AD540" s="523"/>
      <c r="AE540" s="524"/>
      <c r="AF540" s="524"/>
      <c r="AG540" s="525" t="str">
        <f t="array" ref="AG540">XLOOKUP(LCARS_Off[AbilityID],RawOfficer[AbilityID],RawOfficer[AbilityChances])</f>
        <v>1.0, 1.0, 1.0, 1.0, 1.0</v>
      </c>
      <c r="AH540" s="525" t="str">
        <f t="array" ref="AH540">XLOOKUP(LCARS_Off[AbilityID],RawOfficer[AbilityID],RawOfficer[AbilityValues])</f>
        <v>7.0, 10.0, 15.0, 21.0, 30.0</v>
      </c>
      <c r="AI540" s="428" t="b">
        <f t="array" ref="AI540">XLOOKUP(LCARS_Off[AbilityID],RawOfficer[AbilityID],RawOfficer[AbilityHasChance])</f>
        <v>0</v>
      </c>
      <c r="AJ540" s="428" t="b">
        <f t="array" ref="AJ540">XLOOKUP(LCARS_Off[AbilityID],RawOfficer[AbilityID],RawOfficer[AbilityShowPercentage])</f>
        <v>1</v>
      </c>
      <c r="AK540" s="429">
        <f t="array" ref="AK540">XLOOKUP(LCARS_Off[AbilityID],RawOfficer[AbilityID],RawOfficer[OfficerArt])</f>
        <v>314</v>
      </c>
      <c r="AL540" s="430">
        <v>4.031608842E9</v>
      </c>
      <c r="AM540" s="430">
        <f t="array" ref="AM540">XLOOKUP(LCARS_Off[AbilityID],RawOfficer[AbilityID],RawOfficer[Default Order])</f>
        <v>537</v>
      </c>
    </row>
    <row r="541">
      <c r="A541" s="429" t="str">
        <f t="array" ref="A541">LEFT(XLOOKUP(LCARS_Off[AbilityID],RawOfficer[AbilityID],RawOfficer[OfficerRarity]), 1)</f>
        <v>E</v>
      </c>
      <c r="B541" s="429"/>
      <c r="C541" s="514" t="str">
        <f t="array" ref="C541">HYPERLINK("https://stfc.space/officers/" &amp; XLOOKUP(LCARS_Off[AbilityID],RawOfficer[AbilityID],RawOfficer[OfficerId]), XLOOKUP(LCARS_Off[AbilityID],RawOfficer[AbilityID],RawOfficer[OfficerName]))</f>
        <v>BLACK OPS M'BENGA</v>
      </c>
      <c r="D541" s="515" t="str">
        <f t="array" ref="D541">XLOOKUP(LCARS_Off[AbilityID],RawOfficer[AbilityID],RawOfficer[AbilityType])</f>
        <v>OA</v>
      </c>
      <c r="E541" s="516" t="str">
        <f t="array" ref="E541">XLOOKUP(LCARS_Off[AbilityID],RawOfficer[AbilityID],RawOfficer[Tag_PvPinSpace])</f>
        <v>➖</v>
      </c>
      <c r="F541" s="516" t="str">
        <f t="array" ref="F541">XLOOKUP(LCARS_Off[AbilityID],RawOfficer[AbilityID],RawOfficer[Tag_PvPStation])</f>
        <v>➖</v>
      </c>
      <c r="G541" s="516" t="str">
        <f t="array" ref="G541">XLOOKUP(LCARS_Off[AbilityID],RawOfficer[AbilityID],RawOfficer[Tag_NonArmadaHostiles])</f>
        <v>✴️</v>
      </c>
      <c r="H541" s="516" t="str">
        <f t="array" ref="H541">XLOOKUP(LCARS_Off[AbilityID],RawOfficer[AbilityID],RawOfficer[Tag_WaveDefense])</f>
        <v>✴️</v>
      </c>
      <c r="I541" s="516" t="str">
        <f t="array" ref="I541">XLOOKUP(LCARS_Off[AbilityID],RawOfficer[AbilityID],RawOfficer[Tag_QTrial])</f>
        <v>✴️</v>
      </c>
      <c r="J541" s="516" t="str">
        <f t="array" ref="J541">XLOOKUP(LCARS_Off[AbilityID],RawOfficer[AbilityID],RawOfficer[Tag_MissionBosses])</f>
        <v>✴️</v>
      </c>
      <c r="K541" s="516" t="str">
        <f t="array" ref="K541">XLOOKUP(LCARS_Off[AbilityID],RawOfficer[AbilityID],RawOfficer[Tag_GroupArmadas])</f>
        <v>✴️</v>
      </c>
      <c r="L541" s="516" t="str">
        <f t="array" ref="L541">XLOOKUP(LCARS_Off[AbilityID],RawOfficer[AbilityID],RawOfficer[Tag_SoloArmadas])</f>
        <v>✴️</v>
      </c>
      <c r="M541" s="516" t="str">
        <f t="array" ref="M541">XLOOKUP(LCARS_Off[AbilityID],RawOfficer[AbilityID],RawOfficer[Tag_InvadingEntities])</f>
        <v>➖</v>
      </c>
      <c r="N541" s="516" t="str">
        <f t="array" ref="N541">XLOOKUP(LCARS_Off[AbilityID],RawOfficer[AbilityID],RawOfficer[Tag_Assaults])</f>
        <v>✴️</v>
      </c>
      <c r="O541" s="516" t="str">
        <f t="array" ref="O541">XLOOKUP(LCARS_Off[AbilityID],RawOfficer[AbilityID],RawOfficer[Tag_OutpostArmadas])</f>
        <v>➖</v>
      </c>
      <c r="P541" s="516" t="str">
        <f t="array" ref="P541">XLOOKUP(LCARS_Off[AbilityID],RawOfficer[AbilityID],RawOfficer[Tag_OutpostRetaliators])</f>
        <v>➖</v>
      </c>
      <c r="Q541" s="517" t="str">
        <f t="array" ref="Q541">XLOOKUP(LCARS_Off[AbilityID],RawOfficer[AbilityID],RawOfficer[Conditional_Reason])</f>
        <v>Suliban</v>
      </c>
      <c r="R541" s="518" t="str">
        <f t="array" ref="R541">XLOOKUP(LCARS_Off[AbilityID],RawOfficer[AbilityID],RawOfficer[Tag_Loot])</f>
        <v>➖</v>
      </c>
      <c r="S541" s="516" t="str">
        <f t="array" ref="S541">XLOOKUP(LCARS_Off[AbilityID],RawOfficer[AbilityID],RawOfficer[Tag_Utility])</f>
        <v>➖</v>
      </c>
      <c r="T541" s="429" t="str">
        <f t="array" ref="T541">XLOOKUP(LCARS_Off[AbilityID],RawOfficer[AbilityID],RawOfficer[OfficerSynergy])</f>
        <v>STRANGE NEW WORLDS</v>
      </c>
      <c r="U541" s="519" t="str">
        <f t="array" ref="U541">XLOOKUP(LCARS_Off[AbilityID],RawOfficer[AbilityID],RawOfficer[AbilityModifier])</f>
        <v>IsolyticDefense</v>
      </c>
      <c r="V541" s="519" t="str">
        <f t="array" ref="V541">XLOOKUP(LCARS_Off[AbilityID],RawOfficer[AbilityID],RawOfficer[AbilityAttributes])</f>
        <v>faction_id=3292196998</v>
      </c>
      <c r="W541" s="520" t="str">
        <f t="array" ref="W541">XLOOKUP(LCARS_Off[AbilityID],RawOfficer[AbilityID],RawOfficer[AbilityConditions])</f>
        <v>EnemyHullFaction</v>
      </c>
      <c r="X541" s="519" t="str">
        <f t="array" ref="X541">XLOOKUP(LCARS_Off[AbilityID],RawOfficer[AbilityID],RawOfficer[AbilityTrigger])</f>
        <v>CombatStart</v>
      </c>
      <c r="Y541" s="519" t="str">
        <f t="array" ref="Y541">XLOOKUP(LCARS_Off[AbilityID],RawOfficer[AbilityID],RawOfficer[AbilityTarget])</f>
        <v>SelfShip</v>
      </c>
      <c r="Z541" s="519" t="str">
        <f t="array" ref="Z541">XLOOKUP(LCARS_Off[AbilityID],RawOfficer[AbilityID],RawOfficer[AbilityOperation])</f>
        <v>Add</v>
      </c>
      <c r="AA541" s="521" t="str">
        <f t="array" ref="AA541">XLOOKUP(LCARS_Off[AbilityID],RawOfficer[AbilityID],RawOfficer[AbilityDescription])</f>
        <v>SNW Black Ops M'Benga increases Isolytic Defense by X (X at rank X) versus Suliban Hostiles.</v>
      </c>
      <c r="AB541" s="429" t="b">
        <v>0</v>
      </c>
      <c r="AC541" s="522" t="str">
        <f t="array" ref="AC541">XLOOKUP(LCARS_Off[AbilityID],RawOfficer[AbilityID],RawOfficer[AbilityDescriptionShort])</f>
        <v>Increases Isolytic Defense by X versus Suliban Hostiles.</v>
      </c>
      <c r="AD541" s="523"/>
      <c r="AE541" s="524"/>
      <c r="AF541" s="524"/>
      <c r="AG541" s="525" t="str">
        <f t="array" ref="AG541">XLOOKUP(LCARS_Off[AbilityID],RawOfficer[AbilityID],RawOfficer[AbilityChances])</f>
        <v>1.0, 1.0, 1.0, 1.0, 1.0</v>
      </c>
      <c r="AH541" s="525" t="str">
        <f t="array" ref="AH541">XLOOKUP(LCARS_Off[AbilityID],RawOfficer[AbilityID],RawOfficer[AbilityValues])</f>
        <v>0.4, 0.6, 0.9, 1.3, 2.0</v>
      </c>
      <c r="AI541" s="428" t="b">
        <f t="array" ref="AI541">XLOOKUP(LCARS_Off[AbilityID],RawOfficer[AbilityID],RawOfficer[AbilityHasChance])</f>
        <v>0</v>
      </c>
      <c r="AJ541" s="428" t="b">
        <f t="array" ref="AJ541">XLOOKUP(LCARS_Off[AbilityID],RawOfficer[AbilityID],RawOfficer[AbilityShowPercentage])</f>
        <v>1</v>
      </c>
      <c r="AK541" s="429">
        <f t="array" ref="AK541">XLOOKUP(LCARS_Off[AbilityID],RawOfficer[AbilityID],RawOfficer[OfficerArt])</f>
        <v>315</v>
      </c>
      <c r="AL541" s="430">
        <v>1.1250125E9</v>
      </c>
      <c r="AM541" s="430">
        <f t="array" ref="AM541">XLOOKUP(LCARS_Off[AbilityID],RawOfficer[AbilityID],RawOfficer[Default Order])</f>
        <v>538</v>
      </c>
    </row>
    <row r="542">
      <c r="A542" s="429" t="str">
        <f t="array" ref="A542">LEFT(XLOOKUP(LCARS_Off[AbilityID],RawOfficer[AbilityID],RawOfficer[OfficerRarity]), 1)</f>
        <v>E</v>
      </c>
      <c r="B542" s="429"/>
      <c r="C542" s="514" t="str">
        <f t="array" ref="C542">HYPERLINK("https://stfc.space/officers/" &amp; XLOOKUP(LCARS_Off[AbilityID],RawOfficer[AbilityID],RawOfficer[OfficerId]), XLOOKUP(LCARS_Off[AbilityID],RawOfficer[AbilityID],RawOfficer[OfficerName]))</f>
        <v>BLACK OPS M'BENGA</v>
      </c>
      <c r="D542" s="515" t="str">
        <f t="array" ref="D542">XLOOKUP(LCARS_Off[AbilityID],RawOfficer[AbilityID],RawOfficer[AbilityType])</f>
        <v>BDA</v>
      </c>
      <c r="E542" s="516" t="str">
        <f t="array" ref="E542">XLOOKUP(LCARS_Off[AbilityID],RawOfficer[AbilityID],RawOfficer[Tag_PvPinSpace])</f>
        <v>➖</v>
      </c>
      <c r="F542" s="516" t="str">
        <f t="array" ref="F542">XLOOKUP(LCARS_Off[AbilityID],RawOfficer[AbilityID],RawOfficer[Tag_PvPStation])</f>
        <v>➖</v>
      </c>
      <c r="G542" s="516" t="str">
        <f t="array" ref="G542">XLOOKUP(LCARS_Off[AbilityID],RawOfficer[AbilityID],RawOfficer[Tag_NonArmadaHostiles])</f>
        <v>✅</v>
      </c>
      <c r="H542" s="516" t="str">
        <f t="array" ref="H542">XLOOKUP(LCARS_Off[AbilityID],RawOfficer[AbilityID],RawOfficer[Tag_WaveDefense])</f>
        <v>✅</v>
      </c>
      <c r="I542" s="516" t="str">
        <f t="array" ref="I542">XLOOKUP(LCARS_Off[AbilityID],RawOfficer[AbilityID],RawOfficer[Tag_QTrial])</f>
        <v>✅</v>
      </c>
      <c r="J542" s="516" t="str">
        <f t="array" ref="J542">XLOOKUP(LCARS_Off[AbilityID],RawOfficer[AbilityID],RawOfficer[Tag_MissionBosses])</f>
        <v>➖</v>
      </c>
      <c r="K542" s="516" t="str">
        <f t="array" ref="K542">XLOOKUP(LCARS_Off[AbilityID],RawOfficer[AbilityID],RawOfficer[Tag_GroupArmadas])</f>
        <v>➖</v>
      </c>
      <c r="L542" s="516" t="str">
        <f t="array" ref="L542">XLOOKUP(LCARS_Off[AbilityID],RawOfficer[AbilityID],RawOfficer[Tag_SoloArmadas])</f>
        <v>➖</v>
      </c>
      <c r="M542" s="516" t="str">
        <f t="array" ref="M542">XLOOKUP(LCARS_Off[AbilityID],RawOfficer[AbilityID],RawOfficer[Tag_InvadingEntities])</f>
        <v>➖</v>
      </c>
      <c r="N542" s="516" t="str">
        <f t="array" ref="N542">XLOOKUP(LCARS_Off[AbilityID],RawOfficer[AbilityID],RawOfficer[Tag_Assaults])</f>
        <v>➖</v>
      </c>
      <c r="O542" s="516" t="str">
        <f t="array" ref="O542">XLOOKUP(LCARS_Off[AbilityID],RawOfficer[AbilityID],RawOfficer[Tag_OutpostArmadas])</f>
        <v>➖</v>
      </c>
      <c r="P542" s="516" t="str">
        <f t="array" ref="P542">XLOOKUP(LCARS_Off[AbilityID],RawOfficer[AbilityID],RawOfficer[Tag_OutpostRetaliators])</f>
        <v>➖</v>
      </c>
      <c r="Q542" s="517" t="str">
        <f t="array" ref="Q542">XLOOKUP(LCARS_Off[AbilityID],RawOfficer[AbilityID],RawOfficer[Conditional_Reason])</f>
        <v/>
      </c>
      <c r="R542" s="518" t="str">
        <f t="array" ref="R542">XLOOKUP(LCARS_Off[AbilityID],RawOfficer[AbilityID],RawOfficer[Tag_Loot])</f>
        <v>➖</v>
      </c>
      <c r="S542" s="516" t="str">
        <f t="array" ref="S542">XLOOKUP(LCARS_Off[AbilityID],RawOfficer[AbilityID],RawOfficer[Tag_Utility])</f>
        <v>➖</v>
      </c>
      <c r="T542" s="429" t="str">
        <f t="array" ref="T542">XLOOKUP(LCARS_Off[AbilityID],RawOfficer[AbilityID],RawOfficer[OfficerSynergy])</f>
        <v>STRANGE NEW WORLDS</v>
      </c>
      <c r="U542" s="519" t="str">
        <f t="array" ref="U542">XLOOKUP(LCARS_Off[AbilityID],RawOfficer[AbilityID],RawOfficer[AbilityModifier])</f>
        <v>ShieldHPRepair</v>
      </c>
      <c r="V542" s="519" t="str">
        <f t="array" ref="V542">XLOOKUP(LCARS_Off[AbilityID],RawOfficer[AbilityID],RawOfficer[AbilityAttributes])</f>
        <v/>
      </c>
      <c r="W542" s="520" t="str">
        <f t="array" ref="W542">XLOOKUP(LCARS_Off[AbilityID],RawOfficer[AbilityID],RawOfficer[AbilityConditions])</f>
        <v>EnemyHostile, TargetNotArmada</v>
      </c>
      <c r="X542" s="519" t="str">
        <f t="array" ref="X542">XLOOKUP(LCARS_Off[AbilityID],RawOfficer[AbilityID],RawOfficer[AbilityTrigger])</f>
        <v>RoundStart</v>
      </c>
      <c r="Y542" s="519" t="str">
        <f t="array" ref="Y542">XLOOKUP(LCARS_Off[AbilityID],RawOfficer[AbilityID],RawOfficer[AbilityTarget])</f>
        <v>SelfShip</v>
      </c>
      <c r="Z542" s="519" t="str">
        <f t="array" ref="Z542">XLOOKUP(LCARS_Off[AbilityID],RawOfficer[AbilityID],RawOfficer[AbilityOperation])</f>
        <v>MultiplyAdd</v>
      </c>
      <c r="AA542" s="521" t="str">
        <f t="array" ref="AA542">XLOOKUP(LCARS_Off[AbilityID],RawOfficer[AbilityID],RawOfficer[AbilityDescription])</f>
        <v>SNW Black Ops M'Benga restores the Shield Health of your ship every round by X (X at rank X) when fighting hostiles.</v>
      </c>
      <c r="AB542" s="429" t="b">
        <v>0</v>
      </c>
      <c r="AC542" s="522" t="str">
        <f t="array" ref="AC542">XLOOKUP(LCARS_Off[AbilityID],RawOfficer[AbilityID],RawOfficer[AbilityDescriptionShort])</f>
        <v>Restores the Shield Health of your ship every round by X when fighting hostiles.</v>
      </c>
      <c r="AD542" s="523"/>
      <c r="AE542" s="524"/>
      <c r="AF542" s="524"/>
      <c r="AG542" s="525" t="str">
        <f t="array" ref="AG542">XLOOKUP(LCARS_Off[AbilityID],RawOfficer[AbilityID],RawOfficer[AbilityChances])</f>
        <v>1.0, 1.0, 1.0, 1.0, 1.0</v>
      </c>
      <c r="AH542" s="525" t="str">
        <f t="array" ref="AH542">XLOOKUP(LCARS_Off[AbilityID],RawOfficer[AbilityID],RawOfficer[AbilityValues])</f>
        <v>0.02, 0.03, 0.05, 0.07, 0.1</v>
      </c>
      <c r="AI542" s="428" t="b">
        <f t="array" ref="AI542">XLOOKUP(LCARS_Off[AbilityID],RawOfficer[AbilityID],RawOfficer[AbilityHasChance])</f>
        <v>0</v>
      </c>
      <c r="AJ542" s="428" t="b">
        <f t="array" ref="AJ542">XLOOKUP(LCARS_Off[AbilityID],RawOfficer[AbilityID],RawOfficer[AbilityShowPercentage])</f>
        <v>1</v>
      </c>
      <c r="AK542" s="429">
        <f t="array" ref="AK542">XLOOKUP(LCARS_Off[AbilityID],RawOfficer[AbilityID],RawOfficer[OfficerArt])</f>
        <v>315</v>
      </c>
      <c r="AL542" s="430">
        <v>1.513489186E9</v>
      </c>
      <c r="AM542" s="430">
        <f t="array" ref="AM542">XLOOKUP(LCARS_Off[AbilityID],RawOfficer[AbilityID],RawOfficer[Default Order])</f>
        <v>539</v>
      </c>
    </row>
    <row r="543">
      <c r="A543" s="429" t="str">
        <f t="array" ref="A543">LEFT(XLOOKUP(LCARS_Off[AbilityID],RawOfficer[AbilityID],RawOfficer[OfficerRarity]), 1)</f>
        <v>R</v>
      </c>
      <c r="B543" s="429"/>
      <c r="C543" s="514" t="str">
        <f t="array" ref="C543">HYPERLINK("https://stfc.space/officers/" &amp; XLOOKUP(LCARS_Off[AbilityID],RawOfficer[AbilityID],RawOfficer[OfficerId]), XLOOKUP(LCARS_Off[AbilityID],RawOfficer[AbilityID],RawOfficer[OfficerName]))</f>
        <v>BLACK OPS CHAPEL</v>
      </c>
      <c r="D543" s="515" t="str">
        <f t="array" ref="D543">XLOOKUP(LCARS_Off[AbilityID],RawOfficer[AbilityID],RawOfficer[AbilityType])</f>
        <v>OA</v>
      </c>
      <c r="E543" s="516" t="str">
        <f t="array" ref="E543">XLOOKUP(LCARS_Off[AbilityID],RawOfficer[AbilityID],RawOfficer[Tag_PvPinSpace])</f>
        <v>➖</v>
      </c>
      <c r="F543" s="516" t="str">
        <f t="array" ref="F543">XLOOKUP(LCARS_Off[AbilityID],RawOfficer[AbilityID],RawOfficer[Tag_PvPStation])</f>
        <v>➖</v>
      </c>
      <c r="G543" s="516" t="str">
        <f t="array" ref="G543">XLOOKUP(LCARS_Off[AbilityID],RawOfficer[AbilityID],RawOfficer[Tag_NonArmadaHostiles])</f>
        <v>✴️</v>
      </c>
      <c r="H543" s="516" t="str">
        <f t="array" ref="H543">XLOOKUP(LCARS_Off[AbilityID],RawOfficer[AbilityID],RawOfficer[Tag_WaveDefense])</f>
        <v>➖</v>
      </c>
      <c r="I543" s="516" t="str">
        <f t="array" ref="I543">XLOOKUP(LCARS_Off[AbilityID],RawOfficer[AbilityID],RawOfficer[Tag_QTrial])</f>
        <v>➖</v>
      </c>
      <c r="J543" s="516" t="str">
        <f t="array" ref="J543">XLOOKUP(LCARS_Off[AbilityID],RawOfficer[AbilityID],RawOfficer[Tag_MissionBosses])</f>
        <v>➖</v>
      </c>
      <c r="K543" s="516" t="str">
        <f t="array" ref="K543">XLOOKUP(LCARS_Off[AbilityID],RawOfficer[AbilityID],RawOfficer[Tag_GroupArmadas])</f>
        <v>✴️</v>
      </c>
      <c r="L543" s="516" t="str">
        <f t="array" ref="L543">XLOOKUP(LCARS_Off[AbilityID],RawOfficer[AbilityID],RawOfficer[Tag_SoloArmadas])</f>
        <v>✴️</v>
      </c>
      <c r="M543" s="516" t="str">
        <f t="array" ref="M543">XLOOKUP(LCARS_Off[AbilityID],RawOfficer[AbilityID],RawOfficer[Tag_InvadingEntities])</f>
        <v>➖</v>
      </c>
      <c r="N543" s="516" t="str">
        <f t="array" ref="N543">XLOOKUP(LCARS_Off[AbilityID],RawOfficer[AbilityID],RawOfficer[Tag_Assaults])</f>
        <v>➖</v>
      </c>
      <c r="O543" s="516" t="str">
        <f t="array" ref="O543">XLOOKUP(LCARS_Off[AbilityID],RawOfficer[AbilityID],RawOfficer[Tag_OutpostArmadas])</f>
        <v>➖</v>
      </c>
      <c r="P543" s="516" t="str">
        <f t="array" ref="P543">XLOOKUP(LCARS_Off[AbilityID],RawOfficer[AbilityID],RawOfficer[Tag_OutpostRetaliators])</f>
        <v>➖</v>
      </c>
      <c r="Q543" s="517" t="str">
        <f t="array" ref="Q543">XLOOKUP(LCARS_Off[AbilityID],RawOfficer[AbilityID],RawOfficer[Conditional_Reason])</f>
        <v>FactionPointsGain</v>
      </c>
      <c r="R543" s="518" t="str">
        <f t="array" ref="R543">XLOOKUP(LCARS_Off[AbilityID],RawOfficer[AbilityID],RawOfficer[Tag_Loot])</f>
        <v>✅</v>
      </c>
      <c r="S543" s="516" t="str">
        <f t="array" ref="S543">XLOOKUP(LCARS_Off[AbilityID],RawOfficer[AbilityID],RawOfficer[Tag_Utility])</f>
        <v>➖</v>
      </c>
      <c r="T543" s="429" t="str">
        <f t="array" ref="T543">XLOOKUP(LCARS_Off[AbilityID],RawOfficer[AbilityID],RawOfficer[OfficerSynergy])</f>
        <v>STRANGE NEW WORLDS</v>
      </c>
      <c r="U543" s="519" t="str">
        <f t="array" ref="U543">XLOOKUP(LCARS_Off[AbilityID],RawOfficer[AbilityID],RawOfficer[AbilityModifier])</f>
        <v>FactionPointsGain</v>
      </c>
      <c r="V543" s="519" t="str">
        <f t="array" ref="V543">XLOOKUP(LCARS_Off[AbilityID],RawOfficer[AbilityID],RawOfficer[AbilityAttributes])</f>
        <v/>
      </c>
      <c r="W543" s="520" t="str">
        <f t="array" ref="W543">XLOOKUP(LCARS_Off[AbilityID],RawOfficer[AbilityID],RawOfficer[AbilityConditions])</f>
        <v/>
      </c>
      <c r="X543" s="519" t="str">
        <f t="array" ref="X543">XLOOKUP(LCARS_Off[AbilityID],RawOfficer[AbilityID],RawOfficer[AbilityTrigger])</f>
        <v>ShipLaunched</v>
      </c>
      <c r="Y543" s="519" t="str">
        <f t="array" ref="Y543">XLOOKUP(LCARS_Off[AbilityID],RawOfficer[AbilityID],RawOfficer[AbilityTarget])</f>
        <v>SelfShip</v>
      </c>
      <c r="Z543" s="519" t="str">
        <f t="array" ref="Z543">XLOOKUP(LCARS_Off[AbilityID],RawOfficer[AbilityID],RawOfficer[AbilityOperation])</f>
        <v>MultiplyAdd</v>
      </c>
      <c r="AA543" s="521" t="str">
        <f t="array" ref="AA543">XLOOKUP(LCARS_Off[AbilityID],RawOfficer[AbilityID],RawOfficer[AbilityDescription])</f>
        <v>SNW Black Ops Chapel increases base positive Reputation gained from Federation, Klingon and Romulan Hostiles by X (X at rank X).</v>
      </c>
      <c r="AB543" s="429" t="b">
        <v>1</v>
      </c>
      <c r="AC543" s="522" t="str">
        <f t="array" ref="AC543">XLOOKUP(LCARS_Off[AbilityID],RawOfficer[AbilityID],RawOfficer[AbilityDescriptionShort])</f>
        <v>Increases base positive Reputation gained from Federation, Klingon and Romulan Hostiles by X.</v>
      </c>
      <c r="AD543" s="523"/>
      <c r="AE543" s="521" t="s">
        <v>579</v>
      </c>
      <c r="AF543" s="521" t="s">
        <v>576</v>
      </c>
      <c r="AG543" s="525" t="str">
        <f t="array" ref="AG543">XLOOKUP(LCARS_Off[AbilityID],RawOfficer[AbilityID],RawOfficer[AbilityChances])</f>
        <v>1.0, 1.0, 1.0, 1.0, 1.0</v>
      </c>
      <c r="AH543" s="525" t="str">
        <f t="array" ref="AH543">XLOOKUP(LCARS_Off[AbilityID],RawOfficer[AbilityID],RawOfficer[AbilityValues])</f>
        <v>0.75, 1.25, 2.0, 2.75, 4.5</v>
      </c>
      <c r="AI543" s="428" t="b">
        <f t="array" ref="AI543">XLOOKUP(LCARS_Off[AbilityID],RawOfficer[AbilityID],RawOfficer[AbilityHasChance])</f>
        <v>0</v>
      </c>
      <c r="AJ543" s="428" t="b">
        <f t="array" ref="AJ543">XLOOKUP(LCARS_Off[AbilityID],RawOfficer[AbilityID],RawOfficer[AbilityShowPercentage])</f>
        <v>1</v>
      </c>
      <c r="AK543" s="429">
        <f t="array" ref="AK543">XLOOKUP(LCARS_Off[AbilityID],RawOfficer[AbilityID],RawOfficer[OfficerArt])</f>
        <v>316</v>
      </c>
      <c r="AL543" s="430">
        <v>1.228564648E9</v>
      </c>
      <c r="AM543" s="430">
        <f t="array" ref="AM543">XLOOKUP(LCARS_Off[AbilityID],RawOfficer[AbilityID],RawOfficer[Default Order])</f>
        <v>540</v>
      </c>
    </row>
    <row r="544">
      <c r="A544" s="429" t="str">
        <f t="array" ref="A544">LEFT(XLOOKUP(LCARS_Off[AbilityID],RawOfficer[AbilityID],RawOfficer[OfficerRarity]), 1)</f>
        <v>R</v>
      </c>
      <c r="B544" s="429"/>
      <c r="C544" s="514" t="str">
        <f t="array" ref="C544">HYPERLINK("https://stfc.space/officers/" &amp; XLOOKUP(LCARS_Off[AbilityID],RawOfficer[AbilityID],RawOfficer[OfficerId]), XLOOKUP(LCARS_Off[AbilityID],RawOfficer[AbilityID],RawOfficer[OfficerName]))</f>
        <v>BLACK OPS CHAPEL</v>
      </c>
      <c r="D544" s="515" t="str">
        <f t="array" ref="D544">XLOOKUP(LCARS_Off[AbilityID],RawOfficer[AbilityID],RawOfficer[AbilityType])</f>
        <v>BDA</v>
      </c>
      <c r="E544" s="516" t="str">
        <f t="array" ref="E544">XLOOKUP(LCARS_Off[AbilityID],RawOfficer[AbilityID],RawOfficer[Tag_PvPinSpace])</f>
        <v>✅</v>
      </c>
      <c r="F544" s="516" t="str">
        <f t="array" ref="F544">XLOOKUP(LCARS_Off[AbilityID],RawOfficer[AbilityID],RawOfficer[Tag_PvPStation])</f>
        <v>✅</v>
      </c>
      <c r="G544" s="516" t="str">
        <f t="array" ref="G544">XLOOKUP(LCARS_Off[AbilityID],RawOfficer[AbilityID],RawOfficer[Tag_NonArmadaHostiles])</f>
        <v>✅</v>
      </c>
      <c r="H544" s="516" t="str">
        <f t="array" ref="H544">XLOOKUP(LCARS_Off[AbilityID],RawOfficer[AbilityID],RawOfficer[Tag_WaveDefense])</f>
        <v>✅</v>
      </c>
      <c r="I544" s="516" t="str">
        <f t="array" ref="I544">XLOOKUP(LCARS_Off[AbilityID],RawOfficer[AbilityID],RawOfficer[Tag_QTrial])</f>
        <v>✅</v>
      </c>
      <c r="J544" s="516" t="str">
        <f t="array" ref="J544">XLOOKUP(LCARS_Off[AbilityID],RawOfficer[AbilityID],RawOfficer[Tag_MissionBosses])</f>
        <v>✅</v>
      </c>
      <c r="K544" s="516" t="str">
        <f t="array" ref="K544">XLOOKUP(LCARS_Off[AbilityID],RawOfficer[AbilityID],RawOfficer[Tag_GroupArmadas])</f>
        <v>✅</v>
      </c>
      <c r="L544" s="516" t="str">
        <f t="array" ref="L544">XLOOKUP(LCARS_Off[AbilityID],RawOfficer[AbilityID],RawOfficer[Tag_SoloArmadas])</f>
        <v>✅</v>
      </c>
      <c r="M544" s="516" t="str">
        <f t="array" ref="M544">XLOOKUP(LCARS_Off[AbilityID],RawOfficer[AbilityID],RawOfficer[Tag_InvadingEntities])</f>
        <v>✅</v>
      </c>
      <c r="N544" s="516" t="str">
        <f t="array" ref="N544">XLOOKUP(LCARS_Off[AbilityID],RawOfficer[AbilityID],RawOfficer[Tag_Assaults])</f>
        <v>✅</v>
      </c>
      <c r="O544" s="516" t="str">
        <f t="array" ref="O544">XLOOKUP(LCARS_Off[AbilityID],RawOfficer[AbilityID],RawOfficer[Tag_OutpostArmadas])</f>
        <v>✅</v>
      </c>
      <c r="P544" s="516" t="str">
        <f t="array" ref="P544">XLOOKUP(LCARS_Off[AbilityID],RawOfficer[AbilityID],RawOfficer[Tag_OutpostRetaliators])</f>
        <v>✅</v>
      </c>
      <c r="Q544" s="517" t="str">
        <f t="array" ref="Q544">XLOOKUP(LCARS_Off[AbilityID],RawOfficer[AbilityID],RawOfficer[Conditional_Reason])</f>
        <v/>
      </c>
      <c r="R544" s="518" t="str">
        <f t="array" ref="R544">XLOOKUP(LCARS_Off[AbilityID],RawOfficer[AbilityID],RawOfficer[Tag_Loot])</f>
        <v>➖</v>
      </c>
      <c r="S544" s="516" t="str">
        <f t="array" ref="S544">XLOOKUP(LCARS_Off[AbilityID],RawOfficer[AbilityID],RawOfficer[Tag_Utility])</f>
        <v>➖</v>
      </c>
      <c r="T544" s="429" t="str">
        <f t="array" ref="T544">XLOOKUP(LCARS_Off[AbilityID],RawOfficer[AbilityID],RawOfficer[OfficerSynergy])</f>
        <v>STRANGE NEW WORLDS</v>
      </c>
      <c r="U544" s="519" t="str">
        <f t="array" ref="U544">XLOOKUP(LCARS_Off[AbilityID],RawOfficer[AbilityID],RawOfficer[AbilityModifier])</f>
        <v>HullHPMax</v>
      </c>
      <c r="V544" s="519" t="str">
        <f t="array" ref="V544">XLOOKUP(LCARS_Off[AbilityID],RawOfficer[AbilityID],RawOfficer[AbilityAttributes])</f>
        <v/>
      </c>
      <c r="W544" s="520" t="str">
        <f t="array" ref="W544">XLOOKUP(LCARS_Off[AbilityID],RawOfficer[AbilityID],RawOfficer[AbilityConditions])</f>
        <v/>
      </c>
      <c r="X544" s="519" t="str">
        <f t="array" ref="X544">XLOOKUP(LCARS_Off[AbilityID],RawOfficer[AbilityID],RawOfficer[AbilityTrigger])</f>
        <v>ShipLaunched</v>
      </c>
      <c r="Y544" s="519" t="str">
        <f t="array" ref="Y544">XLOOKUP(LCARS_Off[AbilityID],RawOfficer[AbilityID],RawOfficer[AbilityTarget])</f>
        <v>SelfShip</v>
      </c>
      <c r="Z544" s="519" t="str">
        <f t="array" ref="Z544">XLOOKUP(LCARS_Off[AbilityID],RawOfficer[AbilityID],RawOfficer[AbilityOperation])</f>
        <v>MultiplyAdd</v>
      </c>
      <c r="AA544" s="521" t="str">
        <f t="array" ref="AA544">XLOOKUP(LCARS_Off[AbilityID],RawOfficer[AbilityID],RawOfficer[AbilityDescription])</f>
        <v>SNW Black Ops Chapel increases the ship's base Hull Health by X (X at rank X).</v>
      </c>
      <c r="AB544" s="429" t="b">
        <v>0</v>
      </c>
      <c r="AC544" s="522" t="str">
        <f t="array" ref="AC544">XLOOKUP(LCARS_Off[AbilityID],RawOfficer[AbilityID],RawOfficer[AbilityDescriptionShort])</f>
        <v>Increases the ship's base Hull Health by X.</v>
      </c>
      <c r="AD544" s="523"/>
      <c r="AE544" s="524"/>
      <c r="AF544" s="524"/>
      <c r="AG544" s="525" t="str">
        <f t="array" ref="AG544">XLOOKUP(LCARS_Off[AbilityID],RawOfficer[AbilityID],RawOfficer[AbilityChances])</f>
        <v>1.0, 1.0, 1.0, 1.0, 1.0</v>
      </c>
      <c r="AH544" s="525" t="str">
        <f t="array" ref="AH544">XLOOKUP(LCARS_Off[AbilityID],RawOfficer[AbilityID],RawOfficer[AbilityValues])</f>
        <v>1.0, 1.5, 2.0, 3.0, 5.0</v>
      </c>
      <c r="AI544" s="428" t="b">
        <f t="array" ref="AI544">XLOOKUP(LCARS_Off[AbilityID],RawOfficer[AbilityID],RawOfficer[AbilityHasChance])</f>
        <v>0</v>
      </c>
      <c r="AJ544" s="428" t="b">
        <f t="array" ref="AJ544">XLOOKUP(LCARS_Off[AbilityID],RawOfficer[AbilityID],RawOfficer[AbilityShowPercentage])</f>
        <v>1</v>
      </c>
      <c r="AK544" s="429">
        <f t="array" ref="AK544">XLOOKUP(LCARS_Off[AbilityID],RawOfficer[AbilityID],RawOfficer[OfficerArt])</f>
        <v>316</v>
      </c>
      <c r="AL544" s="430">
        <v>1.316211407E9</v>
      </c>
      <c r="AM544" s="430">
        <f t="array" ref="AM544">XLOOKUP(LCARS_Off[AbilityID],RawOfficer[AbilityID],RawOfficer[Default Order])</f>
        <v>541</v>
      </c>
    </row>
    <row r="545">
      <c r="A545" s="429" t="str">
        <f t="array" ref="A545">LEFT(XLOOKUP(LCARS_Off[AbilityID],RawOfficer[AbilityID],RawOfficer[OfficerRarity]), 1)</f>
        <v>E</v>
      </c>
      <c r="B545" s="429"/>
      <c r="C545" s="514" t="str">
        <f t="array" ref="C545">HYPERLINK("https://stfc.space/officers/" &amp; XLOOKUP(LCARS_Off[AbilityID],RawOfficer[AbilityID],RawOfficer[OfficerId]), XLOOKUP(LCARS_Off[AbilityID],RawOfficer[AbilityID],RawOfficer[OfficerName]))</f>
        <v>VIL WINN ADAMI</v>
      </c>
      <c r="D545" s="515" t="str">
        <f t="array" ref="D545">XLOOKUP(LCARS_Off[AbilityID],RawOfficer[AbilityID],RawOfficer[AbilityType])</f>
        <v>OA</v>
      </c>
      <c r="E545" s="516" t="str">
        <f t="array" ref="E545">XLOOKUP(LCARS_Off[AbilityID],RawOfficer[AbilityID],RawOfficer[Tag_PvPinSpace])</f>
        <v>➖</v>
      </c>
      <c r="F545" s="516" t="str">
        <f t="array" ref="F545">XLOOKUP(LCARS_Off[AbilityID],RawOfficer[AbilityID],RawOfficer[Tag_PvPStation])</f>
        <v>✅</v>
      </c>
      <c r="G545" s="516" t="str">
        <f t="array" ref="G545">XLOOKUP(LCARS_Off[AbilityID],RawOfficer[AbilityID],RawOfficer[Tag_NonArmadaHostiles])</f>
        <v>➖</v>
      </c>
      <c r="H545" s="516" t="str">
        <f t="array" ref="H545">XLOOKUP(LCARS_Off[AbilityID],RawOfficer[AbilityID],RawOfficer[Tag_WaveDefense])</f>
        <v>➖</v>
      </c>
      <c r="I545" s="516" t="str">
        <f t="array" ref="I545">XLOOKUP(LCARS_Off[AbilityID],RawOfficer[AbilityID],RawOfficer[Tag_QTrial])</f>
        <v>➖</v>
      </c>
      <c r="J545" s="516" t="str">
        <f t="array" ref="J545">XLOOKUP(LCARS_Off[AbilityID],RawOfficer[AbilityID],RawOfficer[Tag_MissionBosses])</f>
        <v>➖</v>
      </c>
      <c r="K545" s="516" t="str">
        <f t="array" ref="K545">XLOOKUP(LCARS_Off[AbilityID],RawOfficer[AbilityID],RawOfficer[Tag_GroupArmadas])</f>
        <v>➖</v>
      </c>
      <c r="L545" s="516" t="str">
        <f t="array" ref="L545">XLOOKUP(LCARS_Off[AbilityID],RawOfficer[AbilityID],RawOfficer[Tag_SoloArmadas])</f>
        <v>➖</v>
      </c>
      <c r="M545" s="516" t="str">
        <f t="array" ref="M545">XLOOKUP(LCARS_Off[AbilityID],RawOfficer[AbilityID],RawOfficer[Tag_InvadingEntities])</f>
        <v>➖</v>
      </c>
      <c r="N545" s="516" t="str">
        <f t="array" ref="N545">XLOOKUP(LCARS_Off[AbilityID],RawOfficer[AbilityID],RawOfficer[Tag_Assaults])</f>
        <v>➖</v>
      </c>
      <c r="O545" s="516" t="str">
        <f t="array" ref="O545">XLOOKUP(LCARS_Off[AbilityID],RawOfficer[AbilityID],RawOfficer[Tag_OutpostArmadas])</f>
        <v>➖</v>
      </c>
      <c r="P545" s="516" t="str">
        <f t="array" ref="P545">XLOOKUP(LCARS_Off[AbilityID],RawOfficer[AbilityID],RawOfficer[Tag_OutpostRetaliators])</f>
        <v>➖</v>
      </c>
      <c r="Q545" s="517" t="str">
        <f t="array" ref="Q545">XLOOKUP(LCARS_Off[AbilityID],RawOfficer[AbilityID],RawOfficer[Conditional_Reason])</f>
        <v/>
      </c>
      <c r="R545" s="518" t="str">
        <f t="array" ref="R545">XLOOKUP(LCARS_Off[AbilityID],RawOfficer[AbilityID],RawOfficer[Tag_Loot])</f>
        <v>➖</v>
      </c>
      <c r="S545" s="516" t="str">
        <f t="array" ref="S545">XLOOKUP(LCARS_Off[AbilityID],RawOfficer[AbilityID],RawOfficer[Tag_Utility])</f>
        <v>➖</v>
      </c>
      <c r="T545" s="429" t="str">
        <f t="array" ref="T545">XLOOKUP(LCARS_Off[AbilityID],RawOfficer[AbilityID],RawOfficer[OfficerSynergy])</f>
        <v>VILLAINS</v>
      </c>
      <c r="U545" s="519" t="str">
        <f t="array" ref="U545">XLOOKUP(LCARS_Off[AbilityID],RawOfficer[AbilityID],RawOfficer[AbilityModifier])</f>
        <v>ShieldMitigation</v>
      </c>
      <c r="V545" s="519" t="str">
        <f t="array" ref="V545">XLOOKUP(LCARS_Off[AbilityID],RawOfficer[AbilityID],RawOfficer[AbilityAttributes])</f>
        <v>num_rounds=3</v>
      </c>
      <c r="W545" s="520" t="str">
        <f t="array" ref="W545">XLOOKUP(LCARS_Off[AbilityID],RawOfficer[AbilityID],RawOfficer[AbilityConditions])</f>
        <v>TargetNotASB, EnemySentinel</v>
      </c>
      <c r="X545" s="519" t="str">
        <f t="array" ref="X545">XLOOKUP(LCARS_Off[AbilityID],RawOfficer[AbilityID],RawOfficer[AbilityTrigger])</f>
        <v>CombatStart</v>
      </c>
      <c r="Y545" s="519" t="str">
        <f t="array" ref="Y545">XLOOKUP(LCARS_Off[AbilityID],RawOfficer[AbilityID],RawOfficer[AbilityTarget])</f>
        <v>EnemyAllShips</v>
      </c>
      <c r="Z545" s="519" t="str">
        <f t="array" ref="Z545">XLOOKUP(LCARS_Off[AbilityID],RawOfficer[AbilityID],RawOfficer[AbilityOperation])</f>
        <v>MultiplySub</v>
      </c>
      <c r="AA545" s="521" t="str">
        <f t="array" ref="AA545">XLOOKUP(LCARS_Off[AbilityID],RawOfficer[AbilityID],RawOfficer[AbilityDescription])</f>
        <v>When attacking a station, Winn Adami ignores X (X at rank X) of the opponent's shield for the first 3 rounds.</v>
      </c>
      <c r="AB545" s="429" t="b">
        <v>0</v>
      </c>
      <c r="AC545" s="522" t="str">
        <f t="array" ref="AC545">XLOOKUP(LCARS_Off[AbilityID],RawOfficer[AbilityID],RawOfficer[AbilityDescriptionShort])</f>
        <v>When attacking a Station, Winn Adami ignores X  of the opponent's shield for the first 3 rounds.</v>
      </c>
      <c r="AD545" s="523"/>
      <c r="AE545" s="524"/>
      <c r="AF545" s="524"/>
      <c r="AG545" s="525" t="str">
        <f t="array" ref="AG545">XLOOKUP(LCARS_Off[AbilityID],RawOfficer[AbilityID],RawOfficer[AbilityChances])</f>
        <v>1.0, 1.0, 1.0, 1.0, 1.0</v>
      </c>
      <c r="AH545" s="525" t="str">
        <f t="array" ref="AH545">XLOOKUP(LCARS_Off[AbilityID],RawOfficer[AbilityID],RawOfficer[AbilityValues])</f>
        <v>0.6, 0.7, 0.8, 0.9, 1.0</v>
      </c>
      <c r="AI545" s="428" t="b">
        <f t="array" ref="AI545">XLOOKUP(LCARS_Off[AbilityID],RawOfficer[AbilityID],RawOfficer[AbilityHasChance])</f>
        <v>0</v>
      </c>
      <c r="AJ545" s="428" t="b">
        <f t="array" ref="AJ545">XLOOKUP(LCARS_Off[AbilityID],RawOfficer[AbilityID],RawOfficer[AbilityShowPercentage])</f>
        <v>1</v>
      </c>
      <c r="AK545" s="429">
        <f t="array" ref="AK545">XLOOKUP(LCARS_Off[AbilityID],RawOfficer[AbilityID],RawOfficer[OfficerArt])</f>
        <v>317</v>
      </c>
      <c r="AL545" s="430">
        <v>2.883874665E9</v>
      </c>
      <c r="AM545" s="430">
        <f t="array" ref="AM545">XLOOKUP(LCARS_Off[AbilityID],RawOfficer[AbilityID],RawOfficer[Default Order])</f>
        <v>542</v>
      </c>
    </row>
    <row r="546">
      <c r="A546" s="429" t="str">
        <f t="array" ref="A546">LEFT(XLOOKUP(LCARS_Off[AbilityID],RawOfficer[AbilityID],RawOfficer[OfficerRarity]), 1)</f>
        <v>E</v>
      </c>
      <c r="B546" s="429"/>
      <c r="C546" s="514" t="str">
        <f t="array" ref="C546">HYPERLINK("https://stfc.space/officers/" &amp; XLOOKUP(LCARS_Off[AbilityID],RawOfficer[AbilityID],RawOfficer[OfficerId]), XLOOKUP(LCARS_Off[AbilityID],RawOfficer[AbilityID],RawOfficer[OfficerName]))</f>
        <v>VIL WINN ADAMI</v>
      </c>
      <c r="D546" s="515" t="str">
        <f t="array" ref="D546">XLOOKUP(LCARS_Off[AbilityID],RawOfficer[AbilityID],RawOfficer[AbilityType])</f>
        <v>BDA</v>
      </c>
      <c r="E546" s="516" t="str">
        <f t="array" ref="E546">XLOOKUP(LCARS_Off[AbilityID],RawOfficer[AbilityID],RawOfficer[Tag_PvPinSpace])</f>
        <v>✅</v>
      </c>
      <c r="F546" s="516" t="str">
        <f t="array" ref="F546">XLOOKUP(LCARS_Off[AbilityID],RawOfficer[AbilityID],RawOfficer[Tag_PvPStation])</f>
        <v>✅</v>
      </c>
      <c r="G546" s="516" t="str">
        <f t="array" ref="G546">XLOOKUP(LCARS_Off[AbilityID],RawOfficer[AbilityID],RawOfficer[Tag_NonArmadaHostiles])</f>
        <v>➖</v>
      </c>
      <c r="H546" s="516" t="str">
        <f t="array" ref="H546">XLOOKUP(LCARS_Off[AbilityID],RawOfficer[AbilityID],RawOfficer[Tag_WaveDefense])</f>
        <v>➖</v>
      </c>
      <c r="I546" s="516" t="str">
        <f t="array" ref="I546">XLOOKUP(LCARS_Off[AbilityID],RawOfficer[AbilityID],RawOfficer[Tag_QTrial])</f>
        <v>➖</v>
      </c>
      <c r="J546" s="516" t="str">
        <f t="array" ref="J546">XLOOKUP(LCARS_Off[AbilityID],RawOfficer[AbilityID],RawOfficer[Tag_MissionBosses])</f>
        <v>➖</v>
      </c>
      <c r="K546" s="516" t="str">
        <f t="array" ref="K546">XLOOKUP(LCARS_Off[AbilityID],RawOfficer[AbilityID],RawOfficer[Tag_GroupArmadas])</f>
        <v>➖</v>
      </c>
      <c r="L546" s="516" t="str">
        <f t="array" ref="L546">XLOOKUP(LCARS_Off[AbilityID],RawOfficer[AbilityID],RawOfficer[Tag_SoloArmadas])</f>
        <v>➖</v>
      </c>
      <c r="M546" s="516" t="str">
        <f t="array" ref="M546">XLOOKUP(LCARS_Off[AbilityID],RawOfficer[AbilityID],RawOfficer[Tag_InvadingEntities])</f>
        <v>➖</v>
      </c>
      <c r="N546" s="516" t="str">
        <f t="array" ref="N546">XLOOKUP(LCARS_Off[AbilityID],RawOfficer[AbilityID],RawOfficer[Tag_Assaults])</f>
        <v>➖</v>
      </c>
      <c r="O546" s="516" t="str">
        <f t="array" ref="O546">XLOOKUP(LCARS_Off[AbilityID],RawOfficer[AbilityID],RawOfficer[Tag_OutpostArmadas])</f>
        <v>➖</v>
      </c>
      <c r="P546" s="516" t="str">
        <f t="array" ref="P546">XLOOKUP(LCARS_Off[AbilityID],RawOfficer[AbilityID],RawOfficer[Tag_OutpostRetaliators])</f>
        <v>➖</v>
      </c>
      <c r="Q546" s="517" t="str">
        <f t="array" ref="Q546">XLOOKUP(LCARS_Off[AbilityID],RawOfficer[AbilityID],RawOfficer[Conditional_Reason])</f>
        <v/>
      </c>
      <c r="R546" s="518" t="str">
        <f t="array" ref="R546">XLOOKUP(LCARS_Off[AbilityID],RawOfficer[AbilityID],RawOfficer[Tag_Loot])</f>
        <v>➖</v>
      </c>
      <c r="S546" s="516" t="str">
        <f t="array" ref="S546">XLOOKUP(LCARS_Off[AbilityID],RawOfficer[AbilityID],RawOfficer[Tag_Utility])</f>
        <v>➖</v>
      </c>
      <c r="T546" s="429" t="str">
        <f t="array" ref="T546">XLOOKUP(LCARS_Off[AbilityID],RawOfficer[AbilityID],RawOfficer[OfficerSynergy])</f>
        <v>VILLAINS</v>
      </c>
      <c r="U546" s="519" t="str">
        <f t="array" ref="U546">XLOOKUP(LCARS_Off[AbilityID],RawOfficer[AbilityID],RawOfficer[AbilityModifier])</f>
        <v>CritDamage</v>
      </c>
      <c r="V546" s="519" t="str">
        <f t="array" ref="V546">XLOOKUP(LCARS_Off[AbilityID],RawOfficer[AbilityID],RawOfficer[AbilityAttributes])</f>
        <v/>
      </c>
      <c r="W546" s="520" t="str">
        <f t="array" ref="W546">XLOOKUP(LCARS_Off[AbilityID],RawOfficer[AbilityID],RawOfficer[AbilityConditions])</f>
        <v>EnemyPlayer</v>
      </c>
      <c r="X546" s="519" t="str">
        <f t="array" ref="X546">XLOOKUP(LCARS_Off[AbilityID],RawOfficer[AbilityID],RawOfficer[AbilityTrigger])</f>
        <v>CombatStart</v>
      </c>
      <c r="Y546" s="519" t="str">
        <f t="array" ref="Y546">XLOOKUP(LCARS_Off[AbilityID],RawOfficer[AbilityID],RawOfficer[AbilityTarget])</f>
        <v>EnemyAllShips</v>
      </c>
      <c r="Z546" s="519" t="str">
        <f t="array" ref="Z546">XLOOKUP(LCARS_Off[AbilityID],RawOfficer[AbilityID],RawOfficer[AbilityOperation])</f>
        <v>Sub</v>
      </c>
      <c r="AA546" s="521" t="str">
        <f t="array" ref="AA546">XLOOKUP(LCARS_Off[AbilityID],RawOfficer[AbilityID],RawOfficer[AbilityDescription])</f>
        <v>Reduces enemy player Critical Damage by X (X at rank X) .</v>
      </c>
      <c r="AB546" s="429" t="b">
        <v>0</v>
      </c>
      <c r="AC546" s="522" t="str">
        <f t="array" ref="AC546">XLOOKUP(LCARS_Off[AbilityID],RawOfficer[AbilityID],RawOfficer[AbilityDescriptionShort])</f>
        <v>Reduces enemy player Critical Damage by X .</v>
      </c>
      <c r="AD546" s="523"/>
      <c r="AE546" s="524"/>
      <c r="AF546" s="524"/>
      <c r="AG546" s="525" t="str">
        <f t="array" ref="AG546">XLOOKUP(LCARS_Off[AbilityID],RawOfficer[AbilityID],RawOfficer[AbilityChances])</f>
        <v>1.0, 1.0, 1.0, 1.0, 1.0</v>
      </c>
      <c r="AH546" s="525" t="str">
        <f t="array" ref="AH546">XLOOKUP(LCARS_Off[AbilityID],RawOfficer[AbilityID],RawOfficer[AbilityValues])</f>
        <v>1.0, 1.5, 2.0, 2.5, 3.5</v>
      </c>
      <c r="AI546" s="428" t="b">
        <f t="array" ref="AI546">XLOOKUP(LCARS_Off[AbilityID],RawOfficer[AbilityID],RawOfficer[AbilityHasChance])</f>
        <v>0</v>
      </c>
      <c r="AJ546" s="428" t="b">
        <f t="array" ref="AJ546">XLOOKUP(LCARS_Off[AbilityID],RawOfficer[AbilityID],RawOfficer[AbilityShowPercentage])</f>
        <v>1</v>
      </c>
      <c r="AK546" s="429">
        <f t="array" ref="AK546">XLOOKUP(LCARS_Off[AbilityID],RawOfficer[AbilityID],RawOfficer[OfficerArt])</f>
        <v>317</v>
      </c>
      <c r="AL546" s="430">
        <v>2.429471841E9</v>
      </c>
      <c r="AM546" s="430">
        <f t="array" ref="AM546">XLOOKUP(LCARS_Off[AbilityID],RawOfficer[AbilityID],RawOfficer[Default Order])</f>
        <v>543</v>
      </c>
    </row>
    <row r="547">
      <c r="A547" s="429" t="str">
        <f t="array" ref="A547">LEFT(XLOOKUP(LCARS_Off[AbilityID],RawOfficer[AbilityID],RawOfficer[OfficerRarity]), 1)</f>
        <v>E</v>
      </c>
      <c r="B547" s="429"/>
      <c r="C547" s="514" t="str">
        <f t="array" ref="C547">HYPERLINK("https://stfc.space/officers/" &amp; XLOOKUP(LCARS_Off[AbilityID],RawOfficer[AbilityID],RawOfficer[OfficerId]), XLOOKUP(LCARS_Off[AbilityID],RawOfficer[AbilityID],RawOfficer[OfficerName]))</f>
        <v>VIL GUL DUKAT</v>
      </c>
      <c r="D547" s="515" t="str">
        <f t="array" ref="D547">XLOOKUP(LCARS_Off[AbilityID],RawOfficer[AbilityID],RawOfficer[AbilityType])</f>
        <v>OA</v>
      </c>
      <c r="E547" s="516" t="str">
        <f t="array" ref="E547">XLOOKUP(LCARS_Off[AbilityID],RawOfficer[AbilityID],RawOfficer[Tag_PvPinSpace])</f>
        <v>➖</v>
      </c>
      <c r="F547" s="516" t="str">
        <f t="array" ref="F547">XLOOKUP(LCARS_Off[AbilityID],RawOfficer[AbilityID],RawOfficer[Tag_PvPStation])</f>
        <v>✅</v>
      </c>
      <c r="G547" s="516" t="str">
        <f t="array" ref="G547">XLOOKUP(LCARS_Off[AbilityID],RawOfficer[AbilityID],RawOfficer[Tag_NonArmadaHostiles])</f>
        <v>➖</v>
      </c>
      <c r="H547" s="516" t="str">
        <f t="array" ref="H547">XLOOKUP(LCARS_Off[AbilityID],RawOfficer[AbilityID],RawOfficer[Tag_WaveDefense])</f>
        <v>➖</v>
      </c>
      <c r="I547" s="516" t="str">
        <f t="array" ref="I547">XLOOKUP(LCARS_Off[AbilityID],RawOfficer[AbilityID],RawOfficer[Tag_QTrial])</f>
        <v>➖</v>
      </c>
      <c r="J547" s="516" t="str">
        <f t="array" ref="J547">XLOOKUP(LCARS_Off[AbilityID],RawOfficer[AbilityID],RawOfficer[Tag_MissionBosses])</f>
        <v>➖</v>
      </c>
      <c r="K547" s="516" t="str">
        <f t="array" ref="K547">XLOOKUP(LCARS_Off[AbilityID],RawOfficer[AbilityID],RawOfficer[Tag_GroupArmadas])</f>
        <v>➖</v>
      </c>
      <c r="L547" s="516" t="str">
        <f t="array" ref="L547">XLOOKUP(LCARS_Off[AbilityID],RawOfficer[AbilityID],RawOfficer[Tag_SoloArmadas])</f>
        <v>➖</v>
      </c>
      <c r="M547" s="516" t="str">
        <f t="array" ref="M547">XLOOKUP(LCARS_Off[AbilityID],RawOfficer[AbilityID],RawOfficer[Tag_InvadingEntities])</f>
        <v>➖</v>
      </c>
      <c r="N547" s="516" t="str">
        <f t="array" ref="N547">XLOOKUP(LCARS_Off[AbilityID],RawOfficer[AbilityID],RawOfficer[Tag_Assaults])</f>
        <v>➖</v>
      </c>
      <c r="O547" s="516" t="str">
        <f t="array" ref="O547">XLOOKUP(LCARS_Off[AbilityID],RawOfficer[AbilityID],RawOfficer[Tag_OutpostArmadas])</f>
        <v>➖</v>
      </c>
      <c r="P547" s="516" t="str">
        <f t="array" ref="P547">XLOOKUP(LCARS_Off[AbilityID],RawOfficer[AbilityID],RawOfficer[Tag_OutpostRetaliators])</f>
        <v>➖</v>
      </c>
      <c r="Q547" s="517" t="str">
        <f t="array" ref="Q547">XLOOKUP(LCARS_Off[AbilityID],RawOfficer[AbilityID],RawOfficer[Conditional_Reason])</f>
        <v/>
      </c>
      <c r="R547" s="518" t="str">
        <f t="array" ref="R547">XLOOKUP(LCARS_Off[AbilityID],RawOfficer[AbilityID],RawOfficer[Tag_Loot])</f>
        <v>➖</v>
      </c>
      <c r="S547" s="516" t="str">
        <f t="array" ref="S547">XLOOKUP(LCARS_Off[AbilityID],RawOfficer[AbilityID],RawOfficer[Tag_Utility])</f>
        <v>➖</v>
      </c>
      <c r="T547" s="429" t="str">
        <f t="array" ref="T547">XLOOKUP(LCARS_Off[AbilityID],RawOfficer[AbilityID],RawOfficer[OfficerSynergy])</f>
        <v>VILLAINS</v>
      </c>
      <c r="U547" s="519" t="str">
        <f t="array" ref="U547">XLOOKUP(LCARS_Off[AbilityID],RawOfficer[AbilityID],RawOfficer[AbilityModifier])</f>
        <v>ShotsPerAttack</v>
      </c>
      <c r="V547" s="519" t="str">
        <f t="array" ref="V547">XLOOKUP(LCARS_Off[AbilityID],RawOfficer[AbilityID],RawOfficer[AbilityAttributes])</f>
        <v/>
      </c>
      <c r="W547" s="520" t="str">
        <f t="array" ref="W547">XLOOKUP(LCARS_Off[AbilityID],RawOfficer[AbilityID],RawOfficer[AbilityConditions])</f>
        <v>TargetNotASB, EnemySentinel</v>
      </c>
      <c r="X547" s="519" t="str">
        <f t="array" ref="X547">XLOOKUP(LCARS_Off[AbilityID],RawOfficer[AbilityID],RawOfficer[AbilityTrigger])</f>
        <v>CombatStart</v>
      </c>
      <c r="Y547" s="519" t="str">
        <f t="array" ref="Y547">XLOOKUP(LCARS_Off[AbilityID],RawOfficer[AbilityID],RawOfficer[AbilityTarget])</f>
        <v>SelfShip</v>
      </c>
      <c r="Z547" s="519" t="str">
        <f t="array" ref="Z547">XLOOKUP(LCARS_Off[AbilityID],RawOfficer[AbilityID],RawOfficer[AbilityOperation])</f>
        <v>MultiplyAdd</v>
      </c>
      <c r="AA547" s="521" t="str">
        <f t="array" ref="AA547">XLOOKUP(LCARS_Off[AbilityID],RawOfficer[AbilityID],RawOfficer[AbilityDescription])</f>
        <v>VIL Gul Dukat increases Shots by X (X at rank X) when attacking a Station.</v>
      </c>
      <c r="AB547" s="429" t="b">
        <v>0</v>
      </c>
      <c r="AC547" s="522" t="str">
        <f t="array" ref="AC547">XLOOKUP(LCARS_Off[AbilityID],RawOfficer[AbilityID],RawOfficer[AbilityDescriptionShort])</f>
        <v>Increases Shots by  X  when attacking a Station.</v>
      </c>
      <c r="AD547" s="523"/>
      <c r="AE547" s="524"/>
      <c r="AF547" s="524"/>
      <c r="AG547" s="525" t="str">
        <f t="array" ref="AG547">XLOOKUP(LCARS_Off[AbilityID],RawOfficer[AbilityID],RawOfficer[AbilityChances])</f>
        <v>1.0, 1.0, 1.0, 1.0, 1.0</v>
      </c>
      <c r="AH547" s="525" t="str">
        <f t="array" ref="AH547">XLOOKUP(LCARS_Off[AbilityID],RawOfficer[AbilityID],RawOfficer[AbilityValues])</f>
        <v>0.6, 0.8, 1.2, 1.8, 3.0</v>
      </c>
      <c r="AI547" s="428" t="b">
        <f t="array" ref="AI547">XLOOKUP(LCARS_Off[AbilityID],RawOfficer[AbilityID],RawOfficer[AbilityHasChance])</f>
        <v>0</v>
      </c>
      <c r="AJ547" s="428" t="b">
        <f t="array" ref="AJ547">XLOOKUP(LCARS_Off[AbilityID],RawOfficer[AbilityID],RawOfficer[AbilityShowPercentage])</f>
        <v>1</v>
      </c>
      <c r="AK547" s="429">
        <f t="array" ref="AK547">XLOOKUP(LCARS_Off[AbilityID],RawOfficer[AbilityID],RawOfficer[OfficerArt])</f>
        <v>318</v>
      </c>
      <c r="AL547" s="430">
        <v>2.857736688E9</v>
      </c>
      <c r="AM547" s="430">
        <f t="array" ref="AM547">XLOOKUP(LCARS_Off[AbilityID],RawOfficer[AbilityID],RawOfficer[Default Order])</f>
        <v>544</v>
      </c>
    </row>
    <row r="548">
      <c r="A548" s="429" t="str">
        <f t="array" ref="A548">LEFT(XLOOKUP(LCARS_Off[AbilityID],RawOfficer[AbilityID],RawOfficer[OfficerRarity]), 1)</f>
        <v>E</v>
      </c>
      <c r="B548" s="429"/>
      <c r="C548" s="514" t="str">
        <f t="array" ref="C548">HYPERLINK("https://stfc.space/officers/" &amp; XLOOKUP(LCARS_Off[AbilityID],RawOfficer[AbilityID],RawOfficer[OfficerId]), XLOOKUP(LCARS_Off[AbilityID],RawOfficer[AbilityID],RawOfficer[OfficerName]))</f>
        <v>VIL GUL DUKAT</v>
      </c>
      <c r="D548" s="515" t="str">
        <f t="array" ref="D548">XLOOKUP(LCARS_Off[AbilityID],RawOfficer[AbilityID],RawOfficer[AbilityType])</f>
        <v>BDA</v>
      </c>
      <c r="E548" s="516" t="str">
        <f t="array" ref="E548">XLOOKUP(LCARS_Off[AbilityID],RawOfficer[AbilityID],RawOfficer[Tag_PvPinSpace])</f>
        <v>✅</v>
      </c>
      <c r="F548" s="516" t="str">
        <f t="array" ref="F548">XLOOKUP(LCARS_Off[AbilityID],RawOfficer[AbilityID],RawOfficer[Tag_PvPStation])</f>
        <v>✅</v>
      </c>
      <c r="G548" s="516" t="str">
        <f t="array" ref="G548">XLOOKUP(LCARS_Off[AbilityID],RawOfficer[AbilityID],RawOfficer[Tag_NonArmadaHostiles])</f>
        <v>➖</v>
      </c>
      <c r="H548" s="516" t="str">
        <f t="array" ref="H548">XLOOKUP(LCARS_Off[AbilityID],RawOfficer[AbilityID],RawOfficer[Tag_WaveDefense])</f>
        <v>➖</v>
      </c>
      <c r="I548" s="516" t="str">
        <f t="array" ref="I548">XLOOKUP(LCARS_Off[AbilityID],RawOfficer[AbilityID],RawOfficer[Tag_QTrial])</f>
        <v>➖</v>
      </c>
      <c r="J548" s="516" t="str">
        <f t="array" ref="J548">XLOOKUP(LCARS_Off[AbilityID],RawOfficer[AbilityID],RawOfficer[Tag_MissionBosses])</f>
        <v>➖</v>
      </c>
      <c r="K548" s="516" t="str">
        <f t="array" ref="K548">XLOOKUP(LCARS_Off[AbilityID],RawOfficer[AbilityID],RawOfficer[Tag_GroupArmadas])</f>
        <v>➖</v>
      </c>
      <c r="L548" s="516" t="str">
        <f t="array" ref="L548">XLOOKUP(LCARS_Off[AbilityID],RawOfficer[AbilityID],RawOfficer[Tag_SoloArmadas])</f>
        <v>➖</v>
      </c>
      <c r="M548" s="516" t="str">
        <f t="array" ref="M548">XLOOKUP(LCARS_Off[AbilityID],RawOfficer[AbilityID],RawOfficer[Tag_InvadingEntities])</f>
        <v>➖</v>
      </c>
      <c r="N548" s="516" t="str">
        <f t="array" ref="N548">XLOOKUP(LCARS_Off[AbilityID],RawOfficer[AbilityID],RawOfficer[Tag_Assaults])</f>
        <v>➖</v>
      </c>
      <c r="O548" s="516" t="str">
        <f t="array" ref="O548">XLOOKUP(LCARS_Off[AbilityID],RawOfficer[AbilityID],RawOfficer[Tag_OutpostArmadas])</f>
        <v>➖</v>
      </c>
      <c r="P548" s="516" t="str">
        <f t="array" ref="P548">XLOOKUP(LCARS_Off[AbilityID],RawOfficer[AbilityID],RawOfficer[Tag_OutpostRetaliators])</f>
        <v>➖</v>
      </c>
      <c r="Q548" s="517" t="str">
        <f t="array" ref="Q548">XLOOKUP(LCARS_Off[AbilityID],RawOfficer[AbilityID],RawOfficer[Conditional_Reason])</f>
        <v/>
      </c>
      <c r="R548" s="518" t="str">
        <f t="array" ref="R548">XLOOKUP(LCARS_Off[AbilityID],RawOfficer[AbilityID],RawOfficer[Tag_Loot])</f>
        <v>➖</v>
      </c>
      <c r="S548" s="516" t="str">
        <f t="array" ref="S548">XLOOKUP(LCARS_Off[AbilityID],RawOfficer[AbilityID],RawOfficer[Tag_Utility])</f>
        <v>➖</v>
      </c>
      <c r="T548" s="429" t="str">
        <f t="array" ref="T548">XLOOKUP(LCARS_Off[AbilityID],RawOfficer[AbilityID],RawOfficer[OfficerSynergy])</f>
        <v>VILLAINS</v>
      </c>
      <c r="U548" s="519" t="str">
        <f t="array" ref="U548">XLOOKUP(LCARS_Off[AbilityID],RawOfficer[AbilityID],RawOfficer[AbilityModifier])</f>
        <v>CritChance</v>
      </c>
      <c r="V548" s="519" t="str">
        <f t="array" ref="V548">XLOOKUP(LCARS_Off[AbilityID],RawOfficer[AbilityID],RawOfficer[AbilityAttributes])</f>
        <v>num_rounds=4</v>
      </c>
      <c r="W548" s="520" t="str">
        <f t="array" ref="W548">XLOOKUP(LCARS_Off[AbilityID],RawOfficer[AbilityID],RawOfficer[AbilityConditions])</f>
        <v>EnemyPlayer</v>
      </c>
      <c r="X548" s="519" t="str">
        <f t="array" ref="X548">XLOOKUP(LCARS_Off[AbilityID],RawOfficer[AbilityID],RawOfficer[AbilityTrigger])</f>
        <v>CombatStart</v>
      </c>
      <c r="Y548" s="519" t="str">
        <f t="array" ref="Y548">XLOOKUP(LCARS_Off[AbilityID],RawOfficer[AbilityID],RawOfficer[AbilityTarget])</f>
        <v>EnemyAllShips</v>
      </c>
      <c r="Z548" s="519" t="str">
        <f t="array" ref="Z548">XLOOKUP(LCARS_Off[AbilityID],RawOfficer[AbilityID],RawOfficer[AbilityOperation])</f>
        <v>Sub</v>
      </c>
      <c r="AA548" s="521" t="str">
        <f t="array" ref="AA548">XLOOKUP(LCARS_Off[AbilityID],RawOfficer[AbilityID],RawOfficer[AbilityDescription])</f>
        <v>VIL Gul Dukat reduces enemy player Critical Chance by X (X at rank X) during 4 rounds at the start of the combat.</v>
      </c>
      <c r="AB548" s="429" t="b">
        <v>0</v>
      </c>
      <c r="AC548" s="522" t="str">
        <f t="array" ref="AC548">XLOOKUP(LCARS_Off[AbilityID],RawOfficer[AbilityID],RawOfficer[AbilityDescriptionShort])</f>
        <v>Reduces enemy player Critical Chance by X during 4 rounds at the start of the combat.</v>
      </c>
      <c r="AD548" s="523"/>
      <c r="AE548" s="524"/>
      <c r="AF548" s="524"/>
      <c r="AG548" s="525" t="str">
        <f t="array" ref="AG548">XLOOKUP(LCARS_Off[AbilityID],RawOfficer[AbilityID],RawOfficer[AbilityChances])</f>
        <v>1.0, 1.0, 1.0, 1.0, 1.0</v>
      </c>
      <c r="AH548" s="525" t="str">
        <f t="array" ref="AH548">XLOOKUP(LCARS_Off[AbilityID],RawOfficer[AbilityID],RawOfficer[AbilityValues])</f>
        <v>0.1, 0.15, 0.2, 0.3, 0.5</v>
      </c>
      <c r="AI548" s="428" t="b">
        <f t="array" ref="AI548">XLOOKUP(LCARS_Off[AbilityID],RawOfficer[AbilityID],RawOfficer[AbilityHasChance])</f>
        <v>0</v>
      </c>
      <c r="AJ548" s="428" t="b">
        <f t="array" ref="AJ548">XLOOKUP(LCARS_Off[AbilityID],RawOfficer[AbilityID],RawOfficer[AbilityShowPercentage])</f>
        <v>1</v>
      </c>
      <c r="AK548" s="429">
        <f t="array" ref="AK548">XLOOKUP(LCARS_Off[AbilityID],RawOfficer[AbilityID],RawOfficer[OfficerArt])</f>
        <v>318</v>
      </c>
      <c r="AL548" s="430">
        <v>3.94709744E8</v>
      </c>
      <c r="AM548" s="430">
        <f t="array" ref="AM548">XLOOKUP(LCARS_Off[AbilityID],RawOfficer[AbilityID],RawOfficer[Default Order])</f>
        <v>545</v>
      </c>
    </row>
    <row r="549">
      <c r="A549" s="429" t="str">
        <f t="array" ref="A549">LEFT(XLOOKUP(LCARS_Off[AbilityID],RawOfficer[AbilityID],RawOfficer[OfficerRarity]), 1)</f>
        <v>E</v>
      </c>
      <c r="B549" s="429"/>
      <c r="C549" s="514" t="str">
        <f t="array" ref="C549">HYPERLINK("https://stfc.space/officers/" &amp; XLOOKUP(LCARS_Off[AbilityID],RawOfficer[AbilityID],RawOfficer[OfficerId]), XLOOKUP(LCARS_Off[AbilityID],RawOfficer[AbilityID],RawOfficer[OfficerName]))</f>
        <v>NOG</v>
      </c>
      <c r="D549" s="515" t="str">
        <f t="array" ref="D549">XLOOKUP(LCARS_Off[AbilityID],RawOfficer[AbilityID],RawOfficer[AbilityType])</f>
        <v>CM</v>
      </c>
      <c r="E549" s="516" t="str">
        <f t="array" ref="E549">XLOOKUP(LCARS_Off[AbilityID],RawOfficer[AbilityID],RawOfficer[Tag_PvPinSpace])</f>
        <v>➖</v>
      </c>
      <c r="F549" s="516" t="str">
        <f t="array" ref="F549">XLOOKUP(LCARS_Off[AbilityID],RawOfficer[AbilityID],RawOfficer[Tag_PvPStation])</f>
        <v>✴️</v>
      </c>
      <c r="G549" s="516" t="str">
        <f t="array" ref="G549">XLOOKUP(LCARS_Off[AbilityID],RawOfficer[AbilityID],RawOfficer[Tag_NonArmadaHostiles])</f>
        <v>➖</v>
      </c>
      <c r="H549" s="516" t="str">
        <f t="array" ref="H549">XLOOKUP(LCARS_Off[AbilityID],RawOfficer[AbilityID],RawOfficer[Tag_WaveDefense])</f>
        <v>➖</v>
      </c>
      <c r="I549" s="516" t="str">
        <f t="array" ref="I549">XLOOKUP(LCARS_Off[AbilityID],RawOfficer[AbilityID],RawOfficer[Tag_QTrial])</f>
        <v>➖</v>
      </c>
      <c r="J549" s="516" t="str">
        <f t="array" ref="J549">XLOOKUP(LCARS_Off[AbilityID],RawOfficer[AbilityID],RawOfficer[Tag_MissionBosses])</f>
        <v>➖</v>
      </c>
      <c r="K549" s="516" t="str">
        <f t="array" ref="K549">XLOOKUP(LCARS_Off[AbilityID],RawOfficer[AbilityID],RawOfficer[Tag_GroupArmadas])</f>
        <v>➖</v>
      </c>
      <c r="L549" s="516" t="str">
        <f t="array" ref="L549">XLOOKUP(LCARS_Off[AbilityID],RawOfficer[AbilityID],RawOfficer[Tag_SoloArmadas])</f>
        <v>➖</v>
      </c>
      <c r="M549" s="516" t="str">
        <f t="array" ref="M549">XLOOKUP(LCARS_Off[AbilityID],RawOfficer[AbilityID],RawOfficer[Tag_InvadingEntities])</f>
        <v>➖</v>
      </c>
      <c r="N549" s="516" t="str">
        <f t="array" ref="N549">XLOOKUP(LCARS_Off[AbilityID],RawOfficer[AbilityID],RawOfficer[Tag_Assaults])</f>
        <v>➖</v>
      </c>
      <c r="O549" s="516" t="str">
        <f t="array" ref="O549">XLOOKUP(LCARS_Off[AbilityID],RawOfficer[AbilityID],RawOfficer[Tag_OutpostArmadas])</f>
        <v>➖</v>
      </c>
      <c r="P549" s="516" t="str">
        <f t="array" ref="P549">XLOOKUP(LCARS_Off[AbilityID],RawOfficer[AbilityID],RawOfficer[Tag_OutpostRetaliators])</f>
        <v>➖</v>
      </c>
      <c r="Q549" s="517" t="str">
        <f t="array" ref="Q549">XLOOKUP(LCARS_Off[AbilityID],RawOfficer[AbilityID],RawOfficer[Conditional_Reason])</f>
        <v>SelfOfficerTalNotOnBridge</v>
      </c>
      <c r="R549" s="518" t="str">
        <f t="array" ref="R549">XLOOKUP(LCARS_Off[AbilityID],RawOfficer[AbilityID],RawOfficer[Tag_Loot])</f>
        <v>➖</v>
      </c>
      <c r="S549" s="516" t="str">
        <f t="array" ref="S549">XLOOKUP(LCARS_Off[AbilityID],RawOfficer[AbilityID],RawOfficer[Tag_Utility])</f>
        <v>➖</v>
      </c>
      <c r="T549" s="429" t="str">
        <f t="array" ref="T549">XLOOKUP(LCARS_Off[AbilityID],RawOfficer[AbilityID],RawOfficer[OfficerSynergy])</f>
        <v>Status Control Team</v>
      </c>
      <c r="U549" s="519" t="str">
        <f t="array" ref="U549">XLOOKUP(LCARS_Off[AbilityID],RawOfficer[AbilityID],RawOfficer[AbilityModifier])</f>
        <v>ApexBarrier</v>
      </c>
      <c r="V549" s="519" t="str">
        <f t="array" ref="V549">XLOOKUP(LCARS_Off[AbilityID],RawOfficer[AbilityID],RawOfficer[AbilityAttributes])</f>
        <v>num_rounds=2</v>
      </c>
      <c r="W549" s="520" t="str">
        <f t="array" ref="W549">XLOOKUP(LCARS_Off[AbilityID],RawOfficer[AbilityID],RawOfficer[AbilityConditions])</f>
        <v>TargetNotASB, EnemySentinel, SelfOfficerTalNotOnBridge</v>
      </c>
      <c r="X549" s="519" t="str">
        <f t="array" ref="X549">XLOOKUP(LCARS_Off[AbilityID],RawOfficer[AbilityID],RawOfficer[AbilityTrigger])</f>
        <v>RoundStart</v>
      </c>
      <c r="Y549" s="519" t="str">
        <f t="array" ref="Y549">XLOOKUP(LCARS_Off[AbilityID],RawOfficer[AbilityID],RawOfficer[AbilityTarget])</f>
        <v>SelfShip</v>
      </c>
      <c r="Z549" s="519" t="str">
        <f t="array" ref="Z549">XLOOKUP(LCARS_Off[AbilityID],RawOfficer[AbilityID],RawOfficer[AbilityOperation])</f>
        <v>Add</v>
      </c>
      <c r="AA549" s="521" t="str">
        <f t="array" ref="AA549">XLOOKUP(LCARS_Off[AbilityID],RawOfficer[AbilityID],RawOfficer[AbilityDescription])</f>
        <v>Nog increases Apex Barrier by X for 2 rounds on round start, when attacking a Station. -- This ability does not trigger when Tal is assigned to the bridge of your ship.</v>
      </c>
      <c r="AB549" s="429" t="b">
        <v>0</v>
      </c>
      <c r="AC549" s="522" t="str">
        <f t="array" ref="AC549">XLOOKUP(LCARS_Off[AbilityID],RawOfficer[AbilityID],RawOfficer[AbilityDescriptionShort])</f>
        <v>Increases Apex Barrier by X for 2 rounds when attacking a Station.</v>
      </c>
      <c r="AD549" s="523"/>
      <c r="AE549" s="524"/>
      <c r="AF549" s="524"/>
      <c r="AG549" s="525" t="str">
        <f t="array" ref="AG549">XLOOKUP(LCARS_Off[AbilityID],RawOfficer[AbilityID],RawOfficer[AbilityChances])</f>
        <v>1.0, 1.0, 1.0</v>
      </c>
      <c r="AH549" s="525" t="str">
        <f t="array" ref="AH549">XLOOKUP(LCARS_Off[AbilityID],RawOfficer[AbilityID],RawOfficer[AbilityValues])</f>
        <v>20000.0, 0.0, 0.0</v>
      </c>
      <c r="AI549" s="428" t="b">
        <f t="array" ref="AI549">XLOOKUP(LCARS_Off[AbilityID],RawOfficer[AbilityID],RawOfficer[AbilityHasChance])</f>
        <v>0</v>
      </c>
      <c r="AJ549" s="428" t="b">
        <f t="array" ref="AJ549">XLOOKUP(LCARS_Off[AbilityID],RawOfficer[AbilityID],RawOfficer[AbilityShowPercentage])</f>
        <v>0</v>
      </c>
      <c r="AK549" s="429">
        <f t="array" ref="AK549">XLOOKUP(LCARS_Off[AbilityID],RawOfficer[AbilityID],RawOfficer[OfficerArt])</f>
        <v>319</v>
      </c>
      <c r="AL549" s="430">
        <v>4.102667011E9</v>
      </c>
      <c r="AM549" s="430">
        <f t="array" ref="AM549">XLOOKUP(LCARS_Off[AbilityID],RawOfficer[AbilityID],RawOfficer[Default Order])</f>
        <v>546</v>
      </c>
    </row>
    <row r="550">
      <c r="A550" s="429" t="str">
        <f t="array" ref="A550">LEFT(XLOOKUP(LCARS_Off[AbilityID],RawOfficer[AbilityID],RawOfficer[OfficerRarity]), 1)</f>
        <v>E</v>
      </c>
      <c r="B550" s="429"/>
      <c r="C550" s="514" t="str">
        <f t="array" ref="C550">HYPERLINK("https://stfc.space/officers/" &amp; XLOOKUP(LCARS_Off[AbilityID],RawOfficer[AbilityID],RawOfficer[OfficerId]), XLOOKUP(LCARS_Off[AbilityID],RawOfficer[AbilityID],RawOfficer[OfficerName]))</f>
        <v>NOG</v>
      </c>
      <c r="D550" s="515" t="str">
        <f t="array" ref="D550">XLOOKUP(LCARS_Off[AbilityID],RawOfficer[AbilityID],RawOfficer[AbilityType])</f>
        <v>OA</v>
      </c>
      <c r="E550" s="516" t="str">
        <f t="array" ref="E550">XLOOKUP(LCARS_Off[AbilityID],RawOfficer[AbilityID],RawOfficer[Tag_PvPinSpace])</f>
        <v>✴️</v>
      </c>
      <c r="F550" s="516" t="str">
        <f t="array" ref="F550">XLOOKUP(LCARS_Off[AbilityID],RawOfficer[AbilityID],RawOfficer[Tag_PvPStation])</f>
        <v>✴️</v>
      </c>
      <c r="G550" s="516" t="str">
        <f t="array" ref="G550">XLOOKUP(LCARS_Off[AbilityID],RawOfficer[AbilityID],RawOfficer[Tag_NonArmadaHostiles])</f>
        <v>➖</v>
      </c>
      <c r="H550" s="516" t="str">
        <f t="array" ref="H550">XLOOKUP(LCARS_Off[AbilityID],RawOfficer[AbilityID],RawOfficer[Tag_WaveDefense])</f>
        <v>➖</v>
      </c>
      <c r="I550" s="516" t="str">
        <f t="array" ref="I550">XLOOKUP(LCARS_Off[AbilityID],RawOfficer[AbilityID],RawOfficer[Tag_QTrial])</f>
        <v>➖</v>
      </c>
      <c r="J550" s="516" t="str">
        <f t="array" ref="J550">XLOOKUP(LCARS_Off[AbilityID],RawOfficer[AbilityID],RawOfficer[Tag_MissionBosses])</f>
        <v>➖</v>
      </c>
      <c r="K550" s="516" t="str">
        <f t="array" ref="K550">XLOOKUP(LCARS_Off[AbilityID],RawOfficer[AbilityID],RawOfficer[Tag_GroupArmadas])</f>
        <v>➖</v>
      </c>
      <c r="L550" s="516" t="str">
        <f t="array" ref="L550">XLOOKUP(LCARS_Off[AbilityID],RawOfficer[AbilityID],RawOfficer[Tag_SoloArmadas])</f>
        <v>➖</v>
      </c>
      <c r="M550" s="516" t="str">
        <f t="array" ref="M550">XLOOKUP(LCARS_Off[AbilityID],RawOfficer[AbilityID],RawOfficer[Tag_InvadingEntities])</f>
        <v>➖</v>
      </c>
      <c r="N550" s="516" t="str">
        <f t="array" ref="N550">XLOOKUP(LCARS_Off[AbilityID],RawOfficer[AbilityID],RawOfficer[Tag_Assaults])</f>
        <v>➖</v>
      </c>
      <c r="O550" s="516" t="str">
        <f t="array" ref="O550">XLOOKUP(LCARS_Off[AbilityID],RawOfficer[AbilityID],RawOfficer[Tag_OutpostArmadas])</f>
        <v>➖</v>
      </c>
      <c r="P550" s="516" t="str">
        <f t="array" ref="P550">XLOOKUP(LCARS_Off[AbilityID],RawOfficer[AbilityID],RawOfficer[Tag_OutpostRetaliators])</f>
        <v>➖</v>
      </c>
      <c r="Q550" s="517" t="str">
        <f t="array" ref="Q550">XLOOKUP(LCARS_Off[AbilityID],RawOfficer[AbilityID],RawOfficer[Conditional_Reason])</f>
        <v>TargetStateAny</v>
      </c>
      <c r="R550" s="518" t="str">
        <f t="array" ref="R550">XLOOKUP(LCARS_Off[AbilityID],RawOfficer[AbilityID],RawOfficer[Tag_Loot])</f>
        <v>➖</v>
      </c>
      <c r="S550" s="516" t="str">
        <f t="array" ref="S550">XLOOKUP(LCARS_Off[AbilityID],RawOfficer[AbilityID],RawOfficer[Tag_Utility])</f>
        <v>➖</v>
      </c>
      <c r="T550" s="429" t="str">
        <f t="array" ref="T550">XLOOKUP(LCARS_Off[AbilityID],RawOfficer[AbilityID],RawOfficer[OfficerSynergy])</f>
        <v>Status Control Team</v>
      </c>
      <c r="U550" s="519" t="str">
        <f t="array" ref="U550">XLOOKUP(LCARS_Off[AbilityID],RawOfficer[AbilityID],RawOfficer[AbilityModifier])</f>
        <v>CritChance</v>
      </c>
      <c r="V550" s="519" t="str">
        <f t="array" ref="V550">XLOOKUP(LCARS_Off[AbilityID],RawOfficer[AbilityID],RawOfficer[AbilityAttributes])</f>
        <v>num_rounds=2</v>
      </c>
      <c r="W550" s="520" t="str">
        <f t="array" ref="W550">XLOOKUP(LCARS_Off[AbilityID],RawOfficer[AbilityID],RawOfficer[AbilityConditions])</f>
        <v>EnemyPlayer, TargetStateAny</v>
      </c>
      <c r="X550" s="519" t="str">
        <f t="array" ref="X550">XLOOKUP(LCARS_Off[AbilityID],RawOfficer[AbilityID],RawOfficer[AbilityTrigger])</f>
        <v>RoundStart</v>
      </c>
      <c r="Y550" s="519" t="str">
        <f t="array" ref="Y550">XLOOKUP(LCARS_Off[AbilityID],RawOfficer[AbilityID],RawOfficer[AbilityTarget])</f>
        <v>EnemyShip</v>
      </c>
      <c r="Z550" s="519" t="str">
        <f t="array" ref="Z550">XLOOKUP(LCARS_Off[AbilityID],RawOfficer[AbilityID],RawOfficer[AbilityOperation])</f>
        <v>Sub</v>
      </c>
      <c r="AA550" s="521" t="str">
        <f t="array" ref="AA550">XLOOKUP(LCARS_Off[AbilityID],RawOfficer[AbilityID],RawOfficer[AbilityDescription])</f>
        <v>Nog reduces Critical Hit Chance by X (X at rank X) for 2 rounds on round start against players, if the opponent has any state.</v>
      </c>
      <c r="AB550" s="429" t="b">
        <v>0</v>
      </c>
      <c r="AC550" s="522" t="str">
        <f t="array" ref="AC550">XLOOKUP(LCARS_Off[AbilityID],RawOfficer[AbilityID],RawOfficer[AbilityDescriptionShort])</f>
        <v>Reduces Critical Hit Chance against players by X for 2 rounds if the opponent has any state.</v>
      </c>
      <c r="AD550" s="523"/>
      <c r="AE550" s="524"/>
      <c r="AF550" s="524"/>
      <c r="AG550" s="525" t="str">
        <f t="array" ref="AG550">XLOOKUP(LCARS_Off[AbilityID],RawOfficer[AbilityID],RawOfficer[AbilityChances])</f>
        <v>1.0, 1.0, 1.0, 1.0, 1.0</v>
      </c>
      <c r="AH550" s="525" t="str">
        <f t="array" ref="AH550">XLOOKUP(LCARS_Off[AbilityID],RawOfficer[AbilityID],RawOfficer[AbilityValues])</f>
        <v>0.2, 0.35, 0.5, 0.6, 0.7</v>
      </c>
      <c r="AI550" s="428" t="b">
        <f t="array" ref="AI550">XLOOKUP(LCARS_Off[AbilityID],RawOfficer[AbilityID],RawOfficer[AbilityHasChance])</f>
        <v>0</v>
      </c>
      <c r="AJ550" s="428" t="b">
        <f t="array" ref="AJ550">XLOOKUP(LCARS_Off[AbilityID],RawOfficer[AbilityID],RawOfficer[AbilityShowPercentage])</f>
        <v>1</v>
      </c>
      <c r="AK550" s="429">
        <f t="array" ref="AK550">XLOOKUP(LCARS_Off[AbilityID],RawOfficer[AbilityID],RawOfficer[OfficerArt])</f>
        <v>319</v>
      </c>
      <c r="AL550" s="430">
        <v>8.11065857E8</v>
      </c>
      <c r="AM550" s="430">
        <f t="array" ref="AM550">XLOOKUP(LCARS_Off[AbilityID],RawOfficer[AbilityID],RawOfficer[Default Order])</f>
        <v>547</v>
      </c>
    </row>
    <row r="551">
      <c r="A551" s="429" t="str">
        <f t="array" ref="A551">LEFT(XLOOKUP(LCARS_Off[AbilityID],RawOfficer[AbilityID],RawOfficer[OfficerRarity]), 1)</f>
        <v>E</v>
      </c>
      <c r="B551" s="429"/>
      <c r="C551" s="514" t="str">
        <f t="array" ref="C551">HYPERLINK("https://stfc.space/officers/" &amp; XLOOKUP(LCARS_Off[AbilityID],RawOfficer[AbilityID],RawOfficer[OfficerId]), XLOOKUP(LCARS_Off[AbilityID],RawOfficer[AbilityID],RawOfficer[OfficerName]))</f>
        <v>THE HIERARCH</v>
      </c>
      <c r="D551" s="515" t="str">
        <f t="array" ref="D551">XLOOKUP(LCARS_Off[AbilityID],RawOfficer[AbilityID],RawOfficer[AbilityType])</f>
        <v>CM</v>
      </c>
      <c r="E551" s="516" t="str">
        <f t="array" ref="E551">XLOOKUP(LCARS_Off[AbilityID],RawOfficer[AbilityID],RawOfficer[Tag_PvPinSpace])</f>
        <v>✅</v>
      </c>
      <c r="F551" s="516" t="str">
        <f t="array" ref="F551">XLOOKUP(LCARS_Off[AbilityID],RawOfficer[AbilityID],RawOfficer[Tag_PvPStation])</f>
        <v>✅</v>
      </c>
      <c r="G551" s="516" t="str">
        <f t="array" ref="G551">XLOOKUP(LCARS_Off[AbilityID],RawOfficer[AbilityID],RawOfficer[Tag_NonArmadaHostiles])</f>
        <v>➖</v>
      </c>
      <c r="H551" s="516" t="str">
        <f t="array" ref="H551">XLOOKUP(LCARS_Off[AbilityID],RawOfficer[AbilityID],RawOfficer[Tag_WaveDefense])</f>
        <v>➖</v>
      </c>
      <c r="I551" s="516" t="str">
        <f t="array" ref="I551">XLOOKUP(LCARS_Off[AbilityID],RawOfficer[AbilityID],RawOfficer[Tag_QTrial])</f>
        <v>➖</v>
      </c>
      <c r="J551" s="516" t="str">
        <f t="array" ref="J551">XLOOKUP(LCARS_Off[AbilityID],RawOfficer[AbilityID],RawOfficer[Tag_MissionBosses])</f>
        <v>➖</v>
      </c>
      <c r="K551" s="516" t="str">
        <f t="array" ref="K551">XLOOKUP(LCARS_Off[AbilityID],RawOfficer[AbilityID],RawOfficer[Tag_GroupArmadas])</f>
        <v>➖</v>
      </c>
      <c r="L551" s="516" t="str">
        <f t="array" ref="L551">XLOOKUP(LCARS_Off[AbilityID],RawOfficer[AbilityID],RawOfficer[Tag_SoloArmadas])</f>
        <v>➖</v>
      </c>
      <c r="M551" s="516" t="str">
        <f t="array" ref="M551">XLOOKUP(LCARS_Off[AbilityID],RawOfficer[AbilityID],RawOfficer[Tag_InvadingEntities])</f>
        <v>➖</v>
      </c>
      <c r="N551" s="516" t="str">
        <f t="array" ref="N551">XLOOKUP(LCARS_Off[AbilityID],RawOfficer[AbilityID],RawOfficer[Tag_Assaults])</f>
        <v>➖</v>
      </c>
      <c r="O551" s="516" t="str">
        <f t="array" ref="O551">XLOOKUP(LCARS_Off[AbilityID],RawOfficer[AbilityID],RawOfficer[Tag_OutpostArmadas])</f>
        <v>➖</v>
      </c>
      <c r="P551" s="516" t="str">
        <f t="array" ref="P551">XLOOKUP(LCARS_Off[AbilityID],RawOfficer[AbilityID],RawOfficer[Tag_OutpostRetaliators])</f>
        <v>➖</v>
      </c>
      <c r="Q551" s="517" t="str">
        <f t="array" ref="Q551">XLOOKUP(LCARS_Off[AbilityID],RawOfficer[AbilityID],RawOfficer[Conditional_Reason])</f>
        <v/>
      </c>
      <c r="R551" s="518" t="str">
        <f t="array" ref="R551">XLOOKUP(LCARS_Off[AbilityID],RawOfficer[AbilityID],RawOfficer[Tag_Loot])</f>
        <v>➖</v>
      </c>
      <c r="S551" s="516" t="str">
        <f t="array" ref="S551">XLOOKUP(LCARS_Off[AbilityID],RawOfficer[AbilityID],RawOfficer[Tag_Utility])</f>
        <v>➖</v>
      </c>
      <c r="T551" s="429" t="str">
        <f t="array" ref="T551">XLOOKUP(LCARS_Off[AbilityID],RawOfficer[AbilityID],RawOfficer[OfficerSynergy])</f>
        <v>Status Control Team</v>
      </c>
      <c r="U551" s="519" t="str">
        <f t="array" ref="U551">XLOOKUP(LCARS_Off[AbilityID],RawOfficer[AbilityID],RawOfficer[AbilityModifier])</f>
        <v>ShotsPerAttack</v>
      </c>
      <c r="V551" s="519" t="str">
        <f t="array" ref="V551">XLOOKUP(LCARS_Off[AbilityID],RawOfficer[AbilityID],RawOfficer[AbilityAttributes])</f>
        <v>num_rounds=2</v>
      </c>
      <c r="W551" s="520" t="str">
        <f t="array" ref="W551">XLOOKUP(LCARS_Off[AbilityID],RawOfficer[AbilityID],RawOfficer[AbilityConditions])</f>
        <v>EnemyPlayer</v>
      </c>
      <c r="X551" s="519" t="str">
        <f t="array" ref="X551">XLOOKUP(LCARS_Off[AbilityID],RawOfficer[AbilityID],RawOfficer[AbilityTrigger])</f>
        <v>RoundStart</v>
      </c>
      <c r="Y551" s="519" t="str">
        <f t="array" ref="Y551">XLOOKUP(LCARS_Off[AbilityID],RawOfficer[AbilityID],RawOfficer[AbilityTarget])</f>
        <v>SelfShip</v>
      </c>
      <c r="Z551" s="519" t="str">
        <f t="array" ref="Z551">XLOOKUP(LCARS_Off[AbilityID],RawOfficer[AbilityID],RawOfficer[AbilityOperation])</f>
        <v>MultiplyAdd</v>
      </c>
      <c r="AA551" s="521" t="str">
        <f t="array" ref="AA551">XLOOKUP(LCARS_Off[AbilityID],RawOfficer[AbilityID],RawOfficer[AbilityDescription])</f>
        <v>The Hierarch increases Shots by X (200% at max synergy) for 2 rounds on round start against players.</v>
      </c>
      <c r="AB551" s="429" t="b">
        <v>0</v>
      </c>
      <c r="AC551" s="522" t="str">
        <f t="array" ref="AC551">XLOOKUP(LCARS_Off[AbilityID],RawOfficer[AbilityID],RawOfficer[AbilityDescriptionShort])</f>
        <v>Increases Shots against players by X (200% at max synergy) for 2 rounds.</v>
      </c>
      <c r="AD551" s="523"/>
      <c r="AE551" s="521"/>
      <c r="AF551" s="524"/>
      <c r="AG551" s="525" t="str">
        <f t="array" ref="AG551">XLOOKUP(LCARS_Off[AbilityID],RawOfficer[AbilityID],RawOfficer[AbilityChances])</f>
        <v>1.0, 1.0, 1.0</v>
      </c>
      <c r="AH551" s="525" t="str">
        <f t="array" ref="AH551">XLOOKUP(LCARS_Off[AbilityID],RawOfficer[AbilityID],RawOfficer[AbilityValues])</f>
        <v>1.2, 0.4, 0.4</v>
      </c>
      <c r="AI551" s="428" t="b">
        <f t="array" ref="AI551">XLOOKUP(LCARS_Off[AbilityID],RawOfficer[AbilityID],RawOfficer[AbilityHasChance])</f>
        <v>0</v>
      </c>
      <c r="AJ551" s="428" t="b">
        <f t="array" ref="AJ551">XLOOKUP(LCARS_Off[AbilityID],RawOfficer[AbilityID],RawOfficer[AbilityShowPercentage])</f>
        <v>1</v>
      </c>
      <c r="AK551" s="429">
        <f t="array" ref="AK551">XLOOKUP(LCARS_Off[AbilityID],RawOfficer[AbilityID],RawOfficer[OfficerArt])</f>
        <v>320</v>
      </c>
      <c r="AL551" s="430">
        <v>3.111245783E9</v>
      </c>
      <c r="AM551" s="430">
        <f t="array" ref="AM551">XLOOKUP(LCARS_Off[AbilityID],RawOfficer[AbilityID],RawOfficer[Default Order])</f>
        <v>548</v>
      </c>
    </row>
    <row r="552">
      <c r="A552" s="429" t="str">
        <f t="array" ref="A552">LEFT(XLOOKUP(LCARS_Off[AbilityID],RawOfficer[AbilityID],RawOfficer[OfficerRarity]), 1)</f>
        <v>E</v>
      </c>
      <c r="B552" s="429"/>
      <c r="C552" s="514" t="str">
        <f t="array" ref="C552">HYPERLINK("https://stfc.space/officers/" &amp; XLOOKUP(LCARS_Off[AbilityID],RawOfficer[AbilityID],RawOfficer[OfficerId]), XLOOKUP(LCARS_Off[AbilityID],RawOfficer[AbilityID],RawOfficer[OfficerName]))</f>
        <v>THE HIERARCH</v>
      </c>
      <c r="D552" s="515" t="str">
        <f t="array" ref="D552">XLOOKUP(LCARS_Off[AbilityID],RawOfficer[AbilityID],RawOfficer[AbilityType])</f>
        <v>OA</v>
      </c>
      <c r="E552" s="516" t="str">
        <f t="array" ref="E552">XLOOKUP(LCARS_Off[AbilityID],RawOfficer[AbilityID],RawOfficer[Tag_PvPinSpace])</f>
        <v>✅</v>
      </c>
      <c r="F552" s="516" t="str">
        <f t="array" ref="F552">XLOOKUP(LCARS_Off[AbilityID],RawOfficer[AbilityID],RawOfficer[Tag_PvPStation])</f>
        <v>✅</v>
      </c>
      <c r="G552" s="516" t="str">
        <f t="array" ref="G552">XLOOKUP(LCARS_Off[AbilityID],RawOfficer[AbilityID],RawOfficer[Tag_NonArmadaHostiles])</f>
        <v>➖</v>
      </c>
      <c r="H552" s="516" t="str">
        <f t="array" ref="H552">XLOOKUP(LCARS_Off[AbilityID],RawOfficer[AbilityID],RawOfficer[Tag_WaveDefense])</f>
        <v>➖</v>
      </c>
      <c r="I552" s="516" t="str">
        <f t="array" ref="I552">XLOOKUP(LCARS_Off[AbilityID],RawOfficer[AbilityID],RawOfficer[Tag_QTrial])</f>
        <v>➖</v>
      </c>
      <c r="J552" s="516" t="str">
        <f t="array" ref="J552">XLOOKUP(LCARS_Off[AbilityID],RawOfficer[AbilityID],RawOfficer[Tag_MissionBosses])</f>
        <v>➖</v>
      </c>
      <c r="K552" s="516" t="str">
        <f t="array" ref="K552">XLOOKUP(LCARS_Off[AbilityID],RawOfficer[AbilityID],RawOfficer[Tag_GroupArmadas])</f>
        <v>➖</v>
      </c>
      <c r="L552" s="516" t="str">
        <f t="array" ref="L552">XLOOKUP(LCARS_Off[AbilityID],RawOfficer[AbilityID],RawOfficer[Tag_SoloArmadas])</f>
        <v>➖</v>
      </c>
      <c r="M552" s="516" t="str">
        <f t="array" ref="M552">XLOOKUP(LCARS_Off[AbilityID],RawOfficer[AbilityID],RawOfficer[Tag_InvadingEntities])</f>
        <v>➖</v>
      </c>
      <c r="N552" s="516" t="str">
        <f t="array" ref="N552">XLOOKUP(LCARS_Off[AbilityID],RawOfficer[AbilityID],RawOfficer[Tag_Assaults])</f>
        <v>➖</v>
      </c>
      <c r="O552" s="516" t="str">
        <f t="array" ref="O552">XLOOKUP(LCARS_Off[AbilityID],RawOfficer[AbilityID],RawOfficer[Tag_OutpostArmadas])</f>
        <v>➖</v>
      </c>
      <c r="P552" s="516" t="str">
        <f t="array" ref="P552">XLOOKUP(LCARS_Off[AbilityID],RawOfficer[AbilityID],RawOfficer[Tag_OutpostRetaliators])</f>
        <v>➖</v>
      </c>
      <c r="Q552" s="517" t="str">
        <f t="array" ref="Q552">XLOOKUP(LCARS_Off[AbilityID],RawOfficer[AbilityID],RawOfficer[Conditional_Reason])</f>
        <v/>
      </c>
      <c r="R552" s="518" t="str">
        <f t="array" ref="R552">XLOOKUP(LCARS_Off[AbilityID],RawOfficer[AbilityID],RawOfficer[Tag_Loot])</f>
        <v>➖</v>
      </c>
      <c r="S552" s="516" t="str">
        <f t="array" ref="S552">XLOOKUP(LCARS_Off[AbilityID],RawOfficer[AbilityID],RawOfficer[Tag_Utility])</f>
        <v>➖</v>
      </c>
      <c r="T552" s="429" t="str">
        <f t="array" ref="T552">XLOOKUP(LCARS_Off[AbilityID],RawOfficer[AbilityID],RawOfficer[OfficerSynergy])</f>
        <v>Status Control Team</v>
      </c>
      <c r="U552" s="519" t="str">
        <f t="array" ref="U552">XLOOKUP(LCARS_Off[AbilityID],RawOfficer[AbilityID],RawOfficer[AbilityModifier])</f>
        <v>AddRandomState</v>
      </c>
      <c r="V552" s="519" t="str">
        <f t="array" ref="V552">XLOOKUP(LCARS_Off[AbilityID],RawOfficer[AbilityID],RawOfficer[AbilityAttributes])</f>
        <v>multi_state=[4, 2, 64], num_rounds=2</v>
      </c>
      <c r="W552" s="520" t="str">
        <f t="array" ref="W552">XLOOKUP(LCARS_Off[AbilityID],RawOfficer[AbilityID],RawOfficer[AbilityConditions])</f>
        <v>EnemyPlayer</v>
      </c>
      <c r="X552" s="519" t="str">
        <f t="array" ref="X552">XLOOKUP(LCARS_Off[AbilityID],RawOfficer[AbilityID],RawOfficer[AbilityTrigger])</f>
        <v>RoundStart</v>
      </c>
      <c r="Y552" s="519" t="str">
        <f t="array" ref="Y552">XLOOKUP(LCARS_Off[AbilityID],RawOfficer[AbilityID],RawOfficer[AbilityTarget])</f>
        <v>EnemyShip</v>
      </c>
      <c r="Z552" s="519" t="str">
        <f t="array" ref="Z552">XLOOKUP(LCARS_Off[AbilityID],RawOfficer[AbilityID],RawOfficer[AbilityOperation])</f>
        <v>Set</v>
      </c>
      <c r="AA552" s="521" t="str">
        <f t="array" ref="AA552">XLOOKUP(LCARS_Off[AbilityID],RawOfficer[AbilityID],RawOfficer[AbilityDescription])</f>
        <v>The Hierarch has a X (X at rank X) chance of applying Hull Breach, Burning, or Assimilate for 2 rounds on a round start against players.</v>
      </c>
      <c r="AB552" s="429" t="b">
        <v>0</v>
      </c>
      <c r="AC552" s="522" t="str">
        <f t="array" ref="AC552">XLOOKUP(LCARS_Off[AbilityID],RawOfficer[AbilityID],RawOfficer[AbilityDescriptionShort])</f>
        <v>Has a X chance of applying Hull Breach, Burning, or Assimilate against players for 2 rounds.</v>
      </c>
      <c r="AD552" s="523"/>
      <c r="AE552" s="524"/>
      <c r="AF552" s="524"/>
      <c r="AG552" s="525" t="str">
        <f t="array" ref="AG552">XLOOKUP(LCARS_Off[AbilityID],RawOfficer[AbilityID],RawOfficer[AbilityChances])</f>
        <v>0.5, 0.65, 0.8, 0.9, 1.0</v>
      </c>
      <c r="AH552" s="525" t="str">
        <f t="array" ref="AH552">XLOOKUP(LCARS_Off[AbilityID],RawOfficer[AbilityID],RawOfficer[AbilityValues])</f>
        <v>1.0, 1.0, 1.0, 1.0, 1.0</v>
      </c>
      <c r="AI552" s="428" t="b">
        <f t="array" ref="AI552">XLOOKUP(LCARS_Off[AbilityID],RawOfficer[AbilityID],RawOfficer[AbilityHasChance])</f>
        <v>1</v>
      </c>
      <c r="AJ552" s="428" t="b">
        <f t="array" ref="AJ552">XLOOKUP(LCARS_Off[AbilityID],RawOfficer[AbilityID],RawOfficer[AbilityShowPercentage])</f>
        <v>1</v>
      </c>
      <c r="AK552" s="429">
        <f t="array" ref="AK552">XLOOKUP(LCARS_Off[AbilityID],RawOfficer[AbilityID],RawOfficer[OfficerArt])</f>
        <v>320</v>
      </c>
      <c r="AL552" s="430">
        <v>2.351016344E9</v>
      </c>
      <c r="AM552" s="430">
        <f t="array" ref="AM552">XLOOKUP(LCARS_Off[AbilityID],RawOfficer[AbilityID],RawOfficer[Default Order])</f>
        <v>549</v>
      </c>
    </row>
    <row r="553">
      <c r="A553" s="429" t="str">
        <f t="array" ref="A553">LEFT(XLOOKUP(LCARS_Off[AbilityID],RawOfficer[AbilityID],RawOfficer[OfficerRarity]), 1)</f>
        <v>E</v>
      </c>
      <c r="B553" s="429"/>
      <c r="C553" s="514" t="str">
        <f t="array" ref="C553">HYPERLINK("https://stfc.space/officers/" &amp; XLOOKUP(LCARS_Off[AbilityID],RawOfficer[AbilityID],RawOfficer[OfficerId]), XLOOKUP(LCARS_Off[AbilityID],RawOfficer[AbilityID],RawOfficer[OfficerName]))</f>
        <v>EZRI DAX</v>
      </c>
      <c r="D553" s="515" t="str">
        <f t="array" ref="D553">XLOOKUP(LCARS_Off[AbilityID],RawOfficer[AbilityID],RawOfficer[AbilityType])</f>
        <v>CM</v>
      </c>
      <c r="E553" s="516" t="str">
        <f t="array" ref="E553">XLOOKUP(LCARS_Off[AbilityID],RawOfficer[AbilityID],RawOfficer[Tag_PvPinSpace])</f>
        <v>✴️</v>
      </c>
      <c r="F553" s="516" t="str">
        <f t="array" ref="F553">XLOOKUP(LCARS_Off[AbilityID],RawOfficer[AbilityID],RawOfficer[Tag_PvPStation])</f>
        <v>✴️</v>
      </c>
      <c r="G553" s="516" t="str">
        <f t="array" ref="G553">XLOOKUP(LCARS_Off[AbilityID],RawOfficer[AbilityID],RawOfficer[Tag_NonArmadaHostiles])</f>
        <v>➖</v>
      </c>
      <c r="H553" s="516" t="str">
        <f t="array" ref="H553">XLOOKUP(LCARS_Off[AbilityID],RawOfficer[AbilityID],RawOfficer[Tag_WaveDefense])</f>
        <v>➖</v>
      </c>
      <c r="I553" s="516" t="str">
        <f t="array" ref="I553">XLOOKUP(LCARS_Off[AbilityID],RawOfficer[AbilityID],RawOfficer[Tag_QTrial])</f>
        <v>➖</v>
      </c>
      <c r="J553" s="516" t="str">
        <f t="array" ref="J553">XLOOKUP(LCARS_Off[AbilityID],RawOfficer[AbilityID],RawOfficer[Tag_MissionBosses])</f>
        <v>➖</v>
      </c>
      <c r="K553" s="516" t="str">
        <f t="array" ref="K553">XLOOKUP(LCARS_Off[AbilityID],RawOfficer[AbilityID],RawOfficer[Tag_GroupArmadas])</f>
        <v>➖</v>
      </c>
      <c r="L553" s="516" t="str">
        <f t="array" ref="L553">XLOOKUP(LCARS_Off[AbilityID],RawOfficer[AbilityID],RawOfficer[Tag_SoloArmadas])</f>
        <v>➖</v>
      </c>
      <c r="M553" s="516" t="str">
        <f t="array" ref="M553">XLOOKUP(LCARS_Off[AbilityID],RawOfficer[AbilityID],RawOfficer[Tag_InvadingEntities])</f>
        <v>➖</v>
      </c>
      <c r="N553" s="516" t="str">
        <f t="array" ref="N553">XLOOKUP(LCARS_Off[AbilityID],RawOfficer[AbilityID],RawOfficer[Tag_Assaults])</f>
        <v>➖</v>
      </c>
      <c r="O553" s="516" t="str">
        <f t="array" ref="O553">XLOOKUP(LCARS_Off[AbilityID],RawOfficer[AbilityID],RawOfficer[Tag_OutpostArmadas])</f>
        <v>➖</v>
      </c>
      <c r="P553" s="516" t="str">
        <f t="array" ref="P553">XLOOKUP(LCARS_Off[AbilityID],RawOfficer[AbilityID],RawOfficer[Tag_OutpostRetaliators])</f>
        <v>➖</v>
      </c>
      <c r="Q553" s="517" t="str">
        <f t="array" ref="Q553">XLOOKUP(LCARS_Off[AbilityID],RawOfficer[AbilityID],RawOfficer[Conditional_Reason])</f>
        <v>SelfSurveyor</v>
      </c>
      <c r="R553" s="518" t="str">
        <f t="array" ref="R553">XLOOKUP(LCARS_Off[AbilityID],RawOfficer[AbilityID],RawOfficer[Tag_Loot])</f>
        <v>➖</v>
      </c>
      <c r="S553" s="516" t="str">
        <f t="array" ref="S553">XLOOKUP(LCARS_Off[AbilityID],RawOfficer[AbilityID],RawOfficer[Tag_Utility])</f>
        <v>➖</v>
      </c>
      <c r="T553" s="429" t="str">
        <f t="array" ref="T553">XLOOKUP(LCARS_Off[AbilityID],RawOfficer[AbilityID],RawOfficer[OfficerSynergy])</f>
        <v>Status Control Team</v>
      </c>
      <c r="U553" s="519" t="str">
        <f t="array" ref="U553">XLOOKUP(LCARS_Off[AbilityID],RawOfficer[AbilityID],RawOfficer[AbilityModifier])</f>
        <v>IsolyticDamage</v>
      </c>
      <c r="V553" s="519" t="str">
        <f t="array" ref="V553">XLOOKUP(LCARS_Off[AbilityID],RawOfficer[AbilityID],RawOfficer[AbilityAttributes])</f>
        <v/>
      </c>
      <c r="W553" s="520" t="str">
        <f t="array" ref="W553">XLOOKUP(LCARS_Off[AbilityID],RawOfficer[AbilityID],RawOfficer[AbilityConditions])</f>
        <v>SelfSurveyor, EnemyPlayer, SelfDefending</v>
      </c>
      <c r="X553" s="519" t="str">
        <f t="array" ref="X553">XLOOKUP(LCARS_Off[AbilityID],RawOfficer[AbilityID],RawOfficer[AbilityTrigger])</f>
        <v>CombatStart</v>
      </c>
      <c r="Y553" s="519" t="str">
        <f t="array" ref="Y553">XLOOKUP(LCARS_Off[AbilityID],RawOfficer[AbilityID],RawOfficer[AbilityTarget])</f>
        <v>SelfShip</v>
      </c>
      <c r="Z553" s="519" t="str">
        <f t="array" ref="Z553">XLOOKUP(LCARS_Off[AbilityID],RawOfficer[AbilityID],RawOfficer[AbilityOperation])</f>
        <v>MultiplyAdd</v>
      </c>
      <c r="AA553" s="521" t="str">
        <f t="array" ref="AA553">XLOOKUP(LCARS_Off[AbilityID],RawOfficer[AbilityID],RawOfficer[AbilityDescription])</f>
        <v>Ezri Dax increases Isolytic Cascade Damage by X when attacked by a Player while on a Survey Ship.</v>
      </c>
      <c r="AB553" s="429" t="b">
        <v>0</v>
      </c>
      <c r="AC553" s="522" t="str">
        <f t="array" ref="AC553">XLOOKUP(LCARS_Off[AbilityID],RawOfficer[AbilityID],RawOfficer[AbilityDescriptionShort])</f>
        <v>Increases Isolytic Cascade Damage by X when attacked by a Player while on a Survey Ship.</v>
      </c>
      <c r="AD553" s="523"/>
      <c r="AE553" s="524"/>
      <c r="AF553" s="524"/>
      <c r="AG553" s="525" t="str">
        <f t="array" ref="AG553">XLOOKUP(LCARS_Off[AbilityID],RawOfficer[AbilityID],RawOfficer[AbilityChances])</f>
        <v>1.0, 1.0, 1.0</v>
      </c>
      <c r="AH553" s="525" t="str">
        <f t="array" ref="AH553">XLOOKUP(LCARS_Off[AbilityID],RawOfficer[AbilityID],RawOfficer[AbilityValues])</f>
        <v>15.0, 0.0, 0.0</v>
      </c>
      <c r="AI553" s="428" t="b">
        <f t="array" ref="AI553">XLOOKUP(LCARS_Off[AbilityID],RawOfficer[AbilityID],RawOfficer[AbilityHasChance])</f>
        <v>0</v>
      </c>
      <c r="AJ553" s="428" t="b">
        <f t="array" ref="AJ553">XLOOKUP(LCARS_Off[AbilityID],RawOfficer[AbilityID],RawOfficer[AbilityShowPercentage])</f>
        <v>1</v>
      </c>
      <c r="AK553" s="429">
        <f t="array" ref="AK553">XLOOKUP(LCARS_Off[AbilityID],RawOfficer[AbilityID],RawOfficer[OfficerArt])</f>
        <v>321</v>
      </c>
      <c r="AL553" s="430">
        <v>2.091866033E9</v>
      </c>
      <c r="AM553" s="430">
        <f t="array" ref="AM553">XLOOKUP(LCARS_Off[AbilityID],RawOfficer[AbilityID],RawOfficer[Default Order])</f>
        <v>550</v>
      </c>
    </row>
    <row r="554">
      <c r="A554" s="429" t="str">
        <f t="array" ref="A554">LEFT(XLOOKUP(LCARS_Off[AbilityID],RawOfficer[AbilityID],RawOfficer[OfficerRarity]), 1)</f>
        <v>E</v>
      </c>
      <c r="B554" s="429"/>
      <c r="C554" s="514" t="str">
        <f t="array" ref="C554">HYPERLINK("https://stfc.space/officers/" &amp; XLOOKUP(LCARS_Off[AbilityID],RawOfficer[AbilityID],RawOfficer[OfficerId]), XLOOKUP(LCARS_Off[AbilityID],RawOfficer[AbilityID],RawOfficer[OfficerName]))</f>
        <v>EZRI DAX</v>
      </c>
      <c r="D554" s="515" t="str">
        <f t="array" ref="D554">XLOOKUP(LCARS_Off[AbilityID],RawOfficer[AbilityID],RawOfficer[AbilityType])</f>
        <v>OA</v>
      </c>
      <c r="E554" s="516" t="str">
        <f t="array" ref="E554">XLOOKUP(LCARS_Off[AbilityID],RawOfficer[AbilityID],RawOfficer[Tag_PvPinSpace])</f>
        <v>✴️</v>
      </c>
      <c r="F554" s="516" t="str">
        <f t="array" ref="F554">XLOOKUP(LCARS_Off[AbilityID],RawOfficer[AbilityID],RawOfficer[Tag_PvPStation])</f>
        <v>✴️</v>
      </c>
      <c r="G554" s="516" t="str">
        <f t="array" ref="G554">XLOOKUP(LCARS_Off[AbilityID],RawOfficer[AbilityID],RawOfficer[Tag_NonArmadaHostiles])</f>
        <v>➖</v>
      </c>
      <c r="H554" s="516" t="str">
        <f t="array" ref="H554">XLOOKUP(LCARS_Off[AbilityID],RawOfficer[AbilityID],RawOfficer[Tag_WaveDefense])</f>
        <v>➖</v>
      </c>
      <c r="I554" s="516" t="str">
        <f t="array" ref="I554">XLOOKUP(LCARS_Off[AbilityID],RawOfficer[AbilityID],RawOfficer[Tag_QTrial])</f>
        <v>➖</v>
      </c>
      <c r="J554" s="516" t="str">
        <f t="array" ref="J554">XLOOKUP(LCARS_Off[AbilityID],RawOfficer[AbilityID],RawOfficer[Tag_MissionBosses])</f>
        <v>➖</v>
      </c>
      <c r="K554" s="516" t="str">
        <f t="array" ref="K554">XLOOKUP(LCARS_Off[AbilityID],RawOfficer[AbilityID],RawOfficer[Tag_GroupArmadas])</f>
        <v>➖</v>
      </c>
      <c r="L554" s="516" t="str">
        <f t="array" ref="L554">XLOOKUP(LCARS_Off[AbilityID],RawOfficer[AbilityID],RawOfficer[Tag_SoloArmadas])</f>
        <v>➖</v>
      </c>
      <c r="M554" s="516" t="str">
        <f t="array" ref="M554">XLOOKUP(LCARS_Off[AbilityID],RawOfficer[AbilityID],RawOfficer[Tag_InvadingEntities])</f>
        <v>➖</v>
      </c>
      <c r="N554" s="516" t="str">
        <f t="array" ref="N554">XLOOKUP(LCARS_Off[AbilityID],RawOfficer[AbilityID],RawOfficer[Tag_Assaults])</f>
        <v>➖</v>
      </c>
      <c r="O554" s="516" t="str">
        <f t="array" ref="O554">XLOOKUP(LCARS_Off[AbilityID],RawOfficer[AbilityID],RawOfficer[Tag_OutpostArmadas])</f>
        <v>➖</v>
      </c>
      <c r="P554" s="516" t="str">
        <f t="array" ref="P554">XLOOKUP(LCARS_Off[AbilityID],RawOfficer[AbilityID],RawOfficer[Tag_OutpostRetaliators])</f>
        <v>➖</v>
      </c>
      <c r="Q554" s="517" t="str">
        <f t="array" ref="Q554">XLOOKUP(LCARS_Off[AbilityID],RawOfficer[AbilityID],RawOfficer[Conditional_Reason])</f>
        <v>TargetStateAny</v>
      </c>
      <c r="R554" s="518" t="str">
        <f t="array" ref="R554">XLOOKUP(LCARS_Off[AbilityID],RawOfficer[AbilityID],RawOfficer[Tag_Loot])</f>
        <v>➖</v>
      </c>
      <c r="S554" s="516" t="str">
        <f t="array" ref="S554">XLOOKUP(LCARS_Off[AbilityID],RawOfficer[AbilityID],RawOfficer[Tag_Utility])</f>
        <v>➖</v>
      </c>
      <c r="T554" s="429" t="str">
        <f t="array" ref="T554">XLOOKUP(LCARS_Off[AbilityID],RawOfficer[AbilityID],RawOfficer[OfficerSynergy])</f>
        <v>Status Control Team</v>
      </c>
      <c r="U554" s="519" t="str">
        <f t="array" ref="U554">XLOOKUP(LCARS_Off[AbilityID],RawOfficer[AbilityID],RawOfficer[AbilityModifier])</f>
        <v>IsolyticDamage</v>
      </c>
      <c r="V554" s="519" t="str">
        <f t="array" ref="V554">XLOOKUP(LCARS_Off[AbilityID],RawOfficer[AbilityID],RawOfficer[AbilityAttributes])</f>
        <v>num_rounds=2</v>
      </c>
      <c r="W554" s="520" t="str">
        <f t="array" ref="W554">XLOOKUP(LCARS_Off[AbilityID],RawOfficer[AbilityID],RawOfficer[AbilityConditions])</f>
        <v>EnemyPlayer, TargetStateAny</v>
      </c>
      <c r="X554" s="519" t="str">
        <f t="array" ref="X554">XLOOKUP(LCARS_Off[AbilityID],RawOfficer[AbilityID],RawOfficer[AbilityTrigger])</f>
        <v>RoundStart</v>
      </c>
      <c r="Y554" s="519" t="str">
        <f t="array" ref="Y554">XLOOKUP(LCARS_Off[AbilityID],RawOfficer[AbilityID],RawOfficer[AbilityTarget])</f>
        <v>SelfShip</v>
      </c>
      <c r="Z554" s="519" t="str">
        <f t="array" ref="Z554">XLOOKUP(LCARS_Off[AbilityID],RawOfficer[AbilityID],RawOfficer[AbilityOperation])</f>
        <v>MultiplyAdd</v>
      </c>
      <c r="AA554" s="521" t="str">
        <f t="array" ref="AA554">XLOOKUP(LCARS_Off[AbilityID],RawOfficer[AbilityID],RawOfficer[AbilityDescription])</f>
        <v>Ezri Dax increases Isolytic Cascade Damage by X (X at rank X) for 2 rounds on round start against players, if the opponent has any state.</v>
      </c>
      <c r="AB554" s="429" t="b">
        <v>0</v>
      </c>
      <c r="AC554" s="522" t="str">
        <f t="array" ref="AC554">XLOOKUP(LCARS_Off[AbilityID],RawOfficer[AbilityID],RawOfficer[AbilityDescriptionShort])</f>
        <v>Increases Isolytic Cascade Damage against players by X for 2 rounds, if the opponent has any state.</v>
      </c>
      <c r="AD554" s="523"/>
      <c r="AE554" s="524"/>
      <c r="AF554" s="524"/>
      <c r="AG554" s="525" t="str">
        <f t="array" ref="AG554">XLOOKUP(LCARS_Off[AbilityID],RawOfficer[AbilityID],RawOfficer[AbilityChances])</f>
        <v>1.0, 1.0, 1.0, 1.0, 1.0</v>
      </c>
      <c r="AH554" s="525" t="str">
        <f t="array" ref="AH554">XLOOKUP(LCARS_Off[AbilityID],RawOfficer[AbilityID],RawOfficer[AbilityValues])</f>
        <v>1.0, 1.3, 1.6, 1.8, 2.0</v>
      </c>
      <c r="AI554" s="428" t="b">
        <f t="array" ref="AI554">XLOOKUP(LCARS_Off[AbilityID],RawOfficer[AbilityID],RawOfficer[AbilityHasChance])</f>
        <v>0</v>
      </c>
      <c r="AJ554" s="428" t="b">
        <f t="array" ref="AJ554">XLOOKUP(LCARS_Off[AbilityID],RawOfficer[AbilityID],RawOfficer[AbilityShowPercentage])</f>
        <v>1</v>
      </c>
      <c r="AK554" s="429">
        <f t="array" ref="AK554">XLOOKUP(LCARS_Off[AbilityID],RawOfficer[AbilityID],RawOfficer[OfficerArt])</f>
        <v>321</v>
      </c>
      <c r="AL554" s="430">
        <v>4.100401808E9</v>
      </c>
      <c r="AM554" s="430">
        <f t="array" ref="AM554">XLOOKUP(LCARS_Off[AbilityID],RawOfficer[AbilityID],RawOfficer[Default Order])</f>
        <v>551</v>
      </c>
    </row>
    <row r="555">
      <c r="A555" s="429" t="str">
        <f t="array" ref="A555">LEFT(XLOOKUP(LCARS_Off[AbilityID],RawOfficer[AbilityID],RawOfficer[OfficerRarity]), 1)</f>
        <v>E</v>
      </c>
      <c r="B555" s="429"/>
      <c r="C555" s="514" t="str">
        <f t="array" ref="C555">HYPERLINK("https://stfc.space/officers/" &amp; XLOOKUP(LCARS_Off[AbilityID],RawOfficer[AbilityID],RawOfficer[OfficerId]), XLOOKUP(LCARS_Off[AbilityID],RawOfficer[AbilityID],RawOfficer[OfficerName]))</f>
        <v>TMP HIKARU SULU</v>
      </c>
      <c r="D555" s="515" t="str">
        <f t="array" ref="D555">XLOOKUP(LCARS_Off[AbilityID],RawOfficer[AbilityID],RawOfficer[AbilityType])</f>
        <v>CM</v>
      </c>
      <c r="E555" s="516" t="str">
        <f t="array" ref="E555">XLOOKUP(LCARS_Off[AbilityID],RawOfficer[AbilityID],RawOfficer[Tag_PvPinSpace])</f>
        <v>➖</v>
      </c>
      <c r="F555" s="516" t="str">
        <f t="array" ref="F555">XLOOKUP(LCARS_Off[AbilityID],RawOfficer[AbilityID],RawOfficer[Tag_PvPStation])</f>
        <v>➖</v>
      </c>
      <c r="G555" s="516" t="str">
        <f t="array" ref="G555">XLOOKUP(LCARS_Off[AbilityID],RawOfficer[AbilityID],RawOfficer[Tag_NonArmadaHostiles])</f>
        <v>✴️</v>
      </c>
      <c r="H555" s="516" t="str">
        <f t="array" ref="H555">XLOOKUP(LCARS_Off[AbilityID],RawOfficer[AbilityID],RawOfficer[Tag_WaveDefense])</f>
        <v>✴️</v>
      </c>
      <c r="I555" s="516" t="str">
        <f t="array" ref="I555">XLOOKUP(LCARS_Off[AbilityID],RawOfficer[AbilityID],RawOfficer[Tag_QTrial])</f>
        <v>➖</v>
      </c>
      <c r="J555" s="516" t="str">
        <f t="array" ref="J555">XLOOKUP(LCARS_Off[AbilityID],RawOfficer[AbilityID],RawOfficer[Tag_MissionBosses])</f>
        <v>➖</v>
      </c>
      <c r="K555" s="516" t="str">
        <f t="array" ref="K555">XLOOKUP(LCARS_Off[AbilityID],RawOfficer[AbilityID],RawOfficer[Tag_GroupArmadas])</f>
        <v>➖</v>
      </c>
      <c r="L555" s="516" t="str">
        <f t="array" ref="L555">XLOOKUP(LCARS_Off[AbilityID],RawOfficer[AbilityID],RawOfficer[Tag_SoloArmadas])</f>
        <v>➖</v>
      </c>
      <c r="M555" s="516" t="str">
        <f t="array" ref="M555">XLOOKUP(LCARS_Off[AbilityID],RawOfficer[AbilityID],RawOfficer[Tag_InvadingEntities])</f>
        <v>➖</v>
      </c>
      <c r="N555" s="516" t="str">
        <f t="array" ref="N555">XLOOKUP(LCARS_Off[AbilityID],RawOfficer[AbilityID],RawOfficer[Tag_Assaults])</f>
        <v>➖</v>
      </c>
      <c r="O555" s="516" t="str">
        <f t="array" ref="O555">XLOOKUP(LCARS_Off[AbilityID],RawOfficer[AbilityID],RawOfficer[Tag_OutpostArmadas])</f>
        <v>✴️</v>
      </c>
      <c r="P555" s="516" t="str">
        <f t="array" ref="P555">XLOOKUP(LCARS_Off[AbilityID],RawOfficer[AbilityID],RawOfficer[Tag_OutpostRetaliators])</f>
        <v>✴️</v>
      </c>
      <c r="Q555" s="517" t="str">
        <f t="array" ref="Q555">XLOOKUP(LCARS_Off[AbilityID],RawOfficer[AbilityID],RawOfficer[Conditional_Reason])</f>
        <v>TargetMaxLevel, SelfOfficerTalNotOnBridge</v>
      </c>
      <c r="R555" s="518" t="str">
        <f t="array" ref="R555">XLOOKUP(LCARS_Off[AbilityID],RawOfficer[AbilityID],RawOfficer[Tag_Loot])</f>
        <v>➖</v>
      </c>
      <c r="S555" s="516" t="str">
        <f t="array" ref="S555">XLOOKUP(LCARS_Off[AbilityID],RawOfficer[AbilityID],RawOfficer[Tag_Utility])</f>
        <v>➖</v>
      </c>
      <c r="T555" s="429" t="str">
        <f t="array" ref="T555">XLOOKUP(LCARS_Off[AbilityID],RawOfficer[AbilityID],RawOfficer[OfficerSynergy])</f>
        <v>THE MOTION PICTURES</v>
      </c>
      <c r="U555" s="519" t="str">
        <f t="array" ref="U555">XLOOKUP(LCARS_Off[AbilityID],RawOfficer[AbilityID],RawOfficer[AbilityModifier])</f>
        <v>ApexBarrier</v>
      </c>
      <c r="V555" s="519" t="str">
        <f t="array" ref="V555">XLOOKUP(LCARS_Off[AbilityID],RawOfficer[AbilityID],RawOfficer[AbilityAttributes])</f>
        <v>battle_types=[17, 18, 2, 5, 9, 6], max_level=81, num_rounds=10</v>
      </c>
      <c r="W555" s="520" t="str">
        <f t="array" ref="W555">XLOOKUP(LCARS_Off[AbilityID],RawOfficer[AbilityID],RawOfficer[AbilityConditions])</f>
        <v>TargetMaxLevel, CombatBattleType, SelfOfficerTalNotOnBridge</v>
      </c>
      <c r="X555" s="519" t="str">
        <f t="array" ref="X555">XLOOKUP(LCARS_Off[AbilityID],RawOfficer[AbilityID],RawOfficer[AbilityTrigger])</f>
        <v>CombatStart</v>
      </c>
      <c r="Y555" s="519" t="str">
        <f t="array" ref="Y555">XLOOKUP(LCARS_Off[AbilityID],RawOfficer[AbilityID],RawOfficer[AbilityTarget])</f>
        <v>SelfShip</v>
      </c>
      <c r="Z555" s="519" t="str">
        <f t="array" ref="Z555">XLOOKUP(LCARS_Off[AbilityID],RawOfficer[AbilityID],RawOfficer[AbilityOperation])</f>
        <v>Add</v>
      </c>
      <c r="AA555" s="521" t="str">
        <f t="array" ref="AA555">XLOOKUP(LCARS_Off[AbilityID],RawOfficer[AbilityID],RawOfficer[AbilityDescription])</f>
        <v>TMP Hikaru Sulu increases Apex Barrier by X for 10 rounds against non-Armada Hostiles, Outposts and Retaliation Hostiles. Works against Hostiles of level 81 and under. -- This ability does not trigger when Tal is assigned to the bridge of your ship.</v>
      </c>
      <c r="AB555" s="429" t="b">
        <v>0</v>
      </c>
      <c r="AC555" s="522" t="str">
        <f t="array" ref="AC555">XLOOKUP(LCARS_Off[AbilityID],RawOfficer[AbilityID],RawOfficer[AbilityDescriptionShort])</f>
        <v>Increases Apex Barrier by X for 10 rounds against non-Armada Hostiles, Outposts and Retaliation Hostiles. Works against Hostiles of level 81 and under.</v>
      </c>
      <c r="AD555" s="523"/>
      <c r="AE555" s="524"/>
      <c r="AF555" s="524"/>
      <c r="AG555" s="525" t="str">
        <f t="array" ref="AG555">XLOOKUP(LCARS_Off[AbilityID],RawOfficer[AbilityID],RawOfficer[AbilityChances])</f>
        <v>1.0, 1.0, 1.0</v>
      </c>
      <c r="AH555" s="525" t="str">
        <f t="array" ref="AH555">XLOOKUP(LCARS_Off[AbilityID],RawOfficer[AbilityID],RawOfficer[AbilityValues])</f>
        <v>2000.0, 3000.0, 3000.0</v>
      </c>
      <c r="AI555" s="428" t="b">
        <f t="array" ref="AI555">XLOOKUP(LCARS_Off[AbilityID],RawOfficer[AbilityID],RawOfficer[AbilityHasChance])</f>
        <v>0</v>
      </c>
      <c r="AJ555" s="428" t="b">
        <f t="array" ref="AJ555">XLOOKUP(LCARS_Off[AbilityID],RawOfficer[AbilityID],RawOfficer[AbilityShowPercentage])</f>
        <v>0</v>
      </c>
      <c r="AK555" s="429">
        <f t="array" ref="AK555">XLOOKUP(LCARS_Off[AbilityID],RawOfficer[AbilityID],RawOfficer[OfficerArt])</f>
        <v>322</v>
      </c>
      <c r="AL555" s="430">
        <v>2.952269443E9</v>
      </c>
      <c r="AM555" s="430">
        <f t="array" ref="AM555">XLOOKUP(LCARS_Off[AbilityID],RawOfficer[AbilityID],RawOfficer[Default Order])</f>
        <v>552</v>
      </c>
    </row>
    <row r="556">
      <c r="A556" s="429" t="str">
        <f t="array" ref="A556">LEFT(XLOOKUP(LCARS_Off[AbilityID],RawOfficer[AbilityID],RawOfficer[OfficerRarity]), 1)</f>
        <v>E</v>
      </c>
      <c r="B556" s="429"/>
      <c r="C556" s="514" t="str">
        <f t="array" ref="C556">HYPERLINK("https://stfc.space/officers/" &amp; XLOOKUP(LCARS_Off[AbilityID],RawOfficer[AbilityID],RawOfficer[OfficerId]), XLOOKUP(LCARS_Off[AbilityID],RawOfficer[AbilityID],RawOfficer[OfficerName]))</f>
        <v>TMP HIKARU SULU</v>
      </c>
      <c r="D556" s="515" t="str">
        <f t="array" ref="D556">XLOOKUP(LCARS_Off[AbilityID],RawOfficer[AbilityID],RawOfficer[AbilityType])</f>
        <v>OA</v>
      </c>
      <c r="E556" s="516" t="str">
        <f t="array" ref="E556">XLOOKUP(LCARS_Off[AbilityID],RawOfficer[AbilityID],RawOfficer[Tag_PvPinSpace])</f>
        <v>➖</v>
      </c>
      <c r="F556" s="516" t="str">
        <f t="array" ref="F556">XLOOKUP(LCARS_Off[AbilityID],RawOfficer[AbilityID],RawOfficer[Tag_PvPStation])</f>
        <v>➖</v>
      </c>
      <c r="G556" s="516" t="str">
        <f t="array" ref="G556">XLOOKUP(LCARS_Off[AbilityID],RawOfficer[AbilityID],RawOfficer[Tag_NonArmadaHostiles])</f>
        <v>✴️</v>
      </c>
      <c r="H556" s="516" t="str">
        <f t="array" ref="H556">XLOOKUP(LCARS_Off[AbilityID],RawOfficer[AbilityID],RawOfficer[Tag_WaveDefense])</f>
        <v>✴️</v>
      </c>
      <c r="I556" s="516" t="str">
        <f t="array" ref="I556">XLOOKUP(LCARS_Off[AbilityID],RawOfficer[AbilityID],RawOfficer[Tag_QTrial])</f>
        <v>➖</v>
      </c>
      <c r="J556" s="516" t="str">
        <f t="array" ref="J556">XLOOKUP(LCARS_Off[AbilityID],RawOfficer[AbilityID],RawOfficer[Tag_MissionBosses])</f>
        <v>➖</v>
      </c>
      <c r="K556" s="516" t="str">
        <f t="array" ref="K556">XLOOKUP(LCARS_Off[AbilityID],RawOfficer[AbilityID],RawOfficer[Tag_GroupArmadas])</f>
        <v>➖</v>
      </c>
      <c r="L556" s="516" t="str">
        <f t="array" ref="L556">XLOOKUP(LCARS_Off[AbilityID],RawOfficer[AbilityID],RawOfficer[Tag_SoloArmadas])</f>
        <v>➖</v>
      </c>
      <c r="M556" s="516" t="str">
        <f t="array" ref="M556">XLOOKUP(LCARS_Off[AbilityID],RawOfficer[AbilityID],RawOfficer[Tag_InvadingEntities])</f>
        <v>➖</v>
      </c>
      <c r="N556" s="516" t="str">
        <f t="array" ref="N556">XLOOKUP(LCARS_Off[AbilityID],RawOfficer[AbilityID],RawOfficer[Tag_Assaults])</f>
        <v>➖</v>
      </c>
      <c r="O556" s="516" t="str">
        <f t="array" ref="O556">XLOOKUP(LCARS_Off[AbilityID],RawOfficer[AbilityID],RawOfficer[Tag_OutpostArmadas])</f>
        <v>✴️</v>
      </c>
      <c r="P556" s="516" t="str">
        <f t="array" ref="P556">XLOOKUP(LCARS_Off[AbilityID],RawOfficer[AbilityID],RawOfficer[Tag_OutpostRetaliators])</f>
        <v>✴️</v>
      </c>
      <c r="Q556" s="517" t="str">
        <f t="array" ref="Q556">XLOOKUP(LCARS_Off[AbilityID],RawOfficer[AbilityID],RawOfficer[Conditional_Reason])</f>
        <v>TargetStateAny</v>
      </c>
      <c r="R556" s="518" t="str">
        <f t="array" ref="R556">XLOOKUP(LCARS_Off[AbilityID],RawOfficer[AbilityID],RawOfficer[Tag_Loot])</f>
        <v>➖</v>
      </c>
      <c r="S556" s="516" t="str">
        <f t="array" ref="S556">XLOOKUP(LCARS_Off[AbilityID],RawOfficer[AbilityID],RawOfficer[Tag_Utility])</f>
        <v>➖</v>
      </c>
      <c r="T556" s="429" t="str">
        <f t="array" ref="T556">XLOOKUP(LCARS_Off[AbilityID],RawOfficer[AbilityID],RawOfficer[OfficerSynergy])</f>
        <v>THE MOTION PICTURES</v>
      </c>
      <c r="U556" s="519" t="str">
        <f t="array" ref="U556">XLOOKUP(LCARS_Off[AbilityID],RawOfficer[AbilityID],RawOfficer[AbilityModifier])</f>
        <v>CritChance</v>
      </c>
      <c r="V556" s="519" t="str">
        <f t="array" ref="V556">XLOOKUP(LCARS_Off[AbilityID],RawOfficer[AbilityID],RawOfficer[AbilityAttributes])</f>
        <v>battle_types=[17, 18, 2, 5, 6, 9], num_rounds=4</v>
      </c>
      <c r="W556" s="520" t="str">
        <f t="array" ref="W556">XLOOKUP(LCARS_Off[AbilityID],RawOfficer[AbilityID],RawOfficer[AbilityConditions])</f>
        <v>CombatBattleType, TargetStateAny</v>
      </c>
      <c r="X556" s="519" t="str">
        <f t="array" ref="X556">XLOOKUP(LCARS_Off[AbilityID],RawOfficer[AbilityID],RawOfficer[AbilityTrigger])</f>
        <v>RoundStart</v>
      </c>
      <c r="Y556" s="519" t="str">
        <f t="array" ref="Y556">XLOOKUP(LCARS_Off[AbilityID],RawOfficer[AbilityID],RawOfficer[AbilityTarget])</f>
        <v>SelfShip</v>
      </c>
      <c r="Z556" s="519" t="str">
        <f t="array" ref="Z556">XLOOKUP(LCARS_Off[AbilityID],RawOfficer[AbilityID],RawOfficer[AbilityOperation])</f>
        <v>Add</v>
      </c>
      <c r="AA556" s="521" t="str">
        <f t="array" ref="AA556">XLOOKUP(LCARS_Off[AbilityID],RawOfficer[AbilityID],RawOfficer[AbilityDescription])</f>
        <v>On round start, TMP Hikaru Sulu increases your ship's critical chance by X (X at rank X) for 4 rounds, if any state is applied to non-Armada Hostiles, Outposts or Retaliation Hostiles.</v>
      </c>
      <c r="AB556" s="429" t="b">
        <v>0</v>
      </c>
      <c r="AC556" s="522" t="str">
        <f t="array" ref="AC556">XLOOKUP(LCARS_Off[AbilityID],RawOfficer[AbilityID],RawOfficer[AbilityDescriptionShort])</f>
        <v>On round start, increases your ship's critical chance by X for 4 rounds, if any state is applied to non-Armada Hostiles, Outposts or Retaliation Hostiles.</v>
      </c>
      <c r="AD556" s="523" t="b">
        <v>0</v>
      </c>
      <c r="AE556" s="524"/>
      <c r="AF556" s="524"/>
      <c r="AG556" s="525" t="str">
        <f t="array" ref="AG556">XLOOKUP(LCARS_Off[AbilityID],RawOfficer[AbilityID],RawOfficer[AbilityChances])</f>
        <v>1.0, 1.0, 1.0, 1.0, 1.0</v>
      </c>
      <c r="AH556" s="525" t="str">
        <f t="array" ref="AH556">XLOOKUP(LCARS_Off[AbilityID],RawOfficer[AbilityID],RawOfficer[AbilityValues])</f>
        <v>0.02, 0.04, 0.06, 0.08, 0.1</v>
      </c>
      <c r="AI556" s="428" t="b">
        <f t="array" ref="AI556">XLOOKUP(LCARS_Off[AbilityID],RawOfficer[AbilityID],RawOfficer[AbilityHasChance])</f>
        <v>0</v>
      </c>
      <c r="AJ556" s="428" t="b">
        <f t="array" ref="AJ556">XLOOKUP(LCARS_Off[AbilityID],RawOfficer[AbilityID],RawOfficer[AbilityShowPercentage])</f>
        <v>1</v>
      </c>
      <c r="AK556" s="429">
        <f t="array" ref="AK556">XLOOKUP(LCARS_Off[AbilityID],RawOfficer[AbilityID],RawOfficer[OfficerArt])</f>
        <v>322</v>
      </c>
      <c r="AL556" s="430">
        <v>4.55729729E8</v>
      </c>
      <c r="AM556" s="430">
        <f t="array" ref="AM556">XLOOKUP(LCARS_Off[AbilityID],RawOfficer[AbilityID],RawOfficer[Default Order])</f>
        <v>553</v>
      </c>
    </row>
    <row r="557">
      <c r="A557" s="429" t="str">
        <f t="array" ref="A557">LEFT(XLOOKUP(LCARS_Off[AbilityID],RawOfficer[AbilityID],RawOfficer[OfficerRarity]), 1)</f>
        <v>E</v>
      </c>
      <c r="B557" s="429"/>
      <c r="C557" s="514" t="str">
        <f t="array" ref="C557">HYPERLINK("https://stfc.space/officers/" &amp; XLOOKUP(LCARS_Off[AbilityID],RawOfficer[AbilityID],RawOfficer[OfficerId]), XLOOKUP(LCARS_Off[AbilityID],RawOfficer[AbilityID],RawOfficer[OfficerName]))</f>
        <v>TMP NYOTA UHURA</v>
      </c>
      <c r="D557" s="515" t="str">
        <f t="array" ref="D557">XLOOKUP(LCARS_Off[AbilityID],RawOfficer[AbilityID],RawOfficer[AbilityType])</f>
        <v>OA</v>
      </c>
      <c r="E557" s="516" t="str">
        <f t="array" ref="E557">XLOOKUP(LCARS_Off[AbilityID],RawOfficer[AbilityID],RawOfficer[Tag_PvPinSpace])</f>
        <v>➖</v>
      </c>
      <c r="F557" s="516" t="str">
        <f t="array" ref="F557">XLOOKUP(LCARS_Off[AbilityID],RawOfficer[AbilityID],RawOfficer[Tag_PvPStation])</f>
        <v>➖</v>
      </c>
      <c r="G557" s="516" t="str">
        <f t="array" ref="G557">XLOOKUP(LCARS_Off[AbilityID],RawOfficer[AbilityID],RawOfficer[Tag_NonArmadaHostiles])</f>
        <v>✅</v>
      </c>
      <c r="H557" s="516" t="str">
        <f t="array" ref="H557">XLOOKUP(LCARS_Off[AbilityID],RawOfficer[AbilityID],RawOfficer[Tag_WaveDefense])</f>
        <v>✅</v>
      </c>
      <c r="I557" s="516" t="str">
        <f t="array" ref="I557">XLOOKUP(LCARS_Off[AbilityID],RawOfficer[AbilityID],RawOfficer[Tag_QTrial])</f>
        <v>➖</v>
      </c>
      <c r="J557" s="516" t="str">
        <f t="array" ref="J557">XLOOKUP(LCARS_Off[AbilityID],RawOfficer[AbilityID],RawOfficer[Tag_MissionBosses])</f>
        <v>➖</v>
      </c>
      <c r="K557" s="516" t="str">
        <f t="array" ref="K557">XLOOKUP(LCARS_Off[AbilityID],RawOfficer[AbilityID],RawOfficer[Tag_GroupArmadas])</f>
        <v>➖</v>
      </c>
      <c r="L557" s="516" t="str">
        <f t="array" ref="L557">XLOOKUP(LCARS_Off[AbilityID],RawOfficer[AbilityID],RawOfficer[Tag_SoloArmadas])</f>
        <v>➖</v>
      </c>
      <c r="M557" s="516" t="str">
        <f t="array" ref="M557">XLOOKUP(LCARS_Off[AbilityID],RawOfficer[AbilityID],RawOfficer[Tag_InvadingEntities])</f>
        <v>➖</v>
      </c>
      <c r="N557" s="516" t="str">
        <f t="array" ref="N557">XLOOKUP(LCARS_Off[AbilityID],RawOfficer[AbilityID],RawOfficer[Tag_Assaults])</f>
        <v>➖</v>
      </c>
      <c r="O557" s="516" t="str">
        <f t="array" ref="O557">XLOOKUP(LCARS_Off[AbilityID],RawOfficer[AbilityID],RawOfficer[Tag_OutpostArmadas])</f>
        <v>✅</v>
      </c>
      <c r="P557" s="516" t="str">
        <f t="array" ref="P557">XLOOKUP(LCARS_Off[AbilityID],RawOfficer[AbilityID],RawOfficer[Tag_OutpostRetaliators])</f>
        <v>✅</v>
      </c>
      <c r="Q557" s="517" t="str">
        <f t="array" ref="Q557">XLOOKUP(LCARS_Off[AbilityID],RawOfficer[AbilityID],RawOfficer[Conditional_Reason])</f>
        <v/>
      </c>
      <c r="R557" s="518" t="str">
        <f t="array" ref="R557">XLOOKUP(LCARS_Off[AbilityID],RawOfficer[AbilityID],RawOfficer[Tag_Loot])</f>
        <v>➖</v>
      </c>
      <c r="S557" s="516" t="str">
        <f t="array" ref="S557">XLOOKUP(LCARS_Off[AbilityID],RawOfficer[AbilityID],RawOfficer[Tag_Utility])</f>
        <v>➖</v>
      </c>
      <c r="T557" s="429" t="str">
        <f t="array" ref="T557">XLOOKUP(LCARS_Off[AbilityID],RawOfficer[AbilityID],RawOfficer[OfficerSynergy])</f>
        <v>THE MOTION PICTURES</v>
      </c>
      <c r="U557" s="519" t="str">
        <f t="array" ref="U557">XLOOKUP(LCARS_Off[AbilityID],RawOfficer[AbilityID],RawOfficer[AbilityModifier])</f>
        <v>AddState</v>
      </c>
      <c r="V557" s="519" t="str">
        <f t="array" ref="V557">XLOOKUP(LCARS_Off[AbilityID],RawOfficer[AbilityID],RawOfficer[AbilityAttributes])</f>
        <v>battle_types=[17, 18, 2, 5, 6, 9, 9], num_rounds=2, state=4</v>
      </c>
      <c r="W557" s="520" t="str">
        <f t="array" ref="W557">XLOOKUP(LCARS_Off[AbilityID],RawOfficer[AbilityID],RawOfficer[AbilityConditions])</f>
        <v>CombatBattleType</v>
      </c>
      <c r="X557" s="519" t="str">
        <f t="array" ref="X557">XLOOKUP(LCARS_Off[AbilityID],RawOfficer[AbilityID],RawOfficer[AbilityTrigger])</f>
        <v>RoundStart</v>
      </c>
      <c r="Y557" s="519" t="str">
        <f t="array" ref="Y557">XLOOKUP(LCARS_Off[AbilityID],RawOfficer[AbilityID],RawOfficer[AbilityTarget])</f>
        <v>EnemyShip</v>
      </c>
      <c r="Z557" s="519" t="str">
        <f t="array" ref="Z557">XLOOKUP(LCARS_Off[AbilityID],RawOfficer[AbilityID],RawOfficer[AbilityOperation])</f>
        <v>MultiplyAdd</v>
      </c>
      <c r="AA557" s="521" t="str">
        <f t="array" ref="AA557">XLOOKUP(LCARS_Off[AbilityID],RawOfficer[AbilityID],RawOfficer[AbilityDescription])</f>
        <v>On round start vs non-Armada Hostiles, Outposts, or Retaliation Hostiles, TMP Nyota Uhura has a X (X at rank X) chance to apply Hull Breach for 2 rounds.</v>
      </c>
      <c r="AB557" s="429" t="b">
        <v>0</v>
      </c>
      <c r="AC557" s="522" t="str">
        <f t="array" ref="AC557">XLOOKUP(LCARS_Off[AbilityID],RawOfficer[AbilityID],RawOfficer[AbilityDescriptionShort])</f>
        <v>On round start vs non-Armada Hostiles, Outposts, or Retaliation Hostiles, has a X chance to apply Hull Breach for 2 rounds.</v>
      </c>
      <c r="AD557" s="523" t="b">
        <v>0</v>
      </c>
      <c r="AE557" s="524"/>
      <c r="AF557" s="524"/>
      <c r="AG557" s="525" t="str">
        <f t="array" ref="AG557">XLOOKUP(LCARS_Off[AbilityID],RawOfficer[AbilityID],RawOfficer[AbilityChances])</f>
        <v>0.5, 0.6, 0.7, 0.8, 0.9</v>
      </c>
      <c r="AH557" s="525" t="str">
        <f t="array" ref="AH557">XLOOKUP(LCARS_Off[AbilityID],RawOfficer[AbilityID],RawOfficer[AbilityValues])</f>
        <v>1.0, 1.0, 1.0, 1.0, 1.0</v>
      </c>
      <c r="AI557" s="428" t="b">
        <f t="array" ref="AI557">XLOOKUP(LCARS_Off[AbilityID],RawOfficer[AbilityID],RawOfficer[AbilityHasChance])</f>
        <v>1</v>
      </c>
      <c r="AJ557" s="428" t="b">
        <f t="array" ref="AJ557">XLOOKUP(LCARS_Off[AbilityID],RawOfficer[AbilityID],RawOfficer[AbilityShowPercentage])</f>
        <v>1</v>
      </c>
      <c r="AK557" s="429">
        <f t="array" ref="AK557">XLOOKUP(LCARS_Off[AbilityID],RawOfficer[AbilityID],RawOfficer[OfficerArt])</f>
        <v>323</v>
      </c>
      <c r="AL557" s="430">
        <v>3.534319381E9</v>
      </c>
      <c r="AM557" s="430">
        <f t="array" ref="AM557">XLOOKUP(LCARS_Off[AbilityID],RawOfficer[AbilityID],RawOfficer[Default Order])</f>
        <v>554</v>
      </c>
    </row>
    <row r="558">
      <c r="A558" s="429" t="str">
        <f t="array" ref="A558">LEFT(XLOOKUP(LCARS_Off[AbilityID],RawOfficer[AbilityID],RawOfficer[OfficerRarity]), 1)</f>
        <v>E</v>
      </c>
      <c r="B558" s="429"/>
      <c r="C558" s="514" t="str">
        <f t="array" ref="C558">HYPERLINK("https://stfc.space/officers/" &amp; XLOOKUP(LCARS_Off[AbilityID],RawOfficer[AbilityID],RawOfficer[OfficerId]), XLOOKUP(LCARS_Off[AbilityID],RawOfficer[AbilityID],RawOfficer[OfficerName]))</f>
        <v>TMP NYOTA UHURA</v>
      </c>
      <c r="D558" s="515" t="str">
        <f t="array" ref="D558">XLOOKUP(LCARS_Off[AbilityID],RawOfficer[AbilityID],RawOfficer[AbilityType])</f>
        <v>BDA</v>
      </c>
      <c r="E558" s="516" t="str">
        <f t="array" ref="E558">XLOOKUP(LCARS_Off[AbilityID],RawOfficer[AbilityID],RawOfficer[Tag_PvPinSpace])</f>
        <v>➖</v>
      </c>
      <c r="F558" s="516" t="str">
        <f t="array" ref="F558">XLOOKUP(LCARS_Off[AbilityID],RawOfficer[AbilityID],RawOfficer[Tag_PvPStation])</f>
        <v>➖</v>
      </c>
      <c r="G558" s="516" t="str">
        <f t="array" ref="G558">XLOOKUP(LCARS_Off[AbilityID],RawOfficer[AbilityID],RawOfficer[Tag_NonArmadaHostiles])</f>
        <v>✅</v>
      </c>
      <c r="H558" s="516" t="str">
        <f t="array" ref="H558">XLOOKUP(LCARS_Off[AbilityID],RawOfficer[AbilityID],RawOfficer[Tag_WaveDefense])</f>
        <v>✅</v>
      </c>
      <c r="I558" s="516" t="str">
        <f t="array" ref="I558">XLOOKUP(LCARS_Off[AbilityID],RawOfficer[AbilityID],RawOfficer[Tag_QTrial])</f>
        <v>➖</v>
      </c>
      <c r="J558" s="516" t="str">
        <f t="array" ref="J558">XLOOKUP(LCARS_Off[AbilityID],RawOfficer[AbilityID],RawOfficer[Tag_MissionBosses])</f>
        <v>➖</v>
      </c>
      <c r="K558" s="516" t="str">
        <f t="array" ref="K558">XLOOKUP(LCARS_Off[AbilityID],RawOfficer[AbilityID],RawOfficer[Tag_GroupArmadas])</f>
        <v>➖</v>
      </c>
      <c r="L558" s="516" t="str">
        <f t="array" ref="L558">XLOOKUP(LCARS_Off[AbilityID],RawOfficer[AbilityID],RawOfficer[Tag_SoloArmadas])</f>
        <v>➖</v>
      </c>
      <c r="M558" s="516" t="str">
        <f t="array" ref="M558">XLOOKUP(LCARS_Off[AbilityID],RawOfficer[AbilityID],RawOfficer[Tag_InvadingEntities])</f>
        <v>➖</v>
      </c>
      <c r="N558" s="516" t="str">
        <f t="array" ref="N558">XLOOKUP(LCARS_Off[AbilityID],RawOfficer[AbilityID],RawOfficer[Tag_Assaults])</f>
        <v>➖</v>
      </c>
      <c r="O558" s="516" t="str">
        <f t="array" ref="O558">XLOOKUP(LCARS_Off[AbilityID],RawOfficer[AbilityID],RawOfficer[Tag_OutpostArmadas])</f>
        <v>✅</v>
      </c>
      <c r="P558" s="516" t="str">
        <f t="array" ref="P558">XLOOKUP(LCARS_Off[AbilityID],RawOfficer[AbilityID],RawOfficer[Tag_OutpostRetaliators])</f>
        <v>✅</v>
      </c>
      <c r="Q558" s="517" t="str">
        <f t="array" ref="Q558">XLOOKUP(LCARS_Off[AbilityID],RawOfficer[AbilityID],RawOfficer[Conditional_Reason])</f>
        <v/>
      </c>
      <c r="R558" s="518" t="str">
        <f t="array" ref="R558">XLOOKUP(LCARS_Off[AbilityID],RawOfficer[AbilityID],RawOfficer[Tag_Loot])</f>
        <v>➖</v>
      </c>
      <c r="S558" s="516" t="str">
        <f t="array" ref="S558">XLOOKUP(LCARS_Off[AbilityID],RawOfficer[AbilityID],RawOfficer[Tag_Utility])</f>
        <v>➖</v>
      </c>
      <c r="T558" s="429" t="str">
        <f t="array" ref="T558">XLOOKUP(LCARS_Off[AbilityID],RawOfficer[AbilityID],RawOfficer[OfficerSynergy])</f>
        <v>THE MOTION PICTURES</v>
      </c>
      <c r="U558" s="519" t="str">
        <f t="array" ref="U558">XLOOKUP(LCARS_Off[AbilityID],RawOfficer[AbilityID],RawOfficer[AbilityModifier])</f>
        <v>IsolyticDamage</v>
      </c>
      <c r="V558" s="519" t="str">
        <f t="array" ref="V558">XLOOKUP(LCARS_Off[AbilityID],RawOfficer[AbilityID],RawOfficer[AbilityAttributes])</f>
        <v>battle_types=[17, 18, 2, 5, 6, 9]</v>
      </c>
      <c r="W558" s="520" t="str">
        <f t="array" ref="W558">XLOOKUP(LCARS_Off[AbilityID],RawOfficer[AbilityID],RawOfficer[AbilityConditions])</f>
        <v>CombatBattleType</v>
      </c>
      <c r="X558" s="519" t="str">
        <f t="array" ref="X558">XLOOKUP(LCARS_Off[AbilityID],RawOfficer[AbilityID],RawOfficer[AbilityTrigger])</f>
        <v>CombatStart</v>
      </c>
      <c r="Y558" s="519" t="str">
        <f t="array" ref="Y558">XLOOKUP(LCARS_Off[AbilityID],RawOfficer[AbilityID],RawOfficer[AbilityTarget])</f>
        <v>SelfShip</v>
      </c>
      <c r="Z558" s="519" t="str">
        <f t="array" ref="Z558">XLOOKUP(LCARS_Off[AbilityID],RawOfficer[AbilityID],RawOfficer[AbilityOperation])</f>
        <v>MultiplyAdd</v>
      </c>
      <c r="AA558" s="521" t="str">
        <f t="array" ref="AA558">XLOOKUP(LCARS_Off[AbilityID],RawOfficer[AbilityID],RawOfficer[AbilityDescription])</f>
        <v>TMP Nyota Uhura increases your ship's Isolytic Cascade Damage by X (X at rank X) when fighting non-Armada Hostiles, Outposts, or Retaliation Hostiles.</v>
      </c>
      <c r="AB558" s="429" t="b">
        <v>0</v>
      </c>
      <c r="AC558" s="522" t="str">
        <f t="array" ref="AC558">XLOOKUP(LCARS_Off[AbilityID],RawOfficer[AbilityID],RawOfficer[AbilityDescriptionShort])</f>
        <v>Increases your ship's Isolytic Cascade Damage by X when fighting non-Armada Hostiles, Outposts, or Retaliation Hostiles.</v>
      </c>
      <c r="AD558" s="523" t="b">
        <v>0</v>
      </c>
      <c r="AE558" s="524"/>
      <c r="AF558" s="524"/>
      <c r="AG558" s="525" t="str">
        <f t="array" ref="AG558">XLOOKUP(LCARS_Off[AbilityID],RawOfficer[AbilityID],RawOfficer[AbilityChances])</f>
        <v>1.0, 1.0, 1.0, 1.0, 1.0</v>
      </c>
      <c r="AH558" s="525" t="str">
        <f t="array" ref="AH558">XLOOKUP(LCARS_Off[AbilityID],RawOfficer[AbilityID],RawOfficer[AbilityValues])</f>
        <v>0.1, 0.2, 0.3, 0.4, 0.5</v>
      </c>
      <c r="AI558" s="428" t="b">
        <f t="array" ref="AI558">XLOOKUP(LCARS_Off[AbilityID],RawOfficer[AbilityID],RawOfficer[AbilityHasChance])</f>
        <v>0</v>
      </c>
      <c r="AJ558" s="428" t="b">
        <f t="array" ref="AJ558">XLOOKUP(LCARS_Off[AbilityID],RawOfficer[AbilityID],RawOfficer[AbilityShowPercentage])</f>
        <v>1</v>
      </c>
      <c r="AK558" s="429">
        <f t="array" ref="AK558">XLOOKUP(LCARS_Off[AbilityID],RawOfficer[AbilityID],RawOfficer[OfficerArt])</f>
        <v>323</v>
      </c>
      <c r="AL558" s="430">
        <v>3.948501792E9</v>
      </c>
      <c r="AM558" s="430">
        <f t="array" ref="AM558">XLOOKUP(LCARS_Off[AbilityID],RawOfficer[AbilityID],RawOfficer[Default Order])</f>
        <v>555</v>
      </c>
    </row>
  </sheetData>
  <customSheetViews>
    <customSheetView guid="{9EDD1754-C8CD-4622-90D2-071A41A4C6F7}" filter="1" showAutoFilter="1">
      <autoFilter ref="$A$3:$AM$558"/>
    </customSheetView>
    <customSheetView guid="{08196EC6-4ED8-4974-AD2F-406CFCF5981A}" filter="1" showAutoFilter="1">
      <autoFilter ref="$A$3:$AM$558">
        <sortState ref="A3:AM558">
          <sortCondition ref="K3:K558"/>
          <sortCondition ref="C3:C558"/>
          <sortCondition ref="V3:V558"/>
          <sortCondition ref="U3:U558"/>
        </sortState>
      </autoFilter>
    </customSheetView>
    <customSheetView guid="{65CC8D0F-A12D-4FB2-8C14-C0DB53EBE7F6}" filter="1" showAutoFilter="1">
      <autoFilter ref="$A$3:$AM$558">
        <filterColumn colId="17">
          <filters>
            <filter val="✅"/>
            <filter val="➖"/>
          </filters>
        </filterColumn>
      </autoFilter>
    </customSheetView>
    <customSheetView guid="{CA8E02A4-DCF3-4B76-92B6-B7CC83783927}" filter="1" showAutoFilter="1">
      <autoFilter ref="$A$3:$AM$558">
        <filterColumn colId="23">
          <filters>
            <filter val="HitTaken"/>
            <filter val="EnemyTakesHit"/>
          </filters>
        </filterColumn>
        <sortState ref="A3:AM558">
          <sortCondition ref="X3:X558"/>
        </sortState>
      </autoFilter>
    </customSheetView>
  </customSheetViews>
  <mergeCells count="1">
    <mergeCell ref="C1:D1"/>
  </mergeCells>
  <conditionalFormatting sqref="E1 G1">
    <cfRule type="expression" dxfId="0" priority="1">
      <formula>$F1="OA"</formula>
    </cfRule>
  </conditionalFormatting>
  <conditionalFormatting sqref="E1 G1">
    <cfRule type="expression" dxfId="1" priority="2">
      <formula>$F1="CM"</formula>
    </cfRule>
  </conditionalFormatting>
  <conditionalFormatting sqref="E1 G1">
    <cfRule type="expression" dxfId="2" priority="3">
      <formula>$F1="BDA"</formula>
    </cfRule>
  </conditionalFormatting>
  <conditionalFormatting sqref="A1:C558 AK1:AM558 D2">
    <cfRule type="expression" dxfId="12" priority="4">
      <formula>$A1="e"</formula>
    </cfRule>
  </conditionalFormatting>
  <conditionalFormatting sqref="A1:C558 AK1:AM558 D2">
    <cfRule type="expression" dxfId="13" priority="5">
      <formula>$A1="r"</formula>
    </cfRule>
  </conditionalFormatting>
  <conditionalFormatting sqref="A1:C558 AK1:AM558 D2">
    <cfRule type="expression" dxfId="14" priority="6">
      <formula>$A1="u"</formula>
    </cfRule>
  </conditionalFormatting>
  <conditionalFormatting sqref="A1:C558 AK1:AM558 D2">
    <cfRule type="expression" dxfId="29" priority="7">
      <formula>$A1="c"</formula>
    </cfRule>
  </conditionalFormatting>
  <conditionalFormatting sqref="D1:D558">
    <cfRule type="expression" dxfId="15" priority="8">
      <formula>$D1="CM"</formula>
    </cfRule>
  </conditionalFormatting>
  <conditionalFormatting sqref="D4:D558">
    <cfRule type="expression" dxfId="16" priority="9">
      <formula>$D4="OA"</formula>
    </cfRule>
  </conditionalFormatting>
  <conditionalFormatting sqref="D4:D558">
    <cfRule type="expression" dxfId="17" priority="10">
      <formula>$D4="BDA"</formula>
    </cfRule>
  </conditionalFormatting>
  <conditionalFormatting sqref="AA1:AA558">
    <cfRule type="expression" dxfId="28" priority="11">
      <formula>$AB1=TRUE</formula>
    </cfRule>
  </conditionalFormatting>
  <conditionalFormatting sqref="E1 T1:AH558">
    <cfRule type="expression" dxfId="0" priority="12">
      <formula>$D1="__"</formula>
    </cfRule>
  </conditionalFormatting>
  <conditionalFormatting sqref="E1 T1:AH558">
    <cfRule type="expression" dxfId="1" priority="13">
      <formula>$D1="__"</formula>
    </cfRule>
  </conditionalFormatting>
  <conditionalFormatting sqref="E1 T1:AH558">
    <cfRule type="expression" dxfId="2" priority="14">
      <formula>$D1="__"</formula>
    </cfRule>
  </conditionalFormatting>
  <dataValidations>
    <dataValidation type="custom" allowBlank="1" showDropDown="1" sqref="AL4:AM558">
      <formula1>AND(ISNUMBER(AL4),(NOT(OR(NOT(ISERROR(DATEVALUE(AL4))), AND(ISNUMBER(AL4), LEFT(CELL("format", AL4))="D")))))</formula1>
    </dataValidation>
    <dataValidation allowBlank="1" showDropDown="1" sqref="D4:E558 G4:G558 I4:O558 S4:S558 W4:W558"/>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2.75"/>
    <col customWidth="1" min="3" max="3" width="25.13"/>
    <col customWidth="1" min="4" max="4" width="15.25"/>
    <col customWidth="1" min="10" max="10" width="22.5"/>
    <col customWidth="1" min="11" max="11" width="29.13"/>
    <col customWidth="1" min="12" max="12" width="24.0"/>
    <col customWidth="1" min="13" max="13" width="15.75"/>
    <col customWidth="1" min="21" max="21" width="23.5"/>
    <col customWidth="1" min="22" max="22" width="21.0"/>
  </cols>
  <sheetData>
    <row r="2">
      <c r="B2" s="528"/>
      <c r="C2" s="528"/>
      <c r="D2" s="528"/>
      <c r="K2" s="529" t="s">
        <v>582</v>
      </c>
      <c r="L2" s="529" t="s">
        <v>583</v>
      </c>
      <c r="M2" s="530"/>
      <c r="N2" s="530"/>
      <c r="O2" s="530"/>
      <c r="P2" s="530"/>
      <c r="Q2" s="530"/>
      <c r="R2" s="530"/>
      <c r="S2" s="531" t="s">
        <v>584</v>
      </c>
      <c r="T2" s="528"/>
      <c r="U2" s="531" t="s">
        <v>585</v>
      </c>
      <c r="V2" s="531" t="s">
        <v>586</v>
      </c>
      <c r="W2" s="528"/>
      <c r="X2" s="528"/>
      <c r="AA2" s="528"/>
      <c r="AB2" s="528"/>
      <c r="AC2" s="528"/>
      <c r="AD2" s="528"/>
      <c r="AE2" s="528"/>
      <c r="AF2" s="528"/>
      <c r="AG2" s="528"/>
      <c r="AH2" s="528"/>
      <c r="AI2" s="528"/>
      <c r="AJ2" s="528"/>
      <c r="AK2" s="528"/>
      <c r="AL2" s="528"/>
      <c r="AM2" s="528"/>
      <c r="AN2" s="528"/>
      <c r="AO2" s="528"/>
    </row>
    <row r="3" ht="22.5" customHeight="1">
      <c r="B3" s="532" t="s">
        <v>587</v>
      </c>
      <c r="C3" s="532" t="s">
        <v>588</v>
      </c>
      <c r="D3" s="533" t="s">
        <v>589</v>
      </c>
      <c r="E3" s="533" t="s">
        <v>590</v>
      </c>
      <c r="F3" s="533" t="s">
        <v>591</v>
      </c>
      <c r="G3" s="533" t="s">
        <v>592</v>
      </c>
      <c r="H3" s="533" t="s">
        <v>593</v>
      </c>
      <c r="I3" s="534" t="s">
        <v>594</v>
      </c>
      <c r="J3" s="535" t="s">
        <v>595</v>
      </c>
      <c r="K3" s="535" t="s">
        <v>596</v>
      </c>
      <c r="L3" s="535" t="s">
        <v>597</v>
      </c>
      <c r="M3" s="535" t="s">
        <v>598</v>
      </c>
      <c r="N3" s="535" t="s">
        <v>599</v>
      </c>
      <c r="R3" s="529" t="s">
        <v>600</v>
      </c>
      <c r="S3" s="528" t="str">
        <f>IFERROR(__xludf.DUMMYFUNCTION("UNIQUE(Flatten(LCARS_Off[[#HEADERS],[PvP Space]:[Outpost Armadas]]))"),"PvP Space")</f>
        <v>PvP Space</v>
      </c>
      <c r="U3" s="528" t="str">
        <f>IFERROR(__xludf.DUMMYFUNCTION("UNIQUE(Flatten(LCARS_Off[#HEADERS]))"),"Rarity")</f>
        <v>Rarity</v>
      </c>
      <c r="V3" s="528" t="str">
        <f>IFERROR(__xludf.DUMMYFUNCTION("UNIQUE(Flatten(LCARS_Tech[#HEADERS]))"),"Rarity")</f>
        <v>Rarity</v>
      </c>
    </row>
    <row r="4" ht="22.5" customHeight="1">
      <c r="B4" s="536" t="s">
        <v>561</v>
      </c>
      <c r="C4" s="536" t="s">
        <v>561</v>
      </c>
      <c r="D4" s="536"/>
      <c r="E4" s="536" t="s">
        <v>515</v>
      </c>
      <c r="F4" s="537"/>
      <c r="G4" s="536" t="s">
        <v>561</v>
      </c>
      <c r="H4" s="536" t="s">
        <v>601</v>
      </c>
      <c r="I4" s="536" t="s">
        <v>520</v>
      </c>
      <c r="J4" s="538" t="s">
        <v>551</v>
      </c>
      <c r="K4" s="539" t="str">
        <f>IFERROR(__xludf.DUMMYFUNCTION("UNIQUE(FILTER(RawTech[TechName],RawTech[TechType]=""CT""))"),"Q Cannon")</f>
        <v>Q Cannon</v>
      </c>
      <c r="L4" s="539" t="str">
        <f>IFERROR(__xludf.DUMMYFUNCTION("UNIQUE(FILTER(RawTech[TechName],RawTech[TechType]=""FT""))"),"Tetracyanate 622")</f>
        <v>Tetracyanate 622</v>
      </c>
      <c r="M4" s="538" t="s">
        <v>602</v>
      </c>
      <c r="S4" s="528" t="str">
        <f>IFERROR(__xludf.DUMMYFUNCTION("""COMPUTED_VALUE"""),"PvP Station")</f>
        <v>PvP Station</v>
      </c>
      <c r="U4" s="528" t="str">
        <f>IFERROR(__xludf.DUMMYFUNCTION("""COMPUTED_VALUE"""),"Art")</f>
        <v>Art</v>
      </c>
      <c r="V4" s="528" t="str">
        <f>IFERROR(__xludf.DUMMYFUNCTION("""COMPUTED_VALUE"""),"Art")</f>
        <v>Art</v>
      </c>
    </row>
    <row r="5" ht="22.5" customHeight="1">
      <c r="B5" s="536" t="s">
        <v>515</v>
      </c>
      <c r="C5" s="536" t="s">
        <v>515</v>
      </c>
      <c r="D5" s="536" t="s">
        <v>515</v>
      </c>
      <c r="E5" s="538" t="s">
        <v>551</v>
      </c>
      <c r="F5" s="537"/>
      <c r="G5" s="536" t="s">
        <v>515</v>
      </c>
      <c r="H5" s="536" t="s">
        <v>53</v>
      </c>
      <c r="I5" s="536" t="s">
        <v>520</v>
      </c>
      <c r="J5" s="538" t="s">
        <v>517</v>
      </c>
      <c r="K5" s="539" t="str">
        <f>IFERROR(__xludf.DUMMYFUNCTION("""COMPUTED_VALUE"""),"Temporal Conduit")</f>
        <v>Temporal Conduit</v>
      </c>
      <c r="L5" s="539" t="str">
        <f>IFERROR(__xludf.DUMMYFUNCTION("""COMPUTED_VALUE"""),"Ablative Armor")</f>
        <v>Ablative Armor</v>
      </c>
      <c r="S5" s="528" t="str">
        <f>IFERROR(__xludf.DUMMYFUNCTION("""COMPUTED_VALUE"""),"Red Moving Space")</f>
        <v>Red Moving Space</v>
      </c>
      <c r="U5" s="387" t="str">
        <f>IFERROR(__xludf.DUMMYFUNCTION("""COMPUTED_VALUE"""),"OfficerName")</f>
        <v>OfficerName</v>
      </c>
      <c r="V5" s="528" t="str">
        <f>IFERROR(__xludf.DUMMYFUNCTION("""COMPUTED_VALUE"""),"TechName")</f>
        <v>TechName</v>
      </c>
    </row>
    <row r="6" ht="22.5" customHeight="1">
      <c r="B6" s="536" t="s">
        <v>560</v>
      </c>
      <c r="C6" s="536" t="s">
        <v>560</v>
      </c>
      <c r="D6" s="536"/>
      <c r="E6" s="538" t="s">
        <v>552</v>
      </c>
      <c r="F6" s="537"/>
      <c r="G6" s="536" t="s">
        <v>560</v>
      </c>
      <c r="H6" s="537"/>
      <c r="I6" s="536" t="s">
        <v>53</v>
      </c>
      <c r="J6" s="538" t="s">
        <v>72</v>
      </c>
      <c r="K6" s="539" t="str">
        <f>IFERROR(__xludf.DUMMYFUNCTION("""COMPUTED_VALUE"""),"Thought Maker")</f>
        <v>Thought Maker</v>
      </c>
      <c r="L6" s="539" t="str">
        <f>IFERROR(__xludf.DUMMYFUNCTION("""COMPUTED_VALUE"""),"Orion Seismic Charges")</f>
        <v>Orion Seismic Charges</v>
      </c>
      <c r="S6" s="528" t="str">
        <f>IFERROR(__xludf.DUMMYFUNCTION("""COMPUTED_VALUE"""),"Waves")</f>
        <v>Waves</v>
      </c>
      <c r="U6" s="387" t="str">
        <f>IFERROR(__xludf.DUMMYFUNCTION("""COMPUTED_VALUE"""),"AbilityType")</f>
        <v>AbilityType</v>
      </c>
      <c r="V6" s="528" t="str">
        <f>IFERROR(__xludf.DUMMYFUNCTION("""COMPUTED_VALUE"""),"Buff#")</f>
        <v>Buff#</v>
      </c>
    </row>
    <row r="7" ht="22.5" customHeight="1">
      <c r="B7" s="536" t="s">
        <v>516</v>
      </c>
      <c r="C7" s="536" t="s">
        <v>516</v>
      </c>
      <c r="D7" s="536"/>
      <c r="E7" s="538" t="s">
        <v>72</v>
      </c>
      <c r="F7" s="537"/>
      <c r="G7" s="536" t="s">
        <v>516</v>
      </c>
      <c r="H7" s="537"/>
      <c r="I7" s="536" t="s">
        <v>521</v>
      </c>
      <c r="J7" s="540"/>
      <c r="K7" s="539" t="str">
        <f>IFERROR(__xludf.DUMMYFUNCTION("""COMPUTED_VALUE"""),"Electromagnetic Lute")</f>
        <v>Electromagnetic Lute</v>
      </c>
      <c r="L7" s="539" t="str">
        <f>IFERROR(__xludf.DUMMYFUNCTION("""COMPUTED_VALUE"""),"Transphasic Torpedoes")</f>
        <v>Transphasic Torpedoes</v>
      </c>
      <c r="S7" s="528" t="str">
        <f>IFERROR(__xludf.DUMMYFUNCTION("""COMPUTED_VALUE"""),"QTrial")</f>
        <v>QTrial</v>
      </c>
      <c r="U7" s="528" t="str">
        <f>IFERROR(__xludf.DUMMYFUNCTION("""COMPUTED_VALUE"""),"PvP Space")</f>
        <v>PvP Space</v>
      </c>
      <c r="V7" s="528" t="str">
        <f>IFERROR(__xludf.DUMMYFUNCTION("""COMPUTED_VALUE"""),"TechType")</f>
        <v>TechType</v>
      </c>
    </row>
    <row r="8" ht="22.5" customHeight="1">
      <c r="B8" s="538" t="s">
        <v>551</v>
      </c>
      <c r="C8" s="538" t="s">
        <v>551</v>
      </c>
      <c r="D8" s="538" t="s">
        <v>551</v>
      </c>
      <c r="E8" s="541" t="s">
        <v>530</v>
      </c>
      <c r="F8" s="537"/>
      <c r="G8" s="538" t="s">
        <v>551</v>
      </c>
      <c r="H8" s="537"/>
      <c r="I8" s="536" t="s">
        <v>522</v>
      </c>
      <c r="J8" s="536"/>
      <c r="K8" s="539" t="str">
        <f>IFERROR(__xludf.DUMMYFUNCTION("""COMPUTED_VALUE"""),"Interphasic Mirror")</f>
        <v>Interphasic Mirror</v>
      </c>
      <c r="L8" s="539" t="str">
        <f>IFERROR(__xludf.DUMMYFUNCTION("""COMPUTED_VALUE"""),"Subnucleonic Beam")</f>
        <v>Subnucleonic Beam</v>
      </c>
      <c r="S8" s="528" t="str">
        <f>IFERROR(__xludf.DUMMYFUNCTION("""COMPUTED_VALUE"""),"Mission Bosses")</f>
        <v>Mission Bosses</v>
      </c>
      <c r="U8" s="528" t="str">
        <f>IFERROR(__xludf.DUMMYFUNCTION("""COMPUTED_VALUE"""),"PvP Station")</f>
        <v>PvP Station</v>
      </c>
      <c r="V8" s="528" t="str">
        <f>IFERROR(__xludf.DUMMYFUNCTION("""COMPUTED_VALUE"""),"PvP Space")</f>
        <v>PvP Space</v>
      </c>
    </row>
    <row r="9" ht="22.5" customHeight="1">
      <c r="B9" s="538" t="s">
        <v>552</v>
      </c>
      <c r="C9" s="538" t="s">
        <v>552</v>
      </c>
      <c r="D9" s="538" t="s">
        <v>552</v>
      </c>
      <c r="E9" s="541" t="s">
        <v>130</v>
      </c>
      <c r="F9" s="537"/>
      <c r="G9" s="538" t="s">
        <v>552</v>
      </c>
      <c r="H9" s="537"/>
      <c r="I9" s="536" t="s">
        <v>523</v>
      </c>
      <c r="J9" s="536"/>
      <c r="K9" s="539" t="str">
        <f>IFERROR(__xludf.DUMMYFUNCTION("""COMPUTED_VALUE"""),"Unimatrix Shielding")</f>
        <v>Unimatrix Shielding</v>
      </c>
      <c r="L9" s="539" t="str">
        <f>IFERROR(__xludf.DUMMYFUNCTION("""COMPUTED_VALUE"""),"Borg Nanoplating")</f>
        <v>Borg Nanoplating</v>
      </c>
      <c r="S9" s="528" t="str">
        <f>IFERROR(__xludf.DUMMYFUNCTION("""COMPUTED_VALUE"""),"Group Armadas")</f>
        <v>Group Armadas</v>
      </c>
      <c r="U9" s="528" t="str">
        <f>IFERROR(__xludf.DUMMYFUNCTION("""COMPUTED_VALUE"""),"Red Moving Space")</f>
        <v>Red Moving Space</v>
      </c>
      <c r="V9" s="528" t="str">
        <f>IFERROR(__xludf.DUMMYFUNCTION("""COMPUTED_VALUE"""),"PvP Station")</f>
        <v>PvP Station</v>
      </c>
    </row>
    <row r="10" ht="22.5" customHeight="1">
      <c r="B10" s="538" t="s">
        <v>603</v>
      </c>
      <c r="C10" s="536" t="s">
        <v>520</v>
      </c>
      <c r="D10" s="536" t="s">
        <v>520</v>
      </c>
      <c r="E10" s="541"/>
      <c r="F10" s="537"/>
      <c r="G10" s="536" t="s">
        <v>604</v>
      </c>
      <c r="H10" s="537"/>
      <c r="I10" s="536" t="s">
        <v>524</v>
      </c>
      <c r="K10" s="539" t="str">
        <f>IFERROR(__xludf.DUMMYFUNCTION("""COMPUTED_VALUE"""),"Enaran Execution Post")</f>
        <v>Enaran Execution Post</v>
      </c>
      <c r="L10" s="539" t="str">
        <f>IFERROR(__xludf.DUMMYFUNCTION("""COMPUTED_VALUE"""),"Romulan Mining Laser")</f>
        <v>Romulan Mining Laser</v>
      </c>
      <c r="S10" s="528" t="str">
        <f>IFERROR(__xludf.DUMMYFUNCTION("""COMPUTED_VALUE"""),"Solo Armadas")</f>
        <v>Solo Armadas</v>
      </c>
      <c r="U10" s="528" t="str">
        <f>IFERROR(__xludf.DUMMYFUNCTION("""COMPUTED_VALUE"""),"Waves")</f>
        <v>Waves</v>
      </c>
      <c r="V10" s="528" t="str">
        <f>IFERROR(__xludf.DUMMYFUNCTION("""COMPUTED_VALUE"""),"Red Moving Space")</f>
        <v>Red Moving Space</v>
      </c>
    </row>
    <row r="11" ht="22.5" customHeight="1">
      <c r="B11" s="536"/>
      <c r="C11" s="536" t="s">
        <v>53</v>
      </c>
      <c r="D11" s="536" t="s">
        <v>53</v>
      </c>
      <c r="E11" s="541" t="s">
        <v>515</v>
      </c>
      <c r="F11" s="537"/>
      <c r="G11" s="541" t="s">
        <v>530</v>
      </c>
      <c r="H11" s="537"/>
      <c r="I11" s="536" t="s">
        <v>525</v>
      </c>
      <c r="K11" s="539" t="str">
        <f>IFERROR(__xludf.DUMMYFUNCTION("""COMPUTED_VALUE"""),"Soran's Trilithium")</f>
        <v>Soran's Trilithium</v>
      </c>
      <c r="L11" s="539" t="str">
        <f>IFERROR(__xludf.DUMMYFUNCTION("""COMPUTED_VALUE"""),"Malon Extractor")</f>
        <v>Malon Extractor</v>
      </c>
      <c r="S11" s="528" t="str">
        <f>IFERROR(__xludf.DUMMYFUNCTION("""COMPUTED_VALUE"""),"Invading Entities")</f>
        <v>Invading Entities</v>
      </c>
      <c r="U11" s="528" t="str">
        <f>IFERROR(__xludf.DUMMYFUNCTION("""COMPUTED_VALUE"""),"QTrial")</f>
        <v>QTrial</v>
      </c>
      <c r="V11" s="528" t="str">
        <f>IFERROR(__xludf.DUMMYFUNCTION("""COMPUTED_VALUE"""),"Waves")</f>
        <v>Waves</v>
      </c>
    </row>
    <row r="12" ht="22.5" customHeight="1">
      <c r="C12" s="536" t="s">
        <v>521</v>
      </c>
      <c r="D12" s="536" t="s">
        <v>521</v>
      </c>
      <c r="E12" s="541" t="s">
        <v>517</v>
      </c>
      <c r="F12" s="537"/>
      <c r="G12" s="538" t="s">
        <v>72</v>
      </c>
      <c r="H12" s="537"/>
      <c r="I12" s="536" t="s">
        <v>526</v>
      </c>
      <c r="K12" s="539" t="str">
        <f>IFERROR(__xludf.DUMMYFUNCTION("""COMPUTED_VALUE"""),"Multiphasic Chamber")</f>
        <v>Multiphasic Chamber</v>
      </c>
      <c r="L12" s="539" t="str">
        <f>IFERROR(__xludf.DUMMYFUNCTION("""COMPUTED_VALUE"""),"Klingon Mining Drill")</f>
        <v>Klingon Mining Drill</v>
      </c>
      <c r="S12" s="528" t="str">
        <f>IFERROR(__xludf.DUMMYFUNCTION("""COMPUTED_VALUE"""),"Assaults")</f>
        <v>Assaults</v>
      </c>
      <c r="U12" s="528" t="str">
        <f>IFERROR(__xludf.DUMMYFUNCTION("""COMPUTED_VALUE"""),"Mission Bosses")</f>
        <v>Mission Bosses</v>
      </c>
      <c r="V12" s="528" t="str">
        <f>IFERROR(__xludf.DUMMYFUNCTION("""COMPUTED_VALUE"""),"QTrial")</f>
        <v>QTrial</v>
      </c>
    </row>
    <row r="13" ht="22.5" customHeight="1">
      <c r="C13" s="536" t="s">
        <v>522</v>
      </c>
      <c r="D13" s="536" t="s">
        <v>522</v>
      </c>
      <c r="E13" s="541" t="s">
        <v>518</v>
      </c>
      <c r="F13" s="537"/>
      <c r="G13" s="536" t="s">
        <v>533</v>
      </c>
      <c r="H13" s="537"/>
      <c r="I13" s="536" t="s">
        <v>527</v>
      </c>
      <c r="K13" s="539" t="str">
        <f>IFERROR(__xludf.DUMMYFUNCTION("""COMPUTED_VALUE"""),"Chronophage")</f>
        <v>Chronophage</v>
      </c>
      <c r="L13" s="539" t="str">
        <f>IFERROR(__xludf.DUMMYFUNCTION("""COMPUTED_VALUE"""),"Borg Alcove")</f>
        <v>Borg Alcove</v>
      </c>
      <c r="S13" s="528" t="str">
        <f>IFERROR(__xludf.DUMMYFUNCTION("""COMPUTED_VALUE"""),"Outpost Armadas")</f>
        <v>Outpost Armadas</v>
      </c>
      <c r="U13" s="528" t="str">
        <f>IFERROR(__xludf.DUMMYFUNCTION("""COMPUTED_VALUE"""),"Group Armadas")</f>
        <v>Group Armadas</v>
      </c>
      <c r="V13" s="528" t="str">
        <f>IFERROR(__xludf.DUMMYFUNCTION("""COMPUTED_VALUE"""),"Mission Bosses")</f>
        <v>Mission Bosses</v>
      </c>
    </row>
    <row r="14" ht="22.5" customHeight="1">
      <c r="C14" s="536" t="s">
        <v>523</v>
      </c>
      <c r="D14" s="536" t="s">
        <v>523</v>
      </c>
      <c r="E14" s="541"/>
      <c r="F14" s="537"/>
      <c r="G14" s="536" t="s">
        <v>534</v>
      </c>
      <c r="H14" s="537"/>
      <c r="I14" s="536" t="s">
        <v>528</v>
      </c>
      <c r="K14" s="539" t="str">
        <f>IFERROR(__xludf.DUMMYFUNCTION("""COMPUTED_VALUE"""),"Chrono Deflector")</f>
        <v>Chrono Deflector</v>
      </c>
      <c r="L14" s="539" t="str">
        <f>IFERROR(__xludf.DUMMYFUNCTION("""COMPUTED_VALUE"""),"Interphase Cloaking Device")</f>
        <v>Interphase Cloaking Device</v>
      </c>
      <c r="S14" s="542" t="s">
        <v>99</v>
      </c>
      <c r="U14" s="528" t="str">
        <f>IFERROR(__xludf.DUMMYFUNCTION("""COMPUTED_VALUE"""),"Solo Armadas")</f>
        <v>Solo Armadas</v>
      </c>
      <c r="V14" s="528" t="str">
        <f>IFERROR(__xludf.DUMMYFUNCTION("""COMPUTED_VALUE"""),"Group Armadas")</f>
        <v>Group Armadas</v>
      </c>
    </row>
    <row r="15" ht="22.5" customHeight="1">
      <c r="B15" s="536"/>
      <c r="C15" s="536" t="s">
        <v>524</v>
      </c>
      <c r="D15" s="536" t="s">
        <v>524</v>
      </c>
      <c r="E15" s="541"/>
      <c r="F15" s="537"/>
      <c r="G15" s="537"/>
      <c r="H15" s="537"/>
      <c r="I15" s="540" t="s">
        <v>529</v>
      </c>
      <c r="K15" s="539" t="str">
        <f>IFERROR(__xludf.DUMMYFUNCTION("""COMPUTED_VALUE"""),"The Godsend")</f>
        <v>The Godsend</v>
      </c>
      <c r="L15" s="539" t="str">
        <f>IFERROR(__xludf.DUMMYFUNCTION("""COMPUTED_VALUE"""),"Thalaron Radiation")</f>
        <v>Thalaron Radiation</v>
      </c>
      <c r="U15" s="528" t="str">
        <f>IFERROR(__xludf.DUMMYFUNCTION("""COMPUTED_VALUE"""),"Invading Entities")</f>
        <v>Invading Entities</v>
      </c>
      <c r="V15" s="528" t="str">
        <f>IFERROR(__xludf.DUMMYFUNCTION("""COMPUTED_VALUE"""),"Solo Armadas")</f>
        <v>Solo Armadas</v>
      </c>
    </row>
    <row r="16" ht="22.5" customHeight="1">
      <c r="C16" s="536" t="s">
        <v>525</v>
      </c>
      <c r="D16" s="536" t="s">
        <v>525</v>
      </c>
      <c r="E16" s="541"/>
      <c r="F16" s="537"/>
      <c r="G16" s="537"/>
      <c r="H16" s="537"/>
      <c r="I16" s="543" t="s">
        <v>99</v>
      </c>
      <c r="K16" s="539" t="str">
        <f>IFERROR(__xludf.DUMMYFUNCTION("""COMPUTED_VALUE"""),"Control")</f>
        <v>Control</v>
      </c>
      <c r="L16" s="539" t="str">
        <f>IFERROR(__xludf.DUMMYFUNCTION("""COMPUTED_VALUE"""),"Red Matter")</f>
        <v>Red Matter</v>
      </c>
      <c r="U16" s="528" t="str">
        <f>IFERROR(__xludf.DUMMYFUNCTION("""COMPUTED_VALUE"""),"Assaults")</f>
        <v>Assaults</v>
      </c>
      <c r="V16" s="528" t="str">
        <f>IFERROR(__xludf.DUMMYFUNCTION("""COMPUTED_VALUE"""),"Invading Entities")</f>
        <v>Invading Entities</v>
      </c>
      <c r="W16" s="542"/>
    </row>
    <row r="17" ht="22.5" customHeight="1">
      <c r="C17" s="536" t="s">
        <v>526</v>
      </c>
      <c r="D17" s="536" t="s">
        <v>526</v>
      </c>
      <c r="E17" s="541"/>
      <c r="F17" s="537"/>
      <c r="G17" s="537"/>
      <c r="H17" s="537"/>
      <c r="I17" s="537"/>
      <c r="K17" s="539" t="str">
        <f>IFERROR(__xludf.DUMMYFUNCTION("""COMPUTED_VALUE"""),"Tothian Mines")</f>
        <v>Tothian Mines</v>
      </c>
      <c r="L17" s="539" t="str">
        <f>IFERROR(__xludf.DUMMYFUNCTION("""COMPUTED_VALUE"""),"Time Crystal")</f>
        <v>Time Crystal</v>
      </c>
      <c r="U17" s="528" t="str">
        <f>IFERROR(__xludf.DUMMYFUNCTION("""COMPUTED_VALUE"""),"Outpost Armadas")</f>
        <v>Outpost Armadas</v>
      </c>
      <c r="V17" s="528" t="str">
        <f>IFERROR(__xludf.DUMMYFUNCTION("""COMPUTED_VALUE"""),"Assaults")</f>
        <v>Assaults</v>
      </c>
      <c r="W17" s="542"/>
    </row>
    <row r="18" ht="22.5" customHeight="1">
      <c r="B18" s="536"/>
      <c r="C18" s="536" t="s">
        <v>527</v>
      </c>
      <c r="D18" s="536" t="s">
        <v>527</v>
      </c>
      <c r="E18" s="541"/>
      <c r="F18" s="537"/>
      <c r="G18" s="537"/>
      <c r="H18" s="537"/>
      <c r="I18" s="537"/>
      <c r="K18" s="539" t="str">
        <f>IFERROR(__xludf.DUMMYFUNCTION("""COMPUTED_VALUE"""),"Echo Papa 607")</f>
        <v>Echo Papa 607</v>
      </c>
      <c r="L18" s="539" t="str">
        <f>IFERROR(__xludf.DUMMYFUNCTION("""COMPUTED_VALUE"""),"Metreon Cascade Warhead")</f>
        <v>Metreon Cascade Warhead</v>
      </c>
      <c r="Q18" s="542"/>
      <c r="R18" s="542"/>
      <c r="U18" s="528" t="str">
        <f>IFERROR(__xludf.DUMMYFUNCTION("""COMPUTED_VALUE"""),"Outpost Retaliation Attackers")</f>
        <v>Outpost Retaliation Attackers</v>
      </c>
      <c r="V18" s="528" t="str">
        <f>IFERROR(__xludf.DUMMYFUNCTION("""COMPUTED_VALUE"""),"Outpost Armadas")</f>
        <v>Outpost Armadas</v>
      </c>
      <c r="W18" s="542"/>
    </row>
    <row r="19" ht="22.5" customHeight="1">
      <c r="B19" s="536"/>
      <c r="C19" s="536" t="s">
        <v>528</v>
      </c>
      <c r="D19" s="536" t="s">
        <v>528</v>
      </c>
      <c r="E19" s="541"/>
      <c r="F19" s="537"/>
      <c r="G19" s="537"/>
      <c r="H19" s="537"/>
      <c r="I19" s="537"/>
      <c r="K19" s="539" t="str">
        <f>IFERROR(__xludf.DUMMYFUNCTION("""COMPUTED_VALUE"""),"Morphogenic Virus")</f>
        <v>Morphogenic Virus</v>
      </c>
      <c r="L19" s="539" t="str">
        <f>IFERROR(__xludf.DUMMYFUNCTION("""COMPUTED_VALUE"""),"Control Seeker Probes")</f>
        <v>Control Seeker Probes</v>
      </c>
      <c r="U19" s="528" t="str">
        <f>IFERROR(__xludf.DUMMYFUNCTION("""COMPUTED_VALUE"""),"Reason")</f>
        <v>Reason</v>
      </c>
      <c r="V19" s="528" t="str">
        <f>IFERROR(__xludf.DUMMYFUNCTION("""COMPUTED_VALUE"""),"Outpost Retaliation Attackers")</f>
        <v>Outpost Retaliation Attackers</v>
      </c>
      <c r="W19" s="542"/>
    </row>
    <row r="20" ht="22.5" customHeight="1">
      <c r="C20" s="536" t="s">
        <v>604</v>
      </c>
      <c r="D20" s="536"/>
      <c r="E20" s="537"/>
      <c r="F20" s="537"/>
      <c r="G20" s="537"/>
      <c r="H20" s="537"/>
      <c r="I20" s="537"/>
      <c r="K20" s="539" t="str">
        <f>IFERROR(__xludf.DUMMYFUNCTION("""COMPUTED_VALUE"""),"Genesis Device")</f>
        <v>Genesis Device</v>
      </c>
      <c r="L20" s="539" t="str">
        <f>IFERROR(__xludf.DUMMYFUNCTION("""COMPUTED_VALUE"""),"Dual Photon Warheads")</f>
        <v>Dual Photon Warheads</v>
      </c>
      <c r="U20" s="528" t="str">
        <f>IFERROR(__xludf.DUMMYFUNCTION("""COMPUTED_VALUE"""),"Loot")</f>
        <v>Loot</v>
      </c>
      <c r="V20" s="528" t="str">
        <f>IFERROR(__xludf.DUMMYFUNCTION("""COMPUTED_VALUE"""),"Reason")</f>
        <v>Reason</v>
      </c>
    </row>
    <row r="21" ht="22.5" customHeight="1">
      <c r="C21" s="536" t="s">
        <v>530</v>
      </c>
      <c r="D21" s="541" t="s">
        <v>530</v>
      </c>
      <c r="E21" s="537"/>
      <c r="F21" s="537"/>
      <c r="G21" s="537"/>
      <c r="H21" s="537"/>
      <c r="I21" s="537"/>
      <c r="K21" s="539" t="str">
        <f>IFERROR(__xludf.DUMMYFUNCTION("""COMPUTED_VALUE"""),"C-12 Stasis Globe")</f>
        <v>C-12 Stasis Globe</v>
      </c>
      <c r="L21" s="539" t="str">
        <f>IFERROR(__xludf.DUMMYFUNCTION("""COMPUTED_VALUE"""),"S31 Torpedo Pods")</f>
        <v>S31 Torpedo Pods</v>
      </c>
      <c r="U21" s="528" t="str">
        <f>IFERROR(__xludf.DUMMYFUNCTION("""COMPUTED_VALUE"""),"Utility")</f>
        <v>Utility</v>
      </c>
      <c r="V21" s="528" t="str">
        <f>IFERROR(__xludf.DUMMYFUNCTION("""COMPUTED_VALUE"""),"Loot")</f>
        <v>Loot</v>
      </c>
    </row>
    <row r="22" ht="22.5" customHeight="1">
      <c r="B22" s="536"/>
      <c r="C22" s="536" t="s">
        <v>531</v>
      </c>
      <c r="D22" s="538" t="s">
        <v>531</v>
      </c>
      <c r="E22" s="537"/>
      <c r="F22" s="537"/>
      <c r="G22" s="537"/>
      <c r="H22" s="537"/>
      <c r="I22" s="537"/>
      <c r="K22" s="539" t="str">
        <f>IFERROR(__xludf.DUMMYFUNCTION("""COMPUTED_VALUE"""),"Omega Molecule")</f>
        <v>Omega Molecule</v>
      </c>
      <c r="L22" s="539" t="str">
        <f>IFERROR(__xludf.DUMMYFUNCTION("""COMPUTED_VALUE"""),"The Hull Piercer")</f>
        <v>The Hull Piercer</v>
      </c>
      <c r="U22" s="387" t="str">
        <f>IFERROR(__xludf.DUMMYFUNCTION("""COMPUTED_VALUE"""),"Officer Synergy")</f>
        <v>Officer Synergy</v>
      </c>
      <c r="V22" s="528" t="str">
        <f>IFERROR(__xludf.DUMMYFUNCTION("""COMPUTED_VALUE"""),"Utility")</f>
        <v>Utility</v>
      </c>
      <c r="W22" s="542"/>
    </row>
    <row r="23" ht="22.5" customHeight="1">
      <c r="B23" s="536"/>
      <c r="C23" s="536" t="s">
        <v>532</v>
      </c>
      <c r="D23" s="541" t="s">
        <v>532</v>
      </c>
      <c r="E23" s="537"/>
      <c r="F23" s="537"/>
      <c r="G23" s="537"/>
      <c r="H23" s="537"/>
      <c r="I23" s="537"/>
      <c r="K23" s="539" t="str">
        <f>IFERROR(__xludf.DUMMYFUNCTION("""COMPUTED_VALUE"""),"Ceti Eel")</f>
        <v>Ceti Eel</v>
      </c>
      <c r="L23" s="539" t="str">
        <f>IFERROR(__xludf.DUMMYFUNCTION("""COMPUTED_VALUE"""),"Druoda Sentient Missile")</f>
        <v>Druoda Sentient Missile</v>
      </c>
      <c r="U23" s="387" t="str">
        <f>IFERROR(__xludf.DUMMYFUNCTION("""COMPUTED_VALUE"""),"Ability Modifier")</f>
        <v>Ability Modifier</v>
      </c>
      <c r="V23" s="528" t="str">
        <f>IFERROR(__xludf.DUMMYFUNCTION("""COMPUTED_VALUE"""),"Ability Modifier")</f>
        <v>Ability Modifier</v>
      </c>
      <c r="W23" s="542"/>
    </row>
    <row r="24" ht="22.5" customHeight="1">
      <c r="B24" s="536"/>
      <c r="C24" s="538" t="s">
        <v>553</v>
      </c>
      <c r="D24" s="538" t="s">
        <v>517</v>
      </c>
      <c r="E24" s="537"/>
      <c r="F24" s="537"/>
      <c r="G24" s="537"/>
      <c r="H24" s="537"/>
      <c r="I24" s="537"/>
      <c r="K24" s="539" t="str">
        <f>IFERROR(__xludf.DUMMYFUNCTION("""COMPUTED_VALUE"""),"Bio-mimetic Gel")</f>
        <v>Bio-mimetic Gel</v>
      </c>
      <c r="L24" s="539" t="str">
        <f>IFERROR(__xludf.DUMMYFUNCTION("""COMPUTED_VALUE"""),"Berserker Complex")</f>
        <v>Berserker Complex</v>
      </c>
      <c r="U24" s="387" t="str">
        <f>IFERROR(__xludf.DUMMYFUNCTION("""COMPUTED_VALUE"""),"Ability Attributes")</f>
        <v>Ability Attributes</v>
      </c>
      <c r="V24" s="528" t="str">
        <f>IFERROR(__xludf.DUMMYFUNCTION("""COMPUTED_VALUE"""),"Ability Attributes")</f>
        <v>Ability Attributes</v>
      </c>
      <c r="W24" s="542"/>
    </row>
    <row r="25" ht="22.5" customHeight="1">
      <c r="B25" s="536"/>
      <c r="C25" s="538" t="s">
        <v>130</v>
      </c>
      <c r="D25" s="541" t="s">
        <v>519</v>
      </c>
      <c r="E25" s="537"/>
      <c r="F25" s="537"/>
      <c r="G25" s="537"/>
      <c r="H25" s="537"/>
      <c r="I25" s="537"/>
      <c r="K25" s="539" t="str">
        <f>IFERROR(__xludf.DUMMYFUNCTION("""COMPUTED_VALUE"""),"Particle Synthesis")</f>
        <v>Particle Synthesis</v>
      </c>
      <c r="L25" s="539" t="str">
        <f>IFERROR(__xludf.DUMMYFUNCTION("""COMPUTED_VALUE"""),"Corrupted Cybernetic Implant")</f>
        <v>Corrupted Cybernetic Implant</v>
      </c>
      <c r="U25" s="387" t="str">
        <f>IFERROR(__xludf.DUMMYFUNCTION("""COMPUTED_VALUE"""),"Ability Conditions")</f>
        <v>Ability Conditions</v>
      </c>
      <c r="V25" s="528" t="str">
        <f>IFERROR(__xludf.DUMMYFUNCTION("""COMPUTED_VALUE"""),"Ability Conditions")</f>
        <v>Ability Conditions</v>
      </c>
      <c r="W25" s="542"/>
    </row>
    <row r="26" ht="22.5" customHeight="1">
      <c r="B26" s="536"/>
      <c r="C26" s="538" t="s">
        <v>131</v>
      </c>
      <c r="D26" s="540" t="s">
        <v>529</v>
      </c>
      <c r="E26" s="537"/>
      <c r="F26" s="537"/>
      <c r="G26" s="537"/>
      <c r="H26" s="537"/>
      <c r="I26" s="537"/>
      <c r="K26" s="539" t="str">
        <f>IFERROR(__xludf.DUMMYFUNCTION("""COMPUTED_VALUE"""),"Mark VI Photon Torpedo")</f>
        <v>Mark VI Photon Torpedo</v>
      </c>
      <c r="L26" s="539" t="str">
        <f>IFERROR(__xludf.DUMMYFUNCTION("""COMPUTED_VALUE"""),"Orion Cargo Transporter")</f>
        <v>Orion Cargo Transporter</v>
      </c>
      <c r="U26" s="387" t="str">
        <f>IFERROR(__xludf.DUMMYFUNCTION("""COMPUTED_VALUE"""),"Ability Trigger")</f>
        <v>Ability Trigger</v>
      </c>
      <c r="V26" s="528" t="str">
        <f>IFERROR(__xludf.DUMMYFUNCTION("""COMPUTED_VALUE"""),"Ability Trigger")</f>
        <v>Ability Trigger</v>
      </c>
      <c r="W26" s="542"/>
    </row>
    <row r="27" ht="22.5" customHeight="1">
      <c r="B27" s="536"/>
      <c r="C27" s="538" t="s">
        <v>132</v>
      </c>
      <c r="D27" s="536" t="s">
        <v>99</v>
      </c>
      <c r="E27" s="537"/>
      <c r="F27" s="537"/>
      <c r="G27" s="537"/>
      <c r="H27" s="537"/>
      <c r="I27" s="537"/>
      <c r="K27" s="539" t="str">
        <f>IFERROR(__xludf.DUMMYFUNCTION("""COMPUTED_VALUE"""),"Portable Transwarp Beaming Device")</f>
        <v>Portable Transwarp Beaming Device</v>
      </c>
      <c r="L27" s="539" t="str">
        <f>IFERROR(__xludf.DUMMYFUNCTION("""COMPUTED_VALUE"""),"Ferengi Energy Whip")</f>
        <v>Ferengi Energy Whip</v>
      </c>
      <c r="U27" s="528" t="str">
        <f>IFERROR(__xludf.DUMMYFUNCTION("""COMPUTED_VALUE"""),"AbilityTarget")</f>
        <v>AbilityTarget</v>
      </c>
      <c r="V27" s="528" t="str">
        <f>IFERROR(__xludf.DUMMYFUNCTION("""COMPUTED_VALUE"""),"AbilityTarget")</f>
        <v>AbilityTarget</v>
      </c>
      <c r="W27" s="542"/>
    </row>
    <row r="28" ht="22.5" customHeight="1">
      <c r="B28" s="536"/>
      <c r="C28" s="538" t="s">
        <v>133</v>
      </c>
      <c r="D28" s="541" t="s">
        <v>518</v>
      </c>
      <c r="E28" s="537"/>
      <c r="F28" s="537"/>
      <c r="G28" s="537"/>
      <c r="H28" s="537"/>
      <c r="I28" s="537"/>
      <c r="L28" s="539" t="str">
        <f>IFERROR(__xludf.DUMMYFUNCTION("""COMPUTED_VALUE"""),"Breen Energy Dampener")</f>
        <v>Breen Energy Dampener</v>
      </c>
      <c r="U28" s="387" t="str">
        <f>IFERROR(__xludf.DUMMYFUNCTION("""COMPUTED_VALUE"""),"Ability Operation")</f>
        <v>Ability Operation</v>
      </c>
      <c r="V28" s="528" t="str">
        <f>IFERROR(__xludf.DUMMYFUNCTION("""COMPUTED_VALUE"""),"Ability Operation")</f>
        <v>Ability Operation</v>
      </c>
      <c r="W28" s="542"/>
    </row>
    <row r="29" ht="22.5" customHeight="1">
      <c r="B29" s="536"/>
      <c r="C29" s="536" t="s">
        <v>119</v>
      </c>
      <c r="D29" s="537"/>
      <c r="E29" s="537"/>
      <c r="F29" s="537"/>
      <c r="G29" s="537"/>
      <c r="H29" s="537"/>
      <c r="I29" s="537"/>
      <c r="L29" s="539" t="str">
        <f>IFERROR(__xludf.DUMMYFUNCTION("""COMPUTED_VALUE"""),"AGIMUS")</f>
        <v>AGIMUS</v>
      </c>
      <c r="U29" s="387" t="str">
        <f>IFERROR(__xludf.DUMMYFUNCTION("""COMPUTED_VALUE"""),"Ability Description")</f>
        <v>Ability Description</v>
      </c>
      <c r="V29" s="528" t="str">
        <f>IFERROR(__xludf.DUMMYFUNCTION("""COMPUTED_VALUE"""),"Ability Description")</f>
        <v>Ability Description</v>
      </c>
      <c r="W29" s="542"/>
    </row>
    <row r="30" ht="22.5" customHeight="1">
      <c r="B30" s="536"/>
      <c r="C30" s="538" t="s">
        <v>135</v>
      </c>
      <c r="D30" s="537"/>
      <c r="E30" s="537"/>
      <c r="F30" s="537"/>
      <c r="G30" s="537"/>
      <c r="H30" s="537"/>
      <c r="I30" s="537"/>
      <c r="L30" s="539" t="str">
        <f>IFERROR(__xludf.DUMMYFUNCTION("""COMPUTED_VALUE"""),"Tarka's Isolytic Weapon")</f>
        <v>Tarka's Isolytic Weapon</v>
      </c>
      <c r="U30" s="528" t="str">
        <f>IFERROR(__xludf.DUMMYFUNCTION("""COMPUTED_VALUE"""),"Ability Description Different")</f>
        <v>Ability Description Different</v>
      </c>
      <c r="V30" s="528" t="str">
        <f>IFERROR(__xludf.DUMMYFUNCTION("""COMPUTED_VALUE"""),"Ability Description Different")</f>
        <v>Ability Description Different</v>
      </c>
      <c r="W30" s="542"/>
    </row>
    <row r="31" ht="22.5" customHeight="1">
      <c r="B31" s="536"/>
      <c r="C31" s="538" t="s">
        <v>72</v>
      </c>
      <c r="D31" s="537"/>
      <c r="E31" s="537"/>
      <c r="F31" s="537"/>
      <c r="G31" s="537"/>
      <c r="H31" s="537"/>
      <c r="I31" s="537"/>
      <c r="L31" s="539" t="str">
        <f>IFERROR(__xludf.DUMMYFUNCTION("""COMPUTED_VALUE"""),"Tantalus Field")</f>
        <v>Tantalus Field</v>
      </c>
      <c r="U31" s="528" t="str">
        <f>IFERROR(__xludf.DUMMYFUNCTION("""COMPUTED_VALUE"""),"Ability Description Short")</f>
        <v>Ability Description Short</v>
      </c>
      <c r="V31" s="528" t="str">
        <f>IFERROR(__xludf.DUMMYFUNCTION("""COMPUTED_VALUE"""),"Explanation")</f>
        <v>Explanation</v>
      </c>
      <c r="W31" s="542"/>
    </row>
    <row r="32" ht="22.5" customHeight="1">
      <c r="B32" s="536"/>
      <c r="C32" s="536" t="s">
        <v>533</v>
      </c>
      <c r="D32" s="537"/>
      <c r="E32" s="537"/>
      <c r="F32" s="537"/>
      <c r="G32" s="537"/>
      <c r="H32" s="537"/>
      <c r="I32" s="537"/>
      <c r="L32" s="539" t="str">
        <f>IFERROR(__xludf.DUMMYFUNCTION("""COMPUTED_VALUE"""),"Agony Booth")</f>
        <v>Agony Booth</v>
      </c>
      <c r="U32" s="528" t="str">
        <f>IFERROR(__xludf.DUMMYFUNCTION("""COMPUTED_VALUE"""),"Ability Short Different")</f>
        <v>Ability Short Different</v>
      </c>
      <c r="V32" s="528" t="str">
        <f>IFERROR(__xludf.DUMMYFUNCTION("""COMPUTED_VALUE"""),"Suggested Description")</f>
        <v>Suggested Description</v>
      </c>
      <c r="W32" s="542"/>
    </row>
    <row r="33" ht="22.5" customHeight="1">
      <c r="B33" s="536"/>
      <c r="C33" s="536" t="s">
        <v>534</v>
      </c>
      <c r="D33" s="537"/>
      <c r="E33" s="537"/>
      <c r="F33" s="537"/>
      <c r="G33" s="537"/>
      <c r="H33" s="537"/>
      <c r="I33" s="537"/>
      <c r="L33" s="539" t="str">
        <f>IFERROR(__xludf.DUMMYFUNCTION("""COMPUTED_VALUE"""),"Quantum Slipstream Drive")</f>
        <v>Quantum Slipstream Drive</v>
      </c>
      <c r="U33" s="528" t="str">
        <f>IFERROR(__xludf.DUMMYFUNCTION("""COMPUTED_VALUE"""),"Explanation")</f>
        <v>Explanation</v>
      </c>
      <c r="V33" s="528" t="str">
        <f>IFERROR(__xludf.DUMMYFUNCTION("""COMPUTED_VALUE"""),"ArtID")</f>
        <v>ArtID</v>
      </c>
      <c r="W33" s="542"/>
    </row>
    <row r="34" ht="22.5" customHeight="1">
      <c r="B34" s="536"/>
      <c r="C34" s="538" t="s">
        <v>556</v>
      </c>
      <c r="D34" s="537"/>
      <c r="E34" s="537"/>
      <c r="F34" s="537"/>
      <c r="G34" s="537"/>
      <c r="H34" s="537"/>
      <c r="I34" s="537"/>
      <c r="L34" s="539" t="str">
        <f>IFERROR(__xludf.DUMMYFUNCTION("""COMPUTED_VALUE"""),"[PRO] Romulan Mines")</f>
        <v>[PRO] Romulan Mines</v>
      </c>
      <c r="U34" s="528" t="str">
        <f>IFERROR(__xludf.DUMMYFUNCTION("""COMPUTED_VALUE"""),"Suggested Description")</f>
        <v>Suggested Description</v>
      </c>
      <c r="V34" s="387" t="str">
        <f>IFERROR(__xludf.DUMMYFUNCTION("""COMPUTED_VALUE"""),"BuffID")</f>
        <v>BuffID</v>
      </c>
      <c r="W34" s="542"/>
    </row>
    <row r="35" ht="22.5" customHeight="1">
      <c r="B35" s="536"/>
      <c r="C35" s="538" t="s">
        <v>557</v>
      </c>
      <c r="D35" s="537"/>
      <c r="E35" s="537"/>
      <c r="F35" s="537"/>
      <c r="G35" s="537"/>
      <c r="H35" s="537"/>
      <c r="I35" s="537"/>
      <c r="L35" s="539" t="str">
        <f>IFERROR(__xludf.DUMMYFUNCTION("""COMPUTED_VALUE"""),"[PRO] Counterplay Device")</f>
        <v>[PRO] Counterplay Device</v>
      </c>
      <c r="U35" s="387" t="str">
        <f>IFERROR(__xludf.DUMMYFUNCTION("""COMPUTED_VALUE"""),"Ability Chances")</f>
        <v>Ability Chances</v>
      </c>
      <c r="V35" s="528" t="str">
        <f>IFERROR(__xludf.DUMMYFUNCTION("""COMPUTED_VALUE"""),"Column 32")</f>
        <v>Column 32</v>
      </c>
      <c r="W35" s="542"/>
    </row>
    <row r="36" ht="22.5" customHeight="1">
      <c r="B36" s="536"/>
      <c r="C36" s="536" t="s">
        <v>558</v>
      </c>
      <c r="D36" s="537"/>
      <c r="E36" s="537"/>
      <c r="F36" s="537"/>
      <c r="G36" s="537"/>
      <c r="H36" s="537"/>
      <c r="I36" s="537"/>
      <c r="L36" s="539" t="str">
        <f>IFERROR(__xludf.DUMMYFUNCTION("""COMPUTED_VALUE"""),"[PRO] Self-Replicating Mines")</f>
        <v>[PRO] Self-Replicating Mines</v>
      </c>
      <c r="U36" s="387" t="str">
        <f>IFERROR(__xludf.DUMMYFUNCTION("""COMPUTED_VALUE"""),"Ability Values")</f>
        <v>Ability Values</v>
      </c>
      <c r="V36" s="528" t="str">
        <f>IFERROR(__xludf.DUMMYFUNCTION("""COMPUTED_VALUE"""),"Column 33")</f>
        <v>Column 33</v>
      </c>
    </row>
    <row r="37" ht="22.5" customHeight="1">
      <c r="B37" s="536"/>
      <c r="C37" s="536" t="s">
        <v>559</v>
      </c>
      <c r="D37" s="537"/>
      <c r="E37" s="537"/>
      <c r="F37" s="537"/>
      <c r="G37" s="537"/>
      <c r="H37" s="537"/>
      <c r="I37" s="537"/>
      <c r="L37" s="539" t="str">
        <f>IFERROR(__xludf.DUMMYFUNCTION("""COMPUTED_VALUE"""),"[PRO] Harvester")</f>
        <v>[PRO] Harvester</v>
      </c>
      <c r="U37" s="528" t="str">
        <f>IFERROR(__xludf.DUMMYFUNCTION("""COMPUTED_VALUE"""),"Ability Has Chance")</f>
        <v>Ability Has Chance</v>
      </c>
      <c r="V37" s="528" t="str">
        <f>IFERROR(__xludf.DUMMYFUNCTION("""COMPUTED_VALUE"""),"Column 34")</f>
        <v>Column 34</v>
      </c>
    </row>
    <row r="38" ht="22.5" customHeight="1">
      <c r="B38" s="536"/>
      <c r="C38" s="536"/>
      <c r="D38" s="537"/>
      <c r="E38" s="537"/>
      <c r="F38" s="537"/>
      <c r="G38" s="537"/>
      <c r="H38" s="537"/>
      <c r="I38" s="537"/>
      <c r="L38" s="539" t="str">
        <f>IFERROR(__xludf.DUMMYFUNCTION("""COMPUTED_VALUE"""),"[PRO] Orion Syndicate Bomb")</f>
        <v>[PRO] Orion Syndicate Bomb</v>
      </c>
      <c r="U38" s="528" t="str">
        <f>IFERROR(__xludf.DUMMYFUNCTION("""COMPUTED_VALUE"""),"Ability Show Percentage")</f>
        <v>Ability Show Percentage</v>
      </c>
      <c r="V38" s="528" t="str">
        <f>IFERROR(__xludf.DUMMYFUNCTION("""COMPUTED_VALUE"""),"Column 35")</f>
        <v>Column 35</v>
      </c>
    </row>
    <row r="39" ht="22.5" customHeight="1">
      <c r="B39" s="536"/>
      <c r="C39" s="536"/>
      <c r="D39" s="537"/>
      <c r="E39" s="537"/>
      <c r="F39" s="537"/>
      <c r="G39" s="537"/>
      <c r="H39" s="537"/>
      <c r="I39" s="537"/>
      <c r="L39" s="539" t="str">
        <f>IFERROR(__xludf.DUMMYFUNCTION("""COMPUTED_VALUE"""),"[PRO] M-5 Multitronic Unit")</f>
        <v>[PRO] M-5 Multitronic Unit</v>
      </c>
      <c r="U39" s="528" t="str">
        <f>IFERROR(__xludf.DUMMYFUNCTION("""COMPUTED_VALUE"""),"ID")</f>
        <v>ID</v>
      </c>
    </row>
    <row r="40" ht="22.5" customHeight="1">
      <c r="L40" s="539" t="str">
        <f>IFERROR(__xludf.DUMMYFUNCTION("""COMPUTED_VALUE"""),"[PRO] Stasis Field Generator")</f>
        <v>[PRO] Stasis Field Generator</v>
      </c>
      <c r="U40" s="544" t="str">
        <f>IFERROR(__xludf.DUMMYFUNCTION("""COMPUTED_VALUE"""),"AbilityID")</f>
        <v>AbilityID</v>
      </c>
    </row>
    <row r="41" ht="22.5" customHeight="1">
      <c r="L41" s="539" t="str">
        <f>IFERROR(__xludf.DUMMYFUNCTION("""COMPUTED_VALUE"""),"[PRO] Transwarp Computer")</f>
        <v>[PRO] Transwarp Computer</v>
      </c>
      <c r="U41" s="544" t="str">
        <f>IFERROR(__xludf.DUMMYFUNCTION("""COMPUTED_VALUE"""),"Order")</f>
        <v>Order</v>
      </c>
      <c r="W41" s="542"/>
    </row>
    <row r="42" ht="22.5" customHeight="1"/>
    <row r="43" ht="22.5" customHeight="1"/>
    <row r="44" ht="22.5" customHeight="1">
      <c r="X44" s="542"/>
    </row>
    <row r="45" ht="22.5" customHeight="1">
      <c r="X45" s="542"/>
    </row>
    <row r="46" ht="22.5" customHeight="1"/>
    <row r="47" ht="22.5" customHeight="1"/>
    <row r="48" ht="22.5" customHeight="1">
      <c r="X48" s="542"/>
    </row>
    <row r="49">
      <c r="X49" s="542"/>
    </row>
    <row r="50">
      <c r="X50" s="54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20.25"/>
    <col customWidth="1" min="3" max="3" width="13.63"/>
    <col customWidth="1" min="4" max="4" width="29.38"/>
    <col customWidth="1" min="5" max="5" width="36.13"/>
    <col customWidth="1" min="6" max="6" width="44.13"/>
    <col customWidth="1" min="7" max="7" width="19.0"/>
    <col customWidth="1" min="8" max="8" width="14.75"/>
    <col customWidth="1" min="9" max="9" width="17.25"/>
    <col customWidth="1" min="10" max="10" width="39.13"/>
    <col customWidth="1" min="11" max="11" width="29.63"/>
    <col customWidth="1" min="12" max="12" width="29.75"/>
    <col customWidth="1" min="13" max="13" width="21.5"/>
    <col customWidth="1" min="14" max="14" width="35.5"/>
    <col customWidth="1" min="15" max="15" width="18.63"/>
    <col customWidth="1" min="16" max="16" width="22.63"/>
    <col customWidth="1" min="17" max="17" width="17.88"/>
    <col customWidth="1" min="18" max="18" width="47.63"/>
    <col customWidth="1" min="19" max="19" width="17.13"/>
    <col customWidth="1" min="20" max="20" width="49.25"/>
    <col customWidth="1" min="21" max="21" width="24.0"/>
    <col customWidth="1" min="22" max="22" width="59.88"/>
    <col customWidth="1" min="23" max="23" width="19.13"/>
    <col customWidth="1" min="24" max="24" width="59.88"/>
    <col customWidth="1" min="25" max="25" width="20.25"/>
    <col customWidth="1" min="26" max="26" width="59.88"/>
    <col customWidth="1" min="27" max="27" width="13.38"/>
    <col customWidth="1" min="28" max="28" width="59.88"/>
    <col customWidth="1" min="29" max="29" width="19.0"/>
    <col customWidth="1" min="30" max="30" width="59.88"/>
    <col customWidth="1" min="31" max="31" width="20.25"/>
    <col customWidth="1" min="32" max="32" width="59.88"/>
    <col customWidth="1" min="33" max="33" width="15.5"/>
    <col customWidth="1" min="34" max="34" width="59.88"/>
    <col customWidth="1" min="35" max="35" width="20.75"/>
    <col customWidth="1" min="36" max="36" width="59.88"/>
    <col customWidth="1" min="37" max="37" width="21.63"/>
    <col customWidth="1" min="38" max="38" width="59.88"/>
    <col customWidth="1" min="39" max="39" width="22.88"/>
    <col customWidth="1" min="40" max="40" width="59.88"/>
    <col customWidth="1" min="41" max="41" width="12.38"/>
    <col customWidth="1" min="42" max="42" width="36.13"/>
    <col customWidth="1" min="43" max="43" width="13.13"/>
    <col customWidth="1" min="44" max="44" width="36.13"/>
    <col customWidth="1" min="45" max="45" width="11.63"/>
    <col customWidth="1" min="46" max="46" width="11.75"/>
    <col customWidth="1" min="47" max="47" width="12.63"/>
    <col customWidth="1" min="48" max="48" width="14.63"/>
    <col customWidth="1" min="49" max="49" width="19.5"/>
    <col customWidth="1" min="50" max="50" width="21.38"/>
    <col customWidth="1" min="51" max="51" width="47.63"/>
    <col customWidth="1" min="52" max="56" width="17.38"/>
    <col customWidth="1" min="57" max="61" width="15.88"/>
    <col customWidth="1" min="62" max="64" width="9.63"/>
  </cols>
  <sheetData>
    <row r="1" ht="22.5" customHeight="1">
      <c r="A1" s="545" t="s">
        <v>605</v>
      </c>
      <c r="B1" s="545" t="s">
        <v>551</v>
      </c>
      <c r="C1" s="545" t="s">
        <v>552</v>
      </c>
      <c r="D1" s="545" t="s">
        <v>603</v>
      </c>
      <c r="E1" s="545" t="s">
        <v>111</v>
      </c>
      <c r="F1" s="545" t="s">
        <v>606</v>
      </c>
      <c r="G1" s="545" t="s">
        <v>117</v>
      </c>
      <c r="H1" s="545" t="s">
        <v>119</v>
      </c>
      <c r="I1" s="545" t="s">
        <v>121</v>
      </c>
      <c r="J1" s="545" t="s">
        <v>113</v>
      </c>
      <c r="K1" s="545" t="s">
        <v>607</v>
      </c>
      <c r="L1" s="545" t="s">
        <v>608</v>
      </c>
      <c r="M1" s="545" t="s">
        <v>609</v>
      </c>
      <c r="N1" s="545" t="s">
        <v>610</v>
      </c>
      <c r="O1" s="545" t="s">
        <v>611</v>
      </c>
      <c r="P1" s="545" t="s">
        <v>612</v>
      </c>
      <c r="Q1" s="545" t="s">
        <v>613</v>
      </c>
      <c r="R1" s="545" t="s">
        <v>614</v>
      </c>
      <c r="S1" s="545" t="s">
        <v>615</v>
      </c>
      <c r="T1" s="545" t="s">
        <v>616</v>
      </c>
      <c r="U1" s="545" t="s">
        <v>617</v>
      </c>
      <c r="V1" s="545" t="s">
        <v>618</v>
      </c>
      <c r="W1" s="545" t="s">
        <v>619</v>
      </c>
      <c r="X1" s="545" t="s">
        <v>620</v>
      </c>
      <c r="Y1" s="545" t="s">
        <v>621</v>
      </c>
      <c r="Z1" s="545" t="s">
        <v>622</v>
      </c>
      <c r="AA1" s="545" t="s">
        <v>623</v>
      </c>
      <c r="AB1" s="545" t="s">
        <v>624</v>
      </c>
      <c r="AC1" s="545" t="s">
        <v>625</v>
      </c>
      <c r="AD1" s="545" t="s">
        <v>626</v>
      </c>
      <c r="AE1" s="545" t="s">
        <v>627</v>
      </c>
      <c r="AF1" s="545" t="s">
        <v>628</v>
      </c>
      <c r="AG1" s="545" t="s">
        <v>629</v>
      </c>
      <c r="AH1" s="545" t="s">
        <v>630</v>
      </c>
      <c r="AI1" s="545" t="s">
        <v>631</v>
      </c>
      <c r="AJ1" s="545" t="s">
        <v>632</v>
      </c>
      <c r="AK1" s="545" t="s">
        <v>633</v>
      </c>
      <c r="AL1" s="545" t="s">
        <v>634</v>
      </c>
      <c r="AM1" s="545" t="s">
        <v>635</v>
      </c>
      <c r="AN1" s="545" t="s">
        <v>636</v>
      </c>
      <c r="AO1" s="545" t="s">
        <v>637</v>
      </c>
      <c r="AP1" s="545" t="s">
        <v>638</v>
      </c>
      <c r="AQ1" s="545" t="s">
        <v>639</v>
      </c>
      <c r="AR1" s="545" t="s">
        <v>640</v>
      </c>
      <c r="AS1" s="545" t="s">
        <v>561</v>
      </c>
      <c r="AT1" s="545" t="s">
        <v>641</v>
      </c>
      <c r="AU1" s="545" t="s">
        <v>642</v>
      </c>
      <c r="AV1" s="545" t="s">
        <v>643</v>
      </c>
      <c r="AW1" s="545" t="s">
        <v>644</v>
      </c>
      <c r="AX1" s="545" t="s">
        <v>645</v>
      </c>
      <c r="AY1" s="545" t="s">
        <v>646</v>
      </c>
      <c r="AZ1" s="545" t="s">
        <v>647</v>
      </c>
      <c r="BA1" s="545" t="s">
        <v>648</v>
      </c>
      <c r="BB1" s="545" t="s">
        <v>649</v>
      </c>
      <c r="BC1" s="545" t="s">
        <v>650</v>
      </c>
      <c r="BD1" s="545" t="s">
        <v>651</v>
      </c>
      <c r="BE1" s="545" t="s">
        <v>652</v>
      </c>
      <c r="BF1" s="545" t="s">
        <v>653</v>
      </c>
      <c r="BG1" s="545" t="s">
        <v>654</v>
      </c>
      <c r="BH1" s="545" t="s">
        <v>655</v>
      </c>
      <c r="BI1" s="545" t="s">
        <v>656</v>
      </c>
      <c r="BJ1" s="546"/>
      <c r="BL1" s="546"/>
    </row>
    <row r="2" ht="22.5" customHeight="1">
      <c r="A2" s="538">
        <v>1.0</v>
      </c>
      <c r="B2" s="538" t="s">
        <v>657</v>
      </c>
      <c r="C2" s="538" t="s">
        <v>84</v>
      </c>
      <c r="D2" s="538" t="s">
        <v>658</v>
      </c>
      <c r="E2" s="538" t="s">
        <v>340</v>
      </c>
      <c r="F2" s="538" t="s">
        <v>318</v>
      </c>
      <c r="G2" s="538" t="s">
        <v>239</v>
      </c>
      <c r="H2" s="538" t="s">
        <v>182</v>
      </c>
      <c r="I2" s="538" t="s">
        <v>122</v>
      </c>
      <c r="J2" s="538" t="s">
        <v>320</v>
      </c>
      <c r="K2" s="538" t="s">
        <v>659</v>
      </c>
      <c r="L2" s="538" t="s">
        <v>660</v>
      </c>
      <c r="M2" s="538" t="s">
        <v>661</v>
      </c>
      <c r="N2" s="538" t="s">
        <v>662</v>
      </c>
      <c r="O2" s="538" t="b">
        <v>0</v>
      </c>
      <c r="P2" s="538" t="b">
        <v>1</v>
      </c>
      <c r="Q2" s="538" t="s">
        <v>75</v>
      </c>
      <c r="R2" s="538" t="s">
        <v>318</v>
      </c>
      <c r="S2" s="538" t="s">
        <v>75</v>
      </c>
      <c r="T2" s="538" t="s">
        <v>318</v>
      </c>
      <c r="U2" s="538" t="s">
        <v>75</v>
      </c>
      <c r="V2" s="538" t="s">
        <v>318</v>
      </c>
      <c r="W2" s="538" t="s">
        <v>75</v>
      </c>
      <c r="X2" s="538" t="s">
        <v>318</v>
      </c>
      <c r="Y2" s="538" t="s">
        <v>75</v>
      </c>
      <c r="Z2" s="538" t="s">
        <v>318</v>
      </c>
      <c r="AA2" s="538" t="s">
        <v>75</v>
      </c>
      <c r="AB2" s="538" t="s">
        <v>318</v>
      </c>
      <c r="AC2" s="538" t="s">
        <v>75</v>
      </c>
      <c r="AD2" s="538" t="s">
        <v>318</v>
      </c>
      <c r="AE2" s="538" t="s">
        <v>75</v>
      </c>
      <c r="AF2" s="538" t="s">
        <v>318</v>
      </c>
      <c r="AG2" s="538" t="s">
        <v>75</v>
      </c>
      <c r="AH2" s="538" t="s">
        <v>318</v>
      </c>
      <c r="AI2" s="538" t="s">
        <v>75</v>
      </c>
      <c r="AJ2" s="538" t="s">
        <v>318</v>
      </c>
      <c r="AK2" s="538" t="s">
        <v>75</v>
      </c>
      <c r="AL2" s="538" t="s">
        <v>318</v>
      </c>
      <c r="AM2" s="538" t="s">
        <v>75</v>
      </c>
      <c r="AN2" s="538" t="s">
        <v>318</v>
      </c>
      <c r="AO2" s="538" t="s">
        <v>79</v>
      </c>
      <c r="AP2" s="538" t="s">
        <v>340</v>
      </c>
      <c r="AQ2" s="538" t="s">
        <v>79</v>
      </c>
      <c r="AR2" s="538" t="s">
        <v>340</v>
      </c>
      <c r="AS2" s="538">
        <v>4.102716881E9</v>
      </c>
      <c r="AT2" s="538">
        <v>9.88947581E8</v>
      </c>
      <c r="AU2" s="538">
        <v>1.0</v>
      </c>
      <c r="AV2" s="538" t="s">
        <v>47</v>
      </c>
      <c r="AW2" s="538" t="s">
        <v>663</v>
      </c>
      <c r="AY2" s="538" t="s">
        <v>318</v>
      </c>
      <c r="AZ2" s="538">
        <v>1.0</v>
      </c>
      <c r="BA2" s="538">
        <v>1.0</v>
      </c>
      <c r="BB2" s="538">
        <v>1.0</v>
      </c>
      <c r="BE2" s="538">
        <v>0.4</v>
      </c>
      <c r="BF2" s="538">
        <v>0.1</v>
      </c>
      <c r="BG2" s="538">
        <v>0.2</v>
      </c>
      <c r="BJ2" s="546"/>
      <c r="BL2" s="546"/>
    </row>
    <row r="3" ht="22.5" customHeight="1">
      <c r="A3" s="538">
        <v>2.0</v>
      </c>
      <c r="B3" s="538" t="s">
        <v>657</v>
      </c>
      <c r="C3" s="538" t="s">
        <v>82</v>
      </c>
      <c r="D3" s="538" t="s">
        <v>658</v>
      </c>
      <c r="E3" s="538" t="s">
        <v>214</v>
      </c>
      <c r="G3" s="538" t="s">
        <v>239</v>
      </c>
      <c r="H3" s="538" t="s">
        <v>250</v>
      </c>
      <c r="I3" s="538" t="s">
        <v>197</v>
      </c>
      <c r="J3" s="538" t="s">
        <v>364</v>
      </c>
      <c r="K3" s="538" t="s">
        <v>664</v>
      </c>
      <c r="L3" s="538" t="s">
        <v>665</v>
      </c>
      <c r="M3" s="538" t="s">
        <v>666</v>
      </c>
      <c r="N3" s="538" t="s">
        <v>666</v>
      </c>
      <c r="O3" s="538" t="b">
        <v>1</v>
      </c>
      <c r="P3" s="538" t="b">
        <v>1</v>
      </c>
      <c r="Q3" s="538" t="s">
        <v>73</v>
      </c>
      <c r="S3" s="538" t="s">
        <v>73</v>
      </c>
      <c r="U3" s="538" t="s">
        <v>73</v>
      </c>
      <c r="W3" s="538" t="s">
        <v>73</v>
      </c>
      <c r="Y3" s="538" t="s">
        <v>73</v>
      </c>
      <c r="AA3" s="538" t="s">
        <v>73</v>
      </c>
      <c r="AC3" s="538" t="s">
        <v>73</v>
      </c>
      <c r="AE3" s="538" t="s">
        <v>73</v>
      </c>
      <c r="AG3" s="538" t="s">
        <v>73</v>
      </c>
      <c r="AI3" s="538" t="s">
        <v>73</v>
      </c>
      <c r="AK3" s="538" t="s">
        <v>73</v>
      </c>
      <c r="AM3" s="538" t="s">
        <v>73</v>
      </c>
      <c r="AO3" s="538" t="s">
        <v>79</v>
      </c>
      <c r="AP3" s="538" t="s">
        <v>214</v>
      </c>
      <c r="AQ3" s="538" t="s">
        <v>79</v>
      </c>
      <c r="AR3" s="538" t="s">
        <v>214</v>
      </c>
      <c r="AS3" s="538">
        <v>2.068068163E9</v>
      </c>
      <c r="AT3" s="538">
        <v>9.88947581E8</v>
      </c>
      <c r="AU3" s="538">
        <v>1.0</v>
      </c>
      <c r="AV3" s="538" t="s">
        <v>47</v>
      </c>
      <c r="AZ3" s="538">
        <v>0.5</v>
      </c>
      <c r="BA3" s="538">
        <v>0.6</v>
      </c>
      <c r="BB3" s="538">
        <v>0.7</v>
      </c>
      <c r="BC3" s="538">
        <v>0.75</v>
      </c>
      <c r="BD3" s="538">
        <v>0.8</v>
      </c>
      <c r="BE3" s="538">
        <v>0.5</v>
      </c>
      <c r="BF3" s="538">
        <v>0.6</v>
      </c>
      <c r="BG3" s="538">
        <v>0.7</v>
      </c>
      <c r="BH3" s="538">
        <v>0.75</v>
      </c>
      <c r="BI3" s="538">
        <v>0.8</v>
      </c>
      <c r="BJ3" s="546"/>
      <c r="BL3" s="546"/>
    </row>
    <row r="4" ht="22.5" customHeight="1">
      <c r="A4" s="538">
        <v>3.0</v>
      </c>
      <c r="B4" s="538" t="s">
        <v>667</v>
      </c>
      <c r="C4" s="538" t="s">
        <v>84</v>
      </c>
      <c r="D4" s="538" t="s">
        <v>658</v>
      </c>
      <c r="E4" s="538" t="s">
        <v>204</v>
      </c>
      <c r="G4" s="538" t="s">
        <v>239</v>
      </c>
      <c r="H4" s="538" t="s">
        <v>250</v>
      </c>
      <c r="I4" s="538" t="s">
        <v>122</v>
      </c>
      <c r="K4" s="538" t="s">
        <v>668</v>
      </c>
      <c r="L4" s="538" t="s">
        <v>669</v>
      </c>
      <c r="M4" s="538" t="s">
        <v>661</v>
      </c>
      <c r="N4" s="538" t="s">
        <v>670</v>
      </c>
      <c r="O4" s="538" t="b">
        <v>0</v>
      </c>
      <c r="P4" s="538" t="b">
        <v>1</v>
      </c>
      <c r="Q4" s="538" t="s">
        <v>73</v>
      </c>
      <c r="S4" s="538" t="s">
        <v>73</v>
      </c>
      <c r="U4" s="538" t="s">
        <v>73</v>
      </c>
      <c r="W4" s="538" t="s">
        <v>73</v>
      </c>
      <c r="Y4" s="538" t="s">
        <v>73</v>
      </c>
      <c r="AA4" s="538" t="s">
        <v>73</v>
      </c>
      <c r="AC4" s="538" t="s">
        <v>73</v>
      </c>
      <c r="AE4" s="538" t="s">
        <v>73</v>
      </c>
      <c r="AG4" s="538" t="s">
        <v>73</v>
      </c>
      <c r="AI4" s="538" t="s">
        <v>73</v>
      </c>
      <c r="AK4" s="538" t="s">
        <v>73</v>
      </c>
      <c r="AM4" s="538" t="s">
        <v>73</v>
      </c>
      <c r="AO4" s="538" t="s">
        <v>79</v>
      </c>
      <c r="AP4" s="538" t="s">
        <v>204</v>
      </c>
      <c r="AQ4" s="538" t="s">
        <v>79</v>
      </c>
      <c r="AR4" s="538" t="s">
        <v>204</v>
      </c>
      <c r="AS4" s="538">
        <v>8.69555258E8</v>
      </c>
      <c r="AT4" s="538">
        <v>7.66809588E8</v>
      </c>
      <c r="AU4" s="538">
        <v>2.0</v>
      </c>
      <c r="AV4" s="538" t="s">
        <v>46</v>
      </c>
      <c r="AZ4" s="538">
        <v>1.0</v>
      </c>
      <c r="BA4" s="538">
        <v>1.0</v>
      </c>
      <c r="BB4" s="538">
        <v>1.0</v>
      </c>
      <c r="BE4" s="538">
        <v>0.15</v>
      </c>
      <c r="BF4" s="538">
        <v>0.05</v>
      </c>
      <c r="BG4" s="538">
        <v>0.1</v>
      </c>
      <c r="BJ4" s="546"/>
      <c r="BL4" s="546"/>
    </row>
    <row r="5" ht="22.5" customHeight="1">
      <c r="A5" s="538">
        <v>4.0</v>
      </c>
      <c r="B5" s="538" t="s">
        <v>667</v>
      </c>
      <c r="C5" s="538" t="s">
        <v>82</v>
      </c>
      <c r="D5" s="538" t="s">
        <v>658</v>
      </c>
      <c r="E5" s="538" t="s">
        <v>366</v>
      </c>
      <c r="F5" s="538" t="s">
        <v>318</v>
      </c>
      <c r="G5" s="538" t="s">
        <v>239</v>
      </c>
      <c r="H5" s="538" t="s">
        <v>250</v>
      </c>
      <c r="I5" s="538" t="s">
        <v>176</v>
      </c>
      <c r="J5" s="538" t="s">
        <v>395</v>
      </c>
      <c r="K5" s="538" t="s">
        <v>671</v>
      </c>
      <c r="L5" s="538" t="s">
        <v>672</v>
      </c>
      <c r="M5" s="538" t="s">
        <v>673</v>
      </c>
      <c r="N5" s="538" t="s">
        <v>674</v>
      </c>
      <c r="O5" s="538" t="b">
        <v>0</v>
      </c>
      <c r="P5" s="538" t="b">
        <v>1</v>
      </c>
      <c r="Q5" s="538" t="s">
        <v>75</v>
      </c>
      <c r="R5" s="538" t="s">
        <v>318</v>
      </c>
      <c r="S5" s="538" t="s">
        <v>75</v>
      </c>
      <c r="T5" s="538" t="s">
        <v>318</v>
      </c>
      <c r="U5" s="538" t="s">
        <v>75</v>
      </c>
      <c r="V5" s="538" t="s">
        <v>318</v>
      </c>
      <c r="W5" s="538" t="s">
        <v>75</v>
      </c>
      <c r="X5" s="538" t="s">
        <v>318</v>
      </c>
      <c r="Y5" s="538" t="s">
        <v>75</v>
      </c>
      <c r="Z5" s="538" t="s">
        <v>318</v>
      </c>
      <c r="AA5" s="538" t="s">
        <v>75</v>
      </c>
      <c r="AB5" s="538" t="s">
        <v>318</v>
      </c>
      <c r="AC5" s="538" t="s">
        <v>75</v>
      </c>
      <c r="AD5" s="538" t="s">
        <v>318</v>
      </c>
      <c r="AE5" s="538" t="s">
        <v>75</v>
      </c>
      <c r="AF5" s="538" t="s">
        <v>318</v>
      </c>
      <c r="AG5" s="538" t="s">
        <v>75</v>
      </c>
      <c r="AH5" s="538" t="s">
        <v>318</v>
      </c>
      <c r="AI5" s="538" t="s">
        <v>75</v>
      </c>
      <c r="AJ5" s="538" t="s">
        <v>318</v>
      </c>
      <c r="AK5" s="538" t="s">
        <v>75</v>
      </c>
      <c r="AL5" s="538" t="s">
        <v>318</v>
      </c>
      <c r="AM5" s="538" t="s">
        <v>75</v>
      </c>
      <c r="AN5" s="538" t="s">
        <v>318</v>
      </c>
      <c r="AO5" s="538" t="s">
        <v>79</v>
      </c>
      <c r="AP5" s="538" t="s">
        <v>366</v>
      </c>
      <c r="AQ5" s="538" t="s">
        <v>79</v>
      </c>
      <c r="AR5" s="538" t="s">
        <v>366</v>
      </c>
      <c r="AS5" s="538">
        <v>2.500262645E9</v>
      </c>
      <c r="AT5" s="538">
        <v>7.66809588E8</v>
      </c>
      <c r="AU5" s="538">
        <v>2.0</v>
      </c>
      <c r="AV5" s="538" t="s">
        <v>46</v>
      </c>
      <c r="AW5" s="538" t="s">
        <v>663</v>
      </c>
      <c r="AY5" s="538" t="s">
        <v>318</v>
      </c>
      <c r="AZ5" s="538">
        <v>1.0</v>
      </c>
      <c r="BA5" s="538">
        <v>1.0</v>
      </c>
      <c r="BB5" s="538">
        <v>1.0</v>
      </c>
      <c r="BC5" s="538">
        <v>1.0</v>
      </c>
      <c r="BD5" s="538">
        <v>1.0</v>
      </c>
      <c r="BE5" s="538">
        <v>0.25</v>
      </c>
      <c r="BF5" s="538">
        <v>0.5</v>
      </c>
      <c r="BG5" s="538">
        <v>1.0</v>
      </c>
      <c r="BH5" s="538">
        <v>4.0</v>
      </c>
      <c r="BI5" s="538">
        <v>7.5</v>
      </c>
      <c r="BJ5" s="546"/>
      <c r="BK5" s="547"/>
      <c r="BL5" s="546"/>
    </row>
    <row r="6" ht="22.5" customHeight="1">
      <c r="A6" s="538">
        <v>5.0</v>
      </c>
      <c r="B6" s="538" t="s">
        <v>675</v>
      </c>
      <c r="C6" s="538" t="s">
        <v>84</v>
      </c>
      <c r="D6" s="538" t="s">
        <v>658</v>
      </c>
      <c r="E6" s="538" t="s">
        <v>337</v>
      </c>
      <c r="F6" s="538" t="s">
        <v>374</v>
      </c>
      <c r="G6" s="538" t="s">
        <v>163</v>
      </c>
      <c r="H6" s="538" t="s">
        <v>235</v>
      </c>
      <c r="I6" s="538" t="s">
        <v>122</v>
      </c>
      <c r="J6" s="538" t="s">
        <v>305</v>
      </c>
      <c r="K6" s="538" t="s">
        <v>676</v>
      </c>
      <c r="L6" s="538" t="s">
        <v>677</v>
      </c>
      <c r="M6" s="538" t="s">
        <v>661</v>
      </c>
      <c r="N6" s="538" t="s">
        <v>678</v>
      </c>
      <c r="O6" s="538" t="b">
        <v>0</v>
      </c>
      <c r="P6" s="538" t="b">
        <v>1</v>
      </c>
      <c r="Q6" s="538" t="s">
        <v>75</v>
      </c>
      <c r="R6" s="538" t="s">
        <v>679</v>
      </c>
      <c r="S6" s="538" t="s">
        <v>75</v>
      </c>
      <c r="T6" s="538" t="s">
        <v>679</v>
      </c>
      <c r="U6" s="538" t="s">
        <v>75</v>
      </c>
      <c r="V6" s="538" t="s">
        <v>679</v>
      </c>
      <c r="W6" s="538" t="s">
        <v>75</v>
      </c>
      <c r="X6" s="538" t="s">
        <v>679</v>
      </c>
      <c r="Y6" s="538" t="s">
        <v>75</v>
      </c>
      <c r="Z6" s="538" t="s">
        <v>679</v>
      </c>
      <c r="AA6" s="538" t="s">
        <v>75</v>
      </c>
      <c r="AB6" s="538" t="s">
        <v>679</v>
      </c>
      <c r="AC6" s="538" t="s">
        <v>75</v>
      </c>
      <c r="AD6" s="538" t="s">
        <v>679</v>
      </c>
      <c r="AE6" s="538" t="s">
        <v>75</v>
      </c>
      <c r="AF6" s="538" t="s">
        <v>679</v>
      </c>
      <c r="AG6" s="538" t="s">
        <v>75</v>
      </c>
      <c r="AH6" s="538" t="s">
        <v>679</v>
      </c>
      <c r="AI6" s="538" t="s">
        <v>75</v>
      </c>
      <c r="AJ6" s="538" t="s">
        <v>679</v>
      </c>
      <c r="AK6" s="538" t="s">
        <v>75</v>
      </c>
      <c r="AL6" s="538" t="s">
        <v>679</v>
      </c>
      <c r="AM6" s="538" t="s">
        <v>75</v>
      </c>
      <c r="AN6" s="538" t="s">
        <v>679</v>
      </c>
      <c r="AO6" s="538" t="s">
        <v>79</v>
      </c>
      <c r="AP6" s="538" t="s">
        <v>337</v>
      </c>
      <c r="AQ6" s="538" t="s">
        <v>79</v>
      </c>
      <c r="AR6" s="538" t="s">
        <v>337</v>
      </c>
      <c r="AS6" s="538">
        <v>1.88993107E8</v>
      </c>
      <c r="AT6" s="538">
        <v>3.923643019E9</v>
      </c>
      <c r="AU6" s="538">
        <v>3.0</v>
      </c>
      <c r="AV6" s="538" t="s">
        <v>46</v>
      </c>
      <c r="AY6" s="538" t="s">
        <v>679</v>
      </c>
      <c r="AZ6" s="538">
        <v>1.0</v>
      </c>
      <c r="BA6" s="538">
        <v>1.0</v>
      </c>
      <c r="BB6" s="538">
        <v>1.0</v>
      </c>
      <c r="BE6" s="538">
        <v>0.2</v>
      </c>
      <c r="BF6" s="538">
        <v>0.07</v>
      </c>
      <c r="BG6" s="538">
        <v>0.15</v>
      </c>
      <c r="BJ6" s="546"/>
      <c r="BL6" s="546"/>
    </row>
    <row r="7" ht="22.5" customHeight="1">
      <c r="A7" s="538">
        <v>6.0</v>
      </c>
      <c r="B7" s="538" t="s">
        <v>675</v>
      </c>
      <c r="C7" s="538" t="s">
        <v>82</v>
      </c>
      <c r="D7" s="538" t="s">
        <v>658</v>
      </c>
      <c r="E7" s="538" t="s">
        <v>346</v>
      </c>
      <c r="F7" s="538" t="s">
        <v>374</v>
      </c>
      <c r="G7" s="538" t="s">
        <v>118</v>
      </c>
      <c r="H7" s="538" t="s">
        <v>235</v>
      </c>
      <c r="I7" s="538" t="s">
        <v>122</v>
      </c>
      <c r="J7" s="538" t="s">
        <v>305</v>
      </c>
      <c r="K7" s="538" t="s">
        <v>680</v>
      </c>
      <c r="L7" s="538" t="s">
        <v>681</v>
      </c>
      <c r="M7" s="538" t="s">
        <v>673</v>
      </c>
      <c r="N7" s="538" t="s">
        <v>682</v>
      </c>
      <c r="O7" s="538" t="b">
        <v>0</v>
      </c>
      <c r="P7" s="538" t="b">
        <v>1</v>
      </c>
      <c r="Q7" s="538" t="s">
        <v>75</v>
      </c>
      <c r="R7" s="538" t="s">
        <v>679</v>
      </c>
      <c r="S7" s="538" t="s">
        <v>75</v>
      </c>
      <c r="T7" s="538" t="s">
        <v>679</v>
      </c>
      <c r="U7" s="538" t="s">
        <v>75</v>
      </c>
      <c r="V7" s="538" t="s">
        <v>679</v>
      </c>
      <c r="W7" s="538" t="s">
        <v>75</v>
      </c>
      <c r="X7" s="538" t="s">
        <v>679</v>
      </c>
      <c r="Y7" s="538" t="s">
        <v>75</v>
      </c>
      <c r="Z7" s="538" t="s">
        <v>679</v>
      </c>
      <c r="AA7" s="538" t="s">
        <v>75</v>
      </c>
      <c r="AB7" s="538" t="s">
        <v>679</v>
      </c>
      <c r="AC7" s="538" t="s">
        <v>75</v>
      </c>
      <c r="AD7" s="538" t="s">
        <v>679</v>
      </c>
      <c r="AE7" s="538" t="s">
        <v>75</v>
      </c>
      <c r="AF7" s="538" t="s">
        <v>679</v>
      </c>
      <c r="AG7" s="538" t="s">
        <v>75</v>
      </c>
      <c r="AH7" s="538" t="s">
        <v>679</v>
      </c>
      <c r="AI7" s="538" t="s">
        <v>75</v>
      </c>
      <c r="AJ7" s="538" t="s">
        <v>679</v>
      </c>
      <c r="AK7" s="538" t="s">
        <v>75</v>
      </c>
      <c r="AL7" s="538" t="s">
        <v>679</v>
      </c>
      <c r="AM7" s="538" t="s">
        <v>75</v>
      </c>
      <c r="AN7" s="538" t="s">
        <v>679</v>
      </c>
      <c r="AO7" s="538" t="s">
        <v>79</v>
      </c>
      <c r="AP7" s="538" t="s">
        <v>346</v>
      </c>
      <c r="AQ7" s="538" t="s">
        <v>79</v>
      </c>
      <c r="AR7" s="538" t="s">
        <v>346</v>
      </c>
      <c r="AS7" s="538">
        <v>1.520108895E9</v>
      </c>
      <c r="AT7" s="538">
        <v>3.923643019E9</v>
      </c>
      <c r="AU7" s="538">
        <v>3.0</v>
      </c>
      <c r="AV7" s="538" t="s">
        <v>46</v>
      </c>
      <c r="AY7" s="538" t="s">
        <v>679</v>
      </c>
      <c r="AZ7" s="538">
        <v>1.0</v>
      </c>
      <c r="BA7" s="538">
        <v>1.0</v>
      </c>
      <c r="BB7" s="538">
        <v>1.0</v>
      </c>
      <c r="BC7" s="538">
        <v>1.0</v>
      </c>
      <c r="BD7" s="538">
        <v>1.0</v>
      </c>
      <c r="BE7" s="538">
        <v>0.1</v>
      </c>
      <c r="BF7" s="538">
        <v>0.15</v>
      </c>
      <c r="BG7" s="538">
        <v>0.2</v>
      </c>
      <c r="BH7" s="538">
        <v>0.25</v>
      </c>
      <c r="BI7" s="538">
        <v>0.3</v>
      </c>
      <c r="BJ7" s="546"/>
      <c r="BL7" s="546"/>
    </row>
    <row r="8" ht="22.5" customHeight="1">
      <c r="A8" s="538">
        <v>7.0</v>
      </c>
      <c r="B8" s="538" t="s">
        <v>68</v>
      </c>
      <c r="C8" s="538" t="s">
        <v>84</v>
      </c>
      <c r="D8" s="538" t="s">
        <v>658</v>
      </c>
      <c r="E8" s="538" t="s">
        <v>361</v>
      </c>
      <c r="G8" s="538" t="s">
        <v>151</v>
      </c>
      <c r="H8" s="538" t="s">
        <v>250</v>
      </c>
      <c r="I8" s="538" t="s">
        <v>122</v>
      </c>
      <c r="K8" s="538" t="s">
        <v>683</v>
      </c>
      <c r="L8" s="538" t="s">
        <v>684</v>
      </c>
      <c r="M8" s="538" t="s">
        <v>661</v>
      </c>
      <c r="N8" s="538" t="s">
        <v>685</v>
      </c>
      <c r="O8" s="538" t="b">
        <v>0</v>
      </c>
      <c r="P8" s="538" t="b">
        <v>1</v>
      </c>
      <c r="Q8" s="538" t="s">
        <v>79</v>
      </c>
      <c r="R8" s="538" t="s">
        <v>361</v>
      </c>
      <c r="S8" s="538" t="s">
        <v>79</v>
      </c>
      <c r="T8" s="538" t="s">
        <v>361</v>
      </c>
      <c r="U8" s="538" t="s">
        <v>79</v>
      </c>
      <c r="V8" s="538" t="s">
        <v>361</v>
      </c>
      <c r="W8" s="538" t="s">
        <v>79</v>
      </c>
      <c r="X8" s="538" t="s">
        <v>361</v>
      </c>
      <c r="Y8" s="538" t="s">
        <v>79</v>
      </c>
      <c r="Z8" s="538" t="s">
        <v>361</v>
      </c>
      <c r="AA8" s="538" t="s">
        <v>79</v>
      </c>
      <c r="AB8" s="538" t="s">
        <v>361</v>
      </c>
      <c r="AC8" s="538" t="s">
        <v>79</v>
      </c>
      <c r="AD8" s="538" t="s">
        <v>361</v>
      </c>
      <c r="AE8" s="538" t="s">
        <v>79</v>
      </c>
      <c r="AF8" s="538" t="s">
        <v>361</v>
      </c>
      <c r="AG8" s="538" t="s">
        <v>79</v>
      </c>
      <c r="AH8" s="538" t="s">
        <v>361</v>
      </c>
      <c r="AI8" s="538" t="s">
        <v>79</v>
      </c>
      <c r="AJ8" s="538" t="s">
        <v>361</v>
      </c>
      <c r="AK8" s="538" t="s">
        <v>79</v>
      </c>
      <c r="AL8" s="538" t="s">
        <v>361</v>
      </c>
      <c r="AM8" s="538" t="s">
        <v>79</v>
      </c>
      <c r="AN8" s="538" t="s">
        <v>361</v>
      </c>
      <c r="AO8" s="538" t="s">
        <v>79</v>
      </c>
      <c r="AP8" s="538" t="s">
        <v>361</v>
      </c>
      <c r="AQ8" s="538" t="s">
        <v>73</v>
      </c>
      <c r="AS8" s="538">
        <v>2.33399498E8</v>
      </c>
      <c r="AT8" s="538">
        <v>3.155244352E9</v>
      </c>
      <c r="AU8" s="538">
        <v>4.0</v>
      </c>
      <c r="AV8" s="538" t="s">
        <v>45</v>
      </c>
      <c r="AZ8" s="538">
        <v>1.0</v>
      </c>
      <c r="BA8" s="538">
        <v>1.0</v>
      </c>
      <c r="BB8" s="538">
        <v>1.0</v>
      </c>
      <c r="BE8" s="538">
        <v>0.1</v>
      </c>
      <c r="BF8" s="538">
        <v>0.05</v>
      </c>
      <c r="BG8" s="538">
        <v>0.1</v>
      </c>
      <c r="BJ8" s="546"/>
      <c r="BL8" s="546"/>
    </row>
    <row r="9" ht="22.5" customHeight="1">
      <c r="A9" s="538">
        <v>8.0</v>
      </c>
      <c r="B9" s="538" t="s">
        <v>68</v>
      </c>
      <c r="C9" s="538" t="s">
        <v>82</v>
      </c>
      <c r="D9" s="538" t="s">
        <v>658</v>
      </c>
      <c r="E9" s="538" t="s">
        <v>310</v>
      </c>
      <c r="G9" s="538" t="s">
        <v>151</v>
      </c>
      <c r="H9" s="538" t="s">
        <v>250</v>
      </c>
      <c r="I9" s="538" t="s">
        <v>122</v>
      </c>
      <c r="K9" s="538" t="s">
        <v>686</v>
      </c>
      <c r="L9" s="538" t="s">
        <v>687</v>
      </c>
      <c r="M9" s="538" t="s">
        <v>673</v>
      </c>
      <c r="N9" s="538" t="s">
        <v>688</v>
      </c>
      <c r="O9" s="538" t="b">
        <v>0</v>
      </c>
      <c r="P9" s="538" t="b">
        <v>1</v>
      </c>
      <c r="Q9" s="538" t="s">
        <v>73</v>
      </c>
      <c r="S9" s="538" t="s">
        <v>73</v>
      </c>
      <c r="U9" s="538" t="s">
        <v>73</v>
      </c>
      <c r="W9" s="538" t="s">
        <v>73</v>
      </c>
      <c r="Y9" s="538" t="s">
        <v>73</v>
      </c>
      <c r="AA9" s="538" t="s">
        <v>73</v>
      </c>
      <c r="AC9" s="538" t="s">
        <v>73</v>
      </c>
      <c r="AE9" s="538" t="s">
        <v>73</v>
      </c>
      <c r="AG9" s="538" t="s">
        <v>73</v>
      </c>
      <c r="AI9" s="538" t="s">
        <v>73</v>
      </c>
      <c r="AK9" s="538" t="s">
        <v>73</v>
      </c>
      <c r="AM9" s="538" t="s">
        <v>73</v>
      </c>
      <c r="AO9" s="538" t="s">
        <v>79</v>
      </c>
      <c r="AP9" s="538" t="s">
        <v>310</v>
      </c>
      <c r="AQ9" s="538" t="s">
        <v>79</v>
      </c>
      <c r="AR9" s="538" t="s">
        <v>310</v>
      </c>
      <c r="AS9" s="538">
        <v>1.70467658E9</v>
      </c>
      <c r="AT9" s="538">
        <v>3.155244352E9</v>
      </c>
      <c r="AU9" s="538">
        <v>4.0</v>
      </c>
      <c r="AV9" s="538" t="s">
        <v>45</v>
      </c>
      <c r="AZ9" s="538">
        <v>1.0</v>
      </c>
      <c r="BA9" s="538">
        <v>1.0</v>
      </c>
      <c r="BB9" s="538">
        <v>1.0</v>
      </c>
      <c r="BC9" s="538">
        <v>1.0</v>
      </c>
      <c r="BD9" s="538">
        <v>1.0</v>
      </c>
      <c r="BE9" s="538">
        <v>0.1</v>
      </c>
      <c r="BF9" s="538">
        <v>0.12</v>
      </c>
      <c r="BG9" s="538">
        <v>0.14</v>
      </c>
      <c r="BH9" s="538">
        <v>0.16</v>
      </c>
      <c r="BI9" s="538">
        <v>0.2</v>
      </c>
      <c r="BJ9" s="546"/>
      <c r="BL9" s="546"/>
    </row>
    <row r="10" ht="22.5" customHeight="1">
      <c r="A10" s="538">
        <v>9.0</v>
      </c>
      <c r="B10" s="538" t="s">
        <v>689</v>
      </c>
      <c r="C10" s="538" t="s">
        <v>84</v>
      </c>
      <c r="D10" s="538" t="s">
        <v>658</v>
      </c>
      <c r="E10" s="538" t="s">
        <v>214</v>
      </c>
      <c r="G10" s="538" t="s">
        <v>216</v>
      </c>
      <c r="H10" s="538" t="s">
        <v>250</v>
      </c>
      <c r="I10" s="538" t="s">
        <v>197</v>
      </c>
      <c r="J10" s="538" t="s">
        <v>364</v>
      </c>
      <c r="K10" s="538" t="s">
        <v>690</v>
      </c>
      <c r="L10" s="538" t="s">
        <v>691</v>
      </c>
      <c r="M10" s="538" t="s">
        <v>662</v>
      </c>
      <c r="N10" s="538" t="s">
        <v>661</v>
      </c>
      <c r="O10" s="538" t="b">
        <v>1</v>
      </c>
      <c r="P10" s="538" t="b">
        <v>1</v>
      </c>
      <c r="Q10" s="538" t="s">
        <v>73</v>
      </c>
      <c r="S10" s="538" t="s">
        <v>73</v>
      </c>
      <c r="U10" s="538" t="s">
        <v>73</v>
      </c>
      <c r="W10" s="538" t="s">
        <v>73</v>
      </c>
      <c r="Y10" s="538" t="s">
        <v>73</v>
      </c>
      <c r="AA10" s="538" t="s">
        <v>73</v>
      </c>
      <c r="AC10" s="538" t="s">
        <v>73</v>
      </c>
      <c r="AE10" s="538" t="s">
        <v>73</v>
      </c>
      <c r="AG10" s="538" t="s">
        <v>73</v>
      </c>
      <c r="AI10" s="538" t="s">
        <v>73</v>
      </c>
      <c r="AK10" s="538" t="s">
        <v>73</v>
      </c>
      <c r="AM10" s="538" t="s">
        <v>73</v>
      </c>
      <c r="AO10" s="538" t="s">
        <v>79</v>
      </c>
      <c r="AP10" s="538" t="s">
        <v>214</v>
      </c>
      <c r="AQ10" s="538" t="s">
        <v>79</v>
      </c>
      <c r="AR10" s="538" t="s">
        <v>214</v>
      </c>
      <c r="AS10" s="538">
        <v>3.346498472E9</v>
      </c>
      <c r="AT10" s="538">
        <v>2.520801863E9</v>
      </c>
      <c r="AU10" s="538">
        <v>5.0</v>
      </c>
      <c r="AV10" s="538" t="s">
        <v>45</v>
      </c>
      <c r="AZ10" s="538">
        <v>0.4</v>
      </c>
      <c r="BA10" s="538">
        <v>0.1</v>
      </c>
      <c r="BB10" s="538">
        <v>0.2</v>
      </c>
      <c r="BE10" s="538">
        <v>1.0</v>
      </c>
      <c r="BF10" s="538">
        <v>1.0</v>
      </c>
      <c r="BG10" s="538">
        <v>1.0</v>
      </c>
      <c r="BJ10" s="546"/>
      <c r="BL10" s="546"/>
    </row>
    <row r="11" ht="22.5" customHeight="1">
      <c r="A11" s="538">
        <v>10.0</v>
      </c>
      <c r="B11" s="538" t="s">
        <v>689</v>
      </c>
      <c r="C11" s="538" t="s">
        <v>82</v>
      </c>
      <c r="D11" s="538" t="s">
        <v>658</v>
      </c>
      <c r="E11" s="538" t="s">
        <v>218</v>
      </c>
      <c r="F11" s="538" t="s">
        <v>692</v>
      </c>
      <c r="G11" s="538" t="s">
        <v>239</v>
      </c>
      <c r="H11" s="538" t="s">
        <v>250</v>
      </c>
      <c r="I11" s="538" t="s">
        <v>122</v>
      </c>
      <c r="J11" s="538" t="s">
        <v>320</v>
      </c>
      <c r="K11" s="538" t="s">
        <v>693</v>
      </c>
      <c r="L11" s="538" t="s">
        <v>694</v>
      </c>
      <c r="M11" s="538" t="s">
        <v>673</v>
      </c>
      <c r="N11" s="538" t="s">
        <v>695</v>
      </c>
      <c r="O11" s="538" t="b">
        <v>0</v>
      </c>
      <c r="P11" s="538" t="b">
        <v>1</v>
      </c>
      <c r="Q11" s="538" t="s">
        <v>75</v>
      </c>
      <c r="R11" s="538" t="s">
        <v>692</v>
      </c>
      <c r="S11" s="538" t="s">
        <v>75</v>
      </c>
      <c r="T11" s="538" t="s">
        <v>692</v>
      </c>
      <c r="U11" s="538" t="s">
        <v>75</v>
      </c>
      <c r="V11" s="538" t="s">
        <v>692</v>
      </c>
      <c r="W11" s="538" t="s">
        <v>75</v>
      </c>
      <c r="X11" s="538" t="s">
        <v>692</v>
      </c>
      <c r="Y11" s="538" t="s">
        <v>75</v>
      </c>
      <c r="Z11" s="538" t="s">
        <v>692</v>
      </c>
      <c r="AA11" s="538" t="s">
        <v>75</v>
      </c>
      <c r="AB11" s="538" t="s">
        <v>692</v>
      </c>
      <c r="AC11" s="538" t="s">
        <v>75</v>
      </c>
      <c r="AD11" s="538" t="s">
        <v>692</v>
      </c>
      <c r="AE11" s="538" t="s">
        <v>75</v>
      </c>
      <c r="AF11" s="538" t="s">
        <v>692</v>
      </c>
      <c r="AG11" s="538" t="s">
        <v>75</v>
      </c>
      <c r="AH11" s="538" t="s">
        <v>692</v>
      </c>
      <c r="AI11" s="538" t="s">
        <v>75</v>
      </c>
      <c r="AJ11" s="538" t="s">
        <v>692</v>
      </c>
      <c r="AK11" s="538" t="s">
        <v>75</v>
      </c>
      <c r="AL11" s="538" t="s">
        <v>692</v>
      </c>
      <c r="AM11" s="538" t="s">
        <v>75</v>
      </c>
      <c r="AN11" s="538" t="s">
        <v>692</v>
      </c>
      <c r="AO11" s="538" t="s">
        <v>79</v>
      </c>
      <c r="AP11" s="538" t="s">
        <v>218</v>
      </c>
      <c r="AQ11" s="538" t="s">
        <v>79</v>
      </c>
      <c r="AR11" s="538" t="s">
        <v>218</v>
      </c>
      <c r="AS11" s="538">
        <v>1.840304835E9</v>
      </c>
      <c r="AT11" s="538">
        <v>2.520801863E9</v>
      </c>
      <c r="AU11" s="538">
        <v>5.0</v>
      </c>
      <c r="AV11" s="538" t="s">
        <v>45</v>
      </c>
      <c r="AW11" s="538" t="s">
        <v>663</v>
      </c>
      <c r="AY11" s="538" t="s">
        <v>692</v>
      </c>
      <c r="AZ11" s="538">
        <v>1.0</v>
      </c>
      <c r="BA11" s="538">
        <v>1.0</v>
      </c>
      <c r="BB11" s="538">
        <v>1.0</v>
      </c>
      <c r="BC11" s="538">
        <v>1.0</v>
      </c>
      <c r="BD11" s="538">
        <v>1.0</v>
      </c>
      <c r="BE11" s="538">
        <v>0.15</v>
      </c>
      <c r="BF11" s="538">
        <v>0.2</v>
      </c>
      <c r="BG11" s="538">
        <v>0.25</v>
      </c>
      <c r="BH11" s="538">
        <v>0.3</v>
      </c>
      <c r="BI11" s="538">
        <v>0.4</v>
      </c>
      <c r="BJ11" s="546"/>
      <c r="BL11" s="546"/>
    </row>
    <row r="12" ht="22.5" customHeight="1">
      <c r="A12" s="538">
        <v>11.0</v>
      </c>
      <c r="B12" s="538" t="s">
        <v>696</v>
      </c>
      <c r="C12" s="538" t="s">
        <v>84</v>
      </c>
      <c r="D12" s="538" t="s">
        <v>658</v>
      </c>
      <c r="E12" s="538" t="s">
        <v>214</v>
      </c>
      <c r="G12" s="538" t="s">
        <v>249</v>
      </c>
      <c r="H12" s="538" t="s">
        <v>250</v>
      </c>
      <c r="I12" s="538" t="s">
        <v>197</v>
      </c>
      <c r="J12" s="538" t="s">
        <v>382</v>
      </c>
      <c r="K12" s="538" t="s">
        <v>697</v>
      </c>
      <c r="L12" s="538" t="s">
        <v>698</v>
      </c>
      <c r="M12" s="538" t="s">
        <v>699</v>
      </c>
      <c r="N12" s="538" t="s">
        <v>661</v>
      </c>
      <c r="O12" s="538" t="b">
        <v>1</v>
      </c>
      <c r="P12" s="538" t="b">
        <v>1</v>
      </c>
      <c r="Q12" s="538" t="s">
        <v>73</v>
      </c>
      <c r="S12" s="538" t="s">
        <v>73</v>
      </c>
      <c r="U12" s="538" t="s">
        <v>73</v>
      </c>
      <c r="W12" s="538" t="s">
        <v>73</v>
      </c>
      <c r="Y12" s="538" t="s">
        <v>73</v>
      </c>
      <c r="AA12" s="538" t="s">
        <v>73</v>
      </c>
      <c r="AC12" s="538" t="s">
        <v>73</v>
      </c>
      <c r="AE12" s="538" t="s">
        <v>73</v>
      </c>
      <c r="AG12" s="538" t="s">
        <v>73</v>
      </c>
      <c r="AI12" s="538" t="s">
        <v>73</v>
      </c>
      <c r="AK12" s="538" t="s">
        <v>73</v>
      </c>
      <c r="AM12" s="538" t="s">
        <v>73</v>
      </c>
      <c r="AO12" s="538" t="s">
        <v>79</v>
      </c>
      <c r="AP12" s="538" t="s">
        <v>214</v>
      </c>
      <c r="AQ12" s="538" t="s">
        <v>79</v>
      </c>
      <c r="AR12" s="538" t="s">
        <v>214</v>
      </c>
      <c r="AS12" s="538">
        <v>4.15187074E9</v>
      </c>
      <c r="AT12" s="538">
        <v>2.82462507E8</v>
      </c>
      <c r="AU12" s="538">
        <v>6.0</v>
      </c>
      <c r="AV12" s="538" t="s">
        <v>45</v>
      </c>
      <c r="AZ12" s="538">
        <v>0.5</v>
      </c>
      <c r="BA12" s="538">
        <v>0.1</v>
      </c>
      <c r="BB12" s="538">
        <v>0.2</v>
      </c>
      <c r="BE12" s="538">
        <v>1.0</v>
      </c>
      <c r="BF12" s="538">
        <v>1.0</v>
      </c>
      <c r="BG12" s="538">
        <v>1.0</v>
      </c>
      <c r="BJ12" s="546"/>
      <c r="BL12" s="546"/>
    </row>
    <row r="13" ht="22.5" customHeight="1">
      <c r="A13" s="538">
        <v>12.0</v>
      </c>
      <c r="B13" s="538" t="s">
        <v>696</v>
      </c>
      <c r="C13" s="538" t="s">
        <v>82</v>
      </c>
      <c r="D13" s="538" t="s">
        <v>658</v>
      </c>
      <c r="E13" s="538" t="s">
        <v>363</v>
      </c>
      <c r="G13" s="538" t="s">
        <v>151</v>
      </c>
      <c r="H13" s="538" t="s">
        <v>250</v>
      </c>
      <c r="I13" s="538" t="s">
        <v>122</v>
      </c>
      <c r="K13" s="538" t="s">
        <v>700</v>
      </c>
      <c r="L13" s="538" t="s">
        <v>701</v>
      </c>
      <c r="M13" s="538" t="s">
        <v>673</v>
      </c>
      <c r="N13" s="538" t="s">
        <v>688</v>
      </c>
      <c r="O13" s="538" t="b">
        <v>0</v>
      </c>
      <c r="P13" s="538" t="b">
        <v>1</v>
      </c>
      <c r="Q13" s="538" t="s">
        <v>73</v>
      </c>
      <c r="S13" s="538" t="s">
        <v>73</v>
      </c>
      <c r="U13" s="538" t="s">
        <v>73</v>
      </c>
      <c r="W13" s="538" t="s">
        <v>73</v>
      </c>
      <c r="Y13" s="538" t="s">
        <v>73</v>
      </c>
      <c r="AA13" s="538" t="s">
        <v>73</v>
      </c>
      <c r="AC13" s="538" t="s">
        <v>73</v>
      </c>
      <c r="AE13" s="538" t="s">
        <v>73</v>
      </c>
      <c r="AG13" s="538" t="s">
        <v>73</v>
      </c>
      <c r="AI13" s="538" t="s">
        <v>73</v>
      </c>
      <c r="AK13" s="538" t="s">
        <v>73</v>
      </c>
      <c r="AM13" s="538" t="s">
        <v>73</v>
      </c>
      <c r="AO13" s="538" t="s">
        <v>79</v>
      </c>
      <c r="AP13" s="538" t="s">
        <v>363</v>
      </c>
      <c r="AQ13" s="538" t="s">
        <v>79</v>
      </c>
      <c r="AR13" s="538" t="s">
        <v>363</v>
      </c>
      <c r="AS13" s="538">
        <v>3.062248728E9</v>
      </c>
      <c r="AT13" s="538">
        <v>2.82462507E8</v>
      </c>
      <c r="AU13" s="538">
        <v>6.0</v>
      </c>
      <c r="AV13" s="538" t="s">
        <v>45</v>
      </c>
      <c r="AZ13" s="538">
        <v>1.0</v>
      </c>
      <c r="BA13" s="538">
        <v>1.0</v>
      </c>
      <c r="BB13" s="538">
        <v>1.0</v>
      </c>
      <c r="BC13" s="538">
        <v>1.0</v>
      </c>
      <c r="BD13" s="538">
        <v>1.0</v>
      </c>
      <c r="BE13" s="538">
        <v>0.1</v>
      </c>
      <c r="BF13" s="538">
        <v>0.12</v>
      </c>
      <c r="BG13" s="538">
        <v>0.14</v>
      </c>
      <c r="BH13" s="538">
        <v>0.16</v>
      </c>
      <c r="BI13" s="538">
        <v>0.2</v>
      </c>
      <c r="BJ13" s="546"/>
      <c r="BL13" s="546"/>
    </row>
    <row r="14" ht="22.5" customHeight="1">
      <c r="A14" s="538">
        <v>13.0</v>
      </c>
      <c r="B14" s="538" t="s">
        <v>702</v>
      </c>
      <c r="C14" s="538" t="s">
        <v>84</v>
      </c>
      <c r="D14" s="538" t="s">
        <v>658</v>
      </c>
      <c r="E14" s="538" t="s">
        <v>236</v>
      </c>
      <c r="G14" s="538" t="s">
        <v>249</v>
      </c>
      <c r="H14" s="538" t="s">
        <v>222</v>
      </c>
      <c r="I14" s="538" t="s">
        <v>155</v>
      </c>
      <c r="J14" s="538" t="s">
        <v>350</v>
      </c>
      <c r="K14" s="538" t="s">
        <v>703</v>
      </c>
      <c r="L14" s="538" t="s">
        <v>704</v>
      </c>
      <c r="M14" s="538" t="s">
        <v>699</v>
      </c>
      <c r="N14" s="538" t="s">
        <v>705</v>
      </c>
      <c r="O14" s="538" t="b">
        <v>1</v>
      </c>
      <c r="P14" s="538" t="b">
        <v>1</v>
      </c>
      <c r="Q14" s="538" t="s">
        <v>73</v>
      </c>
      <c r="S14" s="538" t="s">
        <v>73</v>
      </c>
      <c r="U14" s="538" t="s">
        <v>73</v>
      </c>
      <c r="W14" s="538" t="s">
        <v>73</v>
      </c>
      <c r="Y14" s="538" t="s">
        <v>73</v>
      </c>
      <c r="AA14" s="538" t="s">
        <v>73</v>
      </c>
      <c r="AC14" s="538" t="s">
        <v>73</v>
      </c>
      <c r="AE14" s="538" t="s">
        <v>73</v>
      </c>
      <c r="AG14" s="538" t="s">
        <v>73</v>
      </c>
      <c r="AI14" s="538" t="s">
        <v>73</v>
      </c>
      <c r="AK14" s="538" t="s">
        <v>73</v>
      </c>
      <c r="AM14" s="538" t="s">
        <v>73</v>
      </c>
      <c r="AO14" s="538" t="s">
        <v>79</v>
      </c>
      <c r="AP14" s="538" t="s">
        <v>236</v>
      </c>
      <c r="AQ14" s="538" t="s">
        <v>79</v>
      </c>
      <c r="AR14" s="538" t="s">
        <v>236</v>
      </c>
      <c r="AS14" s="538">
        <v>3.587051486E9</v>
      </c>
      <c r="AT14" s="538">
        <v>2.695272429E9</v>
      </c>
      <c r="AU14" s="538">
        <v>7.0</v>
      </c>
      <c r="AV14" s="538" t="s">
        <v>46</v>
      </c>
      <c r="AZ14" s="538">
        <v>0.5</v>
      </c>
      <c r="BA14" s="538">
        <v>0.1</v>
      </c>
      <c r="BB14" s="538">
        <v>0.2</v>
      </c>
      <c r="BE14" s="538">
        <v>1.0</v>
      </c>
      <c r="BF14" s="538">
        <v>0.0</v>
      </c>
      <c r="BG14" s="538">
        <v>0.0</v>
      </c>
      <c r="BJ14" s="546"/>
      <c r="BL14" s="546"/>
    </row>
    <row r="15" ht="22.5" customHeight="1">
      <c r="A15" s="538">
        <v>14.0</v>
      </c>
      <c r="B15" s="538" t="s">
        <v>702</v>
      </c>
      <c r="C15" s="538" t="s">
        <v>82</v>
      </c>
      <c r="D15" s="538" t="s">
        <v>658</v>
      </c>
      <c r="E15" s="538" t="s">
        <v>204</v>
      </c>
      <c r="G15" s="538" t="s">
        <v>151</v>
      </c>
      <c r="H15" s="538" t="s">
        <v>250</v>
      </c>
      <c r="I15" s="538" t="s">
        <v>122</v>
      </c>
      <c r="K15" s="538" t="s">
        <v>706</v>
      </c>
      <c r="L15" s="538" t="s">
        <v>707</v>
      </c>
      <c r="M15" s="538" t="s">
        <v>673</v>
      </c>
      <c r="N15" s="538" t="s">
        <v>708</v>
      </c>
      <c r="O15" s="538" t="b">
        <v>0</v>
      </c>
      <c r="P15" s="538" t="b">
        <v>1</v>
      </c>
      <c r="Q15" s="538" t="s">
        <v>73</v>
      </c>
      <c r="S15" s="538" t="s">
        <v>73</v>
      </c>
      <c r="U15" s="538" t="s">
        <v>73</v>
      </c>
      <c r="W15" s="538" t="s">
        <v>73</v>
      </c>
      <c r="Y15" s="538" t="s">
        <v>73</v>
      </c>
      <c r="AA15" s="538" t="s">
        <v>73</v>
      </c>
      <c r="AC15" s="538" t="s">
        <v>73</v>
      </c>
      <c r="AE15" s="538" t="s">
        <v>73</v>
      </c>
      <c r="AG15" s="538" t="s">
        <v>73</v>
      </c>
      <c r="AI15" s="538" t="s">
        <v>73</v>
      </c>
      <c r="AK15" s="538" t="s">
        <v>73</v>
      </c>
      <c r="AM15" s="538" t="s">
        <v>73</v>
      </c>
      <c r="AO15" s="538" t="s">
        <v>79</v>
      </c>
      <c r="AP15" s="538" t="s">
        <v>204</v>
      </c>
      <c r="AQ15" s="538" t="s">
        <v>79</v>
      </c>
      <c r="AR15" s="538" t="s">
        <v>204</v>
      </c>
      <c r="AS15" s="538">
        <v>2.416805344E9</v>
      </c>
      <c r="AT15" s="538">
        <v>2.695272429E9</v>
      </c>
      <c r="AU15" s="538">
        <v>7.0</v>
      </c>
      <c r="AV15" s="538" t="s">
        <v>46</v>
      </c>
      <c r="AZ15" s="538">
        <v>1.0</v>
      </c>
      <c r="BA15" s="538">
        <v>1.0</v>
      </c>
      <c r="BB15" s="538">
        <v>1.0</v>
      </c>
      <c r="BC15" s="538">
        <v>1.0</v>
      </c>
      <c r="BD15" s="538">
        <v>1.0</v>
      </c>
      <c r="BE15" s="538">
        <v>0.4</v>
      </c>
      <c r="BF15" s="538">
        <v>0.5</v>
      </c>
      <c r="BG15" s="538">
        <v>0.6</v>
      </c>
      <c r="BH15" s="538">
        <v>0.7</v>
      </c>
      <c r="BI15" s="538">
        <v>0.8</v>
      </c>
      <c r="BJ15" s="546"/>
      <c r="BL15" s="546"/>
    </row>
    <row r="16" ht="22.5" customHeight="1">
      <c r="A16" s="538">
        <v>15.0</v>
      </c>
      <c r="B16" s="538" t="s">
        <v>709</v>
      </c>
      <c r="C16" s="538" t="s">
        <v>84</v>
      </c>
      <c r="D16" s="538" t="s">
        <v>710</v>
      </c>
      <c r="E16" s="538" t="s">
        <v>292</v>
      </c>
      <c r="G16" s="538" t="s">
        <v>163</v>
      </c>
      <c r="H16" s="538" t="s">
        <v>250</v>
      </c>
      <c r="I16" s="538" t="s">
        <v>155</v>
      </c>
      <c r="J16" s="538" t="s">
        <v>350</v>
      </c>
      <c r="K16" s="538" t="s">
        <v>711</v>
      </c>
      <c r="L16" s="538" t="s">
        <v>712</v>
      </c>
      <c r="M16" s="538" t="s">
        <v>661</v>
      </c>
      <c r="N16" s="538" t="s">
        <v>685</v>
      </c>
      <c r="O16" s="538" t="b">
        <v>0</v>
      </c>
      <c r="P16" s="538" t="b">
        <v>1</v>
      </c>
      <c r="Q16" s="538" t="s">
        <v>73</v>
      </c>
      <c r="S16" s="538" t="s">
        <v>73</v>
      </c>
      <c r="U16" s="538" t="s">
        <v>73</v>
      </c>
      <c r="W16" s="538" t="s">
        <v>73</v>
      </c>
      <c r="Y16" s="538" t="s">
        <v>73</v>
      </c>
      <c r="AA16" s="538" t="s">
        <v>73</v>
      </c>
      <c r="AC16" s="538" t="s">
        <v>73</v>
      </c>
      <c r="AE16" s="538" t="s">
        <v>73</v>
      </c>
      <c r="AG16" s="538" t="s">
        <v>73</v>
      </c>
      <c r="AI16" s="538" t="s">
        <v>73</v>
      </c>
      <c r="AK16" s="538" t="s">
        <v>73</v>
      </c>
      <c r="AM16" s="538" t="s">
        <v>73</v>
      </c>
      <c r="AO16" s="538" t="s">
        <v>79</v>
      </c>
      <c r="AP16" s="538" t="s">
        <v>292</v>
      </c>
      <c r="AQ16" s="538" t="s">
        <v>79</v>
      </c>
      <c r="AR16" s="538" t="s">
        <v>292</v>
      </c>
      <c r="AS16" s="538">
        <v>6.74724565E8</v>
      </c>
      <c r="AT16" s="538">
        <v>1.465017198E9</v>
      </c>
      <c r="AU16" s="538">
        <v>8.0</v>
      </c>
      <c r="AV16" s="538" t="s">
        <v>47</v>
      </c>
      <c r="AZ16" s="538">
        <v>1.0</v>
      </c>
      <c r="BA16" s="538">
        <v>1.0</v>
      </c>
      <c r="BB16" s="538">
        <v>1.0</v>
      </c>
      <c r="BE16" s="538">
        <v>0.1</v>
      </c>
      <c r="BF16" s="538">
        <v>0.05</v>
      </c>
      <c r="BG16" s="538">
        <v>0.1</v>
      </c>
      <c r="BJ16" s="546"/>
      <c r="BL16" s="546"/>
    </row>
    <row r="17" ht="22.5" customHeight="1">
      <c r="A17" s="538">
        <v>16.0</v>
      </c>
      <c r="B17" s="538" t="s">
        <v>709</v>
      </c>
      <c r="C17" s="538" t="s">
        <v>82</v>
      </c>
      <c r="D17" s="538" t="s">
        <v>710</v>
      </c>
      <c r="E17" s="538" t="s">
        <v>214</v>
      </c>
      <c r="G17" s="538" t="s">
        <v>212</v>
      </c>
      <c r="H17" s="538" t="s">
        <v>222</v>
      </c>
      <c r="I17" s="538" t="s">
        <v>197</v>
      </c>
      <c r="J17" s="538" t="s">
        <v>379</v>
      </c>
      <c r="K17" s="538" t="s">
        <v>713</v>
      </c>
      <c r="L17" s="538" t="s">
        <v>714</v>
      </c>
      <c r="M17" s="538" t="s">
        <v>715</v>
      </c>
      <c r="N17" s="538" t="s">
        <v>715</v>
      </c>
      <c r="O17" s="538" t="b">
        <v>1</v>
      </c>
      <c r="P17" s="538" t="b">
        <v>1</v>
      </c>
      <c r="Q17" s="538" t="s">
        <v>73</v>
      </c>
      <c r="S17" s="538" t="s">
        <v>73</v>
      </c>
      <c r="U17" s="538" t="s">
        <v>73</v>
      </c>
      <c r="W17" s="538" t="s">
        <v>73</v>
      </c>
      <c r="Y17" s="538" t="s">
        <v>73</v>
      </c>
      <c r="AA17" s="538" t="s">
        <v>73</v>
      </c>
      <c r="AC17" s="538" t="s">
        <v>73</v>
      </c>
      <c r="AE17" s="538" t="s">
        <v>73</v>
      </c>
      <c r="AG17" s="538" t="s">
        <v>73</v>
      </c>
      <c r="AI17" s="538" t="s">
        <v>73</v>
      </c>
      <c r="AK17" s="538" t="s">
        <v>73</v>
      </c>
      <c r="AM17" s="538" t="s">
        <v>73</v>
      </c>
      <c r="AO17" s="538" t="s">
        <v>79</v>
      </c>
      <c r="AP17" s="538" t="s">
        <v>214</v>
      </c>
      <c r="AQ17" s="538" t="s">
        <v>79</v>
      </c>
      <c r="AR17" s="538" t="s">
        <v>214</v>
      </c>
      <c r="AS17" s="538">
        <v>3.732921554E9</v>
      </c>
      <c r="AT17" s="538">
        <v>1.465017198E9</v>
      </c>
      <c r="AU17" s="538">
        <v>8.0</v>
      </c>
      <c r="AV17" s="538" t="s">
        <v>47</v>
      </c>
      <c r="AZ17" s="538">
        <v>0.7</v>
      </c>
      <c r="BA17" s="538">
        <v>0.75</v>
      </c>
      <c r="BB17" s="538">
        <v>0.8</v>
      </c>
      <c r="BC17" s="538">
        <v>0.85</v>
      </c>
      <c r="BD17" s="538">
        <v>0.9</v>
      </c>
      <c r="BE17" s="538">
        <v>0.7</v>
      </c>
      <c r="BF17" s="538">
        <v>0.75</v>
      </c>
      <c r="BG17" s="538">
        <v>0.8</v>
      </c>
      <c r="BH17" s="538">
        <v>0.85</v>
      </c>
      <c r="BI17" s="538">
        <v>0.9</v>
      </c>
      <c r="BJ17" s="546"/>
      <c r="BL17" s="546"/>
    </row>
    <row r="18" ht="22.5" customHeight="1">
      <c r="A18" s="538">
        <v>17.0</v>
      </c>
      <c r="B18" s="538" t="s">
        <v>716</v>
      </c>
      <c r="C18" s="538" t="s">
        <v>84</v>
      </c>
      <c r="D18" s="538" t="s">
        <v>710</v>
      </c>
      <c r="E18" s="538" t="s">
        <v>218</v>
      </c>
      <c r="F18" s="538" t="s">
        <v>273</v>
      </c>
      <c r="G18" s="538" t="s">
        <v>239</v>
      </c>
      <c r="H18" s="538" t="s">
        <v>250</v>
      </c>
      <c r="I18" s="538" t="s">
        <v>122</v>
      </c>
      <c r="J18" s="538" t="s">
        <v>338</v>
      </c>
      <c r="K18" s="538" t="s">
        <v>717</v>
      </c>
      <c r="L18" s="538" t="s">
        <v>718</v>
      </c>
      <c r="M18" s="538" t="s">
        <v>661</v>
      </c>
      <c r="N18" s="538" t="s">
        <v>719</v>
      </c>
      <c r="O18" s="538" t="b">
        <v>0</v>
      </c>
      <c r="P18" s="538" t="b">
        <v>1</v>
      </c>
      <c r="Q18" s="538" t="s">
        <v>75</v>
      </c>
      <c r="R18" s="538" t="s">
        <v>273</v>
      </c>
      <c r="S18" s="538" t="s">
        <v>75</v>
      </c>
      <c r="T18" s="538" t="s">
        <v>273</v>
      </c>
      <c r="U18" s="538" t="s">
        <v>75</v>
      </c>
      <c r="V18" s="538" t="s">
        <v>273</v>
      </c>
      <c r="W18" s="538" t="s">
        <v>75</v>
      </c>
      <c r="X18" s="538" t="s">
        <v>273</v>
      </c>
      <c r="Y18" s="538" t="s">
        <v>75</v>
      </c>
      <c r="Z18" s="538" t="s">
        <v>273</v>
      </c>
      <c r="AA18" s="538" t="s">
        <v>75</v>
      </c>
      <c r="AB18" s="538" t="s">
        <v>273</v>
      </c>
      <c r="AC18" s="538" t="s">
        <v>75</v>
      </c>
      <c r="AD18" s="538" t="s">
        <v>273</v>
      </c>
      <c r="AE18" s="538" t="s">
        <v>75</v>
      </c>
      <c r="AF18" s="538" t="s">
        <v>273</v>
      </c>
      <c r="AG18" s="538" t="s">
        <v>75</v>
      </c>
      <c r="AH18" s="538" t="s">
        <v>273</v>
      </c>
      <c r="AI18" s="538" t="s">
        <v>75</v>
      </c>
      <c r="AJ18" s="538" t="s">
        <v>273</v>
      </c>
      <c r="AK18" s="538" t="s">
        <v>75</v>
      </c>
      <c r="AL18" s="538" t="s">
        <v>273</v>
      </c>
      <c r="AM18" s="538" t="s">
        <v>75</v>
      </c>
      <c r="AN18" s="538" t="s">
        <v>273</v>
      </c>
      <c r="AO18" s="538" t="s">
        <v>79</v>
      </c>
      <c r="AP18" s="538" t="s">
        <v>218</v>
      </c>
      <c r="AQ18" s="538" t="s">
        <v>79</v>
      </c>
      <c r="AR18" s="538" t="s">
        <v>218</v>
      </c>
      <c r="AS18" s="538">
        <v>2.42644831E8</v>
      </c>
      <c r="AT18" s="538">
        <v>1.730335425E9</v>
      </c>
      <c r="AU18" s="538">
        <v>9.0</v>
      </c>
      <c r="AV18" s="538" t="s">
        <v>46</v>
      </c>
      <c r="AY18" s="538" t="s">
        <v>273</v>
      </c>
      <c r="AZ18" s="538">
        <v>1.0</v>
      </c>
      <c r="BA18" s="538">
        <v>1.0</v>
      </c>
      <c r="BB18" s="538">
        <v>1.0</v>
      </c>
      <c r="BE18" s="538">
        <v>0.1</v>
      </c>
      <c r="BF18" s="538">
        <v>0.1</v>
      </c>
      <c r="BG18" s="538">
        <v>0.2</v>
      </c>
      <c r="BJ18" s="546"/>
      <c r="BL18" s="546"/>
    </row>
    <row r="19" ht="22.5" customHeight="1">
      <c r="A19" s="538">
        <v>18.0</v>
      </c>
      <c r="B19" s="538" t="s">
        <v>716</v>
      </c>
      <c r="C19" s="538" t="s">
        <v>82</v>
      </c>
      <c r="D19" s="538" t="s">
        <v>710</v>
      </c>
      <c r="E19" s="538" t="s">
        <v>236</v>
      </c>
      <c r="F19" s="538" t="s">
        <v>720</v>
      </c>
      <c r="G19" s="538" t="s">
        <v>212</v>
      </c>
      <c r="H19" s="538" t="s">
        <v>222</v>
      </c>
      <c r="I19" s="538" t="s">
        <v>155</v>
      </c>
      <c r="J19" s="538" t="s">
        <v>320</v>
      </c>
      <c r="K19" s="538" t="s">
        <v>721</v>
      </c>
      <c r="L19" s="538" t="s">
        <v>722</v>
      </c>
      <c r="M19" s="538" t="s">
        <v>723</v>
      </c>
      <c r="N19" s="538" t="s">
        <v>673</v>
      </c>
      <c r="O19" s="538" t="b">
        <v>1</v>
      </c>
      <c r="P19" s="538" t="b">
        <v>1</v>
      </c>
      <c r="Q19" s="538" t="s">
        <v>75</v>
      </c>
      <c r="R19" s="538" t="s">
        <v>127</v>
      </c>
      <c r="S19" s="538" t="s">
        <v>75</v>
      </c>
      <c r="T19" s="538" t="s">
        <v>127</v>
      </c>
      <c r="U19" s="538" t="s">
        <v>75</v>
      </c>
      <c r="V19" s="538" t="s">
        <v>127</v>
      </c>
      <c r="W19" s="538" t="s">
        <v>75</v>
      </c>
      <c r="X19" s="538" t="s">
        <v>127</v>
      </c>
      <c r="Y19" s="538" t="s">
        <v>75</v>
      </c>
      <c r="Z19" s="538" t="s">
        <v>127</v>
      </c>
      <c r="AA19" s="538" t="s">
        <v>75</v>
      </c>
      <c r="AB19" s="538" t="s">
        <v>127</v>
      </c>
      <c r="AC19" s="538" t="s">
        <v>79</v>
      </c>
      <c r="AD19" s="538" t="s">
        <v>377</v>
      </c>
      <c r="AE19" s="538" t="s">
        <v>79</v>
      </c>
      <c r="AF19" s="538" t="s">
        <v>377</v>
      </c>
      <c r="AG19" s="538" t="s">
        <v>79</v>
      </c>
      <c r="AH19" s="538" t="s">
        <v>380</v>
      </c>
      <c r="AI19" s="538" t="s">
        <v>79</v>
      </c>
      <c r="AJ19" s="538" t="s">
        <v>377</v>
      </c>
      <c r="AK19" s="538" t="s">
        <v>75</v>
      </c>
      <c r="AL19" s="538" t="s">
        <v>127</v>
      </c>
      <c r="AM19" s="538" t="s">
        <v>75</v>
      </c>
      <c r="AN19" s="538" t="s">
        <v>127</v>
      </c>
      <c r="AO19" s="538" t="s">
        <v>79</v>
      </c>
      <c r="AP19" s="538" t="s">
        <v>236</v>
      </c>
      <c r="AQ19" s="538" t="s">
        <v>79</v>
      </c>
      <c r="AR19" s="538" t="s">
        <v>236</v>
      </c>
      <c r="AS19" s="538">
        <v>2.1574135E9</v>
      </c>
      <c r="AT19" s="538">
        <v>1.730335425E9</v>
      </c>
      <c r="AU19" s="538">
        <v>9.0</v>
      </c>
      <c r="AV19" s="538" t="s">
        <v>46</v>
      </c>
      <c r="AX19" s="538" t="s">
        <v>437</v>
      </c>
      <c r="AY19" s="538" t="s">
        <v>127</v>
      </c>
      <c r="AZ19" s="538">
        <v>0.3</v>
      </c>
      <c r="BA19" s="538">
        <v>0.35</v>
      </c>
      <c r="BB19" s="538">
        <v>0.4</v>
      </c>
      <c r="BC19" s="538">
        <v>0.45</v>
      </c>
      <c r="BD19" s="538">
        <v>0.5</v>
      </c>
      <c r="BE19" s="538">
        <v>1.0</v>
      </c>
      <c r="BF19" s="538">
        <v>1.0</v>
      </c>
      <c r="BG19" s="538">
        <v>1.0</v>
      </c>
      <c r="BH19" s="538">
        <v>1.0</v>
      </c>
      <c r="BI19" s="538">
        <v>1.0</v>
      </c>
      <c r="BJ19" s="546"/>
      <c r="BL19" s="546"/>
    </row>
    <row r="20" ht="22.5" customHeight="1">
      <c r="A20" s="538">
        <v>19.0</v>
      </c>
      <c r="B20" s="538" t="s">
        <v>724</v>
      </c>
      <c r="C20" s="538" t="s">
        <v>84</v>
      </c>
      <c r="D20" s="538" t="s">
        <v>710</v>
      </c>
      <c r="E20" s="538" t="s">
        <v>381</v>
      </c>
      <c r="G20" s="538" t="s">
        <v>249</v>
      </c>
      <c r="H20" s="538" t="s">
        <v>250</v>
      </c>
      <c r="I20" s="538" t="s">
        <v>122</v>
      </c>
      <c r="K20" s="538" t="s">
        <v>725</v>
      </c>
      <c r="L20" s="538" t="s">
        <v>726</v>
      </c>
      <c r="M20" s="538" t="s">
        <v>661</v>
      </c>
      <c r="N20" s="538" t="s">
        <v>727</v>
      </c>
      <c r="O20" s="538" t="b">
        <v>0</v>
      </c>
      <c r="P20" s="538" t="b">
        <v>1</v>
      </c>
      <c r="Q20" s="538" t="s">
        <v>73</v>
      </c>
      <c r="S20" s="538" t="s">
        <v>73</v>
      </c>
      <c r="U20" s="538" t="s">
        <v>73</v>
      </c>
      <c r="W20" s="538" t="s">
        <v>73</v>
      </c>
      <c r="Y20" s="538" t="s">
        <v>73</v>
      </c>
      <c r="AA20" s="538" t="s">
        <v>73</v>
      </c>
      <c r="AC20" s="538" t="s">
        <v>73</v>
      </c>
      <c r="AE20" s="538" t="s">
        <v>73</v>
      </c>
      <c r="AG20" s="538" t="s">
        <v>73</v>
      </c>
      <c r="AI20" s="538" t="s">
        <v>73</v>
      </c>
      <c r="AK20" s="538" t="s">
        <v>73</v>
      </c>
      <c r="AM20" s="538" t="s">
        <v>73</v>
      </c>
      <c r="AO20" s="538" t="s">
        <v>79</v>
      </c>
      <c r="AP20" s="538" t="s">
        <v>381</v>
      </c>
      <c r="AQ20" s="538" t="s">
        <v>79</v>
      </c>
      <c r="AR20" s="538" t="s">
        <v>381</v>
      </c>
      <c r="AS20" s="538">
        <v>2.28933399E8</v>
      </c>
      <c r="AT20" s="538">
        <v>3.880112208E9</v>
      </c>
      <c r="AU20" s="538">
        <v>10.0</v>
      </c>
      <c r="AV20" s="538" t="s">
        <v>46</v>
      </c>
      <c r="AZ20" s="538">
        <v>1.0</v>
      </c>
      <c r="BA20" s="538">
        <v>1.0</v>
      </c>
      <c r="BB20" s="538">
        <v>1.0</v>
      </c>
      <c r="BE20" s="538">
        <v>0.5</v>
      </c>
      <c r="BF20" s="538">
        <v>0.1</v>
      </c>
      <c r="BG20" s="538">
        <v>0.25</v>
      </c>
      <c r="BJ20" s="546"/>
      <c r="BL20" s="546"/>
    </row>
    <row r="21" ht="22.5" customHeight="1">
      <c r="A21" s="538">
        <v>20.0</v>
      </c>
      <c r="B21" s="538" t="s">
        <v>724</v>
      </c>
      <c r="C21" s="538" t="s">
        <v>82</v>
      </c>
      <c r="D21" s="538" t="s">
        <v>710</v>
      </c>
      <c r="E21" s="538" t="s">
        <v>295</v>
      </c>
      <c r="F21" s="538" t="s">
        <v>282</v>
      </c>
      <c r="G21" s="538" t="s">
        <v>163</v>
      </c>
      <c r="H21" s="538" t="s">
        <v>250</v>
      </c>
      <c r="I21" s="538" t="s">
        <v>155</v>
      </c>
      <c r="K21" s="538" t="s">
        <v>728</v>
      </c>
      <c r="L21" s="538" t="s">
        <v>729</v>
      </c>
      <c r="M21" s="538" t="s">
        <v>673</v>
      </c>
      <c r="N21" s="538" t="s">
        <v>730</v>
      </c>
      <c r="O21" s="538" t="b">
        <v>0</v>
      </c>
      <c r="P21" s="538" t="b">
        <v>1</v>
      </c>
      <c r="Q21" s="538" t="s">
        <v>75</v>
      </c>
      <c r="R21" s="538" t="s">
        <v>282</v>
      </c>
      <c r="S21" s="538" t="s">
        <v>75</v>
      </c>
      <c r="T21" s="538" t="s">
        <v>282</v>
      </c>
      <c r="U21" s="538" t="s">
        <v>75</v>
      </c>
      <c r="V21" s="538" t="s">
        <v>282</v>
      </c>
      <c r="W21" s="538" t="s">
        <v>75</v>
      </c>
      <c r="X21" s="538" t="s">
        <v>282</v>
      </c>
      <c r="Y21" s="538" t="s">
        <v>75</v>
      </c>
      <c r="Z21" s="538" t="s">
        <v>282</v>
      </c>
      <c r="AA21" s="538" t="s">
        <v>75</v>
      </c>
      <c r="AB21" s="538" t="s">
        <v>282</v>
      </c>
      <c r="AC21" s="538" t="s">
        <v>75</v>
      </c>
      <c r="AD21" s="538" t="s">
        <v>282</v>
      </c>
      <c r="AE21" s="538" t="s">
        <v>75</v>
      </c>
      <c r="AF21" s="538" t="s">
        <v>282</v>
      </c>
      <c r="AG21" s="538" t="s">
        <v>75</v>
      </c>
      <c r="AH21" s="538" t="s">
        <v>282</v>
      </c>
      <c r="AI21" s="538" t="s">
        <v>75</v>
      </c>
      <c r="AJ21" s="538" t="s">
        <v>282</v>
      </c>
      <c r="AK21" s="538" t="s">
        <v>75</v>
      </c>
      <c r="AL21" s="538" t="s">
        <v>282</v>
      </c>
      <c r="AM21" s="538" t="s">
        <v>75</v>
      </c>
      <c r="AN21" s="538" t="s">
        <v>282</v>
      </c>
      <c r="AO21" s="538" t="s">
        <v>79</v>
      </c>
      <c r="AP21" s="538" t="s">
        <v>295</v>
      </c>
      <c r="AQ21" s="538" t="s">
        <v>79</v>
      </c>
      <c r="AR21" s="538" t="s">
        <v>295</v>
      </c>
      <c r="AS21" s="538">
        <v>1.118413176E9</v>
      </c>
      <c r="AT21" s="538">
        <v>3.880112208E9</v>
      </c>
      <c r="AU21" s="538">
        <v>10.0</v>
      </c>
      <c r="AV21" s="538" t="s">
        <v>46</v>
      </c>
      <c r="AY21" s="538" t="s">
        <v>282</v>
      </c>
      <c r="AZ21" s="538">
        <v>1.0</v>
      </c>
      <c r="BA21" s="538">
        <v>1.0</v>
      </c>
      <c r="BB21" s="538">
        <v>1.0</v>
      </c>
      <c r="BC21" s="538">
        <v>1.0</v>
      </c>
      <c r="BD21" s="538">
        <v>1.0</v>
      </c>
      <c r="BE21" s="538">
        <v>0.2</v>
      </c>
      <c r="BF21" s="538">
        <v>0.25</v>
      </c>
      <c r="BG21" s="538">
        <v>0.3</v>
      </c>
      <c r="BH21" s="538">
        <v>0.4</v>
      </c>
      <c r="BI21" s="538">
        <v>0.5</v>
      </c>
      <c r="BJ21" s="546"/>
      <c r="BL21" s="546"/>
    </row>
    <row r="22" ht="22.5" customHeight="1">
      <c r="A22" s="538">
        <v>21.0</v>
      </c>
      <c r="B22" s="538" t="s">
        <v>731</v>
      </c>
      <c r="C22" s="538" t="s">
        <v>84</v>
      </c>
      <c r="D22" s="538" t="s">
        <v>710</v>
      </c>
      <c r="E22" s="538" t="s">
        <v>214</v>
      </c>
      <c r="F22" s="538" t="s">
        <v>267</v>
      </c>
      <c r="G22" s="538" t="s">
        <v>221</v>
      </c>
      <c r="H22" s="538" t="s">
        <v>222</v>
      </c>
      <c r="I22" s="538" t="s">
        <v>197</v>
      </c>
      <c r="J22" s="538" t="s">
        <v>359</v>
      </c>
      <c r="K22" s="538" t="s">
        <v>732</v>
      </c>
      <c r="L22" s="538" t="s">
        <v>733</v>
      </c>
      <c r="M22" s="538" t="s">
        <v>734</v>
      </c>
      <c r="N22" s="538" t="s">
        <v>661</v>
      </c>
      <c r="O22" s="538" t="b">
        <v>1</v>
      </c>
      <c r="P22" s="538" t="b">
        <v>1</v>
      </c>
      <c r="Q22" s="538" t="s">
        <v>75</v>
      </c>
      <c r="R22" s="538" t="s">
        <v>267</v>
      </c>
      <c r="S22" s="538" t="s">
        <v>75</v>
      </c>
      <c r="T22" s="538" t="s">
        <v>267</v>
      </c>
      <c r="U22" s="538" t="s">
        <v>75</v>
      </c>
      <c r="V22" s="538" t="s">
        <v>267</v>
      </c>
      <c r="W22" s="538" t="s">
        <v>75</v>
      </c>
      <c r="X22" s="538" t="s">
        <v>267</v>
      </c>
      <c r="Y22" s="538" t="s">
        <v>75</v>
      </c>
      <c r="Z22" s="538" t="s">
        <v>267</v>
      </c>
      <c r="AA22" s="538" t="s">
        <v>75</v>
      </c>
      <c r="AB22" s="538" t="s">
        <v>267</v>
      </c>
      <c r="AC22" s="538" t="s">
        <v>75</v>
      </c>
      <c r="AD22" s="538" t="s">
        <v>267</v>
      </c>
      <c r="AE22" s="538" t="s">
        <v>75</v>
      </c>
      <c r="AF22" s="538" t="s">
        <v>267</v>
      </c>
      <c r="AG22" s="538" t="s">
        <v>75</v>
      </c>
      <c r="AH22" s="538" t="s">
        <v>267</v>
      </c>
      <c r="AI22" s="538" t="s">
        <v>75</v>
      </c>
      <c r="AJ22" s="538" t="s">
        <v>267</v>
      </c>
      <c r="AK22" s="538" t="s">
        <v>75</v>
      </c>
      <c r="AL22" s="538" t="s">
        <v>267</v>
      </c>
      <c r="AM22" s="538" t="s">
        <v>75</v>
      </c>
      <c r="AN22" s="538" t="s">
        <v>267</v>
      </c>
      <c r="AO22" s="538" t="s">
        <v>79</v>
      </c>
      <c r="AP22" s="538" t="s">
        <v>214</v>
      </c>
      <c r="AQ22" s="538" t="s">
        <v>79</v>
      </c>
      <c r="AR22" s="538" t="s">
        <v>214</v>
      </c>
      <c r="AS22" s="538">
        <v>1.262973132E9</v>
      </c>
      <c r="AT22" s="538">
        <v>2.47523516E9</v>
      </c>
      <c r="AU22" s="538">
        <v>11.0</v>
      </c>
      <c r="AV22" s="538" t="s">
        <v>46</v>
      </c>
      <c r="AY22" s="538" t="s">
        <v>267</v>
      </c>
      <c r="AZ22" s="538">
        <v>0.2</v>
      </c>
      <c r="BA22" s="538">
        <v>0.05</v>
      </c>
      <c r="BB22" s="538">
        <v>0.15</v>
      </c>
      <c r="BE22" s="538">
        <v>1.0</v>
      </c>
      <c r="BF22" s="538">
        <v>1.0</v>
      </c>
      <c r="BG22" s="538">
        <v>1.0</v>
      </c>
      <c r="BJ22" s="546"/>
      <c r="BL22" s="546"/>
    </row>
    <row r="23" ht="22.5" customHeight="1">
      <c r="A23" s="538">
        <v>22.0</v>
      </c>
      <c r="B23" s="538" t="s">
        <v>731</v>
      </c>
      <c r="C23" s="538" t="s">
        <v>82</v>
      </c>
      <c r="D23" s="538" t="s">
        <v>710</v>
      </c>
      <c r="E23" s="538" t="s">
        <v>254</v>
      </c>
      <c r="G23" s="538" t="s">
        <v>221</v>
      </c>
      <c r="H23" s="538" t="s">
        <v>250</v>
      </c>
      <c r="I23" s="538" t="s">
        <v>122</v>
      </c>
      <c r="K23" s="538" t="s">
        <v>735</v>
      </c>
      <c r="L23" s="538" t="s">
        <v>736</v>
      </c>
      <c r="M23" s="538" t="s">
        <v>673</v>
      </c>
      <c r="N23" s="538" t="s">
        <v>737</v>
      </c>
      <c r="O23" s="538" t="b">
        <v>0</v>
      </c>
      <c r="P23" s="538" t="b">
        <v>1</v>
      </c>
      <c r="Q23" s="538" t="s">
        <v>73</v>
      </c>
      <c r="S23" s="538" t="s">
        <v>73</v>
      </c>
      <c r="U23" s="538" t="s">
        <v>73</v>
      </c>
      <c r="W23" s="538" t="s">
        <v>73</v>
      </c>
      <c r="Y23" s="538" t="s">
        <v>73</v>
      </c>
      <c r="AA23" s="538" t="s">
        <v>73</v>
      </c>
      <c r="AC23" s="538" t="s">
        <v>73</v>
      </c>
      <c r="AE23" s="538" t="s">
        <v>73</v>
      </c>
      <c r="AG23" s="538" t="s">
        <v>73</v>
      </c>
      <c r="AI23" s="538" t="s">
        <v>73</v>
      </c>
      <c r="AK23" s="538" t="s">
        <v>73</v>
      </c>
      <c r="AM23" s="538" t="s">
        <v>73</v>
      </c>
      <c r="AO23" s="538" t="s">
        <v>79</v>
      </c>
      <c r="AP23" s="538" t="s">
        <v>254</v>
      </c>
      <c r="AQ23" s="538" t="s">
        <v>79</v>
      </c>
      <c r="AR23" s="538" t="s">
        <v>254</v>
      </c>
      <c r="AS23" s="538">
        <v>3.301945997E9</v>
      </c>
      <c r="AT23" s="538">
        <v>2.47523516E9</v>
      </c>
      <c r="AU23" s="538">
        <v>11.0</v>
      </c>
      <c r="AV23" s="538" t="s">
        <v>46</v>
      </c>
      <c r="AZ23" s="538">
        <v>1.0</v>
      </c>
      <c r="BA23" s="538">
        <v>1.0</v>
      </c>
      <c r="BB23" s="538">
        <v>1.0</v>
      </c>
      <c r="BC23" s="538">
        <v>1.0</v>
      </c>
      <c r="BD23" s="538">
        <v>1.0</v>
      </c>
      <c r="BE23" s="538">
        <v>0.1</v>
      </c>
      <c r="BF23" s="538">
        <v>0.15</v>
      </c>
      <c r="BG23" s="538">
        <v>0.2</v>
      </c>
      <c r="BH23" s="538">
        <v>0.3</v>
      </c>
      <c r="BI23" s="538">
        <v>0.4</v>
      </c>
      <c r="BJ23" s="546"/>
      <c r="BL23" s="546"/>
    </row>
    <row r="24" ht="22.5" customHeight="1">
      <c r="A24" s="538">
        <v>23.0</v>
      </c>
      <c r="B24" s="538" t="s">
        <v>738</v>
      </c>
      <c r="C24" s="538" t="s">
        <v>84</v>
      </c>
      <c r="D24" s="538" t="s">
        <v>710</v>
      </c>
      <c r="E24" s="538" t="s">
        <v>361</v>
      </c>
      <c r="F24" s="538" t="s">
        <v>342</v>
      </c>
      <c r="G24" s="538" t="s">
        <v>257</v>
      </c>
      <c r="H24" s="538" t="s">
        <v>250</v>
      </c>
      <c r="I24" s="538" t="s">
        <v>122</v>
      </c>
      <c r="K24" s="538" t="s">
        <v>739</v>
      </c>
      <c r="L24" s="538" t="s">
        <v>740</v>
      </c>
      <c r="M24" s="538" t="s">
        <v>661</v>
      </c>
      <c r="N24" s="538" t="s">
        <v>741</v>
      </c>
      <c r="O24" s="538" t="b">
        <v>0</v>
      </c>
      <c r="P24" s="538" t="b">
        <v>1</v>
      </c>
      <c r="Q24" s="538" t="s">
        <v>79</v>
      </c>
      <c r="R24" s="538" t="s">
        <v>361</v>
      </c>
      <c r="S24" s="538" t="s">
        <v>79</v>
      </c>
      <c r="T24" s="538" t="s">
        <v>361</v>
      </c>
      <c r="U24" s="538" t="s">
        <v>79</v>
      </c>
      <c r="V24" s="538" t="s">
        <v>361</v>
      </c>
      <c r="W24" s="538" t="s">
        <v>79</v>
      </c>
      <c r="X24" s="538" t="s">
        <v>361</v>
      </c>
      <c r="Y24" s="538" t="s">
        <v>79</v>
      </c>
      <c r="Z24" s="538" t="s">
        <v>361</v>
      </c>
      <c r="AA24" s="538" t="s">
        <v>79</v>
      </c>
      <c r="AB24" s="538" t="s">
        <v>361</v>
      </c>
      <c r="AC24" s="538" t="s">
        <v>79</v>
      </c>
      <c r="AD24" s="538" t="s">
        <v>361</v>
      </c>
      <c r="AE24" s="538" t="s">
        <v>79</v>
      </c>
      <c r="AF24" s="538" t="s">
        <v>361</v>
      </c>
      <c r="AG24" s="538" t="s">
        <v>79</v>
      </c>
      <c r="AH24" s="538" t="s">
        <v>361</v>
      </c>
      <c r="AI24" s="538" t="s">
        <v>79</v>
      </c>
      <c r="AJ24" s="538" t="s">
        <v>361</v>
      </c>
      <c r="AK24" s="538" t="s">
        <v>79</v>
      </c>
      <c r="AL24" s="538" t="s">
        <v>361</v>
      </c>
      <c r="AM24" s="538" t="s">
        <v>79</v>
      </c>
      <c r="AN24" s="538" t="s">
        <v>361</v>
      </c>
      <c r="AO24" s="538" t="s">
        <v>79</v>
      </c>
      <c r="AP24" s="538" t="s">
        <v>361</v>
      </c>
      <c r="AQ24" s="538" t="s">
        <v>73</v>
      </c>
      <c r="AS24" s="538">
        <v>2.092278144E9</v>
      </c>
      <c r="AT24" s="538">
        <v>2.50991574E8</v>
      </c>
      <c r="AU24" s="538">
        <v>12.0</v>
      </c>
      <c r="AV24" s="538" t="s">
        <v>45</v>
      </c>
      <c r="AZ24" s="538">
        <v>1.0</v>
      </c>
      <c r="BA24" s="538">
        <v>1.0</v>
      </c>
      <c r="BB24" s="538">
        <v>1.0</v>
      </c>
      <c r="BE24" s="538">
        <v>0.2</v>
      </c>
      <c r="BF24" s="538">
        <v>0.05</v>
      </c>
      <c r="BG24" s="538">
        <v>0.1</v>
      </c>
      <c r="BJ24" s="546"/>
      <c r="BL24" s="546"/>
    </row>
    <row r="25" ht="22.5" customHeight="1">
      <c r="A25" s="538">
        <v>24.0</v>
      </c>
      <c r="B25" s="538" t="s">
        <v>738</v>
      </c>
      <c r="C25" s="538" t="s">
        <v>82</v>
      </c>
      <c r="D25" s="538" t="s">
        <v>710</v>
      </c>
      <c r="E25" s="538" t="s">
        <v>218</v>
      </c>
      <c r="F25" s="538" t="s">
        <v>742</v>
      </c>
      <c r="G25" s="538" t="s">
        <v>239</v>
      </c>
      <c r="H25" s="538" t="s">
        <v>250</v>
      </c>
      <c r="I25" s="538" t="s">
        <v>122</v>
      </c>
      <c r="K25" s="538" t="s">
        <v>743</v>
      </c>
      <c r="L25" s="538" t="s">
        <v>744</v>
      </c>
      <c r="M25" s="538" t="s">
        <v>673</v>
      </c>
      <c r="N25" s="538" t="s">
        <v>745</v>
      </c>
      <c r="O25" s="538" t="b">
        <v>0</v>
      </c>
      <c r="P25" s="538" t="b">
        <v>1</v>
      </c>
      <c r="Q25" s="538" t="s">
        <v>75</v>
      </c>
      <c r="R25" s="538" t="s">
        <v>742</v>
      </c>
      <c r="S25" s="538" t="s">
        <v>75</v>
      </c>
      <c r="T25" s="538" t="s">
        <v>742</v>
      </c>
      <c r="U25" s="538" t="s">
        <v>75</v>
      </c>
      <c r="V25" s="538" t="s">
        <v>742</v>
      </c>
      <c r="W25" s="538" t="s">
        <v>75</v>
      </c>
      <c r="X25" s="538" t="s">
        <v>742</v>
      </c>
      <c r="Y25" s="538" t="s">
        <v>75</v>
      </c>
      <c r="Z25" s="538" t="s">
        <v>742</v>
      </c>
      <c r="AA25" s="538" t="s">
        <v>75</v>
      </c>
      <c r="AB25" s="538" t="s">
        <v>742</v>
      </c>
      <c r="AC25" s="538" t="s">
        <v>75</v>
      </c>
      <c r="AD25" s="538" t="s">
        <v>742</v>
      </c>
      <c r="AE25" s="538" t="s">
        <v>75</v>
      </c>
      <c r="AF25" s="538" t="s">
        <v>742</v>
      </c>
      <c r="AG25" s="538" t="s">
        <v>75</v>
      </c>
      <c r="AH25" s="538" t="s">
        <v>742</v>
      </c>
      <c r="AI25" s="538" t="s">
        <v>75</v>
      </c>
      <c r="AJ25" s="538" t="s">
        <v>742</v>
      </c>
      <c r="AK25" s="538" t="s">
        <v>75</v>
      </c>
      <c r="AL25" s="538" t="s">
        <v>742</v>
      </c>
      <c r="AM25" s="538" t="s">
        <v>75</v>
      </c>
      <c r="AN25" s="538" t="s">
        <v>742</v>
      </c>
      <c r="AO25" s="538" t="s">
        <v>79</v>
      </c>
      <c r="AP25" s="538" t="s">
        <v>218</v>
      </c>
      <c r="AQ25" s="538" t="s">
        <v>79</v>
      </c>
      <c r="AR25" s="538" t="s">
        <v>218</v>
      </c>
      <c r="AS25" s="538">
        <v>1.880351032E9</v>
      </c>
      <c r="AT25" s="538">
        <v>2.50991574E8</v>
      </c>
      <c r="AU25" s="538">
        <v>12.0</v>
      </c>
      <c r="AV25" s="538" t="s">
        <v>45</v>
      </c>
      <c r="AX25" s="538" t="s">
        <v>437</v>
      </c>
      <c r="AY25" s="538" t="s">
        <v>742</v>
      </c>
      <c r="AZ25" s="538">
        <v>1.0</v>
      </c>
      <c r="BA25" s="538">
        <v>1.0</v>
      </c>
      <c r="BB25" s="538">
        <v>1.0</v>
      </c>
      <c r="BC25" s="538">
        <v>1.0</v>
      </c>
      <c r="BD25" s="538">
        <v>1.0</v>
      </c>
      <c r="BE25" s="538">
        <v>0.05</v>
      </c>
      <c r="BF25" s="538">
        <v>0.1</v>
      </c>
      <c r="BG25" s="538">
        <v>0.15</v>
      </c>
      <c r="BH25" s="538">
        <v>0.2</v>
      </c>
      <c r="BI25" s="538">
        <v>0.25</v>
      </c>
      <c r="BJ25" s="546"/>
      <c r="BL25" s="546"/>
    </row>
    <row r="26" ht="22.5" customHeight="1">
      <c r="A26" s="538">
        <v>25.0</v>
      </c>
      <c r="B26" s="538" t="s">
        <v>746</v>
      </c>
      <c r="C26" s="538" t="s">
        <v>84</v>
      </c>
      <c r="D26" s="538" t="s">
        <v>710</v>
      </c>
      <c r="E26" s="538" t="s">
        <v>218</v>
      </c>
      <c r="F26" s="538" t="s">
        <v>220</v>
      </c>
      <c r="G26" s="538" t="s">
        <v>163</v>
      </c>
      <c r="H26" s="538" t="s">
        <v>250</v>
      </c>
      <c r="I26" s="538" t="s">
        <v>122</v>
      </c>
      <c r="K26" s="538" t="s">
        <v>747</v>
      </c>
      <c r="L26" s="538" t="s">
        <v>748</v>
      </c>
      <c r="M26" s="538" t="s">
        <v>661</v>
      </c>
      <c r="N26" s="538" t="s">
        <v>685</v>
      </c>
      <c r="O26" s="538" t="b">
        <v>0</v>
      </c>
      <c r="P26" s="538" t="b">
        <v>1</v>
      </c>
      <c r="Q26" s="538" t="s">
        <v>75</v>
      </c>
      <c r="R26" s="538" t="s">
        <v>220</v>
      </c>
      <c r="S26" s="538" t="s">
        <v>75</v>
      </c>
      <c r="T26" s="538" t="s">
        <v>220</v>
      </c>
      <c r="U26" s="538" t="s">
        <v>75</v>
      </c>
      <c r="V26" s="538" t="s">
        <v>220</v>
      </c>
      <c r="W26" s="538" t="s">
        <v>75</v>
      </c>
      <c r="X26" s="538" t="s">
        <v>220</v>
      </c>
      <c r="Y26" s="538" t="s">
        <v>75</v>
      </c>
      <c r="Z26" s="538" t="s">
        <v>220</v>
      </c>
      <c r="AA26" s="538" t="s">
        <v>75</v>
      </c>
      <c r="AB26" s="538" t="s">
        <v>220</v>
      </c>
      <c r="AC26" s="538" t="s">
        <v>75</v>
      </c>
      <c r="AD26" s="538" t="s">
        <v>220</v>
      </c>
      <c r="AE26" s="538" t="s">
        <v>75</v>
      </c>
      <c r="AF26" s="538" t="s">
        <v>220</v>
      </c>
      <c r="AG26" s="538" t="s">
        <v>75</v>
      </c>
      <c r="AH26" s="538" t="s">
        <v>220</v>
      </c>
      <c r="AI26" s="538" t="s">
        <v>75</v>
      </c>
      <c r="AJ26" s="538" t="s">
        <v>220</v>
      </c>
      <c r="AK26" s="538" t="s">
        <v>75</v>
      </c>
      <c r="AL26" s="538" t="s">
        <v>220</v>
      </c>
      <c r="AM26" s="538" t="s">
        <v>75</v>
      </c>
      <c r="AN26" s="538" t="s">
        <v>220</v>
      </c>
      <c r="AO26" s="538" t="s">
        <v>79</v>
      </c>
      <c r="AP26" s="538" t="s">
        <v>218</v>
      </c>
      <c r="AQ26" s="538" t="s">
        <v>79</v>
      </c>
      <c r="AR26" s="538" t="s">
        <v>218</v>
      </c>
      <c r="AS26" s="538">
        <v>4.287045306E9</v>
      </c>
      <c r="AT26" s="538">
        <v>9.8548875E7</v>
      </c>
      <c r="AU26" s="538">
        <v>13.0</v>
      </c>
      <c r="AV26" s="538" t="s">
        <v>45</v>
      </c>
      <c r="AY26" s="538" t="s">
        <v>220</v>
      </c>
      <c r="AZ26" s="538">
        <v>1.0</v>
      </c>
      <c r="BA26" s="538">
        <v>1.0</v>
      </c>
      <c r="BB26" s="538">
        <v>1.0</v>
      </c>
      <c r="BE26" s="538">
        <v>0.1</v>
      </c>
      <c r="BF26" s="538">
        <v>0.05</v>
      </c>
      <c r="BG26" s="538">
        <v>0.1</v>
      </c>
      <c r="BJ26" s="546"/>
      <c r="BL26" s="546"/>
    </row>
    <row r="27" ht="22.5" customHeight="1">
      <c r="A27" s="538">
        <v>26.0</v>
      </c>
      <c r="B27" s="538" t="s">
        <v>746</v>
      </c>
      <c r="C27" s="538" t="s">
        <v>82</v>
      </c>
      <c r="D27" s="538" t="s">
        <v>710</v>
      </c>
      <c r="E27" s="538" t="s">
        <v>381</v>
      </c>
      <c r="F27" s="538" t="s">
        <v>342</v>
      </c>
      <c r="G27" s="538" t="s">
        <v>151</v>
      </c>
      <c r="H27" s="538" t="s">
        <v>250</v>
      </c>
      <c r="I27" s="538" t="s">
        <v>122</v>
      </c>
      <c r="K27" s="538" t="s">
        <v>749</v>
      </c>
      <c r="L27" s="538" t="s">
        <v>750</v>
      </c>
      <c r="M27" s="538" t="s">
        <v>673</v>
      </c>
      <c r="N27" s="538" t="s">
        <v>695</v>
      </c>
      <c r="O27" s="538" t="b">
        <v>0</v>
      </c>
      <c r="P27" s="538" t="b">
        <v>1</v>
      </c>
      <c r="Q27" s="538" t="s">
        <v>75</v>
      </c>
      <c r="R27" s="538" t="s">
        <v>342</v>
      </c>
      <c r="S27" s="538" t="s">
        <v>75</v>
      </c>
      <c r="T27" s="538" t="s">
        <v>342</v>
      </c>
      <c r="U27" s="538" t="s">
        <v>75</v>
      </c>
      <c r="V27" s="538" t="s">
        <v>342</v>
      </c>
      <c r="W27" s="538" t="s">
        <v>75</v>
      </c>
      <c r="X27" s="538" t="s">
        <v>342</v>
      </c>
      <c r="Y27" s="538" t="s">
        <v>75</v>
      </c>
      <c r="Z27" s="538" t="s">
        <v>342</v>
      </c>
      <c r="AA27" s="538" t="s">
        <v>75</v>
      </c>
      <c r="AB27" s="538" t="s">
        <v>342</v>
      </c>
      <c r="AC27" s="538" t="s">
        <v>75</v>
      </c>
      <c r="AD27" s="538" t="s">
        <v>342</v>
      </c>
      <c r="AE27" s="538" t="s">
        <v>75</v>
      </c>
      <c r="AF27" s="538" t="s">
        <v>342</v>
      </c>
      <c r="AG27" s="538" t="s">
        <v>75</v>
      </c>
      <c r="AH27" s="538" t="s">
        <v>342</v>
      </c>
      <c r="AI27" s="538" t="s">
        <v>75</v>
      </c>
      <c r="AJ27" s="538" t="s">
        <v>342</v>
      </c>
      <c r="AK27" s="538" t="s">
        <v>75</v>
      </c>
      <c r="AL27" s="538" t="s">
        <v>342</v>
      </c>
      <c r="AM27" s="538" t="s">
        <v>75</v>
      </c>
      <c r="AN27" s="538" t="s">
        <v>342</v>
      </c>
      <c r="AO27" s="538" t="s">
        <v>79</v>
      </c>
      <c r="AP27" s="538" t="s">
        <v>381</v>
      </c>
      <c r="AQ27" s="538" t="s">
        <v>79</v>
      </c>
      <c r="AR27" s="538" t="s">
        <v>381</v>
      </c>
      <c r="AS27" s="538">
        <v>2.75923455E9</v>
      </c>
      <c r="AT27" s="538">
        <v>9.8548875E7</v>
      </c>
      <c r="AU27" s="538">
        <v>13.0</v>
      </c>
      <c r="AV27" s="538" t="s">
        <v>45</v>
      </c>
      <c r="AY27" s="538" t="s">
        <v>342</v>
      </c>
      <c r="AZ27" s="538">
        <v>1.0</v>
      </c>
      <c r="BA27" s="538">
        <v>1.0</v>
      </c>
      <c r="BB27" s="538">
        <v>1.0</v>
      </c>
      <c r="BC27" s="538">
        <v>1.0</v>
      </c>
      <c r="BD27" s="538">
        <v>1.0</v>
      </c>
      <c r="BE27" s="538">
        <v>0.15</v>
      </c>
      <c r="BF27" s="538">
        <v>0.2</v>
      </c>
      <c r="BG27" s="538">
        <v>0.25</v>
      </c>
      <c r="BH27" s="538">
        <v>0.3</v>
      </c>
      <c r="BI27" s="538">
        <v>0.4</v>
      </c>
      <c r="BJ27" s="546"/>
      <c r="BL27" s="546"/>
    </row>
    <row r="28" ht="22.5" customHeight="1">
      <c r="A28" s="538">
        <v>27.0</v>
      </c>
      <c r="B28" s="538" t="s">
        <v>751</v>
      </c>
      <c r="C28" s="538" t="s">
        <v>84</v>
      </c>
      <c r="D28" s="538" t="s">
        <v>710</v>
      </c>
      <c r="E28" s="538" t="s">
        <v>254</v>
      </c>
      <c r="G28" s="538" t="s">
        <v>151</v>
      </c>
      <c r="H28" s="538" t="s">
        <v>250</v>
      </c>
      <c r="I28" s="538" t="s">
        <v>122</v>
      </c>
      <c r="K28" s="538" t="s">
        <v>752</v>
      </c>
      <c r="L28" s="538" t="s">
        <v>753</v>
      </c>
      <c r="M28" s="538" t="s">
        <v>661</v>
      </c>
      <c r="N28" s="538" t="s">
        <v>741</v>
      </c>
      <c r="O28" s="538" t="b">
        <v>0</v>
      </c>
      <c r="P28" s="538" t="b">
        <v>1</v>
      </c>
      <c r="Q28" s="538" t="s">
        <v>73</v>
      </c>
      <c r="S28" s="538" t="s">
        <v>73</v>
      </c>
      <c r="U28" s="538" t="s">
        <v>73</v>
      </c>
      <c r="W28" s="538" t="s">
        <v>73</v>
      </c>
      <c r="Y28" s="538" t="s">
        <v>73</v>
      </c>
      <c r="AA28" s="538" t="s">
        <v>73</v>
      </c>
      <c r="AC28" s="538" t="s">
        <v>73</v>
      </c>
      <c r="AE28" s="538" t="s">
        <v>73</v>
      </c>
      <c r="AG28" s="538" t="s">
        <v>73</v>
      </c>
      <c r="AI28" s="538" t="s">
        <v>73</v>
      </c>
      <c r="AK28" s="538" t="s">
        <v>73</v>
      </c>
      <c r="AM28" s="538" t="s">
        <v>73</v>
      </c>
      <c r="AO28" s="538" t="s">
        <v>79</v>
      </c>
      <c r="AP28" s="538" t="s">
        <v>254</v>
      </c>
      <c r="AQ28" s="538" t="s">
        <v>79</v>
      </c>
      <c r="AR28" s="538" t="s">
        <v>254</v>
      </c>
      <c r="AS28" s="538">
        <v>5.08362235E8</v>
      </c>
      <c r="AT28" s="538">
        <v>3.221819893E9</v>
      </c>
      <c r="AU28" s="538">
        <v>14.0</v>
      </c>
      <c r="AV28" s="538" t="s">
        <v>45</v>
      </c>
      <c r="AZ28" s="538">
        <v>1.0</v>
      </c>
      <c r="BA28" s="538">
        <v>1.0</v>
      </c>
      <c r="BB28" s="538">
        <v>1.0</v>
      </c>
      <c r="BE28" s="538">
        <v>0.2</v>
      </c>
      <c r="BF28" s="538">
        <v>0.05</v>
      </c>
      <c r="BG28" s="538">
        <v>0.1</v>
      </c>
      <c r="BJ28" s="546"/>
      <c r="BL28" s="546"/>
    </row>
    <row r="29" ht="22.5" customHeight="1">
      <c r="A29" s="538">
        <v>28.0</v>
      </c>
      <c r="B29" s="538" t="s">
        <v>751</v>
      </c>
      <c r="C29" s="538" t="s">
        <v>82</v>
      </c>
      <c r="D29" s="538" t="s">
        <v>710</v>
      </c>
      <c r="E29" s="538" t="s">
        <v>343</v>
      </c>
      <c r="G29" s="538" t="s">
        <v>151</v>
      </c>
      <c r="H29" s="538" t="s">
        <v>235</v>
      </c>
      <c r="I29" s="538" t="s">
        <v>122</v>
      </c>
      <c r="K29" s="538" t="s">
        <v>754</v>
      </c>
      <c r="L29" s="538" t="s">
        <v>755</v>
      </c>
      <c r="M29" s="538" t="s">
        <v>673</v>
      </c>
      <c r="N29" s="538" t="s">
        <v>682</v>
      </c>
      <c r="O29" s="538" t="b">
        <v>0</v>
      </c>
      <c r="P29" s="538" t="b">
        <v>1</v>
      </c>
      <c r="Q29" s="538" t="s">
        <v>73</v>
      </c>
      <c r="S29" s="538" t="s">
        <v>73</v>
      </c>
      <c r="U29" s="538" t="s">
        <v>73</v>
      </c>
      <c r="W29" s="538" t="s">
        <v>73</v>
      </c>
      <c r="Y29" s="538" t="s">
        <v>73</v>
      </c>
      <c r="AA29" s="538" t="s">
        <v>73</v>
      </c>
      <c r="AC29" s="538" t="s">
        <v>73</v>
      </c>
      <c r="AE29" s="538" t="s">
        <v>73</v>
      </c>
      <c r="AG29" s="538" t="s">
        <v>73</v>
      </c>
      <c r="AI29" s="538" t="s">
        <v>73</v>
      </c>
      <c r="AK29" s="538" t="s">
        <v>73</v>
      </c>
      <c r="AM29" s="538" t="s">
        <v>73</v>
      </c>
      <c r="AO29" s="538" t="s">
        <v>79</v>
      </c>
      <c r="AP29" s="538" t="s">
        <v>343</v>
      </c>
      <c r="AQ29" s="538" t="s">
        <v>79</v>
      </c>
      <c r="AR29" s="538" t="s">
        <v>343</v>
      </c>
      <c r="AS29" s="538">
        <v>1.987416811E9</v>
      </c>
      <c r="AT29" s="538">
        <v>3.221819893E9</v>
      </c>
      <c r="AU29" s="538">
        <v>14.0</v>
      </c>
      <c r="AV29" s="538" t="s">
        <v>45</v>
      </c>
      <c r="AZ29" s="538">
        <v>1.0</v>
      </c>
      <c r="BA29" s="538">
        <v>1.0</v>
      </c>
      <c r="BB29" s="538">
        <v>1.0</v>
      </c>
      <c r="BC29" s="538">
        <v>1.0</v>
      </c>
      <c r="BD29" s="538">
        <v>1.0</v>
      </c>
      <c r="BE29" s="538">
        <v>0.1</v>
      </c>
      <c r="BF29" s="538">
        <v>0.15</v>
      </c>
      <c r="BG29" s="538">
        <v>0.2</v>
      </c>
      <c r="BH29" s="538">
        <v>0.25</v>
      </c>
      <c r="BI29" s="538">
        <v>0.3</v>
      </c>
      <c r="BJ29" s="546"/>
      <c r="BL29" s="546"/>
    </row>
    <row r="30" ht="22.5" customHeight="1">
      <c r="A30" s="538">
        <v>29.0</v>
      </c>
      <c r="B30" s="538" t="s">
        <v>756</v>
      </c>
      <c r="C30" s="538" t="s">
        <v>84</v>
      </c>
      <c r="D30" s="538" t="s">
        <v>757</v>
      </c>
      <c r="E30" s="538" t="s">
        <v>218</v>
      </c>
      <c r="F30" s="538" t="s">
        <v>360</v>
      </c>
      <c r="G30" s="538" t="s">
        <v>239</v>
      </c>
      <c r="H30" s="538" t="s">
        <v>250</v>
      </c>
      <c r="I30" s="538" t="s">
        <v>122</v>
      </c>
      <c r="J30" s="538" t="s">
        <v>320</v>
      </c>
      <c r="K30" s="538" t="s">
        <v>758</v>
      </c>
      <c r="L30" s="538" t="s">
        <v>759</v>
      </c>
      <c r="M30" s="538" t="s">
        <v>661</v>
      </c>
      <c r="N30" s="538" t="s">
        <v>662</v>
      </c>
      <c r="O30" s="538" t="b">
        <v>0</v>
      </c>
      <c r="P30" s="538" t="b">
        <v>1</v>
      </c>
      <c r="Q30" s="538" t="s">
        <v>75</v>
      </c>
      <c r="R30" s="538" t="s">
        <v>360</v>
      </c>
      <c r="S30" s="538" t="s">
        <v>75</v>
      </c>
      <c r="T30" s="538" t="s">
        <v>360</v>
      </c>
      <c r="U30" s="538" t="s">
        <v>75</v>
      </c>
      <c r="V30" s="538" t="s">
        <v>360</v>
      </c>
      <c r="W30" s="538" t="s">
        <v>75</v>
      </c>
      <c r="X30" s="538" t="s">
        <v>360</v>
      </c>
      <c r="Y30" s="538" t="s">
        <v>75</v>
      </c>
      <c r="Z30" s="538" t="s">
        <v>360</v>
      </c>
      <c r="AA30" s="538" t="s">
        <v>75</v>
      </c>
      <c r="AB30" s="538" t="s">
        <v>360</v>
      </c>
      <c r="AC30" s="538" t="s">
        <v>75</v>
      </c>
      <c r="AD30" s="538" t="s">
        <v>360</v>
      </c>
      <c r="AE30" s="538" t="s">
        <v>75</v>
      </c>
      <c r="AF30" s="538" t="s">
        <v>360</v>
      </c>
      <c r="AG30" s="538" t="s">
        <v>75</v>
      </c>
      <c r="AH30" s="538" t="s">
        <v>360</v>
      </c>
      <c r="AI30" s="538" t="s">
        <v>75</v>
      </c>
      <c r="AJ30" s="538" t="s">
        <v>360</v>
      </c>
      <c r="AK30" s="538" t="s">
        <v>75</v>
      </c>
      <c r="AL30" s="538" t="s">
        <v>360</v>
      </c>
      <c r="AM30" s="538" t="s">
        <v>75</v>
      </c>
      <c r="AN30" s="538" t="s">
        <v>360</v>
      </c>
      <c r="AO30" s="538" t="s">
        <v>79</v>
      </c>
      <c r="AP30" s="538" t="s">
        <v>218</v>
      </c>
      <c r="AQ30" s="538" t="s">
        <v>79</v>
      </c>
      <c r="AR30" s="538" t="s">
        <v>218</v>
      </c>
      <c r="AS30" s="538">
        <v>1.824840463E9</v>
      </c>
      <c r="AT30" s="538">
        <v>6.56972203E8</v>
      </c>
      <c r="AU30" s="538">
        <v>15.0</v>
      </c>
      <c r="AV30" s="538" t="s">
        <v>47</v>
      </c>
      <c r="AX30" s="538" t="s">
        <v>760</v>
      </c>
      <c r="AY30" s="538" t="s">
        <v>360</v>
      </c>
      <c r="AZ30" s="538">
        <v>1.0</v>
      </c>
      <c r="BA30" s="538">
        <v>1.0</v>
      </c>
      <c r="BB30" s="538">
        <v>1.0</v>
      </c>
      <c r="BE30" s="538">
        <v>0.4</v>
      </c>
      <c r="BF30" s="538">
        <v>0.1</v>
      </c>
      <c r="BG30" s="538">
        <v>0.2</v>
      </c>
      <c r="BJ30" s="546"/>
      <c r="BL30" s="546"/>
    </row>
    <row r="31" ht="22.5" customHeight="1">
      <c r="A31" s="538">
        <v>30.0</v>
      </c>
      <c r="B31" s="538" t="s">
        <v>756</v>
      </c>
      <c r="C31" s="538" t="s">
        <v>82</v>
      </c>
      <c r="D31" s="538" t="s">
        <v>757</v>
      </c>
      <c r="E31" s="538" t="s">
        <v>214</v>
      </c>
      <c r="G31" s="538" t="s">
        <v>221</v>
      </c>
      <c r="H31" s="538" t="s">
        <v>222</v>
      </c>
      <c r="I31" s="538" t="s">
        <v>189</v>
      </c>
      <c r="J31" s="538" t="s">
        <v>356</v>
      </c>
      <c r="K31" s="538" t="s">
        <v>761</v>
      </c>
      <c r="L31" s="538" t="s">
        <v>762</v>
      </c>
      <c r="M31" s="538" t="s">
        <v>763</v>
      </c>
      <c r="N31" s="538" t="s">
        <v>763</v>
      </c>
      <c r="O31" s="538" t="b">
        <v>1</v>
      </c>
      <c r="P31" s="538" t="b">
        <v>1</v>
      </c>
      <c r="Q31" s="538" t="s">
        <v>73</v>
      </c>
      <c r="S31" s="538" t="s">
        <v>73</v>
      </c>
      <c r="U31" s="538" t="s">
        <v>73</v>
      </c>
      <c r="W31" s="538" t="s">
        <v>73</v>
      </c>
      <c r="Y31" s="538" t="s">
        <v>73</v>
      </c>
      <c r="AA31" s="538" t="s">
        <v>73</v>
      </c>
      <c r="AC31" s="538" t="s">
        <v>73</v>
      </c>
      <c r="AE31" s="538" t="s">
        <v>73</v>
      </c>
      <c r="AG31" s="538" t="s">
        <v>73</v>
      </c>
      <c r="AI31" s="538" t="s">
        <v>73</v>
      </c>
      <c r="AK31" s="538" t="s">
        <v>73</v>
      </c>
      <c r="AM31" s="538" t="s">
        <v>73</v>
      </c>
      <c r="AO31" s="538" t="s">
        <v>79</v>
      </c>
      <c r="AP31" s="538" t="s">
        <v>214</v>
      </c>
      <c r="AQ31" s="538" t="s">
        <v>79</v>
      </c>
      <c r="AR31" s="538" t="s">
        <v>214</v>
      </c>
      <c r="AS31" s="538">
        <v>1.215201819E9</v>
      </c>
      <c r="AT31" s="538">
        <v>6.56972203E8</v>
      </c>
      <c r="AU31" s="538">
        <v>15.0</v>
      </c>
      <c r="AV31" s="538" t="s">
        <v>47</v>
      </c>
      <c r="AZ31" s="538">
        <v>0.25</v>
      </c>
      <c r="BA31" s="538">
        <v>0.3</v>
      </c>
      <c r="BB31" s="538">
        <v>0.35</v>
      </c>
      <c r="BC31" s="538">
        <v>0.4</v>
      </c>
      <c r="BD31" s="538">
        <v>0.5</v>
      </c>
      <c r="BE31" s="538">
        <v>0.25</v>
      </c>
      <c r="BF31" s="538">
        <v>0.3</v>
      </c>
      <c r="BG31" s="538">
        <v>0.35</v>
      </c>
      <c r="BH31" s="538">
        <v>0.4</v>
      </c>
      <c r="BI31" s="538">
        <v>0.5</v>
      </c>
      <c r="BJ31" s="546"/>
      <c r="BL31" s="546"/>
    </row>
    <row r="32" ht="22.5" customHeight="1">
      <c r="A32" s="538">
        <v>31.0</v>
      </c>
      <c r="B32" s="538" t="s">
        <v>764</v>
      </c>
      <c r="C32" s="538" t="s">
        <v>84</v>
      </c>
      <c r="D32" s="538" t="s">
        <v>757</v>
      </c>
      <c r="E32" s="538" t="s">
        <v>313</v>
      </c>
      <c r="G32" s="538" t="s">
        <v>249</v>
      </c>
      <c r="H32" s="538" t="s">
        <v>250</v>
      </c>
      <c r="I32" s="538" t="s">
        <v>189</v>
      </c>
      <c r="K32" s="538" t="s">
        <v>765</v>
      </c>
      <c r="L32" s="538" t="s">
        <v>766</v>
      </c>
      <c r="M32" s="538" t="s">
        <v>661</v>
      </c>
      <c r="N32" s="538" t="s">
        <v>767</v>
      </c>
      <c r="O32" s="538" t="b">
        <v>0</v>
      </c>
      <c r="P32" s="538" t="b">
        <v>1</v>
      </c>
      <c r="Q32" s="538" t="s">
        <v>73</v>
      </c>
      <c r="S32" s="538" t="s">
        <v>73</v>
      </c>
      <c r="U32" s="538" t="s">
        <v>73</v>
      </c>
      <c r="W32" s="538" t="s">
        <v>73</v>
      </c>
      <c r="Y32" s="538" t="s">
        <v>73</v>
      </c>
      <c r="AA32" s="538" t="s">
        <v>73</v>
      </c>
      <c r="AC32" s="538" t="s">
        <v>73</v>
      </c>
      <c r="AE32" s="538" t="s">
        <v>73</v>
      </c>
      <c r="AG32" s="538" t="s">
        <v>73</v>
      </c>
      <c r="AI32" s="538" t="s">
        <v>73</v>
      </c>
      <c r="AK32" s="538" t="s">
        <v>73</v>
      </c>
      <c r="AM32" s="538" t="s">
        <v>73</v>
      </c>
      <c r="AO32" s="538" t="s">
        <v>79</v>
      </c>
      <c r="AP32" s="538" t="s">
        <v>313</v>
      </c>
      <c r="AQ32" s="538" t="s">
        <v>79</v>
      </c>
      <c r="AR32" s="538" t="s">
        <v>313</v>
      </c>
      <c r="AS32" s="538">
        <v>4.289717791E9</v>
      </c>
      <c r="AT32" s="538">
        <v>2.959514562E9</v>
      </c>
      <c r="AU32" s="538">
        <v>16.0</v>
      </c>
      <c r="AV32" s="538" t="s">
        <v>46</v>
      </c>
      <c r="AZ32" s="538">
        <v>1.0</v>
      </c>
      <c r="BA32" s="538">
        <v>1.0</v>
      </c>
      <c r="BB32" s="538">
        <v>1.0</v>
      </c>
      <c r="BE32" s="538">
        <v>0.05</v>
      </c>
      <c r="BF32" s="538">
        <v>0.02</v>
      </c>
      <c r="BG32" s="538">
        <v>0.05</v>
      </c>
      <c r="BJ32" s="546"/>
      <c r="BL32" s="546"/>
    </row>
    <row r="33" ht="22.5" customHeight="1">
      <c r="A33" s="538">
        <v>32.0</v>
      </c>
      <c r="B33" s="538" t="s">
        <v>764</v>
      </c>
      <c r="C33" s="538" t="s">
        <v>82</v>
      </c>
      <c r="D33" s="538" t="s">
        <v>757</v>
      </c>
      <c r="E33" s="538" t="s">
        <v>366</v>
      </c>
      <c r="F33" s="538" t="s">
        <v>360</v>
      </c>
      <c r="G33" s="538" t="s">
        <v>239</v>
      </c>
      <c r="H33" s="538" t="s">
        <v>222</v>
      </c>
      <c r="I33" s="538" t="s">
        <v>183</v>
      </c>
      <c r="J33" s="538" t="s">
        <v>397</v>
      </c>
      <c r="K33" s="538" t="s">
        <v>768</v>
      </c>
      <c r="L33" s="538" t="s">
        <v>769</v>
      </c>
      <c r="M33" s="538" t="s">
        <v>673</v>
      </c>
      <c r="N33" s="538" t="s">
        <v>674</v>
      </c>
      <c r="O33" s="538" t="b">
        <v>0</v>
      </c>
      <c r="P33" s="538" t="b">
        <v>1</v>
      </c>
      <c r="Q33" s="538" t="s">
        <v>75</v>
      </c>
      <c r="R33" s="538" t="s">
        <v>360</v>
      </c>
      <c r="S33" s="538" t="s">
        <v>75</v>
      </c>
      <c r="T33" s="538" t="s">
        <v>360</v>
      </c>
      <c r="U33" s="538" t="s">
        <v>75</v>
      </c>
      <c r="V33" s="538" t="s">
        <v>360</v>
      </c>
      <c r="W33" s="538" t="s">
        <v>75</v>
      </c>
      <c r="X33" s="538" t="s">
        <v>360</v>
      </c>
      <c r="Y33" s="538" t="s">
        <v>75</v>
      </c>
      <c r="Z33" s="538" t="s">
        <v>360</v>
      </c>
      <c r="AA33" s="538" t="s">
        <v>75</v>
      </c>
      <c r="AB33" s="538" t="s">
        <v>360</v>
      </c>
      <c r="AC33" s="538" t="s">
        <v>75</v>
      </c>
      <c r="AD33" s="538" t="s">
        <v>360</v>
      </c>
      <c r="AE33" s="538" t="s">
        <v>75</v>
      </c>
      <c r="AF33" s="538" t="s">
        <v>360</v>
      </c>
      <c r="AG33" s="538" t="s">
        <v>75</v>
      </c>
      <c r="AH33" s="538" t="s">
        <v>360</v>
      </c>
      <c r="AI33" s="538" t="s">
        <v>75</v>
      </c>
      <c r="AJ33" s="538" t="s">
        <v>360</v>
      </c>
      <c r="AK33" s="538" t="s">
        <v>75</v>
      </c>
      <c r="AL33" s="538" t="s">
        <v>360</v>
      </c>
      <c r="AM33" s="538" t="s">
        <v>75</v>
      </c>
      <c r="AN33" s="538" t="s">
        <v>360</v>
      </c>
      <c r="AO33" s="538" t="s">
        <v>79</v>
      </c>
      <c r="AP33" s="538" t="s">
        <v>366</v>
      </c>
      <c r="AQ33" s="538" t="s">
        <v>79</v>
      </c>
      <c r="AR33" s="538" t="s">
        <v>366</v>
      </c>
      <c r="AS33" s="538">
        <v>2.633638696E9</v>
      </c>
      <c r="AT33" s="538">
        <v>2.959514562E9</v>
      </c>
      <c r="AU33" s="538">
        <v>16.0</v>
      </c>
      <c r="AV33" s="538" t="s">
        <v>46</v>
      </c>
      <c r="AX33" s="538" t="s">
        <v>760</v>
      </c>
      <c r="AY33" s="538" t="s">
        <v>360</v>
      </c>
      <c r="AZ33" s="538">
        <v>1.0</v>
      </c>
      <c r="BA33" s="538">
        <v>1.0</v>
      </c>
      <c r="BB33" s="538">
        <v>1.0</v>
      </c>
      <c r="BC33" s="538">
        <v>1.0</v>
      </c>
      <c r="BD33" s="538">
        <v>1.0</v>
      </c>
      <c r="BE33" s="538">
        <v>0.25</v>
      </c>
      <c r="BF33" s="538">
        <v>0.5</v>
      </c>
      <c r="BG33" s="538">
        <v>1.0</v>
      </c>
      <c r="BH33" s="538">
        <v>4.0</v>
      </c>
      <c r="BI33" s="538">
        <v>7.5</v>
      </c>
      <c r="BJ33" s="546"/>
      <c r="BK33" s="547"/>
      <c r="BL33" s="546"/>
    </row>
    <row r="34" ht="22.5" customHeight="1">
      <c r="A34" s="538">
        <v>33.0</v>
      </c>
      <c r="B34" s="538" t="s">
        <v>770</v>
      </c>
      <c r="C34" s="538" t="s">
        <v>84</v>
      </c>
      <c r="D34" s="538" t="s">
        <v>757</v>
      </c>
      <c r="E34" s="538" t="s">
        <v>340</v>
      </c>
      <c r="G34" s="538" t="s">
        <v>239</v>
      </c>
      <c r="H34" s="538" t="s">
        <v>182</v>
      </c>
      <c r="I34" s="538" t="s">
        <v>122</v>
      </c>
      <c r="K34" s="538" t="s">
        <v>771</v>
      </c>
      <c r="L34" s="538" t="s">
        <v>772</v>
      </c>
      <c r="M34" s="538" t="s">
        <v>661</v>
      </c>
      <c r="N34" s="538" t="s">
        <v>767</v>
      </c>
      <c r="O34" s="538" t="b">
        <v>0</v>
      </c>
      <c r="P34" s="538" t="b">
        <v>1</v>
      </c>
      <c r="Q34" s="538" t="s">
        <v>73</v>
      </c>
      <c r="S34" s="538" t="s">
        <v>73</v>
      </c>
      <c r="U34" s="538" t="s">
        <v>73</v>
      </c>
      <c r="W34" s="538" t="s">
        <v>73</v>
      </c>
      <c r="Y34" s="538" t="s">
        <v>73</v>
      </c>
      <c r="AA34" s="538" t="s">
        <v>73</v>
      </c>
      <c r="AC34" s="538" t="s">
        <v>73</v>
      </c>
      <c r="AE34" s="538" t="s">
        <v>73</v>
      </c>
      <c r="AG34" s="538" t="s">
        <v>73</v>
      </c>
      <c r="AI34" s="538" t="s">
        <v>73</v>
      </c>
      <c r="AK34" s="538" t="s">
        <v>73</v>
      </c>
      <c r="AM34" s="538" t="s">
        <v>73</v>
      </c>
      <c r="AO34" s="538" t="s">
        <v>79</v>
      </c>
      <c r="AP34" s="538" t="s">
        <v>340</v>
      </c>
      <c r="AQ34" s="538" t="s">
        <v>79</v>
      </c>
      <c r="AR34" s="538" t="s">
        <v>340</v>
      </c>
      <c r="AS34" s="538">
        <v>1.44686537E9</v>
      </c>
      <c r="AT34" s="538">
        <v>1.983456684E9</v>
      </c>
      <c r="AU34" s="538">
        <v>17.0</v>
      </c>
      <c r="AV34" s="538" t="s">
        <v>46</v>
      </c>
      <c r="AZ34" s="538">
        <v>1.0</v>
      </c>
      <c r="BA34" s="538">
        <v>1.0</v>
      </c>
      <c r="BB34" s="538">
        <v>1.0</v>
      </c>
      <c r="BE34" s="538">
        <v>0.05</v>
      </c>
      <c r="BF34" s="538">
        <v>0.02</v>
      </c>
      <c r="BG34" s="538">
        <v>0.05</v>
      </c>
      <c r="BJ34" s="546"/>
      <c r="BL34" s="546"/>
    </row>
    <row r="35" ht="22.5" customHeight="1">
      <c r="A35" s="538">
        <v>34.0</v>
      </c>
      <c r="B35" s="538" t="s">
        <v>770</v>
      </c>
      <c r="C35" s="538" t="s">
        <v>82</v>
      </c>
      <c r="D35" s="538" t="s">
        <v>757</v>
      </c>
      <c r="E35" s="538" t="s">
        <v>223</v>
      </c>
      <c r="F35" s="538" t="s">
        <v>360</v>
      </c>
      <c r="G35" s="538" t="s">
        <v>239</v>
      </c>
      <c r="H35" s="538" t="s">
        <v>250</v>
      </c>
      <c r="I35" s="538" t="s">
        <v>122</v>
      </c>
      <c r="J35" s="538" t="s">
        <v>320</v>
      </c>
      <c r="K35" s="538" t="s">
        <v>773</v>
      </c>
      <c r="L35" s="538" t="s">
        <v>774</v>
      </c>
      <c r="M35" s="538" t="s">
        <v>673</v>
      </c>
      <c r="N35" s="538" t="s">
        <v>775</v>
      </c>
      <c r="O35" s="538" t="b">
        <v>0</v>
      </c>
      <c r="P35" s="538" t="b">
        <v>1</v>
      </c>
      <c r="Q35" s="538" t="s">
        <v>75</v>
      </c>
      <c r="R35" s="538" t="s">
        <v>360</v>
      </c>
      <c r="S35" s="538" t="s">
        <v>75</v>
      </c>
      <c r="T35" s="538" t="s">
        <v>360</v>
      </c>
      <c r="U35" s="538" t="s">
        <v>75</v>
      </c>
      <c r="V35" s="538" t="s">
        <v>360</v>
      </c>
      <c r="W35" s="538" t="s">
        <v>75</v>
      </c>
      <c r="X35" s="538" t="s">
        <v>360</v>
      </c>
      <c r="Y35" s="538" t="s">
        <v>75</v>
      </c>
      <c r="Z35" s="538" t="s">
        <v>360</v>
      </c>
      <c r="AA35" s="538" t="s">
        <v>75</v>
      </c>
      <c r="AB35" s="538" t="s">
        <v>360</v>
      </c>
      <c r="AC35" s="538" t="s">
        <v>75</v>
      </c>
      <c r="AD35" s="538" t="s">
        <v>360</v>
      </c>
      <c r="AE35" s="538" t="s">
        <v>75</v>
      </c>
      <c r="AF35" s="538" t="s">
        <v>360</v>
      </c>
      <c r="AG35" s="538" t="s">
        <v>75</v>
      </c>
      <c r="AH35" s="538" t="s">
        <v>360</v>
      </c>
      <c r="AI35" s="538" t="s">
        <v>75</v>
      </c>
      <c r="AJ35" s="538" t="s">
        <v>360</v>
      </c>
      <c r="AK35" s="538" t="s">
        <v>75</v>
      </c>
      <c r="AL35" s="538" t="s">
        <v>360</v>
      </c>
      <c r="AM35" s="538" t="s">
        <v>75</v>
      </c>
      <c r="AN35" s="538" t="s">
        <v>360</v>
      </c>
      <c r="AO35" s="538" t="s">
        <v>79</v>
      </c>
      <c r="AP35" s="538" t="s">
        <v>223</v>
      </c>
      <c r="AQ35" s="538" t="s">
        <v>79</v>
      </c>
      <c r="AR35" s="538" t="s">
        <v>223</v>
      </c>
      <c r="AS35" s="538">
        <v>2.642188917E9</v>
      </c>
      <c r="AT35" s="538">
        <v>1.983456684E9</v>
      </c>
      <c r="AU35" s="538">
        <v>17.0</v>
      </c>
      <c r="AV35" s="538" t="s">
        <v>46</v>
      </c>
      <c r="AX35" s="538" t="s">
        <v>760</v>
      </c>
      <c r="AY35" s="538" t="s">
        <v>360</v>
      </c>
      <c r="AZ35" s="538">
        <v>1.0</v>
      </c>
      <c r="BA35" s="538">
        <v>1.0</v>
      </c>
      <c r="BB35" s="538">
        <v>1.0</v>
      </c>
      <c r="BC35" s="538">
        <v>1.0</v>
      </c>
      <c r="BD35" s="538">
        <v>1.0</v>
      </c>
      <c r="BE35" s="538">
        <v>0.4</v>
      </c>
      <c r="BF35" s="538">
        <v>0.5</v>
      </c>
      <c r="BG35" s="538">
        <v>0.6</v>
      </c>
      <c r="BH35" s="538">
        <v>0.8</v>
      </c>
      <c r="BI35" s="538">
        <v>1.0</v>
      </c>
      <c r="BJ35" s="546"/>
      <c r="BL35" s="546"/>
    </row>
    <row r="36" ht="22.5" customHeight="1">
      <c r="A36" s="538">
        <v>35.0</v>
      </c>
      <c r="B36" s="538" t="s">
        <v>776</v>
      </c>
      <c r="C36" s="538" t="s">
        <v>84</v>
      </c>
      <c r="D36" s="538" t="s">
        <v>757</v>
      </c>
      <c r="E36" s="538" t="s">
        <v>361</v>
      </c>
      <c r="F36" s="538" t="s">
        <v>300</v>
      </c>
      <c r="G36" s="538" t="s">
        <v>257</v>
      </c>
      <c r="H36" s="538" t="s">
        <v>250</v>
      </c>
      <c r="I36" s="538" t="s">
        <v>122</v>
      </c>
      <c r="K36" s="538" t="s">
        <v>777</v>
      </c>
      <c r="L36" s="538" t="s">
        <v>778</v>
      </c>
      <c r="M36" s="538" t="s">
        <v>661</v>
      </c>
      <c r="N36" s="538" t="s">
        <v>685</v>
      </c>
      <c r="O36" s="538" t="b">
        <v>0</v>
      </c>
      <c r="P36" s="538" t="b">
        <v>1</v>
      </c>
      <c r="Q36" s="538" t="s">
        <v>79</v>
      </c>
      <c r="R36" s="538" t="s">
        <v>361</v>
      </c>
      <c r="S36" s="538" t="s">
        <v>79</v>
      </c>
      <c r="T36" s="538" t="s">
        <v>361</v>
      </c>
      <c r="U36" s="538" t="s">
        <v>79</v>
      </c>
      <c r="V36" s="538" t="s">
        <v>361</v>
      </c>
      <c r="W36" s="538" t="s">
        <v>79</v>
      </c>
      <c r="X36" s="538" t="s">
        <v>361</v>
      </c>
      <c r="Y36" s="538" t="s">
        <v>79</v>
      </c>
      <c r="Z36" s="538" t="s">
        <v>361</v>
      </c>
      <c r="AA36" s="538" t="s">
        <v>79</v>
      </c>
      <c r="AB36" s="538" t="s">
        <v>361</v>
      </c>
      <c r="AC36" s="538" t="s">
        <v>79</v>
      </c>
      <c r="AD36" s="538" t="s">
        <v>361</v>
      </c>
      <c r="AE36" s="538" t="s">
        <v>79</v>
      </c>
      <c r="AF36" s="538" t="s">
        <v>361</v>
      </c>
      <c r="AG36" s="538" t="s">
        <v>79</v>
      </c>
      <c r="AH36" s="538" t="s">
        <v>361</v>
      </c>
      <c r="AI36" s="538" t="s">
        <v>79</v>
      </c>
      <c r="AJ36" s="538" t="s">
        <v>361</v>
      </c>
      <c r="AK36" s="538" t="s">
        <v>79</v>
      </c>
      <c r="AL36" s="538" t="s">
        <v>361</v>
      </c>
      <c r="AM36" s="538" t="s">
        <v>79</v>
      </c>
      <c r="AN36" s="538" t="s">
        <v>361</v>
      </c>
      <c r="AO36" s="538" t="s">
        <v>79</v>
      </c>
      <c r="AP36" s="538" t="s">
        <v>361</v>
      </c>
      <c r="AQ36" s="538" t="s">
        <v>73</v>
      </c>
      <c r="AS36" s="538">
        <v>2.144007762E9</v>
      </c>
      <c r="AT36" s="538">
        <v>2.333021829E9</v>
      </c>
      <c r="AU36" s="538">
        <v>18.0</v>
      </c>
      <c r="AV36" s="538" t="s">
        <v>46</v>
      </c>
      <c r="AZ36" s="538">
        <v>1.0</v>
      </c>
      <c r="BA36" s="538">
        <v>1.0</v>
      </c>
      <c r="BB36" s="538">
        <v>1.0</v>
      </c>
      <c r="BE36" s="538">
        <v>0.1</v>
      </c>
      <c r="BF36" s="538">
        <v>0.05</v>
      </c>
      <c r="BG36" s="538">
        <v>0.1</v>
      </c>
      <c r="BJ36" s="546"/>
      <c r="BL36" s="546"/>
    </row>
    <row r="37" ht="22.5" customHeight="1">
      <c r="A37" s="538">
        <v>36.0</v>
      </c>
      <c r="B37" s="538" t="s">
        <v>776</v>
      </c>
      <c r="C37" s="538" t="s">
        <v>82</v>
      </c>
      <c r="D37" s="538" t="s">
        <v>757</v>
      </c>
      <c r="E37" s="538" t="s">
        <v>310</v>
      </c>
      <c r="F37" s="538" t="s">
        <v>300</v>
      </c>
      <c r="G37" s="538" t="s">
        <v>151</v>
      </c>
      <c r="H37" s="538" t="s">
        <v>250</v>
      </c>
      <c r="I37" s="538" t="s">
        <v>122</v>
      </c>
      <c r="K37" s="538" t="s">
        <v>779</v>
      </c>
      <c r="L37" s="538" t="s">
        <v>780</v>
      </c>
      <c r="M37" s="538" t="s">
        <v>673</v>
      </c>
      <c r="N37" s="538" t="s">
        <v>781</v>
      </c>
      <c r="O37" s="538" t="b">
        <v>0</v>
      </c>
      <c r="P37" s="538" t="b">
        <v>1</v>
      </c>
      <c r="Q37" s="538" t="s">
        <v>75</v>
      </c>
      <c r="R37" s="538" t="s">
        <v>300</v>
      </c>
      <c r="S37" s="538" t="s">
        <v>75</v>
      </c>
      <c r="T37" s="538" t="s">
        <v>300</v>
      </c>
      <c r="U37" s="538" t="s">
        <v>75</v>
      </c>
      <c r="V37" s="538" t="s">
        <v>300</v>
      </c>
      <c r="W37" s="538" t="s">
        <v>75</v>
      </c>
      <c r="X37" s="538" t="s">
        <v>300</v>
      </c>
      <c r="Y37" s="538" t="s">
        <v>75</v>
      </c>
      <c r="Z37" s="538" t="s">
        <v>300</v>
      </c>
      <c r="AA37" s="538" t="s">
        <v>75</v>
      </c>
      <c r="AB37" s="538" t="s">
        <v>300</v>
      </c>
      <c r="AC37" s="538" t="s">
        <v>75</v>
      </c>
      <c r="AD37" s="538" t="s">
        <v>300</v>
      </c>
      <c r="AE37" s="538" t="s">
        <v>75</v>
      </c>
      <c r="AF37" s="538" t="s">
        <v>300</v>
      </c>
      <c r="AG37" s="538" t="s">
        <v>75</v>
      </c>
      <c r="AH37" s="538" t="s">
        <v>300</v>
      </c>
      <c r="AI37" s="538" t="s">
        <v>75</v>
      </c>
      <c r="AJ37" s="538" t="s">
        <v>300</v>
      </c>
      <c r="AK37" s="538" t="s">
        <v>75</v>
      </c>
      <c r="AL37" s="538" t="s">
        <v>300</v>
      </c>
      <c r="AM37" s="538" t="s">
        <v>75</v>
      </c>
      <c r="AN37" s="538" t="s">
        <v>300</v>
      </c>
      <c r="AO37" s="538" t="s">
        <v>79</v>
      </c>
      <c r="AP37" s="538" t="s">
        <v>310</v>
      </c>
      <c r="AQ37" s="538" t="s">
        <v>79</v>
      </c>
      <c r="AR37" s="538" t="s">
        <v>310</v>
      </c>
      <c r="AS37" s="538">
        <v>2.714109144E9</v>
      </c>
      <c r="AT37" s="538">
        <v>2.333021829E9</v>
      </c>
      <c r="AU37" s="538">
        <v>18.0</v>
      </c>
      <c r="AV37" s="538" t="s">
        <v>46</v>
      </c>
      <c r="AY37" s="538" t="s">
        <v>300</v>
      </c>
      <c r="AZ37" s="538">
        <v>1.0</v>
      </c>
      <c r="BA37" s="538">
        <v>1.0</v>
      </c>
      <c r="BB37" s="538">
        <v>1.0</v>
      </c>
      <c r="BC37" s="538">
        <v>1.0</v>
      </c>
      <c r="BD37" s="538">
        <v>1.0</v>
      </c>
      <c r="BE37" s="538">
        <v>0.2</v>
      </c>
      <c r="BF37" s="538">
        <v>0.3</v>
      </c>
      <c r="BG37" s="538">
        <v>0.4</v>
      </c>
      <c r="BH37" s="538">
        <v>0.5</v>
      </c>
      <c r="BI37" s="538">
        <v>0.6</v>
      </c>
      <c r="BJ37" s="546"/>
      <c r="BL37" s="546"/>
    </row>
    <row r="38" ht="22.5" customHeight="1">
      <c r="A38" s="538">
        <v>37.0</v>
      </c>
      <c r="B38" s="538" t="s">
        <v>782</v>
      </c>
      <c r="C38" s="538" t="s">
        <v>84</v>
      </c>
      <c r="D38" s="538" t="s">
        <v>757</v>
      </c>
      <c r="E38" s="538" t="s">
        <v>214</v>
      </c>
      <c r="F38" s="538" t="s">
        <v>264</v>
      </c>
      <c r="G38" s="538" t="s">
        <v>221</v>
      </c>
      <c r="H38" s="538" t="s">
        <v>222</v>
      </c>
      <c r="I38" s="538" t="s">
        <v>197</v>
      </c>
      <c r="J38" s="538" t="s">
        <v>341</v>
      </c>
      <c r="K38" s="538" t="s">
        <v>783</v>
      </c>
      <c r="L38" s="538" t="s">
        <v>784</v>
      </c>
      <c r="M38" s="538" t="s">
        <v>785</v>
      </c>
      <c r="N38" s="538" t="s">
        <v>661</v>
      </c>
      <c r="O38" s="538" t="b">
        <v>1</v>
      </c>
      <c r="P38" s="538" t="b">
        <v>1</v>
      </c>
      <c r="Q38" s="538" t="s">
        <v>75</v>
      </c>
      <c r="R38" s="538" t="s">
        <v>264</v>
      </c>
      <c r="S38" s="538" t="s">
        <v>75</v>
      </c>
      <c r="T38" s="538" t="s">
        <v>264</v>
      </c>
      <c r="U38" s="538" t="s">
        <v>75</v>
      </c>
      <c r="V38" s="538" t="s">
        <v>264</v>
      </c>
      <c r="W38" s="538" t="s">
        <v>75</v>
      </c>
      <c r="X38" s="538" t="s">
        <v>264</v>
      </c>
      <c r="Y38" s="538" t="s">
        <v>75</v>
      </c>
      <c r="Z38" s="538" t="s">
        <v>264</v>
      </c>
      <c r="AA38" s="538" t="s">
        <v>75</v>
      </c>
      <c r="AB38" s="538" t="s">
        <v>264</v>
      </c>
      <c r="AC38" s="538" t="s">
        <v>75</v>
      </c>
      <c r="AD38" s="538" t="s">
        <v>264</v>
      </c>
      <c r="AE38" s="538" t="s">
        <v>75</v>
      </c>
      <c r="AF38" s="538" t="s">
        <v>264</v>
      </c>
      <c r="AG38" s="538" t="s">
        <v>75</v>
      </c>
      <c r="AH38" s="538" t="s">
        <v>264</v>
      </c>
      <c r="AI38" s="538" t="s">
        <v>75</v>
      </c>
      <c r="AJ38" s="538" t="s">
        <v>264</v>
      </c>
      <c r="AK38" s="538" t="s">
        <v>75</v>
      </c>
      <c r="AL38" s="538" t="s">
        <v>264</v>
      </c>
      <c r="AM38" s="538" t="s">
        <v>75</v>
      </c>
      <c r="AN38" s="538" t="s">
        <v>264</v>
      </c>
      <c r="AO38" s="538" t="s">
        <v>79</v>
      </c>
      <c r="AP38" s="538" t="s">
        <v>214</v>
      </c>
      <c r="AQ38" s="538" t="s">
        <v>79</v>
      </c>
      <c r="AR38" s="538" t="s">
        <v>214</v>
      </c>
      <c r="AS38" s="538">
        <v>2.60350455E9</v>
      </c>
      <c r="AT38" s="538">
        <v>3.39936167E8</v>
      </c>
      <c r="AU38" s="538">
        <v>19.0</v>
      </c>
      <c r="AV38" s="538" t="s">
        <v>45</v>
      </c>
      <c r="AY38" s="538" t="s">
        <v>264</v>
      </c>
      <c r="AZ38" s="538">
        <v>0.1</v>
      </c>
      <c r="BA38" s="538">
        <v>0.02</v>
      </c>
      <c r="BB38" s="538">
        <v>0.05</v>
      </c>
      <c r="BE38" s="538">
        <v>1.0</v>
      </c>
      <c r="BF38" s="538">
        <v>1.0</v>
      </c>
      <c r="BG38" s="538">
        <v>1.0</v>
      </c>
      <c r="BJ38" s="546"/>
      <c r="BL38" s="546"/>
    </row>
    <row r="39" ht="22.5" customHeight="1">
      <c r="A39" s="538">
        <v>38.0</v>
      </c>
      <c r="B39" s="538" t="s">
        <v>782</v>
      </c>
      <c r="C39" s="538" t="s">
        <v>82</v>
      </c>
      <c r="D39" s="538" t="s">
        <v>757</v>
      </c>
      <c r="E39" s="538" t="s">
        <v>378</v>
      </c>
      <c r="F39" s="538" t="s">
        <v>276</v>
      </c>
      <c r="G39" s="538" t="s">
        <v>239</v>
      </c>
      <c r="H39" s="538" t="s">
        <v>250</v>
      </c>
      <c r="I39" s="538" t="s">
        <v>122</v>
      </c>
      <c r="J39" s="538" t="s">
        <v>401</v>
      </c>
      <c r="K39" s="538" t="s">
        <v>786</v>
      </c>
      <c r="L39" s="538" t="s">
        <v>787</v>
      </c>
      <c r="M39" s="538" t="s">
        <v>673</v>
      </c>
      <c r="N39" s="538" t="s">
        <v>788</v>
      </c>
      <c r="O39" s="538" t="b">
        <v>0</v>
      </c>
      <c r="P39" s="538" t="b">
        <v>1</v>
      </c>
      <c r="Q39" s="538" t="s">
        <v>75</v>
      </c>
      <c r="R39" s="538" t="s">
        <v>276</v>
      </c>
      <c r="S39" s="538" t="s">
        <v>75</v>
      </c>
      <c r="T39" s="538" t="s">
        <v>276</v>
      </c>
      <c r="U39" s="538" t="s">
        <v>75</v>
      </c>
      <c r="V39" s="538" t="s">
        <v>276</v>
      </c>
      <c r="W39" s="538" t="s">
        <v>75</v>
      </c>
      <c r="X39" s="538" t="s">
        <v>276</v>
      </c>
      <c r="Y39" s="538" t="s">
        <v>75</v>
      </c>
      <c r="Z39" s="538" t="s">
        <v>276</v>
      </c>
      <c r="AA39" s="538" t="s">
        <v>75</v>
      </c>
      <c r="AB39" s="538" t="s">
        <v>276</v>
      </c>
      <c r="AC39" s="538" t="s">
        <v>75</v>
      </c>
      <c r="AD39" s="538" t="s">
        <v>276</v>
      </c>
      <c r="AE39" s="538" t="s">
        <v>75</v>
      </c>
      <c r="AF39" s="538" t="s">
        <v>276</v>
      </c>
      <c r="AG39" s="538" t="s">
        <v>75</v>
      </c>
      <c r="AH39" s="538" t="s">
        <v>276</v>
      </c>
      <c r="AI39" s="538" t="s">
        <v>75</v>
      </c>
      <c r="AJ39" s="538" t="s">
        <v>276</v>
      </c>
      <c r="AK39" s="538" t="s">
        <v>75</v>
      </c>
      <c r="AL39" s="538" t="s">
        <v>276</v>
      </c>
      <c r="AM39" s="538" t="s">
        <v>75</v>
      </c>
      <c r="AN39" s="538" t="s">
        <v>276</v>
      </c>
      <c r="AO39" s="538" t="s">
        <v>79</v>
      </c>
      <c r="AP39" s="538" t="s">
        <v>378</v>
      </c>
      <c r="AQ39" s="538" t="s">
        <v>79</v>
      </c>
      <c r="AR39" s="538" t="s">
        <v>378</v>
      </c>
      <c r="AS39" s="538">
        <v>1.93818243E8</v>
      </c>
      <c r="AT39" s="538">
        <v>3.39936167E8</v>
      </c>
      <c r="AU39" s="538">
        <v>19.0</v>
      </c>
      <c r="AV39" s="538" t="s">
        <v>45</v>
      </c>
      <c r="AY39" s="538" t="s">
        <v>276</v>
      </c>
      <c r="AZ39" s="538">
        <v>1.0</v>
      </c>
      <c r="BA39" s="538">
        <v>1.0</v>
      </c>
      <c r="BB39" s="538">
        <v>1.0</v>
      </c>
      <c r="BC39" s="538">
        <v>1.0</v>
      </c>
      <c r="BD39" s="538">
        <v>1.0</v>
      </c>
      <c r="BE39" s="538">
        <v>0.15</v>
      </c>
      <c r="BF39" s="538">
        <v>0.2</v>
      </c>
      <c r="BG39" s="538">
        <v>0.3</v>
      </c>
      <c r="BH39" s="538">
        <v>0.4</v>
      </c>
      <c r="BI39" s="538">
        <v>0.5</v>
      </c>
      <c r="BJ39" s="546"/>
      <c r="BL39" s="546"/>
    </row>
    <row r="40" ht="22.5" customHeight="1">
      <c r="A40" s="538">
        <v>39.0</v>
      </c>
      <c r="B40" s="538" t="s">
        <v>789</v>
      </c>
      <c r="C40" s="538" t="s">
        <v>84</v>
      </c>
      <c r="D40" s="538" t="s">
        <v>757</v>
      </c>
      <c r="E40" s="538" t="s">
        <v>218</v>
      </c>
      <c r="F40" s="538" t="s">
        <v>225</v>
      </c>
      <c r="G40" s="538" t="s">
        <v>163</v>
      </c>
      <c r="H40" s="538" t="s">
        <v>250</v>
      </c>
      <c r="I40" s="538" t="s">
        <v>122</v>
      </c>
      <c r="K40" s="538" t="s">
        <v>790</v>
      </c>
      <c r="L40" s="538" t="s">
        <v>791</v>
      </c>
      <c r="M40" s="538" t="s">
        <v>661</v>
      </c>
      <c r="N40" s="538" t="s">
        <v>685</v>
      </c>
      <c r="O40" s="538" t="b">
        <v>0</v>
      </c>
      <c r="P40" s="538" t="b">
        <v>1</v>
      </c>
      <c r="Q40" s="538" t="s">
        <v>75</v>
      </c>
      <c r="R40" s="538" t="s">
        <v>225</v>
      </c>
      <c r="S40" s="538" t="s">
        <v>75</v>
      </c>
      <c r="T40" s="538" t="s">
        <v>225</v>
      </c>
      <c r="U40" s="538" t="s">
        <v>75</v>
      </c>
      <c r="V40" s="538" t="s">
        <v>225</v>
      </c>
      <c r="W40" s="538" t="s">
        <v>75</v>
      </c>
      <c r="X40" s="538" t="s">
        <v>225</v>
      </c>
      <c r="Y40" s="538" t="s">
        <v>75</v>
      </c>
      <c r="Z40" s="538" t="s">
        <v>225</v>
      </c>
      <c r="AA40" s="538" t="s">
        <v>75</v>
      </c>
      <c r="AB40" s="538" t="s">
        <v>225</v>
      </c>
      <c r="AC40" s="538" t="s">
        <v>75</v>
      </c>
      <c r="AD40" s="538" t="s">
        <v>225</v>
      </c>
      <c r="AE40" s="538" t="s">
        <v>75</v>
      </c>
      <c r="AF40" s="538" t="s">
        <v>225</v>
      </c>
      <c r="AG40" s="538" t="s">
        <v>75</v>
      </c>
      <c r="AH40" s="538" t="s">
        <v>225</v>
      </c>
      <c r="AI40" s="538" t="s">
        <v>75</v>
      </c>
      <c r="AJ40" s="538" t="s">
        <v>225</v>
      </c>
      <c r="AK40" s="538" t="s">
        <v>75</v>
      </c>
      <c r="AL40" s="538" t="s">
        <v>225</v>
      </c>
      <c r="AM40" s="538" t="s">
        <v>75</v>
      </c>
      <c r="AN40" s="538" t="s">
        <v>225</v>
      </c>
      <c r="AO40" s="538" t="s">
        <v>79</v>
      </c>
      <c r="AP40" s="538" t="s">
        <v>218</v>
      </c>
      <c r="AQ40" s="538" t="s">
        <v>79</v>
      </c>
      <c r="AR40" s="538" t="s">
        <v>218</v>
      </c>
      <c r="AS40" s="538">
        <v>3.575708063E9</v>
      </c>
      <c r="AT40" s="538">
        <v>2.235857051E9</v>
      </c>
      <c r="AU40" s="538">
        <v>20.0</v>
      </c>
      <c r="AV40" s="538" t="s">
        <v>45</v>
      </c>
      <c r="AY40" s="538" t="s">
        <v>225</v>
      </c>
      <c r="AZ40" s="538">
        <v>1.0</v>
      </c>
      <c r="BA40" s="538">
        <v>1.0</v>
      </c>
      <c r="BB40" s="538">
        <v>1.0</v>
      </c>
      <c r="BE40" s="538">
        <v>0.1</v>
      </c>
      <c r="BF40" s="538">
        <v>0.05</v>
      </c>
      <c r="BG40" s="538">
        <v>0.1</v>
      </c>
      <c r="BJ40" s="546"/>
      <c r="BL40" s="546"/>
    </row>
    <row r="41" ht="22.5" customHeight="1">
      <c r="A41" s="538">
        <v>40.0</v>
      </c>
      <c r="B41" s="538" t="s">
        <v>789</v>
      </c>
      <c r="C41" s="538" t="s">
        <v>82</v>
      </c>
      <c r="D41" s="538" t="s">
        <v>757</v>
      </c>
      <c r="E41" s="538" t="s">
        <v>349</v>
      </c>
      <c r="G41" s="538" t="s">
        <v>151</v>
      </c>
      <c r="H41" s="538" t="s">
        <v>182</v>
      </c>
      <c r="I41" s="538" t="s">
        <v>122</v>
      </c>
      <c r="K41" s="538" t="s">
        <v>792</v>
      </c>
      <c r="L41" s="538" t="s">
        <v>793</v>
      </c>
      <c r="M41" s="538" t="s">
        <v>673</v>
      </c>
      <c r="N41" s="538" t="s">
        <v>794</v>
      </c>
      <c r="O41" s="538" t="b">
        <v>0</v>
      </c>
      <c r="P41" s="538" t="b">
        <v>1</v>
      </c>
      <c r="Q41" s="538" t="s">
        <v>73</v>
      </c>
      <c r="S41" s="538" t="s">
        <v>73</v>
      </c>
      <c r="U41" s="538" t="s">
        <v>73</v>
      </c>
      <c r="W41" s="538" t="s">
        <v>73</v>
      </c>
      <c r="Y41" s="538" t="s">
        <v>73</v>
      </c>
      <c r="AA41" s="538" t="s">
        <v>73</v>
      </c>
      <c r="AC41" s="538" t="s">
        <v>73</v>
      </c>
      <c r="AE41" s="538" t="s">
        <v>73</v>
      </c>
      <c r="AG41" s="538" t="s">
        <v>73</v>
      </c>
      <c r="AI41" s="538" t="s">
        <v>73</v>
      </c>
      <c r="AK41" s="538" t="s">
        <v>73</v>
      </c>
      <c r="AM41" s="538" t="s">
        <v>73</v>
      </c>
      <c r="AO41" s="538" t="s">
        <v>79</v>
      </c>
      <c r="AP41" s="538" t="s">
        <v>349</v>
      </c>
      <c r="AQ41" s="538" t="s">
        <v>79</v>
      </c>
      <c r="AR41" s="538" t="s">
        <v>349</v>
      </c>
      <c r="AS41" s="538">
        <v>4.246759861E9</v>
      </c>
      <c r="AT41" s="538">
        <v>2.235857051E9</v>
      </c>
      <c r="AU41" s="538">
        <v>20.0</v>
      </c>
      <c r="AV41" s="538" t="s">
        <v>45</v>
      </c>
      <c r="AZ41" s="538">
        <v>1.0</v>
      </c>
      <c r="BA41" s="538">
        <v>1.0</v>
      </c>
      <c r="BB41" s="538">
        <v>1.0</v>
      </c>
      <c r="BC41" s="538">
        <v>1.0</v>
      </c>
      <c r="BD41" s="538">
        <v>1.0</v>
      </c>
      <c r="BE41" s="538">
        <v>0.05</v>
      </c>
      <c r="BF41" s="538">
        <v>0.07</v>
      </c>
      <c r="BG41" s="538">
        <v>0.09</v>
      </c>
      <c r="BH41" s="538">
        <v>0.12</v>
      </c>
      <c r="BI41" s="538">
        <v>0.15</v>
      </c>
      <c r="BJ41" s="546"/>
      <c r="BL41" s="546"/>
    </row>
    <row r="42" ht="22.5" customHeight="1">
      <c r="A42" s="538">
        <v>41.0</v>
      </c>
      <c r="B42" s="538" t="s">
        <v>795</v>
      </c>
      <c r="C42" s="538" t="s">
        <v>84</v>
      </c>
      <c r="D42" s="538" t="s">
        <v>757</v>
      </c>
      <c r="E42" s="538" t="s">
        <v>372</v>
      </c>
      <c r="G42" s="538" t="s">
        <v>151</v>
      </c>
      <c r="H42" s="538" t="s">
        <v>250</v>
      </c>
      <c r="I42" s="538" t="s">
        <v>122</v>
      </c>
      <c r="K42" s="538" t="s">
        <v>796</v>
      </c>
      <c r="L42" s="538" t="s">
        <v>797</v>
      </c>
      <c r="M42" s="538" t="s">
        <v>661</v>
      </c>
      <c r="N42" s="538" t="s">
        <v>741</v>
      </c>
      <c r="O42" s="538" t="b">
        <v>0</v>
      </c>
      <c r="P42" s="538" t="b">
        <v>1</v>
      </c>
      <c r="Q42" s="538" t="s">
        <v>73</v>
      </c>
      <c r="S42" s="538" t="s">
        <v>73</v>
      </c>
      <c r="U42" s="538" t="s">
        <v>73</v>
      </c>
      <c r="W42" s="538" t="s">
        <v>73</v>
      </c>
      <c r="Y42" s="538" t="s">
        <v>73</v>
      </c>
      <c r="AA42" s="538" t="s">
        <v>73</v>
      </c>
      <c r="AC42" s="538" t="s">
        <v>73</v>
      </c>
      <c r="AE42" s="538" t="s">
        <v>73</v>
      </c>
      <c r="AG42" s="538" t="s">
        <v>73</v>
      </c>
      <c r="AI42" s="538" t="s">
        <v>73</v>
      </c>
      <c r="AK42" s="538" t="s">
        <v>73</v>
      </c>
      <c r="AM42" s="538" t="s">
        <v>73</v>
      </c>
      <c r="AO42" s="538" t="s">
        <v>79</v>
      </c>
      <c r="AP42" s="538" t="s">
        <v>372</v>
      </c>
      <c r="AQ42" s="538" t="s">
        <v>79</v>
      </c>
      <c r="AR42" s="538" t="s">
        <v>372</v>
      </c>
      <c r="AS42" s="538">
        <v>2.120680252E9</v>
      </c>
      <c r="AT42" s="538">
        <v>6.68528267E8</v>
      </c>
      <c r="AU42" s="538">
        <v>21.0</v>
      </c>
      <c r="AV42" s="538" t="s">
        <v>45</v>
      </c>
      <c r="AZ42" s="538">
        <v>1.0</v>
      </c>
      <c r="BA42" s="538">
        <v>1.0</v>
      </c>
      <c r="BB42" s="538">
        <v>1.0</v>
      </c>
      <c r="BE42" s="538">
        <v>0.2</v>
      </c>
      <c r="BF42" s="538">
        <v>0.05</v>
      </c>
      <c r="BG42" s="538">
        <v>0.1</v>
      </c>
      <c r="BJ42" s="546"/>
      <c r="BL42" s="546"/>
    </row>
    <row r="43" ht="22.5" customHeight="1">
      <c r="A43" s="538">
        <v>42.0</v>
      </c>
      <c r="B43" s="538" t="s">
        <v>795</v>
      </c>
      <c r="C43" s="538" t="s">
        <v>82</v>
      </c>
      <c r="D43" s="538" t="s">
        <v>757</v>
      </c>
      <c r="E43" s="538" t="s">
        <v>378</v>
      </c>
      <c r="F43" s="538" t="s">
        <v>300</v>
      </c>
      <c r="G43" s="538" t="s">
        <v>151</v>
      </c>
      <c r="H43" s="538" t="s">
        <v>250</v>
      </c>
      <c r="I43" s="538" t="s">
        <v>122</v>
      </c>
      <c r="K43" s="538" t="s">
        <v>798</v>
      </c>
      <c r="L43" s="538" t="s">
        <v>799</v>
      </c>
      <c r="M43" s="538" t="s">
        <v>673</v>
      </c>
      <c r="N43" s="538" t="s">
        <v>695</v>
      </c>
      <c r="O43" s="538" t="b">
        <v>0</v>
      </c>
      <c r="P43" s="538" t="b">
        <v>1</v>
      </c>
      <c r="Q43" s="538" t="s">
        <v>75</v>
      </c>
      <c r="R43" s="538" t="s">
        <v>300</v>
      </c>
      <c r="S43" s="538" t="s">
        <v>75</v>
      </c>
      <c r="T43" s="538" t="s">
        <v>300</v>
      </c>
      <c r="U43" s="538" t="s">
        <v>75</v>
      </c>
      <c r="V43" s="538" t="s">
        <v>300</v>
      </c>
      <c r="W43" s="538" t="s">
        <v>75</v>
      </c>
      <c r="X43" s="538" t="s">
        <v>300</v>
      </c>
      <c r="Y43" s="538" t="s">
        <v>75</v>
      </c>
      <c r="Z43" s="538" t="s">
        <v>300</v>
      </c>
      <c r="AA43" s="538" t="s">
        <v>75</v>
      </c>
      <c r="AB43" s="538" t="s">
        <v>300</v>
      </c>
      <c r="AC43" s="538" t="s">
        <v>75</v>
      </c>
      <c r="AD43" s="538" t="s">
        <v>300</v>
      </c>
      <c r="AE43" s="538" t="s">
        <v>75</v>
      </c>
      <c r="AF43" s="538" t="s">
        <v>300</v>
      </c>
      <c r="AG43" s="538" t="s">
        <v>75</v>
      </c>
      <c r="AH43" s="538" t="s">
        <v>300</v>
      </c>
      <c r="AI43" s="538" t="s">
        <v>75</v>
      </c>
      <c r="AJ43" s="538" t="s">
        <v>300</v>
      </c>
      <c r="AK43" s="538" t="s">
        <v>75</v>
      </c>
      <c r="AL43" s="538" t="s">
        <v>300</v>
      </c>
      <c r="AM43" s="538" t="s">
        <v>75</v>
      </c>
      <c r="AN43" s="538" t="s">
        <v>300</v>
      </c>
      <c r="AO43" s="538" t="s">
        <v>79</v>
      </c>
      <c r="AP43" s="538" t="s">
        <v>378</v>
      </c>
      <c r="AQ43" s="538" t="s">
        <v>79</v>
      </c>
      <c r="AR43" s="538" t="s">
        <v>378</v>
      </c>
      <c r="AS43" s="538">
        <v>6.40569748E8</v>
      </c>
      <c r="AT43" s="538">
        <v>6.68528267E8</v>
      </c>
      <c r="AU43" s="538">
        <v>21.0</v>
      </c>
      <c r="AV43" s="538" t="s">
        <v>45</v>
      </c>
      <c r="AY43" s="538" t="s">
        <v>300</v>
      </c>
      <c r="AZ43" s="538">
        <v>1.0</v>
      </c>
      <c r="BA43" s="538">
        <v>1.0</v>
      </c>
      <c r="BB43" s="538">
        <v>1.0</v>
      </c>
      <c r="BC43" s="538">
        <v>1.0</v>
      </c>
      <c r="BD43" s="538">
        <v>1.0</v>
      </c>
      <c r="BE43" s="538">
        <v>0.15</v>
      </c>
      <c r="BF43" s="538">
        <v>0.2</v>
      </c>
      <c r="BG43" s="538">
        <v>0.25</v>
      </c>
      <c r="BH43" s="538">
        <v>0.3</v>
      </c>
      <c r="BI43" s="538">
        <v>0.4</v>
      </c>
      <c r="BJ43" s="546"/>
      <c r="BL43" s="546"/>
    </row>
    <row r="44" ht="22.5" customHeight="1">
      <c r="A44" s="538">
        <v>43.0</v>
      </c>
      <c r="B44" s="538" t="s">
        <v>800</v>
      </c>
      <c r="C44" s="538" t="s">
        <v>84</v>
      </c>
      <c r="D44" s="538" t="s">
        <v>801</v>
      </c>
      <c r="E44" s="538" t="s">
        <v>331</v>
      </c>
      <c r="G44" s="538" t="s">
        <v>151</v>
      </c>
      <c r="H44" s="538" t="s">
        <v>250</v>
      </c>
      <c r="I44" s="538" t="s">
        <v>122</v>
      </c>
      <c r="J44" s="538" t="s">
        <v>419</v>
      </c>
      <c r="K44" s="538" t="s">
        <v>802</v>
      </c>
      <c r="L44" s="538" t="s">
        <v>803</v>
      </c>
      <c r="M44" s="538" t="s">
        <v>661</v>
      </c>
      <c r="N44" s="538" t="s">
        <v>804</v>
      </c>
      <c r="O44" s="538" t="b">
        <v>0</v>
      </c>
      <c r="P44" s="538" t="b">
        <v>1</v>
      </c>
      <c r="Q44" s="538" t="s">
        <v>79</v>
      </c>
      <c r="R44" s="538" t="s">
        <v>331</v>
      </c>
      <c r="S44" s="538" t="s">
        <v>79</v>
      </c>
      <c r="T44" s="538" t="s">
        <v>331</v>
      </c>
      <c r="U44" s="538" t="s">
        <v>79</v>
      </c>
      <c r="V44" s="538" t="s">
        <v>331</v>
      </c>
      <c r="W44" s="538" t="s">
        <v>79</v>
      </c>
      <c r="X44" s="538" t="s">
        <v>331</v>
      </c>
      <c r="Y44" s="538" t="s">
        <v>79</v>
      </c>
      <c r="Z44" s="538" t="s">
        <v>331</v>
      </c>
      <c r="AA44" s="538" t="s">
        <v>79</v>
      </c>
      <c r="AB44" s="538" t="s">
        <v>331</v>
      </c>
      <c r="AC44" s="538" t="s">
        <v>79</v>
      </c>
      <c r="AD44" s="538" t="s">
        <v>331</v>
      </c>
      <c r="AE44" s="538" t="s">
        <v>79</v>
      </c>
      <c r="AF44" s="538" t="s">
        <v>331</v>
      </c>
      <c r="AG44" s="538" t="s">
        <v>79</v>
      </c>
      <c r="AH44" s="538" t="s">
        <v>331</v>
      </c>
      <c r="AI44" s="538" t="s">
        <v>79</v>
      </c>
      <c r="AJ44" s="538" t="s">
        <v>331</v>
      </c>
      <c r="AK44" s="538" t="s">
        <v>79</v>
      </c>
      <c r="AL44" s="538" t="s">
        <v>331</v>
      </c>
      <c r="AM44" s="538" t="s">
        <v>79</v>
      </c>
      <c r="AN44" s="538" t="s">
        <v>331</v>
      </c>
      <c r="AO44" s="538" t="s">
        <v>79</v>
      </c>
      <c r="AP44" s="538" t="s">
        <v>331</v>
      </c>
      <c r="AQ44" s="538" t="s">
        <v>73</v>
      </c>
      <c r="AS44" s="538">
        <v>3.248153153E9</v>
      </c>
      <c r="AT44" s="538">
        <v>1.556052341E9</v>
      </c>
      <c r="AU44" s="538">
        <v>49.0</v>
      </c>
      <c r="AV44" s="538" t="s">
        <v>46</v>
      </c>
      <c r="AZ44" s="538">
        <v>1.0</v>
      </c>
      <c r="BA44" s="538">
        <v>1.0</v>
      </c>
      <c r="BB44" s="538">
        <v>1.0</v>
      </c>
      <c r="BE44" s="538">
        <v>0.4</v>
      </c>
      <c r="BF44" s="538">
        <v>0.2</v>
      </c>
      <c r="BG44" s="538">
        <v>0.3</v>
      </c>
      <c r="BJ44" s="546"/>
      <c r="BL44" s="546"/>
    </row>
    <row r="45" ht="22.5" customHeight="1">
      <c r="A45" s="538">
        <v>44.0</v>
      </c>
      <c r="B45" s="538" t="s">
        <v>800</v>
      </c>
      <c r="C45" s="538" t="s">
        <v>82</v>
      </c>
      <c r="D45" s="538" t="s">
        <v>801</v>
      </c>
      <c r="E45" s="538" t="s">
        <v>268</v>
      </c>
      <c r="G45" s="538" t="s">
        <v>151</v>
      </c>
      <c r="H45" s="538" t="s">
        <v>250</v>
      </c>
      <c r="I45" s="538" t="s">
        <v>122</v>
      </c>
      <c r="K45" s="538" t="s">
        <v>805</v>
      </c>
      <c r="L45" s="538" t="s">
        <v>806</v>
      </c>
      <c r="M45" s="538" t="s">
        <v>673</v>
      </c>
      <c r="N45" s="538" t="s">
        <v>807</v>
      </c>
      <c r="O45" s="538" t="b">
        <v>0</v>
      </c>
      <c r="P45" s="538" t="b">
        <v>1</v>
      </c>
      <c r="Q45" s="538" t="s">
        <v>79</v>
      </c>
      <c r="R45" s="538" t="s">
        <v>268</v>
      </c>
      <c r="S45" s="538" t="s">
        <v>79</v>
      </c>
      <c r="T45" s="538" t="s">
        <v>268</v>
      </c>
      <c r="U45" s="538" t="s">
        <v>79</v>
      </c>
      <c r="V45" s="538" t="s">
        <v>268</v>
      </c>
      <c r="W45" s="538" t="s">
        <v>79</v>
      </c>
      <c r="X45" s="538" t="s">
        <v>268</v>
      </c>
      <c r="Y45" s="538" t="s">
        <v>79</v>
      </c>
      <c r="Z45" s="538" t="s">
        <v>268</v>
      </c>
      <c r="AA45" s="538" t="s">
        <v>79</v>
      </c>
      <c r="AB45" s="538" t="s">
        <v>268</v>
      </c>
      <c r="AC45" s="538" t="s">
        <v>79</v>
      </c>
      <c r="AD45" s="538" t="s">
        <v>268</v>
      </c>
      <c r="AE45" s="538" t="s">
        <v>79</v>
      </c>
      <c r="AF45" s="538" t="s">
        <v>268</v>
      </c>
      <c r="AG45" s="538" t="s">
        <v>79</v>
      </c>
      <c r="AH45" s="538" t="s">
        <v>268</v>
      </c>
      <c r="AI45" s="538" t="s">
        <v>79</v>
      </c>
      <c r="AJ45" s="538" t="s">
        <v>268</v>
      </c>
      <c r="AK45" s="538" t="s">
        <v>79</v>
      </c>
      <c r="AL45" s="538" t="s">
        <v>268</v>
      </c>
      <c r="AM45" s="538" t="s">
        <v>79</v>
      </c>
      <c r="AN45" s="538" t="s">
        <v>268</v>
      </c>
      <c r="AO45" s="538" t="s">
        <v>79</v>
      </c>
      <c r="AP45" s="538" t="s">
        <v>268</v>
      </c>
      <c r="AQ45" s="538" t="s">
        <v>73</v>
      </c>
      <c r="AS45" s="538">
        <v>1.776341383E9</v>
      </c>
      <c r="AT45" s="538">
        <v>1.556052341E9</v>
      </c>
      <c r="AU45" s="538">
        <v>49.0</v>
      </c>
      <c r="AV45" s="538" t="s">
        <v>46</v>
      </c>
      <c r="AZ45" s="538">
        <v>1.0</v>
      </c>
      <c r="BA45" s="538">
        <v>1.0</v>
      </c>
      <c r="BB45" s="538">
        <v>1.0</v>
      </c>
      <c r="BC45" s="538">
        <v>1.0</v>
      </c>
      <c r="BD45" s="538">
        <v>1.0</v>
      </c>
      <c r="BE45" s="538">
        <v>0.5</v>
      </c>
      <c r="BF45" s="538">
        <v>1.0</v>
      </c>
      <c r="BG45" s="538">
        <v>1.5</v>
      </c>
      <c r="BH45" s="538">
        <v>2.0</v>
      </c>
      <c r="BI45" s="538">
        <v>3.0</v>
      </c>
      <c r="BJ45" s="546"/>
      <c r="BL45" s="546"/>
    </row>
    <row r="46" ht="22.5" customHeight="1">
      <c r="A46" s="538">
        <v>45.0</v>
      </c>
      <c r="B46" s="538" t="s">
        <v>808</v>
      </c>
      <c r="C46" s="538" t="s">
        <v>84</v>
      </c>
      <c r="D46" s="538" t="s">
        <v>801</v>
      </c>
      <c r="E46" s="538" t="s">
        <v>331</v>
      </c>
      <c r="G46" s="538" t="s">
        <v>151</v>
      </c>
      <c r="H46" s="538" t="s">
        <v>250</v>
      </c>
      <c r="I46" s="538" t="s">
        <v>122</v>
      </c>
      <c r="J46" s="538" t="s">
        <v>409</v>
      </c>
      <c r="K46" s="538" t="s">
        <v>809</v>
      </c>
      <c r="L46" s="538" t="s">
        <v>810</v>
      </c>
      <c r="M46" s="538" t="s">
        <v>661</v>
      </c>
      <c r="N46" s="538" t="s">
        <v>804</v>
      </c>
      <c r="O46" s="538" t="b">
        <v>0</v>
      </c>
      <c r="P46" s="538" t="b">
        <v>1</v>
      </c>
      <c r="Q46" s="538" t="s">
        <v>79</v>
      </c>
      <c r="R46" s="538" t="s">
        <v>331</v>
      </c>
      <c r="S46" s="538" t="s">
        <v>79</v>
      </c>
      <c r="T46" s="538" t="s">
        <v>331</v>
      </c>
      <c r="U46" s="538" t="s">
        <v>79</v>
      </c>
      <c r="V46" s="538" t="s">
        <v>331</v>
      </c>
      <c r="W46" s="538" t="s">
        <v>79</v>
      </c>
      <c r="X46" s="538" t="s">
        <v>331</v>
      </c>
      <c r="Y46" s="538" t="s">
        <v>79</v>
      </c>
      <c r="Z46" s="538" t="s">
        <v>331</v>
      </c>
      <c r="AA46" s="538" t="s">
        <v>79</v>
      </c>
      <c r="AB46" s="538" t="s">
        <v>331</v>
      </c>
      <c r="AC46" s="538" t="s">
        <v>79</v>
      </c>
      <c r="AD46" s="538" t="s">
        <v>331</v>
      </c>
      <c r="AE46" s="538" t="s">
        <v>79</v>
      </c>
      <c r="AF46" s="538" t="s">
        <v>331</v>
      </c>
      <c r="AG46" s="538" t="s">
        <v>79</v>
      </c>
      <c r="AH46" s="538" t="s">
        <v>331</v>
      </c>
      <c r="AI46" s="538" t="s">
        <v>79</v>
      </c>
      <c r="AJ46" s="538" t="s">
        <v>331</v>
      </c>
      <c r="AK46" s="538" t="s">
        <v>79</v>
      </c>
      <c r="AL46" s="538" t="s">
        <v>331</v>
      </c>
      <c r="AM46" s="538" t="s">
        <v>79</v>
      </c>
      <c r="AN46" s="538" t="s">
        <v>331</v>
      </c>
      <c r="AO46" s="538" t="s">
        <v>79</v>
      </c>
      <c r="AP46" s="538" t="s">
        <v>331</v>
      </c>
      <c r="AQ46" s="538" t="s">
        <v>73</v>
      </c>
      <c r="AS46" s="538">
        <v>2.656033988E9</v>
      </c>
      <c r="AT46" s="538">
        <v>7.55079845E8</v>
      </c>
      <c r="AU46" s="538">
        <v>50.0</v>
      </c>
      <c r="AV46" s="538" t="s">
        <v>46</v>
      </c>
      <c r="AZ46" s="538">
        <v>1.0</v>
      </c>
      <c r="BA46" s="538">
        <v>1.0</v>
      </c>
      <c r="BB46" s="538">
        <v>1.0</v>
      </c>
      <c r="BE46" s="538">
        <v>0.4</v>
      </c>
      <c r="BF46" s="538">
        <v>0.2</v>
      </c>
      <c r="BG46" s="538">
        <v>0.3</v>
      </c>
      <c r="BJ46" s="546"/>
      <c r="BL46" s="546"/>
    </row>
    <row r="47" ht="22.5" customHeight="1">
      <c r="A47" s="538">
        <v>46.0</v>
      </c>
      <c r="B47" s="538" t="s">
        <v>808</v>
      </c>
      <c r="C47" s="538" t="s">
        <v>82</v>
      </c>
      <c r="D47" s="538" t="s">
        <v>801</v>
      </c>
      <c r="E47" s="538" t="s">
        <v>265</v>
      </c>
      <c r="G47" s="538" t="s">
        <v>151</v>
      </c>
      <c r="H47" s="538" t="s">
        <v>250</v>
      </c>
      <c r="I47" s="538" t="s">
        <v>122</v>
      </c>
      <c r="K47" s="538" t="s">
        <v>811</v>
      </c>
      <c r="L47" s="538" t="s">
        <v>812</v>
      </c>
      <c r="M47" s="538" t="s">
        <v>673</v>
      </c>
      <c r="N47" s="538" t="s">
        <v>813</v>
      </c>
      <c r="O47" s="538" t="b">
        <v>0</v>
      </c>
      <c r="P47" s="538" t="b">
        <v>1</v>
      </c>
      <c r="Q47" s="538" t="s">
        <v>79</v>
      </c>
      <c r="R47" s="538" t="s">
        <v>265</v>
      </c>
      <c r="S47" s="538" t="s">
        <v>79</v>
      </c>
      <c r="T47" s="538" t="s">
        <v>265</v>
      </c>
      <c r="U47" s="538" t="s">
        <v>79</v>
      </c>
      <c r="V47" s="538" t="s">
        <v>265</v>
      </c>
      <c r="W47" s="538" t="s">
        <v>79</v>
      </c>
      <c r="X47" s="538" t="s">
        <v>265</v>
      </c>
      <c r="Y47" s="538" t="s">
        <v>79</v>
      </c>
      <c r="Z47" s="538" t="s">
        <v>265</v>
      </c>
      <c r="AA47" s="538" t="s">
        <v>79</v>
      </c>
      <c r="AB47" s="538" t="s">
        <v>265</v>
      </c>
      <c r="AC47" s="538" t="s">
        <v>79</v>
      </c>
      <c r="AD47" s="538" t="s">
        <v>265</v>
      </c>
      <c r="AE47" s="538" t="s">
        <v>79</v>
      </c>
      <c r="AF47" s="538" t="s">
        <v>265</v>
      </c>
      <c r="AG47" s="538" t="s">
        <v>79</v>
      </c>
      <c r="AH47" s="538" t="s">
        <v>265</v>
      </c>
      <c r="AI47" s="538" t="s">
        <v>79</v>
      </c>
      <c r="AJ47" s="538" t="s">
        <v>265</v>
      </c>
      <c r="AK47" s="538" t="s">
        <v>79</v>
      </c>
      <c r="AL47" s="538" t="s">
        <v>265</v>
      </c>
      <c r="AM47" s="538" t="s">
        <v>79</v>
      </c>
      <c r="AN47" s="538" t="s">
        <v>265</v>
      </c>
      <c r="AO47" s="538" t="s">
        <v>79</v>
      </c>
      <c r="AP47" s="538" t="s">
        <v>265</v>
      </c>
      <c r="AQ47" s="538" t="s">
        <v>73</v>
      </c>
      <c r="AS47" s="538">
        <v>3.963393918E9</v>
      </c>
      <c r="AT47" s="538">
        <v>7.55079845E8</v>
      </c>
      <c r="AU47" s="538">
        <v>50.0</v>
      </c>
      <c r="AV47" s="538" t="s">
        <v>46</v>
      </c>
      <c r="AZ47" s="538">
        <v>1.0</v>
      </c>
      <c r="BA47" s="538">
        <v>1.0</v>
      </c>
      <c r="BB47" s="538">
        <v>1.0</v>
      </c>
      <c r="BC47" s="538">
        <v>1.0</v>
      </c>
      <c r="BD47" s="538">
        <v>1.0</v>
      </c>
      <c r="BE47" s="538">
        <v>0.2</v>
      </c>
      <c r="BF47" s="538">
        <v>0.25</v>
      </c>
      <c r="BG47" s="538">
        <v>0.3</v>
      </c>
      <c r="BH47" s="538">
        <v>0.35</v>
      </c>
      <c r="BI47" s="538">
        <v>0.4</v>
      </c>
      <c r="BJ47" s="546"/>
      <c r="BL47" s="546"/>
    </row>
    <row r="48" ht="22.5" customHeight="1">
      <c r="A48" s="538">
        <v>47.0</v>
      </c>
      <c r="B48" s="538" t="s">
        <v>814</v>
      </c>
      <c r="C48" s="538" t="s">
        <v>84</v>
      </c>
      <c r="D48" s="538" t="s">
        <v>801</v>
      </c>
      <c r="E48" s="538" t="s">
        <v>331</v>
      </c>
      <c r="G48" s="538" t="s">
        <v>151</v>
      </c>
      <c r="H48" s="538" t="s">
        <v>250</v>
      </c>
      <c r="I48" s="538" t="s">
        <v>122</v>
      </c>
      <c r="J48" s="538" t="s">
        <v>403</v>
      </c>
      <c r="K48" s="538" t="s">
        <v>815</v>
      </c>
      <c r="L48" s="538" t="s">
        <v>816</v>
      </c>
      <c r="M48" s="538" t="s">
        <v>661</v>
      </c>
      <c r="N48" s="538" t="s">
        <v>804</v>
      </c>
      <c r="O48" s="538" t="b">
        <v>0</v>
      </c>
      <c r="P48" s="538" t="b">
        <v>1</v>
      </c>
      <c r="Q48" s="538" t="s">
        <v>79</v>
      </c>
      <c r="R48" s="538" t="s">
        <v>331</v>
      </c>
      <c r="S48" s="538" t="s">
        <v>79</v>
      </c>
      <c r="T48" s="538" t="s">
        <v>331</v>
      </c>
      <c r="U48" s="538" t="s">
        <v>79</v>
      </c>
      <c r="V48" s="538" t="s">
        <v>331</v>
      </c>
      <c r="W48" s="538" t="s">
        <v>79</v>
      </c>
      <c r="X48" s="538" t="s">
        <v>331</v>
      </c>
      <c r="Y48" s="538" t="s">
        <v>79</v>
      </c>
      <c r="Z48" s="538" t="s">
        <v>331</v>
      </c>
      <c r="AA48" s="538" t="s">
        <v>79</v>
      </c>
      <c r="AB48" s="538" t="s">
        <v>331</v>
      </c>
      <c r="AC48" s="538" t="s">
        <v>79</v>
      </c>
      <c r="AD48" s="538" t="s">
        <v>331</v>
      </c>
      <c r="AE48" s="538" t="s">
        <v>79</v>
      </c>
      <c r="AF48" s="538" t="s">
        <v>331</v>
      </c>
      <c r="AG48" s="538" t="s">
        <v>79</v>
      </c>
      <c r="AH48" s="538" t="s">
        <v>331</v>
      </c>
      <c r="AI48" s="538" t="s">
        <v>79</v>
      </c>
      <c r="AJ48" s="538" t="s">
        <v>331</v>
      </c>
      <c r="AK48" s="538" t="s">
        <v>79</v>
      </c>
      <c r="AL48" s="538" t="s">
        <v>331</v>
      </c>
      <c r="AM48" s="538" t="s">
        <v>79</v>
      </c>
      <c r="AN48" s="538" t="s">
        <v>331</v>
      </c>
      <c r="AO48" s="538" t="s">
        <v>79</v>
      </c>
      <c r="AP48" s="538" t="s">
        <v>331</v>
      </c>
      <c r="AQ48" s="538" t="s">
        <v>73</v>
      </c>
      <c r="AS48" s="538">
        <v>7.03289562E8</v>
      </c>
      <c r="AT48" s="538">
        <v>2.518604778E9</v>
      </c>
      <c r="AU48" s="538">
        <v>89.0</v>
      </c>
      <c r="AV48" s="538" t="s">
        <v>46</v>
      </c>
      <c r="AZ48" s="538">
        <v>1.0</v>
      </c>
      <c r="BA48" s="538">
        <v>1.0</v>
      </c>
      <c r="BB48" s="538">
        <v>1.0</v>
      </c>
      <c r="BE48" s="538">
        <v>0.4</v>
      </c>
      <c r="BF48" s="538">
        <v>0.2</v>
      </c>
      <c r="BG48" s="538">
        <v>0.3</v>
      </c>
      <c r="BJ48" s="546"/>
      <c r="BL48" s="546"/>
    </row>
    <row r="49" ht="22.5" customHeight="1">
      <c r="A49" s="538">
        <v>48.0</v>
      </c>
      <c r="B49" s="538" t="s">
        <v>814</v>
      </c>
      <c r="C49" s="538" t="s">
        <v>82</v>
      </c>
      <c r="D49" s="538" t="s">
        <v>801</v>
      </c>
      <c r="E49" s="538" t="s">
        <v>313</v>
      </c>
      <c r="F49" s="538" t="s">
        <v>817</v>
      </c>
      <c r="G49" s="538" t="s">
        <v>163</v>
      </c>
      <c r="H49" s="538" t="s">
        <v>222</v>
      </c>
      <c r="I49" s="538" t="s">
        <v>189</v>
      </c>
      <c r="K49" s="538" t="s">
        <v>818</v>
      </c>
      <c r="L49" s="538" t="s">
        <v>819</v>
      </c>
      <c r="M49" s="538" t="s">
        <v>673</v>
      </c>
      <c r="N49" s="538" t="s">
        <v>682</v>
      </c>
      <c r="O49" s="538" t="b">
        <v>0</v>
      </c>
      <c r="P49" s="538" t="b">
        <v>1</v>
      </c>
      <c r="Q49" s="538" t="s">
        <v>75</v>
      </c>
      <c r="R49" s="538" t="s">
        <v>820</v>
      </c>
      <c r="S49" s="538" t="s">
        <v>79</v>
      </c>
      <c r="T49" s="538" t="s">
        <v>345</v>
      </c>
      <c r="U49" s="538" t="s">
        <v>79</v>
      </c>
      <c r="V49" s="538" t="s">
        <v>817</v>
      </c>
      <c r="W49" s="538" t="s">
        <v>79</v>
      </c>
      <c r="X49" s="538" t="s">
        <v>817</v>
      </c>
      <c r="Y49" s="538" t="s">
        <v>79</v>
      </c>
      <c r="Z49" s="538" t="s">
        <v>817</v>
      </c>
      <c r="AA49" s="538" t="s">
        <v>79</v>
      </c>
      <c r="AB49" s="538" t="s">
        <v>817</v>
      </c>
      <c r="AC49" s="538" t="s">
        <v>79</v>
      </c>
      <c r="AD49" s="538" t="s">
        <v>817</v>
      </c>
      <c r="AE49" s="538" t="s">
        <v>79</v>
      </c>
      <c r="AF49" s="538" t="s">
        <v>817</v>
      </c>
      <c r="AG49" s="538" t="s">
        <v>79</v>
      </c>
      <c r="AH49" s="538" t="s">
        <v>817</v>
      </c>
      <c r="AI49" s="538" t="s">
        <v>79</v>
      </c>
      <c r="AJ49" s="538" t="s">
        <v>817</v>
      </c>
      <c r="AK49" s="538" t="s">
        <v>79</v>
      </c>
      <c r="AL49" s="538" t="s">
        <v>817</v>
      </c>
      <c r="AM49" s="538" t="s">
        <v>79</v>
      </c>
      <c r="AN49" s="538" t="s">
        <v>817</v>
      </c>
      <c r="AO49" s="538" t="s">
        <v>79</v>
      </c>
      <c r="AP49" s="538" t="s">
        <v>313</v>
      </c>
      <c r="AQ49" s="538" t="s">
        <v>79</v>
      </c>
      <c r="AR49" s="538" t="s">
        <v>313</v>
      </c>
      <c r="AS49" s="538">
        <v>2.398413031E9</v>
      </c>
      <c r="AT49" s="538">
        <v>2.518604778E9</v>
      </c>
      <c r="AU49" s="538">
        <v>89.0</v>
      </c>
      <c r="AV49" s="538" t="s">
        <v>46</v>
      </c>
      <c r="AY49" s="538" t="s">
        <v>820</v>
      </c>
      <c r="AZ49" s="538">
        <v>1.0</v>
      </c>
      <c r="BA49" s="538">
        <v>1.0</v>
      </c>
      <c r="BB49" s="538">
        <v>1.0</v>
      </c>
      <c r="BC49" s="538">
        <v>1.0</v>
      </c>
      <c r="BD49" s="538">
        <v>1.0</v>
      </c>
      <c r="BE49" s="538">
        <v>0.1</v>
      </c>
      <c r="BF49" s="538">
        <v>0.15</v>
      </c>
      <c r="BG49" s="538">
        <v>0.2</v>
      </c>
      <c r="BH49" s="538">
        <v>0.25</v>
      </c>
      <c r="BI49" s="538">
        <v>0.3</v>
      </c>
      <c r="BJ49" s="546"/>
      <c r="BL49" s="546"/>
    </row>
    <row r="50" ht="22.5" customHeight="1">
      <c r="A50" s="538">
        <v>49.0</v>
      </c>
      <c r="B50" s="538" t="s">
        <v>821</v>
      </c>
      <c r="C50" s="538" t="s">
        <v>84</v>
      </c>
      <c r="D50" s="538" t="s">
        <v>801</v>
      </c>
      <c r="E50" s="538" t="s">
        <v>331</v>
      </c>
      <c r="G50" s="538" t="s">
        <v>151</v>
      </c>
      <c r="H50" s="538" t="s">
        <v>250</v>
      </c>
      <c r="I50" s="538" t="s">
        <v>122</v>
      </c>
      <c r="J50" s="538" t="s">
        <v>414</v>
      </c>
      <c r="K50" s="538" t="s">
        <v>822</v>
      </c>
      <c r="L50" s="538" t="s">
        <v>823</v>
      </c>
      <c r="M50" s="538" t="s">
        <v>661</v>
      </c>
      <c r="N50" s="538" t="s">
        <v>804</v>
      </c>
      <c r="O50" s="538" t="b">
        <v>0</v>
      </c>
      <c r="P50" s="538" t="b">
        <v>1</v>
      </c>
      <c r="Q50" s="538" t="s">
        <v>79</v>
      </c>
      <c r="R50" s="538" t="s">
        <v>331</v>
      </c>
      <c r="S50" s="538" t="s">
        <v>79</v>
      </c>
      <c r="T50" s="538" t="s">
        <v>331</v>
      </c>
      <c r="U50" s="538" t="s">
        <v>79</v>
      </c>
      <c r="V50" s="538" t="s">
        <v>331</v>
      </c>
      <c r="W50" s="538" t="s">
        <v>79</v>
      </c>
      <c r="X50" s="538" t="s">
        <v>331</v>
      </c>
      <c r="Y50" s="538" t="s">
        <v>79</v>
      </c>
      <c r="Z50" s="538" t="s">
        <v>331</v>
      </c>
      <c r="AA50" s="538" t="s">
        <v>79</v>
      </c>
      <c r="AB50" s="538" t="s">
        <v>331</v>
      </c>
      <c r="AC50" s="538" t="s">
        <v>79</v>
      </c>
      <c r="AD50" s="538" t="s">
        <v>331</v>
      </c>
      <c r="AE50" s="538" t="s">
        <v>79</v>
      </c>
      <c r="AF50" s="538" t="s">
        <v>331</v>
      </c>
      <c r="AG50" s="538" t="s">
        <v>79</v>
      </c>
      <c r="AH50" s="538" t="s">
        <v>331</v>
      </c>
      <c r="AI50" s="538" t="s">
        <v>79</v>
      </c>
      <c r="AJ50" s="538" t="s">
        <v>331</v>
      </c>
      <c r="AK50" s="538" t="s">
        <v>79</v>
      </c>
      <c r="AL50" s="538" t="s">
        <v>331</v>
      </c>
      <c r="AM50" s="538" t="s">
        <v>79</v>
      </c>
      <c r="AN50" s="538" t="s">
        <v>331</v>
      </c>
      <c r="AO50" s="538" t="s">
        <v>79</v>
      </c>
      <c r="AP50" s="538" t="s">
        <v>331</v>
      </c>
      <c r="AQ50" s="538" t="s">
        <v>73</v>
      </c>
      <c r="AS50" s="538">
        <v>2.591028018E9</v>
      </c>
      <c r="AT50" s="538">
        <v>3.816036121E9</v>
      </c>
      <c r="AU50" s="538">
        <v>51.0</v>
      </c>
      <c r="AV50" s="538" t="s">
        <v>41</v>
      </c>
      <c r="AZ50" s="538">
        <v>1.0</v>
      </c>
      <c r="BA50" s="538">
        <v>1.0</v>
      </c>
      <c r="BB50" s="538">
        <v>1.0</v>
      </c>
      <c r="BE50" s="538">
        <v>0.4</v>
      </c>
      <c r="BF50" s="538">
        <v>0.2</v>
      </c>
      <c r="BG50" s="538">
        <v>0.3</v>
      </c>
      <c r="BJ50" s="546"/>
      <c r="BL50" s="546"/>
    </row>
    <row r="51" ht="22.5" customHeight="1">
      <c r="A51" s="538">
        <v>50.0</v>
      </c>
      <c r="B51" s="538" t="s">
        <v>821</v>
      </c>
      <c r="C51" s="538" t="s">
        <v>82</v>
      </c>
      <c r="D51" s="538" t="s">
        <v>801</v>
      </c>
      <c r="E51" s="538" t="s">
        <v>400</v>
      </c>
      <c r="F51" s="538" t="s">
        <v>209</v>
      </c>
      <c r="G51" s="538" t="s">
        <v>151</v>
      </c>
      <c r="H51" s="538" t="s">
        <v>250</v>
      </c>
      <c r="I51" s="538" t="s">
        <v>122</v>
      </c>
      <c r="K51" s="538" t="s">
        <v>824</v>
      </c>
      <c r="L51" s="538" t="s">
        <v>825</v>
      </c>
      <c r="M51" s="538" t="s">
        <v>673</v>
      </c>
      <c r="N51" s="538" t="s">
        <v>826</v>
      </c>
      <c r="O51" s="538" t="b">
        <v>0</v>
      </c>
      <c r="P51" s="538" t="b">
        <v>1</v>
      </c>
      <c r="Q51" s="538" t="s">
        <v>79</v>
      </c>
      <c r="R51" s="538" t="s">
        <v>400</v>
      </c>
      <c r="S51" s="538" t="s">
        <v>79</v>
      </c>
      <c r="T51" s="538" t="s">
        <v>400</v>
      </c>
      <c r="U51" s="538" t="s">
        <v>79</v>
      </c>
      <c r="V51" s="538" t="s">
        <v>400</v>
      </c>
      <c r="W51" s="538" t="s">
        <v>79</v>
      </c>
      <c r="X51" s="538" t="s">
        <v>400</v>
      </c>
      <c r="Y51" s="538" t="s">
        <v>79</v>
      </c>
      <c r="Z51" s="538" t="s">
        <v>400</v>
      </c>
      <c r="AA51" s="538" t="s">
        <v>79</v>
      </c>
      <c r="AB51" s="538" t="s">
        <v>400</v>
      </c>
      <c r="AC51" s="538" t="s">
        <v>79</v>
      </c>
      <c r="AD51" s="538" t="s">
        <v>400</v>
      </c>
      <c r="AE51" s="538" t="s">
        <v>79</v>
      </c>
      <c r="AF51" s="538" t="s">
        <v>400</v>
      </c>
      <c r="AG51" s="538" t="s">
        <v>79</v>
      </c>
      <c r="AH51" s="538" t="s">
        <v>400</v>
      </c>
      <c r="AI51" s="538" t="s">
        <v>79</v>
      </c>
      <c r="AJ51" s="538" t="s">
        <v>400</v>
      </c>
      <c r="AK51" s="538" t="s">
        <v>79</v>
      </c>
      <c r="AL51" s="538" t="s">
        <v>400</v>
      </c>
      <c r="AM51" s="538" t="s">
        <v>79</v>
      </c>
      <c r="AN51" s="538" t="s">
        <v>400</v>
      </c>
      <c r="AO51" s="538" t="s">
        <v>79</v>
      </c>
      <c r="AP51" s="538" t="s">
        <v>400</v>
      </c>
      <c r="AQ51" s="538" t="s">
        <v>73</v>
      </c>
      <c r="AS51" s="538">
        <v>2.68749517E9</v>
      </c>
      <c r="AT51" s="538">
        <v>3.816036121E9</v>
      </c>
      <c r="AU51" s="538">
        <v>51.0</v>
      </c>
      <c r="AV51" s="538" t="s">
        <v>41</v>
      </c>
      <c r="AZ51" s="538">
        <v>1.0</v>
      </c>
      <c r="BA51" s="538">
        <v>1.0</v>
      </c>
      <c r="BB51" s="538">
        <v>1.0</v>
      </c>
      <c r="BC51" s="538">
        <v>1.0</v>
      </c>
      <c r="BD51" s="538">
        <v>1.0</v>
      </c>
      <c r="BE51" s="538">
        <v>0.25</v>
      </c>
      <c r="BF51" s="538">
        <v>0.5</v>
      </c>
      <c r="BG51" s="538">
        <v>0.75</v>
      </c>
      <c r="BH51" s="538">
        <v>1.0</v>
      </c>
      <c r="BI51" s="538">
        <v>1.3</v>
      </c>
      <c r="BJ51" s="546"/>
      <c r="BK51" s="547"/>
      <c r="BL51" s="546"/>
    </row>
    <row r="52" ht="22.5" customHeight="1">
      <c r="A52" s="538">
        <v>51.0</v>
      </c>
      <c r="B52" s="538" t="s">
        <v>827</v>
      </c>
      <c r="C52" s="538" t="s">
        <v>84</v>
      </c>
      <c r="D52" s="538" t="s">
        <v>801</v>
      </c>
      <c r="E52" s="538" t="s">
        <v>331</v>
      </c>
      <c r="G52" s="538" t="s">
        <v>151</v>
      </c>
      <c r="H52" s="538" t="s">
        <v>250</v>
      </c>
      <c r="I52" s="538" t="s">
        <v>122</v>
      </c>
      <c r="J52" s="538" t="s">
        <v>418</v>
      </c>
      <c r="K52" s="538" t="s">
        <v>828</v>
      </c>
      <c r="L52" s="538" t="s">
        <v>829</v>
      </c>
      <c r="M52" s="538" t="s">
        <v>661</v>
      </c>
      <c r="N52" s="538" t="s">
        <v>804</v>
      </c>
      <c r="O52" s="538" t="b">
        <v>0</v>
      </c>
      <c r="P52" s="538" t="b">
        <v>1</v>
      </c>
      <c r="Q52" s="538" t="s">
        <v>79</v>
      </c>
      <c r="R52" s="538" t="s">
        <v>331</v>
      </c>
      <c r="S52" s="538" t="s">
        <v>79</v>
      </c>
      <c r="T52" s="538" t="s">
        <v>331</v>
      </c>
      <c r="U52" s="538" t="s">
        <v>79</v>
      </c>
      <c r="V52" s="538" t="s">
        <v>331</v>
      </c>
      <c r="W52" s="538" t="s">
        <v>79</v>
      </c>
      <c r="X52" s="538" t="s">
        <v>331</v>
      </c>
      <c r="Y52" s="538" t="s">
        <v>79</v>
      </c>
      <c r="Z52" s="538" t="s">
        <v>331</v>
      </c>
      <c r="AA52" s="538" t="s">
        <v>79</v>
      </c>
      <c r="AB52" s="538" t="s">
        <v>331</v>
      </c>
      <c r="AC52" s="538" t="s">
        <v>79</v>
      </c>
      <c r="AD52" s="538" t="s">
        <v>331</v>
      </c>
      <c r="AE52" s="538" t="s">
        <v>79</v>
      </c>
      <c r="AF52" s="538" t="s">
        <v>331</v>
      </c>
      <c r="AG52" s="538" t="s">
        <v>79</v>
      </c>
      <c r="AH52" s="538" t="s">
        <v>331</v>
      </c>
      <c r="AI52" s="538" t="s">
        <v>79</v>
      </c>
      <c r="AJ52" s="538" t="s">
        <v>331</v>
      </c>
      <c r="AK52" s="538" t="s">
        <v>79</v>
      </c>
      <c r="AL52" s="538" t="s">
        <v>331</v>
      </c>
      <c r="AM52" s="538" t="s">
        <v>79</v>
      </c>
      <c r="AN52" s="538" t="s">
        <v>331</v>
      </c>
      <c r="AO52" s="538" t="s">
        <v>79</v>
      </c>
      <c r="AP52" s="538" t="s">
        <v>331</v>
      </c>
      <c r="AQ52" s="538" t="s">
        <v>73</v>
      </c>
      <c r="AS52" s="538">
        <v>7.62142944E8</v>
      </c>
      <c r="AT52" s="538">
        <v>2.432668775E9</v>
      </c>
      <c r="AU52" s="538">
        <v>52.0</v>
      </c>
      <c r="AV52" s="538" t="s">
        <v>41</v>
      </c>
      <c r="AZ52" s="538">
        <v>1.0</v>
      </c>
      <c r="BA52" s="538">
        <v>1.0</v>
      </c>
      <c r="BB52" s="538">
        <v>1.0</v>
      </c>
      <c r="BE52" s="538">
        <v>0.4</v>
      </c>
      <c r="BF52" s="538">
        <v>0.2</v>
      </c>
      <c r="BG52" s="538">
        <v>0.3</v>
      </c>
      <c r="BJ52" s="546"/>
      <c r="BL52" s="546"/>
    </row>
    <row r="53" ht="22.5" customHeight="1">
      <c r="A53" s="538">
        <v>52.0</v>
      </c>
      <c r="B53" s="538" t="s">
        <v>827</v>
      </c>
      <c r="C53" s="538" t="s">
        <v>82</v>
      </c>
      <c r="D53" s="538" t="s">
        <v>801</v>
      </c>
      <c r="E53" s="538" t="s">
        <v>218</v>
      </c>
      <c r="F53" s="538" t="s">
        <v>830</v>
      </c>
      <c r="G53" s="538" t="s">
        <v>163</v>
      </c>
      <c r="H53" s="538" t="s">
        <v>222</v>
      </c>
      <c r="I53" s="538" t="s">
        <v>189</v>
      </c>
      <c r="J53" s="538" t="s">
        <v>232</v>
      </c>
      <c r="K53" s="538" t="s">
        <v>831</v>
      </c>
      <c r="L53" s="538" t="s">
        <v>832</v>
      </c>
      <c r="M53" s="538" t="s">
        <v>673</v>
      </c>
      <c r="N53" s="538" t="s">
        <v>688</v>
      </c>
      <c r="O53" s="538" t="b">
        <v>0</v>
      </c>
      <c r="P53" s="538" t="b">
        <v>1</v>
      </c>
      <c r="Q53" s="538" t="s">
        <v>75</v>
      </c>
      <c r="R53" s="538" t="s">
        <v>833</v>
      </c>
      <c r="S53" s="538" t="s">
        <v>79</v>
      </c>
      <c r="T53" s="538" t="s">
        <v>834</v>
      </c>
      <c r="U53" s="538" t="s">
        <v>79</v>
      </c>
      <c r="V53" s="538" t="s">
        <v>830</v>
      </c>
      <c r="W53" s="538" t="s">
        <v>79</v>
      </c>
      <c r="X53" s="538" t="s">
        <v>830</v>
      </c>
      <c r="Y53" s="538" t="s">
        <v>79</v>
      </c>
      <c r="Z53" s="538" t="s">
        <v>830</v>
      </c>
      <c r="AA53" s="538" t="s">
        <v>79</v>
      </c>
      <c r="AB53" s="538" t="s">
        <v>830</v>
      </c>
      <c r="AC53" s="538" t="s">
        <v>79</v>
      </c>
      <c r="AD53" s="538" t="s">
        <v>830</v>
      </c>
      <c r="AE53" s="538" t="s">
        <v>79</v>
      </c>
      <c r="AF53" s="538" t="s">
        <v>830</v>
      </c>
      <c r="AG53" s="538" t="s">
        <v>79</v>
      </c>
      <c r="AH53" s="538" t="s">
        <v>830</v>
      </c>
      <c r="AI53" s="538" t="s">
        <v>79</v>
      </c>
      <c r="AJ53" s="538" t="s">
        <v>830</v>
      </c>
      <c r="AK53" s="538" t="s">
        <v>79</v>
      </c>
      <c r="AL53" s="538" t="s">
        <v>830</v>
      </c>
      <c r="AM53" s="538" t="s">
        <v>79</v>
      </c>
      <c r="AN53" s="538" t="s">
        <v>830</v>
      </c>
      <c r="AO53" s="538" t="s">
        <v>79</v>
      </c>
      <c r="AP53" s="538" t="s">
        <v>218</v>
      </c>
      <c r="AQ53" s="538" t="s">
        <v>79</v>
      </c>
      <c r="AR53" s="538" t="s">
        <v>218</v>
      </c>
      <c r="AS53" s="538">
        <v>2.133714071E9</v>
      </c>
      <c r="AT53" s="538">
        <v>2.432668775E9</v>
      </c>
      <c r="AU53" s="538">
        <v>52.0</v>
      </c>
      <c r="AV53" s="538" t="s">
        <v>41</v>
      </c>
      <c r="AY53" s="538" t="s">
        <v>833</v>
      </c>
      <c r="AZ53" s="538">
        <v>1.0</v>
      </c>
      <c r="BA53" s="538">
        <v>1.0</v>
      </c>
      <c r="BB53" s="538">
        <v>1.0</v>
      </c>
      <c r="BC53" s="538">
        <v>1.0</v>
      </c>
      <c r="BD53" s="538">
        <v>1.0</v>
      </c>
      <c r="BE53" s="538">
        <v>0.1</v>
      </c>
      <c r="BF53" s="538">
        <v>0.12</v>
      </c>
      <c r="BG53" s="538">
        <v>0.14</v>
      </c>
      <c r="BH53" s="538">
        <v>0.16</v>
      </c>
      <c r="BI53" s="538">
        <v>0.2</v>
      </c>
      <c r="BJ53" s="546"/>
      <c r="BL53" s="546"/>
    </row>
    <row r="54" ht="22.5" customHeight="1">
      <c r="A54" s="538">
        <v>53.0</v>
      </c>
      <c r="B54" s="538" t="s">
        <v>835</v>
      </c>
      <c r="C54" s="538" t="s">
        <v>84</v>
      </c>
      <c r="D54" s="538" t="s">
        <v>801</v>
      </c>
      <c r="E54" s="538" t="s">
        <v>331</v>
      </c>
      <c r="G54" s="538" t="s">
        <v>151</v>
      </c>
      <c r="H54" s="538" t="s">
        <v>250</v>
      </c>
      <c r="I54" s="538" t="s">
        <v>122</v>
      </c>
      <c r="J54" s="538" t="s">
        <v>411</v>
      </c>
      <c r="K54" s="538" t="s">
        <v>836</v>
      </c>
      <c r="L54" s="538" t="s">
        <v>837</v>
      </c>
      <c r="M54" s="538" t="s">
        <v>661</v>
      </c>
      <c r="N54" s="538" t="s">
        <v>804</v>
      </c>
      <c r="O54" s="538" t="b">
        <v>0</v>
      </c>
      <c r="P54" s="538" t="b">
        <v>1</v>
      </c>
      <c r="Q54" s="538" t="s">
        <v>79</v>
      </c>
      <c r="R54" s="538" t="s">
        <v>331</v>
      </c>
      <c r="S54" s="538" t="s">
        <v>79</v>
      </c>
      <c r="T54" s="538" t="s">
        <v>331</v>
      </c>
      <c r="U54" s="538" t="s">
        <v>79</v>
      </c>
      <c r="V54" s="538" t="s">
        <v>331</v>
      </c>
      <c r="W54" s="538" t="s">
        <v>79</v>
      </c>
      <c r="X54" s="538" t="s">
        <v>331</v>
      </c>
      <c r="Y54" s="538" t="s">
        <v>79</v>
      </c>
      <c r="Z54" s="538" t="s">
        <v>331</v>
      </c>
      <c r="AA54" s="538" t="s">
        <v>79</v>
      </c>
      <c r="AB54" s="538" t="s">
        <v>331</v>
      </c>
      <c r="AC54" s="538" t="s">
        <v>79</v>
      </c>
      <c r="AD54" s="538" t="s">
        <v>331</v>
      </c>
      <c r="AE54" s="538" t="s">
        <v>79</v>
      </c>
      <c r="AF54" s="538" t="s">
        <v>331</v>
      </c>
      <c r="AG54" s="538" t="s">
        <v>79</v>
      </c>
      <c r="AH54" s="538" t="s">
        <v>331</v>
      </c>
      <c r="AI54" s="538" t="s">
        <v>79</v>
      </c>
      <c r="AJ54" s="538" t="s">
        <v>331</v>
      </c>
      <c r="AK54" s="538" t="s">
        <v>79</v>
      </c>
      <c r="AL54" s="538" t="s">
        <v>331</v>
      </c>
      <c r="AM54" s="538" t="s">
        <v>79</v>
      </c>
      <c r="AN54" s="538" t="s">
        <v>331</v>
      </c>
      <c r="AO54" s="538" t="s">
        <v>79</v>
      </c>
      <c r="AP54" s="538" t="s">
        <v>331</v>
      </c>
      <c r="AQ54" s="538" t="s">
        <v>73</v>
      </c>
      <c r="AS54" s="538">
        <v>7.744017E8</v>
      </c>
      <c r="AT54" s="538">
        <v>3.15673632E9</v>
      </c>
      <c r="AU54" s="538">
        <v>53.0</v>
      </c>
      <c r="AV54" s="538" t="s">
        <v>41</v>
      </c>
      <c r="AZ54" s="538">
        <v>1.0</v>
      </c>
      <c r="BA54" s="538">
        <v>1.0</v>
      </c>
      <c r="BB54" s="538">
        <v>1.0</v>
      </c>
      <c r="BE54" s="538">
        <v>0.4</v>
      </c>
      <c r="BF54" s="538">
        <v>0.2</v>
      </c>
      <c r="BG54" s="538">
        <v>0.3</v>
      </c>
      <c r="BJ54" s="546"/>
      <c r="BL54" s="546"/>
    </row>
    <row r="55" ht="22.5" customHeight="1">
      <c r="A55" s="538">
        <v>54.0</v>
      </c>
      <c r="B55" s="538" t="s">
        <v>835</v>
      </c>
      <c r="C55" s="538" t="s">
        <v>82</v>
      </c>
      <c r="D55" s="538" t="s">
        <v>801</v>
      </c>
      <c r="E55" s="538" t="s">
        <v>400</v>
      </c>
      <c r="F55" s="538" t="s">
        <v>206</v>
      </c>
      <c r="G55" s="538" t="s">
        <v>151</v>
      </c>
      <c r="H55" s="538" t="s">
        <v>250</v>
      </c>
      <c r="I55" s="538" t="s">
        <v>122</v>
      </c>
      <c r="K55" s="538" t="s">
        <v>838</v>
      </c>
      <c r="L55" s="538" t="s">
        <v>839</v>
      </c>
      <c r="M55" s="538" t="s">
        <v>673</v>
      </c>
      <c r="N55" s="538" t="s">
        <v>840</v>
      </c>
      <c r="O55" s="538" t="b">
        <v>0</v>
      </c>
      <c r="P55" s="538" t="b">
        <v>1</v>
      </c>
      <c r="Q55" s="538" t="s">
        <v>79</v>
      </c>
      <c r="R55" s="538" t="s">
        <v>400</v>
      </c>
      <c r="S55" s="538" t="s">
        <v>79</v>
      </c>
      <c r="T55" s="538" t="s">
        <v>400</v>
      </c>
      <c r="U55" s="538" t="s">
        <v>79</v>
      </c>
      <c r="V55" s="538" t="s">
        <v>400</v>
      </c>
      <c r="W55" s="538" t="s">
        <v>79</v>
      </c>
      <c r="X55" s="538" t="s">
        <v>400</v>
      </c>
      <c r="Y55" s="538" t="s">
        <v>79</v>
      </c>
      <c r="Z55" s="538" t="s">
        <v>400</v>
      </c>
      <c r="AA55" s="538" t="s">
        <v>79</v>
      </c>
      <c r="AB55" s="538" t="s">
        <v>400</v>
      </c>
      <c r="AC55" s="538" t="s">
        <v>79</v>
      </c>
      <c r="AD55" s="538" t="s">
        <v>400</v>
      </c>
      <c r="AE55" s="538" t="s">
        <v>79</v>
      </c>
      <c r="AF55" s="538" t="s">
        <v>400</v>
      </c>
      <c r="AG55" s="538" t="s">
        <v>79</v>
      </c>
      <c r="AH55" s="538" t="s">
        <v>400</v>
      </c>
      <c r="AI55" s="538" t="s">
        <v>79</v>
      </c>
      <c r="AJ55" s="538" t="s">
        <v>400</v>
      </c>
      <c r="AK55" s="538" t="s">
        <v>79</v>
      </c>
      <c r="AL55" s="538" t="s">
        <v>400</v>
      </c>
      <c r="AM55" s="538" t="s">
        <v>79</v>
      </c>
      <c r="AN55" s="538" t="s">
        <v>400</v>
      </c>
      <c r="AO55" s="538" t="s">
        <v>79</v>
      </c>
      <c r="AP55" s="538" t="s">
        <v>400</v>
      </c>
      <c r="AQ55" s="538" t="s">
        <v>73</v>
      </c>
      <c r="AS55" s="538">
        <v>2.541405785E9</v>
      </c>
      <c r="AT55" s="538">
        <v>3.15673632E9</v>
      </c>
      <c r="AU55" s="538">
        <v>53.0</v>
      </c>
      <c r="AV55" s="538" t="s">
        <v>41</v>
      </c>
      <c r="AZ55" s="538">
        <v>1.0</v>
      </c>
      <c r="BA55" s="538">
        <v>1.0</v>
      </c>
      <c r="BB55" s="538">
        <v>1.0</v>
      </c>
      <c r="BC55" s="538">
        <v>1.0</v>
      </c>
      <c r="BD55" s="538">
        <v>1.0</v>
      </c>
      <c r="BE55" s="538">
        <v>0.25</v>
      </c>
      <c r="BF55" s="538">
        <v>0.5</v>
      </c>
      <c r="BG55" s="538">
        <v>0.75</v>
      </c>
      <c r="BH55" s="538">
        <v>1.0</v>
      </c>
      <c r="BI55" s="538">
        <v>1.25</v>
      </c>
      <c r="BJ55" s="546"/>
      <c r="BL55" s="546"/>
    </row>
    <row r="56" ht="22.5" customHeight="1">
      <c r="A56" s="538">
        <v>55.0</v>
      </c>
      <c r="B56" s="538" t="s">
        <v>841</v>
      </c>
      <c r="C56" s="538" t="s">
        <v>84</v>
      </c>
      <c r="D56" s="538" t="s">
        <v>842</v>
      </c>
      <c r="E56" s="538" t="s">
        <v>292</v>
      </c>
      <c r="F56" s="538" t="s">
        <v>228</v>
      </c>
      <c r="G56" s="538" t="s">
        <v>163</v>
      </c>
      <c r="H56" s="538" t="s">
        <v>250</v>
      </c>
      <c r="I56" s="538" t="s">
        <v>155</v>
      </c>
      <c r="K56" s="538" t="s">
        <v>843</v>
      </c>
      <c r="L56" s="538" t="s">
        <v>844</v>
      </c>
      <c r="M56" s="538" t="s">
        <v>661</v>
      </c>
      <c r="N56" s="538" t="s">
        <v>845</v>
      </c>
      <c r="O56" s="538" t="b">
        <v>0</v>
      </c>
      <c r="P56" s="538" t="b">
        <v>1</v>
      </c>
      <c r="Q56" s="538" t="s">
        <v>79</v>
      </c>
      <c r="R56" s="538" t="s">
        <v>228</v>
      </c>
      <c r="S56" s="538" t="s">
        <v>79</v>
      </c>
      <c r="T56" s="538" t="s">
        <v>228</v>
      </c>
      <c r="U56" s="538" t="s">
        <v>73</v>
      </c>
      <c r="W56" s="538" t="s">
        <v>73</v>
      </c>
      <c r="Y56" s="538" t="s">
        <v>79</v>
      </c>
      <c r="Z56" s="538" t="s">
        <v>228</v>
      </c>
      <c r="AA56" s="538" t="s">
        <v>73</v>
      </c>
      <c r="AC56" s="538" t="s">
        <v>73</v>
      </c>
      <c r="AE56" s="538" t="s">
        <v>73</v>
      </c>
      <c r="AG56" s="538" t="s">
        <v>79</v>
      </c>
      <c r="AH56" s="538" t="s">
        <v>228</v>
      </c>
      <c r="AI56" s="538" t="s">
        <v>73</v>
      </c>
      <c r="AK56" s="538" t="s">
        <v>79</v>
      </c>
      <c r="AL56" s="538" t="s">
        <v>228</v>
      </c>
      <c r="AM56" s="538" t="s">
        <v>79</v>
      </c>
      <c r="AN56" s="538" t="s">
        <v>228</v>
      </c>
      <c r="AO56" s="538" t="s">
        <v>79</v>
      </c>
      <c r="AP56" s="538" t="s">
        <v>292</v>
      </c>
      <c r="AQ56" s="538" t="s">
        <v>79</v>
      </c>
      <c r="AR56" s="538" t="s">
        <v>292</v>
      </c>
      <c r="AS56" s="538">
        <v>2.126712571E9</v>
      </c>
      <c r="AT56" s="538">
        <v>2.865735742E9</v>
      </c>
      <c r="AU56" s="538">
        <v>70.0</v>
      </c>
      <c r="AV56" s="538" t="s">
        <v>45</v>
      </c>
      <c r="AZ56" s="538">
        <v>1.0</v>
      </c>
      <c r="BA56" s="538">
        <v>1.0</v>
      </c>
      <c r="BB56" s="538">
        <v>1.0</v>
      </c>
      <c r="BE56" s="538">
        <v>0.08</v>
      </c>
      <c r="BF56" s="538">
        <v>0.01</v>
      </c>
      <c r="BG56" s="538">
        <v>0.02</v>
      </c>
      <c r="BJ56" s="546"/>
      <c r="BL56" s="546"/>
    </row>
    <row r="57" ht="22.5" customHeight="1">
      <c r="A57" s="538">
        <v>56.0</v>
      </c>
      <c r="B57" s="538" t="s">
        <v>841</v>
      </c>
      <c r="C57" s="538" t="s">
        <v>82</v>
      </c>
      <c r="D57" s="538" t="s">
        <v>842</v>
      </c>
      <c r="E57" s="538" t="s">
        <v>295</v>
      </c>
      <c r="F57" s="538" t="s">
        <v>228</v>
      </c>
      <c r="G57" s="538" t="s">
        <v>163</v>
      </c>
      <c r="H57" s="538" t="s">
        <v>250</v>
      </c>
      <c r="I57" s="538" t="s">
        <v>155</v>
      </c>
      <c r="K57" s="538" t="s">
        <v>846</v>
      </c>
      <c r="L57" s="538" t="s">
        <v>847</v>
      </c>
      <c r="M57" s="538" t="s">
        <v>673</v>
      </c>
      <c r="N57" s="538" t="s">
        <v>848</v>
      </c>
      <c r="O57" s="538" t="b">
        <v>0</v>
      </c>
      <c r="P57" s="538" t="b">
        <v>1</v>
      </c>
      <c r="Q57" s="538" t="s">
        <v>79</v>
      </c>
      <c r="R57" s="538" t="s">
        <v>228</v>
      </c>
      <c r="S57" s="538" t="s">
        <v>79</v>
      </c>
      <c r="T57" s="538" t="s">
        <v>228</v>
      </c>
      <c r="U57" s="538" t="s">
        <v>73</v>
      </c>
      <c r="W57" s="538" t="s">
        <v>73</v>
      </c>
      <c r="Y57" s="538" t="s">
        <v>79</v>
      </c>
      <c r="Z57" s="538" t="s">
        <v>228</v>
      </c>
      <c r="AA57" s="538" t="s">
        <v>73</v>
      </c>
      <c r="AC57" s="538" t="s">
        <v>73</v>
      </c>
      <c r="AE57" s="538" t="s">
        <v>73</v>
      </c>
      <c r="AG57" s="538" t="s">
        <v>79</v>
      </c>
      <c r="AH57" s="538" t="s">
        <v>228</v>
      </c>
      <c r="AI57" s="538" t="s">
        <v>73</v>
      </c>
      <c r="AK57" s="538" t="s">
        <v>79</v>
      </c>
      <c r="AL57" s="538" t="s">
        <v>228</v>
      </c>
      <c r="AM57" s="538" t="s">
        <v>79</v>
      </c>
      <c r="AN57" s="538" t="s">
        <v>228</v>
      </c>
      <c r="AO57" s="538" t="s">
        <v>79</v>
      </c>
      <c r="AP57" s="538" t="s">
        <v>295</v>
      </c>
      <c r="AQ57" s="538" t="s">
        <v>79</v>
      </c>
      <c r="AR57" s="538" t="s">
        <v>295</v>
      </c>
      <c r="AS57" s="538">
        <v>3.59740833E9</v>
      </c>
      <c r="AT57" s="538">
        <v>2.865735742E9</v>
      </c>
      <c r="AU57" s="538">
        <v>70.0</v>
      </c>
      <c r="AV57" s="538" t="s">
        <v>45</v>
      </c>
      <c r="AZ57" s="538">
        <v>1.0</v>
      </c>
      <c r="BA57" s="538">
        <v>1.0</v>
      </c>
      <c r="BB57" s="538">
        <v>1.0</v>
      </c>
      <c r="BC57" s="538">
        <v>1.0</v>
      </c>
      <c r="BD57" s="538">
        <v>1.0</v>
      </c>
      <c r="BE57" s="538">
        <v>0.05</v>
      </c>
      <c r="BF57" s="538">
        <v>0.1</v>
      </c>
      <c r="BG57" s="538">
        <v>0.15</v>
      </c>
      <c r="BH57" s="538">
        <v>0.2</v>
      </c>
      <c r="BI57" s="538">
        <v>0.3</v>
      </c>
      <c r="BJ57" s="546"/>
      <c r="BL57" s="546"/>
    </row>
    <row r="58" ht="22.5" customHeight="1">
      <c r="A58" s="538">
        <v>57.0</v>
      </c>
      <c r="B58" s="538" t="s">
        <v>849</v>
      </c>
      <c r="C58" s="538" t="s">
        <v>84</v>
      </c>
      <c r="D58" s="538" t="s">
        <v>842</v>
      </c>
      <c r="E58" s="538" t="s">
        <v>223</v>
      </c>
      <c r="F58" s="538" t="s">
        <v>850</v>
      </c>
      <c r="G58" s="538" t="s">
        <v>163</v>
      </c>
      <c r="H58" s="538" t="s">
        <v>250</v>
      </c>
      <c r="I58" s="538" t="s">
        <v>122</v>
      </c>
      <c r="J58" s="538" t="s">
        <v>299</v>
      </c>
      <c r="K58" s="538" t="s">
        <v>851</v>
      </c>
      <c r="L58" s="538" t="s">
        <v>852</v>
      </c>
      <c r="M58" s="538" t="s">
        <v>661</v>
      </c>
      <c r="N58" s="538" t="s">
        <v>853</v>
      </c>
      <c r="O58" s="538" t="b">
        <v>0</v>
      </c>
      <c r="P58" s="538" t="b">
        <v>1</v>
      </c>
      <c r="Q58" s="538" t="s">
        <v>79</v>
      </c>
      <c r="R58" s="538" t="s">
        <v>228</v>
      </c>
      <c r="S58" s="538" t="s">
        <v>79</v>
      </c>
      <c r="T58" s="538" t="s">
        <v>228</v>
      </c>
      <c r="U58" s="538" t="s">
        <v>75</v>
      </c>
      <c r="V58" s="538" t="s">
        <v>854</v>
      </c>
      <c r="W58" s="538" t="s">
        <v>75</v>
      </c>
      <c r="X58" s="538" t="s">
        <v>854</v>
      </c>
      <c r="Y58" s="538" t="s">
        <v>79</v>
      </c>
      <c r="Z58" s="538" t="s">
        <v>228</v>
      </c>
      <c r="AA58" s="538" t="s">
        <v>75</v>
      </c>
      <c r="AB58" s="538" t="s">
        <v>854</v>
      </c>
      <c r="AC58" s="538" t="s">
        <v>75</v>
      </c>
      <c r="AD58" s="538" t="s">
        <v>854</v>
      </c>
      <c r="AE58" s="538" t="s">
        <v>75</v>
      </c>
      <c r="AF58" s="538" t="s">
        <v>854</v>
      </c>
      <c r="AG58" s="538" t="s">
        <v>79</v>
      </c>
      <c r="AH58" s="538" t="s">
        <v>228</v>
      </c>
      <c r="AI58" s="538" t="s">
        <v>75</v>
      </c>
      <c r="AJ58" s="538" t="s">
        <v>854</v>
      </c>
      <c r="AK58" s="538" t="s">
        <v>79</v>
      </c>
      <c r="AL58" s="538" t="s">
        <v>228</v>
      </c>
      <c r="AM58" s="538" t="s">
        <v>79</v>
      </c>
      <c r="AN58" s="538" t="s">
        <v>228</v>
      </c>
      <c r="AO58" s="538" t="s">
        <v>79</v>
      </c>
      <c r="AP58" s="538" t="s">
        <v>223</v>
      </c>
      <c r="AQ58" s="538" t="s">
        <v>79</v>
      </c>
      <c r="AR58" s="538" t="s">
        <v>223</v>
      </c>
      <c r="AS58" s="538">
        <v>4.019544321E9</v>
      </c>
      <c r="AT58" s="538">
        <v>2.765885322E9</v>
      </c>
      <c r="AU58" s="538">
        <v>71.0</v>
      </c>
      <c r="AV58" s="538" t="s">
        <v>45</v>
      </c>
      <c r="AY58" s="538" t="s">
        <v>854</v>
      </c>
      <c r="AZ58" s="538">
        <v>1.0</v>
      </c>
      <c r="BA58" s="538">
        <v>1.0</v>
      </c>
      <c r="BB58" s="538">
        <v>1.0</v>
      </c>
      <c r="BE58" s="538">
        <v>0.2</v>
      </c>
      <c r="BF58" s="538">
        <v>0.1</v>
      </c>
      <c r="BG58" s="538">
        <v>0.15</v>
      </c>
      <c r="BJ58" s="546"/>
      <c r="BL58" s="546"/>
    </row>
    <row r="59" ht="22.5" customHeight="1">
      <c r="A59" s="538">
        <v>58.0</v>
      </c>
      <c r="B59" s="538" t="s">
        <v>849</v>
      </c>
      <c r="C59" s="538" t="s">
        <v>82</v>
      </c>
      <c r="D59" s="538" t="s">
        <v>842</v>
      </c>
      <c r="E59" s="538" t="s">
        <v>218</v>
      </c>
      <c r="F59" s="538" t="s">
        <v>855</v>
      </c>
      <c r="G59" s="538" t="s">
        <v>163</v>
      </c>
      <c r="H59" s="538" t="s">
        <v>222</v>
      </c>
      <c r="I59" s="538" t="s">
        <v>189</v>
      </c>
      <c r="J59" s="538" t="s">
        <v>299</v>
      </c>
      <c r="K59" s="538" t="s">
        <v>856</v>
      </c>
      <c r="L59" s="538" t="s">
        <v>857</v>
      </c>
      <c r="M59" s="538" t="s">
        <v>673</v>
      </c>
      <c r="N59" s="538" t="s">
        <v>682</v>
      </c>
      <c r="O59" s="538" t="b">
        <v>0</v>
      </c>
      <c r="P59" s="538" t="b">
        <v>1</v>
      </c>
      <c r="Q59" s="538" t="s">
        <v>79</v>
      </c>
      <c r="R59" s="538" t="s">
        <v>858</v>
      </c>
      <c r="S59" s="538" t="s">
        <v>79</v>
      </c>
      <c r="T59" s="538" t="s">
        <v>858</v>
      </c>
      <c r="U59" s="538" t="s">
        <v>75</v>
      </c>
      <c r="V59" s="538" t="s">
        <v>859</v>
      </c>
      <c r="W59" s="538" t="s">
        <v>75</v>
      </c>
      <c r="X59" s="538" t="s">
        <v>859</v>
      </c>
      <c r="Y59" s="538" t="s">
        <v>79</v>
      </c>
      <c r="Z59" s="538" t="s">
        <v>858</v>
      </c>
      <c r="AA59" s="538" t="s">
        <v>75</v>
      </c>
      <c r="AB59" s="538" t="s">
        <v>859</v>
      </c>
      <c r="AC59" s="538" t="s">
        <v>79</v>
      </c>
      <c r="AD59" s="538" t="s">
        <v>377</v>
      </c>
      <c r="AE59" s="538" t="s">
        <v>79</v>
      </c>
      <c r="AF59" s="538" t="s">
        <v>377</v>
      </c>
      <c r="AG59" s="538" t="s">
        <v>79</v>
      </c>
      <c r="AH59" s="538" t="s">
        <v>858</v>
      </c>
      <c r="AI59" s="538" t="s">
        <v>79</v>
      </c>
      <c r="AJ59" s="538" t="s">
        <v>377</v>
      </c>
      <c r="AK59" s="538" t="s">
        <v>79</v>
      </c>
      <c r="AL59" s="538" t="s">
        <v>858</v>
      </c>
      <c r="AM59" s="538" t="s">
        <v>79</v>
      </c>
      <c r="AN59" s="538" t="s">
        <v>858</v>
      </c>
      <c r="AO59" s="538" t="s">
        <v>79</v>
      </c>
      <c r="AP59" s="538" t="s">
        <v>218</v>
      </c>
      <c r="AQ59" s="538" t="s">
        <v>79</v>
      </c>
      <c r="AR59" s="538" t="s">
        <v>218</v>
      </c>
      <c r="AS59" s="538">
        <v>4.155292475E9</v>
      </c>
      <c r="AT59" s="538">
        <v>2.765885322E9</v>
      </c>
      <c r="AU59" s="538">
        <v>71.0</v>
      </c>
      <c r="AV59" s="538" t="s">
        <v>45</v>
      </c>
      <c r="AY59" s="538" t="s">
        <v>859</v>
      </c>
      <c r="AZ59" s="538">
        <v>1.0</v>
      </c>
      <c r="BA59" s="538">
        <v>1.0</v>
      </c>
      <c r="BB59" s="538">
        <v>1.0</v>
      </c>
      <c r="BC59" s="538">
        <v>1.0</v>
      </c>
      <c r="BD59" s="538">
        <v>1.0</v>
      </c>
      <c r="BE59" s="538">
        <v>0.1</v>
      </c>
      <c r="BF59" s="538">
        <v>0.15</v>
      </c>
      <c r="BG59" s="538">
        <v>0.2</v>
      </c>
      <c r="BH59" s="538">
        <v>0.25</v>
      </c>
      <c r="BI59" s="538">
        <v>0.3</v>
      </c>
      <c r="BJ59" s="546"/>
      <c r="BL59" s="546"/>
    </row>
    <row r="60" ht="22.5" customHeight="1">
      <c r="A60" s="538">
        <v>59.0</v>
      </c>
      <c r="B60" s="538" t="s">
        <v>860</v>
      </c>
      <c r="C60" s="538" t="s">
        <v>84</v>
      </c>
      <c r="D60" s="538" t="s">
        <v>842</v>
      </c>
      <c r="E60" s="538" t="s">
        <v>274</v>
      </c>
      <c r="G60" s="538" t="s">
        <v>151</v>
      </c>
      <c r="H60" s="538" t="s">
        <v>250</v>
      </c>
      <c r="I60" s="538" t="s">
        <v>122</v>
      </c>
      <c r="K60" s="538" t="s">
        <v>861</v>
      </c>
      <c r="L60" s="538" t="s">
        <v>862</v>
      </c>
      <c r="M60" s="538" t="s">
        <v>661</v>
      </c>
      <c r="N60" s="538" t="s">
        <v>863</v>
      </c>
      <c r="O60" s="538" t="b">
        <v>0</v>
      </c>
      <c r="P60" s="538" t="b">
        <v>1</v>
      </c>
      <c r="Q60" s="538" t="s">
        <v>73</v>
      </c>
      <c r="S60" s="538" t="s">
        <v>73</v>
      </c>
      <c r="U60" s="538" t="s">
        <v>73</v>
      </c>
      <c r="W60" s="538" t="s">
        <v>73</v>
      </c>
      <c r="Y60" s="538" t="s">
        <v>73</v>
      </c>
      <c r="AA60" s="538" t="s">
        <v>73</v>
      </c>
      <c r="AC60" s="538" t="s">
        <v>73</v>
      </c>
      <c r="AE60" s="538" t="s">
        <v>73</v>
      </c>
      <c r="AG60" s="538" t="s">
        <v>73</v>
      </c>
      <c r="AI60" s="538" t="s">
        <v>73</v>
      </c>
      <c r="AK60" s="538" t="s">
        <v>73</v>
      </c>
      <c r="AM60" s="538" t="s">
        <v>73</v>
      </c>
      <c r="AO60" s="538" t="s">
        <v>79</v>
      </c>
      <c r="AP60" s="538" t="s">
        <v>274</v>
      </c>
      <c r="AQ60" s="538" t="s">
        <v>79</v>
      </c>
      <c r="AR60" s="538" t="s">
        <v>274</v>
      </c>
      <c r="AS60" s="538">
        <v>2.055328539E9</v>
      </c>
      <c r="AT60" s="538">
        <v>7.76602621E8</v>
      </c>
      <c r="AU60" s="538">
        <v>72.0</v>
      </c>
      <c r="AV60" s="538" t="s">
        <v>41</v>
      </c>
      <c r="AZ60" s="538">
        <v>1.0</v>
      </c>
      <c r="BA60" s="538">
        <v>1.0</v>
      </c>
      <c r="BB60" s="538">
        <v>1.0</v>
      </c>
      <c r="BE60" s="538">
        <v>0.25</v>
      </c>
      <c r="BF60" s="538">
        <v>0.05</v>
      </c>
      <c r="BG60" s="538">
        <v>0.1</v>
      </c>
      <c r="BJ60" s="546"/>
      <c r="BL60" s="546"/>
    </row>
    <row r="61" ht="22.5" customHeight="1">
      <c r="A61" s="538">
        <v>60.0</v>
      </c>
      <c r="B61" s="538" t="s">
        <v>860</v>
      </c>
      <c r="C61" s="538" t="s">
        <v>82</v>
      </c>
      <c r="D61" s="538" t="s">
        <v>842</v>
      </c>
      <c r="E61" s="538" t="s">
        <v>295</v>
      </c>
      <c r="F61" s="538" t="s">
        <v>850</v>
      </c>
      <c r="G61" s="538" t="s">
        <v>163</v>
      </c>
      <c r="H61" s="538" t="s">
        <v>222</v>
      </c>
      <c r="I61" s="538" t="s">
        <v>201</v>
      </c>
      <c r="J61" s="538" t="s">
        <v>305</v>
      </c>
      <c r="K61" s="538" t="s">
        <v>864</v>
      </c>
      <c r="L61" s="538" t="s">
        <v>865</v>
      </c>
      <c r="M61" s="538" t="s">
        <v>673</v>
      </c>
      <c r="N61" s="538" t="s">
        <v>866</v>
      </c>
      <c r="O61" s="538" t="b">
        <v>0</v>
      </c>
      <c r="P61" s="538" t="b">
        <v>1</v>
      </c>
      <c r="Q61" s="538" t="s">
        <v>79</v>
      </c>
      <c r="R61" s="538" t="s">
        <v>228</v>
      </c>
      <c r="S61" s="538" t="s">
        <v>79</v>
      </c>
      <c r="T61" s="538" t="s">
        <v>228</v>
      </c>
      <c r="U61" s="538" t="s">
        <v>75</v>
      </c>
      <c r="V61" s="538" t="s">
        <v>679</v>
      </c>
      <c r="W61" s="538" t="s">
        <v>75</v>
      </c>
      <c r="X61" s="538" t="s">
        <v>679</v>
      </c>
      <c r="Y61" s="538" t="s">
        <v>79</v>
      </c>
      <c r="Z61" s="538" t="s">
        <v>228</v>
      </c>
      <c r="AA61" s="538" t="s">
        <v>75</v>
      </c>
      <c r="AB61" s="538" t="s">
        <v>679</v>
      </c>
      <c r="AC61" s="538" t="s">
        <v>75</v>
      </c>
      <c r="AD61" s="538" t="s">
        <v>679</v>
      </c>
      <c r="AE61" s="538" t="s">
        <v>75</v>
      </c>
      <c r="AF61" s="538" t="s">
        <v>679</v>
      </c>
      <c r="AG61" s="538" t="s">
        <v>79</v>
      </c>
      <c r="AH61" s="538" t="s">
        <v>228</v>
      </c>
      <c r="AI61" s="538" t="s">
        <v>75</v>
      </c>
      <c r="AJ61" s="538" t="s">
        <v>679</v>
      </c>
      <c r="AK61" s="538" t="s">
        <v>79</v>
      </c>
      <c r="AL61" s="538" t="s">
        <v>228</v>
      </c>
      <c r="AM61" s="538" t="s">
        <v>79</v>
      </c>
      <c r="AN61" s="538" t="s">
        <v>228</v>
      </c>
      <c r="AO61" s="538" t="s">
        <v>79</v>
      </c>
      <c r="AP61" s="538" t="s">
        <v>295</v>
      </c>
      <c r="AQ61" s="538" t="s">
        <v>79</v>
      </c>
      <c r="AR61" s="538" t="s">
        <v>295</v>
      </c>
      <c r="AS61" s="538">
        <v>2.166644813E9</v>
      </c>
      <c r="AT61" s="538">
        <v>7.76602621E8</v>
      </c>
      <c r="AU61" s="538">
        <v>72.0</v>
      </c>
      <c r="AV61" s="538" t="s">
        <v>41</v>
      </c>
      <c r="AY61" s="538" t="s">
        <v>679</v>
      </c>
      <c r="AZ61" s="538">
        <v>1.0</v>
      </c>
      <c r="BA61" s="538">
        <v>1.0</v>
      </c>
      <c r="BB61" s="538">
        <v>1.0</v>
      </c>
      <c r="BC61" s="538">
        <v>1.0</v>
      </c>
      <c r="BD61" s="538">
        <v>1.0</v>
      </c>
      <c r="BE61" s="538">
        <v>0.1</v>
      </c>
      <c r="BF61" s="538">
        <v>0.2</v>
      </c>
      <c r="BG61" s="538">
        <v>0.3</v>
      </c>
      <c r="BH61" s="538">
        <v>0.4</v>
      </c>
      <c r="BI61" s="538">
        <v>0.5</v>
      </c>
      <c r="BJ61" s="546"/>
      <c r="BL61" s="546"/>
    </row>
    <row r="62" ht="22.5" customHeight="1">
      <c r="A62" s="538">
        <v>61.0</v>
      </c>
      <c r="B62" s="538" t="s">
        <v>867</v>
      </c>
      <c r="C62" s="538" t="s">
        <v>84</v>
      </c>
      <c r="D62" s="538" t="s">
        <v>842</v>
      </c>
      <c r="E62" s="538" t="s">
        <v>283</v>
      </c>
      <c r="G62" s="538" t="s">
        <v>151</v>
      </c>
      <c r="H62" s="538" t="s">
        <v>250</v>
      </c>
      <c r="I62" s="538" t="s">
        <v>122</v>
      </c>
      <c r="K62" s="538" t="s">
        <v>868</v>
      </c>
      <c r="L62" s="538" t="s">
        <v>869</v>
      </c>
      <c r="M62" s="538" t="s">
        <v>661</v>
      </c>
      <c r="N62" s="538" t="s">
        <v>863</v>
      </c>
      <c r="O62" s="538" t="b">
        <v>0</v>
      </c>
      <c r="P62" s="538" t="b">
        <v>1</v>
      </c>
      <c r="Q62" s="538" t="s">
        <v>73</v>
      </c>
      <c r="S62" s="538" t="s">
        <v>73</v>
      </c>
      <c r="U62" s="538" t="s">
        <v>73</v>
      </c>
      <c r="W62" s="538" t="s">
        <v>73</v>
      </c>
      <c r="Y62" s="538" t="s">
        <v>73</v>
      </c>
      <c r="AA62" s="538" t="s">
        <v>73</v>
      </c>
      <c r="AC62" s="538" t="s">
        <v>73</v>
      </c>
      <c r="AE62" s="538" t="s">
        <v>73</v>
      </c>
      <c r="AG62" s="538" t="s">
        <v>73</v>
      </c>
      <c r="AI62" s="538" t="s">
        <v>73</v>
      </c>
      <c r="AK62" s="538" t="s">
        <v>73</v>
      </c>
      <c r="AM62" s="538" t="s">
        <v>73</v>
      </c>
      <c r="AO62" s="538" t="s">
        <v>79</v>
      </c>
      <c r="AP62" s="538" t="s">
        <v>283</v>
      </c>
      <c r="AQ62" s="538" t="s">
        <v>79</v>
      </c>
      <c r="AR62" s="538" t="s">
        <v>283</v>
      </c>
      <c r="AS62" s="538">
        <v>2.509864835E9</v>
      </c>
      <c r="AT62" s="538">
        <v>2.567136252E9</v>
      </c>
      <c r="AU62" s="538">
        <v>73.0</v>
      </c>
      <c r="AV62" s="538" t="s">
        <v>41</v>
      </c>
      <c r="AZ62" s="538">
        <v>1.0</v>
      </c>
      <c r="BA62" s="538">
        <v>1.0</v>
      </c>
      <c r="BB62" s="538">
        <v>1.0</v>
      </c>
      <c r="BE62" s="538">
        <v>0.25</v>
      </c>
      <c r="BF62" s="538">
        <v>0.05</v>
      </c>
      <c r="BG62" s="538">
        <v>0.1</v>
      </c>
      <c r="BJ62" s="546"/>
      <c r="BL62" s="546"/>
    </row>
    <row r="63" ht="22.5" customHeight="1">
      <c r="A63" s="538">
        <v>62.0</v>
      </c>
      <c r="B63" s="538" t="s">
        <v>867</v>
      </c>
      <c r="C63" s="538" t="s">
        <v>82</v>
      </c>
      <c r="D63" s="538" t="s">
        <v>842</v>
      </c>
      <c r="E63" s="538" t="s">
        <v>218</v>
      </c>
      <c r="F63" s="538" t="s">
        <v>858</v>
      </c>
      <c r="G63" s="538" t="s">
        <v>163</v>
      </c>
      <c r="H63" s="538" t="s">
        <v>250</v>
      </c>
      <c r="I63" s="538" t="s">
        <v>122</v>
      </c>
      <c r="K63" s="538" t="s">
        <v>870</v>
      </c>
      <c r="L63" s="538" t="s">
        <v>871</v>
      </c>
      <c r="M63" s="538" t="s">
        <v>673</v>
      </c>
      <c r="N63" s="538" t="s">
        <v>872</v>
      </c>
      <c r="O63" s="538" t="b">
        <v>0</v>
      </c>
      <c r="P63" s="538" t="b">
        <v>1</v>
      </c>
      <c r="Q63" s="538" t="s">
        <v>79</v>
      </c>
      <c r="R63" s="538" t="s">
        <v>858</v>
      </c>
      <c r="S63" s="538" t="s">
        <v>79</v>
      </c>
      <c r="T63" s="538" t="s">
        <v>858</v>
      </c>
      <c r="U63" s="538" t="s">
        <v>75</v>
      </c>
      <c r="V63" s="538" t="s">
        <v>279</v>
      </c>
      <c r="W63" s="538" t="s">
        <v>75</v>
      </c>
      <c r="X63" s="538" t="s">
        <v>279</v>
      </c>
      <c r="Y63" s="538" t="s">
        <v>79</v>
      </c>
      <c r="Z63" s="538" t="s">
        <v>858</v>
      </c>
      <c r="AA63" s="538" t="s">
        <v>75</v>
      </c>
      <c r="AB63" s="538" t="s">
        <v>279</v>
      </c>
      <c r="AC63" s="538" t="s">
        <v>75</v>
      </c>
      <c r="AD63" s="538" t="s">
        <v>279</v>
      </c>
      <c r="AE63" s="538" t="s">
        <v>75</v>
      </c>
      <c r="AF63" s="538" t="s">
        <v>279</v>
      </c>
      <c r="AG63" s="538" t="s">
        <v>79</v>
      </c>
      <c r="AH63" s="538" t="s">
        <v>858</v>
      </c>
      <c r="AI63" s="538" t="s">
        <v>75</v>
      </c>
      <c r="AJ63" s="538" t="s">
        <v>279</v>
      </c>
      <c r="AK63" s="538" t="s">
        <v>79</v>
      </c>
      <c r="AL63" s="538" t="s">
        <v>858</v>
      </c>
      <c r="AM63" s="538" t="s">
        <v>79</v>
      </c>
      <c r="AN63" s="538" t="s">
        <v>858</v>
      </c>
      <c r="AO63" s="538" t="s">
        <v>79</v>
      </c>
      <c r="AP63" s="538" t="s">
        <v>218</v>
      </c>
      <c r="AQ63" s="538" t="s">
        <v>79</v>
      </c>
      <c r="AR63" s="538" t="s">
        <v>218</v>
      </c>
      <c r="AS63" s="538">
        <v>1.009573168E9</v>
      </c>
      <c r="AT63" s="538">
        <v>2.567136252E9</v>
      </c>
      <c r="AU63" s="538">
        <v>73.0</v>
      </c>
      <c r="AV63" s="538" t="s">
        <v>41</v>
      </c>
      <c r="AY63" s="538" t="s">
        <v>279</v>
      </c>
      <c r="AZ63" s="538">
        <v>1.0</v>
      </c>
      <c r="BA63" s="538">
        <v>1.0</v>
      </c>
      <c r="BB63" s="538">
        <v>1.0</v>
      </c>
      <c r="BC63" s="538">
        <v>1.0</v>
      </c>
      <c r="BD63" s="538">
        <v>1.0</v>
      </c>
      <c r="BE63" s="538">
        <v>0.05</v>
      </c>
      <c r="BF63" s="538">
        <v>0.07</v>
      </c>
      <c r="BG63" s="538">
        <v>0.1</v>
      </c>
      <c r="BH63" s="538">
        <v>0.15</v>
      </c>
      <c r="BI63" s="538">
        <v>0.2</v>
      </c>
      <c r="BJ63" s="546"/>
      <c r="BL63" s="546"/>
    </row>
    <row r="64" ht="22.5" customHeight="1">
      <c r="A64" s="538">
        <v>63.0</v>
      </c>
      <c r="B64" s="538" t="s">
        <v>873</v>
      </c>
      <c r="C64" s="538" t="s">
        <v>84</v>
      </c>
      <c r="D64" s="538" t="s">
        <v>842</v>
      </c>
      <c r="E64" s="538" t="s">
        <v>286</v>
      </c>
      <c r="G64" s="538" t="s">
        <v>151</v>
      </c>
      <c r="H64" s="538" t="s">
        <v>250</v>
      </c>
      <c r="I64" s="538" t="s">
        <v>122</v>
      </c>
      <c r="K64" s="538" t="s">
        <v>874</v>
      </c>
      <c r="L64" s="538" t="s">
        <v>875</v>
      </c>
      <c r="M64" s="538" t="s">
        <v>661</v>
      </c>
      <c r="N64" s="538" t="s">
        <v>876</v>
      </c>
      <c r="O64" s="538" t="b">
        <v>0</v>
      </c>
      <c r="P64" s="538" t="b">
        <v>1</v>
      </c>
      <c r="Q64" s="538" t="s">
        <v>79</v>
      </c>
      <c r="R64" s="538" t="s">
        <v>286</v>
      </c>
      <c r="S64" s="538" t="s">
        <v>79</v>
      </c>
      <c r="T64" s="538" t="s">
        <v>286</v>
      </c>
      <c r="U64" s="538" t="s">
        <v>79</v>
      </c>
      <c r="V64" s="538" t="s">
        <v>286</v>
      </c>
      <c r="W64" s="538" t="s">
        <v>79</v>
      </c>
      <c r="X64" s="538" t="s">
        <v>286</v>
      </c>
      <c r="Y64" s="538" t="s">
        <v>79</v>
      </c>
      <c r="Z64" s="538" t="s">
        <v>286</v>
      </c>
      <c r="AA64" s="538" t="s">
        <v>79</v>
      </c>
      <c r="AB64" s="538" t="s">
        <v>286</v>
      </c>
      <c r="AC64" s="538" t="s">
        <v>79</v>
      </c>
      <c r="AD64" s="538" t="s">
        <v>286</v>
      </c>
      <c r="AE64" s="538" t="s">
        <v>79</v>
      </c>
      <c r="AF64" s="538" t="s">
        <v>286</v>
      </c>
      <c r="AG64" s="538" t="s">
        <v>79</v>
      </c>
      <c r="AH64" s="538" t="s">
        <v>286</v>
      </c>
      <c r="AI64" s="538" t="s">
        <v>79</v>
      </c>
      <c r="AJ64" s="538" t="s">
        <v>286</v>
      </c>
      <c r="AK64" s="538" t="s">
        <v>79</v>
      </c>
      <c r="AL64" s="538" t="s">
        <v>286</v>
      </c>
      <c r="AM64" s="538" t="s">
        <v>79</v>
      </c>
      <c r="AN64" s="538" t="s">
        <v>286</v>
      </c>
      <c r="AO64" s="538" t="s">
        <v>79</v>
      </c>
      <c r="AP64" s="538" t="s">
        <v>286</v>
      </c>
      <c r="AQ64" s="538" t="s">
        <v>73</v>
      </c>
      <c r="AS64" s="538">
        <v>7.46079457E8</v>
      </c>
      <c r="AT64" s="538">
        <v>1.455040265E9</v>
      </c>
      <c r="AU64" s="538">
        <v>74.0</v>
      </c>
      <c r="AV64" s="538" t="s">
        <v>41</v>
      </c>
      <c r="AZ64" s="538">
        <v>1.0</v>
      </c>
      <c r="BA64" s="538">
        <v>1.0</v>
      </c>
      <c r="BB64" s="538">
        <v>1.0</v>
      </c>
      <c r="BE64" s="538">
        <v>0.15</v>
      </c>
      <c r="BF64" s="538">
        <v>0.03</v>
      </c>
      <c r="BG64" s="538">
        <v>0.05</v>
      </c>
      <c r="BJ64" s="546"/>
      <c r="BL64" s="546"/>
    </row>
    <row r="65" ht="22.5" customHeight="1">
      <c r="A65" s="538">
        <v>64.0</v>
      </c>
      <c r="B65" s="538" t="s">
        <v>873</v>
      </c>
      <c r="C65" s="538" t="s">
        <v>82</v>
      </c>
      <c r="D65" s="538" t="s">
        <v>842</v>
      </c>
      <c r="E65" s="538" t="s">
        <v>218</v>
      </c>
      <c r="F65" s="538" t="s">
        <v>877</v>
      </c>
      <c r="G65" s="538" t="s">
        <v>163</v>
      </c>
      <c r="H65" s="538" t="s">
        <v>222</v>
      </c>
      <c r="I65" s="538" t="s">
        <v>189</v>
      </c>
      <c r="J65" s="538" t="s">
        <v>299</v>
      </c>
      <c r="K65" s="538" t="s">
        <v>878</v>
      </c>
      <c r="L65" s="538" t="s">
        <v>879</v>
      </c>
      <c r="M65" s="538" t="s">
        <v>673</v>
      </c>
      <c r="N65" s="538" t="s">
        <v>872</v>
      </c>
      <c r="O65" s="538" t="b">
        <v>0</v>
      </c>
      <c r="P65" s="538" t="b">
        <v>1</v>
      </c>
      <c r="Q65" s="538" t="s">
        <v>79</v>
      </c>
      <c r="R65" s="538" t="s">
        <v>880</v>
      </c>
      <c r="S65" s="538" t="s">
        <v>79</v>
      </c>
      <c r="T65" s="538" t="s">
        <v>880</v>
      </c>
      <c r="U65" s="538" t="s">
        <v>75</v>
      </c>
      <c r="V65" s="538" t="s">
        <v>881</v>
      </c>
      <c r="W65" s="538" t="s">
        <v>75</v>
      </c>
      <c r="X65" s="538" t="s">
        <v>881</v>
      </c>
      <c r="Y65" s="538" t="s">
        <v>79</v>
      </c>
      <c r="Z65" s="538" t="s">
        <v>880</v>
      </c>
      <c r="AA65" s="538" t="s">
        <v>75</v>
      </c>
      <c r="AB65" s="538" t="s">
        <v>881</v>
      </c>
      <c r="AC65" s="538" t="s">
        <v>79</v>
      </c>
      <c r="AD65" s="538" t="s">
        <v>377</v>
      </c>
      <c r="AE65" s="538" t="s">
        <v>79</v>
      </c>
      <c r="AF65" s="538" t="s">
        <v>377</v>
      </c>
      <c r="AG65" s="538" t="s">
        <v>79</v>
      </c>
      <c r="AH65" s="538" t="s">
        <v>880</v>
      </c>
      <c r="AI65" s="538" t="s">
        <v>79</v>
      </c>
      <c r="AJ65" s="538" t="s">
        <v>377</v>
      </c>
      <c r="AK65" s="538" t="s">
        <v>79</v>
      </c>
      <c r="AL65" s="538" t="s">
        <v>880</v>
      </c>
      <c r="AM65" s="538" t="s">
        <v>79</v>
      </c>
      <c r="AN65" s="538" t="s">
        <v>880</v>
      </c>
      <c r="AO65" s="538" t="s">
        <v>79</v>
      </c>
      <c r="AP65" s="538" t="s">
        <v>218</v>
      </c>
      <c r="AQ65" s="538" t="s">
        <v>79</v>
      </c>
      <c r="AR65" s="538" t="s">
        <v>218</v>
      </c>
      <c r="AS65" s="538">
        <v>2.109540283E9</v>
      </c>
      <c r="AT65" s="538">
        <v>1.455040265E9</v>
      </c>
      <c r="AU65" s="538">
        <v>74.0</v>
      </c>
      <c r="AV65" s="538" t="s">
        <v>41</v>
      </c>
      <c r="AY65" s="538" t="s">
        <v>881</v>
      </c>
      <c r="AZ65" s="538">
        <v>1.0</v>
      </c>
      <c r="BA65" s="538">
        <v>1.0</v>
      </c>
      <c r="BB65" s="538">
        <v>1.0</v>
      </c>
      <c r="BC65" s="538">
        <v>1.0</v>
      </c>
      <c r="BD65" s="538">
        <v>1.0</v>
      </c>
      <c r="BE65" s="538">
        <v>0.05</v>
      </c>
      <c r="BF65" s="538">
        <v>0.07</v>
      </c>
      <c r="BG65" s="538">
        <v>0.1</v>
      </c>
      <c r="BH65" s="538">
        <v>0.15</v>
      </c>
      <c r="BI65" s="538">
        <v>0.2</v>
      </c>
      <c r="BJ65" s="546"/>
      <c r="BL65" s="546"/>
    </row>
    <row r="66" ht="22.5" customHeight="1">
      <c r="A66" s="538">
        <v>65.0</v>
      </c>
      <c r="B66" s="538" t="s">
        <v>882</v>
      </c>
      <c r="C66" s="538" t="s">
        <v>84</v>
      </c>
      <c r="D66" s="538" t="s">
        <v>842</v>
      </c>
      <c r="E66" s="538" t="s">
        <v>271</v>
      </c>
      <c r="G66" s="538" t="s">
        <v>151</v>
      </c>
      <c r="H66" s="538" t="s">
        <v>250</v>
      </c>
      <c r="I66" s="538" t="s">
        <v>122</v>
      </c>
      <c r="K66" s="538" t="s">
        <v>883</v>
      </c>
      <c r="L66" s="538" t="s">
        <v>884</v>
      </c>
      <c r="M66" s="538" t="s">
        <v>661</v>
      </c>
      <c r="N66" s="538" t="s">
        <v>863</v>
      </c>
      <c r="O66" s="538" t="b">
        <v>0</v>
      </c>
      <c r="P66" s="538" t="b">
        <v>1</v>
      </c>
      <c r="Q66" s="538" t="s">
        <v>73</v>
      </c>
      <c r="S66" s="538" t="s">
        <v>73</v>
      </c>
      <c r="U66" s="538" t="s">
        <v>73</v>
      </c>
      <c r="W66" s="538" t="s">
        <v>73</v>
      </c>
      <c r="Y66" s="538" t="s">
        <v>73</v>
      </c>
      <c r="AA66" s="538" t="s">
        <v>73</v>
      </c>
      <c r="AC66" s="538" t="s">
        <v>73</v>
      </c>
      <c r="AE66" s="538" t="s">
        <v>73</v>
      </c>
      <c r="AG66" s="538" t="s">
        <v>73</v>
      </c>
      <c r="AI66" s="538" t="s">
        <v>73</v>
      </c>
      <c r="AK66" s="538" t="s">
        <v>73</v>
      </c>
      <c r="AM66" s="538" t="s">
        <v>73</v>
      </c>
      <c r="AO66" s="538" t="s">
        <v>79</v>
      </c>
      <c r="AP66" s="538" t="s">
        <v>271</v>
      </c>
      <c r="AQ66" s="538" t="s">
        <v>79</v>
      </c>
      <c r="AR66" s="538" t="s">
        <v>271</v>
      </c>
      <c r="AS66" s="538">
        <v>4.09435174E9</v>
      </c>
      <c r="AT66" s="538">
        <v>3.281026482E9</v>
      </c>
      <c r="AU66" s="538">
        <v>75.0</v>
      </c>
      <c r="AV66" s="538" t="s">
        <v>41</v>
      </c>
      <c r="AZ66" s="538">
        <v>1.0</v>
      </c>
      <c r="BA66" s="538">
        <v>1.0</v>
      </c>
      <c r="BB66" s="538">
        <v>1.0</v>
      </c>
      <c r="BE66" s="538">
        <v>0.25</v>
      </c>
      <c r="BF66" s="538">
        <v>0.05</v>
      </c>
      <c r="BG66" s="538">
        <v>0.1</v>
      </c>
      <c r="BJ66" s="546"/>
      <c r="BL66" s="546"/>
    </row>
    <row r="67" ht="22.5" customHeight="1">
      <c r="A67" s="538">
        <v>66.0</v>
      </c>
      <c r="B67" s="538" t="s">
        <v>882</v>
      </c>
      <c r="C67" s="538" t="s">
        <v>82</v>
      </c>
      <c r="D67" s="538" t="s">
        <v>842</v>
      </c>
      <c r="E67" s="538" t="s">
        <v>218</v>
      </c>
      <c r="F67" s="538" t="s">
        <v>880</v>
      </c>
      <c r="G67" s="538" t="s">
        <v>163</v>
      </c>
      <c r="H67" s="538" t="s">
        <v>250</v>
      </c>
      <c r="I67" s="538" t="s">
        <v>122</v>
      </c>
      <c r="K67" s="538" t="s">
        <v>885</v>
      </c>
      <c r="L67" s="538" t="s">
        <v>886</v>
      </c>
      <c r="M67" s="538" t="s">
        <v>673</v>
      </c>
      <c r="N67" s="538" t="s">
        <v>872</v>
      </c>
      <c r="O67" s="538" t="b">
        <v>0</v>
      </c>
      <c r="P67" s="538" t="b">
        <v>1</v>
      </c>
      <c r="Q67" s="538" t="s">
        <v>79</v>
      </c>
      <c r="R67" s="538" t="s">
        <v>880</v>
      </c>
      <c r="S67" s="538" t="s">
        <v>79</v>
      </c>
      <c r="T67" s="538" t="s">
        <v>880</v>
      </c>
      <c r="U67" s="538" t="s">
        <v>75</v>
      </c>
      <c r="V67" s="538" t="s">
        <v>282</v>
      </c>
      <c r="W67" s="538" t="s">
        <v>75</v>
      </c>
      <c r="X67" s="538" t="s">
        <v>282</v>
      </c>
      <c r="Y67" s="538" t="s">
        <v>79</v>
      </c>
      <c r="Z67" s="538" t="s">
        <v>880</v>
      </c>
      <c r="AA67" s="538" t="s">
        <v>75</v>
      </c>
      <c r="AB67" s="538" t="s">
        <v>282</v>
      </c>
      <c r="AC67" s="538" t="s">
        <v>75</v>
      </c>
      <c r="AD67" s="538" t="s">
        <v>282</v>
      </c>
      <c r="AE67" s="538" t="s">
        <v>75</v>
      </c>
      <c r="AF67" s="538" t="s">
        <v>282</v>
      </c>
      <c r="AG67" s="538" t="s">
        <v>79</v>
      </c>
      <c r="AH67" s="538" t="s">
        <v>880</v>
      </c>
      <c r="AI67" s="538" t="s">
        <v>75</v>
      </c>
      <c r="AJ67" s="538" t="s">
        <v>282</v>
      </c>
      <c r="AK67" s="538" t="s">
        <v>79</v>
      </c>
      <c r="AL67" s="538" t="s">
        <v>880</v>
      </c>
      <c r="AM67" s="538" t="s">
        <v>79</v>
      </c>
      <c r="AN67" s="538" t="s">
        <v>880</v>
      </c>
      <c r="AO67" s="538" t="s">
        <v>79</v>
      </c>
      <c r="AP67" s="538" t="s">
        <v>218</v>
      </c>
      <c r="AQ67" s="538" t="s">
        <v>79</v>
      </c>
      <c r="AR67" s="538" t="s">
        <v>218</v>
      </c>
      <c r="AS67" s="538">
        <v>3.26209566E8</v>
      </c>
      <c r="AT67" s="538">
        <v>3.281026482E9</v>
      </c>
      <c r="AU67" s="538">
        <v>75.0</v>
      </c>
      <c r="AV67" s="538" t="s">
        <v>41</v>
      </c>
      <c r="AY67" s="538" t="s">
        <v>282</v>
      </c>
      <c r="AZ67" s="538">
        <v>1.0</v>
      </c>
      <c r="BA67" s="538">
        <v>1.0</v>
      </c>
      <c r="BB67" s="538">
        <v>1.0</v>
      </c>
      <c r="BC67" s="538">
        <v>1.0</v>
      </c>
      <c r="BD67" s="538">
        <v>1.0</v>
      </c>
      <c r="BE67" s="538">
        <v>0.05</v>
      </c>
      <c r="BF67" s="538">
        <v>0.07</v>
      </c>
      <c r="BG67" s="538">
        <v>0.1</v>
      </c>
      <c r="BH67" s="538">
        <v>0.15</v>
      </c>
      <c r="BI67" s="538">
        <v>0.2</v>
      </c>
      <c r="BJ67" s="546"/>
      <c r="BL67" s="546"/>
    </row>
    <row r="68" ht="22.5" customHeight="1">
      <c r="A68" s="538">
        <v>67.0</v>
      </c>
      <c r="B68" s="538" t="s">
        <v>887</v>
      </c>
      <c r="C68" s="538" t="s">
        <v>84</v>
      </c>
      <c r="D68" s="538" t="s">
        <v>888</v>
      </c>
      <c r="E68" s="538" t="s">
        <v>231</v>
      </c>
      <c r="F68" s="538" t="s">
        <v>291</v>
      </c>
      <c r="G68" s="538" t="s">
        <v>151</v>
      </c>
      <c r="H68" s="538" t="s">
        <v>250</v>
      </c>
      <c r="I68" s="538" t="s">
        <v>122</v>
      </c>
      <c r="K68" s="538" t="s">
        <v>889</v>
      </c>
      <c r="L68" s="538" t="s">
        <v>890</v>
      </c>
      <c r="M68" s="538" t="s">
        <v>661</v>
      </c>
      <c r="N68" s="538" t="s">
        <v>785</v>
      </c>
      <c r="O68" s="538" t="b">
        <v>0</v>
      </c>
      <c r="P68" s="538" t="b">
        <v>1</v>
      </c>
      <c r="Q68" s="538" t="s">
        <v>79</v>
      </c>
      <c r="R68" s="538" t="s">
        <v>291</v>
      </c>
      <c r="S68" s="538" t="s">
        <v>73</v>
      </c>
      <c r="U68" s="538" t="s">
        <v>79</v>
      </c>
      <c r="V68" s="538" t="s">
        <v>291</v>
      </c>
      <c r="W68" s="538" t="s">
        <v>79</v>
      </c>
      <c r="X68" s="538" t="s">
        <v>291</v>
      </c>
      <c r="Y68" s="538" t="s">
        <v>79</v>
      </c>
      <c r="Z68" s="538" t="s">
        <v>291</v>
      </c>
      <c r="AA68" s="538" t="s">
        <v>79</v>
      </c>
      <c r="AB68" s="538" t="s">
        <v>291</v>
      </c>
      <c r="AC68" s="538" t="s">
        <v>79</v>
      </c>
      <c r="AD68" s="538" t="s">
        <v>291</v>
      </c>
      <c r="AE68" s="538" t="s">
        <v>79</v>
      </c>
      <c r="AF68" s="538" t="s">
        <v>291</v>
      </c>
      <c r="AG68" s="538" t="s">
        <v>79</v>
      </c>
      <c r="AH68" s="538" t="s">
        <v>291</v>
      </c>
      <c r="AI68" s="538" t="s">
        <v>79</v>
      </c>
      <c r="AJ68" s="538" t="s">
        <v>291</v>
      </c>
      <c r="AK68" s="538" t="s">
        <v>79</v>
      </c>
      <c r="AL68" s="538" t="s">
        <v>291</v>
      </c>
      <c r="AM68" s="538" t="s">
        <v>79</v>
      </c>
      <c r="AN68" s="538" t="s">
        <v>291</v>
      </c>
      <c r="AO68" s="538" t="s">
        <v>79</v>
      </c>
      <c r="AP68" s="538" t="s">
        <v>231</v>
      </c>
      <c r="AQ68" s="538" t="s">
        <v>79</v>
      </c>
      <c r="AR68" s="538" t="s">
        <v>231</v>
      </c>
      <c r="AS68" s="538">
        <v>3.760528359E9</v>
      </c>
      <c r="AT68" s="538">
        <v>2.775384983E9</v>
      </c>
      <c r="AU68" s="538">
        <v>58.0</v>
      </c>
      <c r="AV68" s="538" t="s">
        <v>41</v>
      </c>
      <c r="AZ68" s="538">
        <v>1.0</v>
      </c>
      <c r="BA68" s="538">
        <v>1.0</v>
      </c>
      <c r="BB68" s="538">
        <v>1.0</v>
      </c>
      <c r="BE68" s="538">
        <v>0.1</v>
      </c>
      <c r="BF68" s="538">
        <v>0.02</v>
      </c>
      <c r="BG68" s="538">
        <v>0.05</v>
      </c>
      <c r="BJ68" s="546"/>
      <c r="BL68" s="546"/>
    </row>
    <row r="69" ht="22.5" customHeight="1">
      <c r="A69" s="538">
        <v>68.0</v>
      </c>
      <c r="B69" s="538" t="s">
        <v>887</v>
      </c>
      <c r="C69" s="538" t="s">
        <v>82</v>
      </c>
      <c r="D69" s="538" t="s">
        <v>888</v>
      </c>
      <c r="E69" s="538" t="s">
        <v>223</v>
      </c>
      <c r="F69" s="538" t="s">
        <v>291</v>
      </c>
      <c r="G69" s="538" t="s">
        <v>151</v>
      </c>
      <c r="H69" s="538" t="s">
        <v>250</v>
      </c>
      <c r="I69" s="538" t="s">
        <v>122</v>
      </c>
      <c r="K69" s="538" t="s">
        <v>891</v>
      </c>
      <c r="L69" s="538" t="s">
        <v>892</v>
      </c>
      <c r="M69" s="538" t="s">
        <v>673</v>
      </c>
      <c r="N69" s="538" t="s">
        <v>893</v>
      </c>
      <c r="O69" s="538" t="b">
        <v>0</v>
      </c>
      <c r="P69" s="538" t="b">
        <v>1</v>
      </c>
      <c r="Q69" s="538" t="s">
        <v>79</v>
      </c>
      <c r="R69" s="538" t="s">
        <v>291</v>
      </c>
      <c r="S69" s="538" t="s">
        <v>73</v>
      </c>
      <c r="U69" s="538" t="s">
        <v>79</v>
      </c>
      <c r="V69" s="538" t="s">
        <v>291</v>
      </c>
      <c r="W69" s="538" t="s">
        <v>79</v>
      </c>
      <c r="X69" s="538" t="s">
        <v>291</v>
      </c>
      <c r="Y69" s="538" t="s">
        <v>79</v>
      </c>
      <c r="Z69" s="538" t="s">
        <v>291</v>
      </c>
      <c r="AA69" s="538" t="s">
        <v>79</v>
      </c>
      <c r="AB69" s="538" t="s">
        <v>291</v>
      </c>
      <c r="AC69" s="538" t="s">
        <v>79</v>
      </c>
      <c r="AD69" s="538" t="s">
        <v>291</v>
      </c>
      <c r="AE69" s="538" t="s">
        <v>79</v>
      </c>
      <c r="AF69" s="538" t="s">
        <v>291</v>
      </c>
      <c r="AG69" s="538" t="s">
        <v>79</v>
      </c>
      <c r="AH69" s="538" t="s">
        <v>291</v>
      </c>
      <c r="AI69" s="538" t="s">
        <v>79</v>
      </c>
      <c r="AJ69" s="538" t="s">
        <v>291</v>
      </c>
      <c r="AK69" s="538" t="s">
        <v>79</v>
      </c>
      <c r="AL69" s="538" t="s">
        <v>291</v>
      </c>
      <c r="AM69" s="538" t="s">
        <v>79</v>
      </c>
      <c r="AN69" s="538" t="s">
        <v>291</v>
      </c>
      <c r="AO69" s="538" t="s">
        <v>79</v>
      </c>
      <c r="AP69" s="538" t="s">
        <v>223</v>
      </c>
      <c r="AQ69" s="538" t="s">
        <v>79</v>
      </c>
      <c r="AR69" s="538" t="s">
        <v>223</v>
      </c>
      <c r="AS69" s="538">
        <v>6.4409548E7</v>
      </c>
      <c r="AT69" s="538">
        <v>2.775384983E9</v>
      </c>
      <c r="AU69" s="538">
        <v>58.0</v>
      </c>
      <c r="AV69" s="538" t="s">
        <v>41</v>
      </c>
      <c r="AZ69" s="538">
        <v>1.0</v>
      </c>
      <c r="BA69" s="538">
        <v>1.0</v>
      </c>
      <c r="BB69" s="538">
        <v>1.0</v>
      </c>
      <c r="BC69" s="538">
        <v>1.0</v>
      </c>
      <c r="BD69" s="538">
        <v>1.0</v>
      </c>
      <c r="BE69" s="538">
        <v>0.1</v>
      </c>
      <c r="BF69" s="538">
        <v>0.16</v>
      </c>
      <c r="BG69" s="538">
        <v>0.22</v>
      </c>
      <c r="BH69" s="538">
        <v>0.3</v>
      </c>
      <c r="BI69" s="538">
        <v>0.4</v>
      </c>
      <c r="BJ69" s="546"/>
      <c r="BL69" s="546"/>
    </row>
    <row r="70" ht="22.5" customHeight="1">
      <c r="A70" s="538">
        <v>69.0</v>
      </c>
      <c r="B70" s="538" t="s">
        <v>894</v>
      </c>
      <c r="C70" s="538" t="s">
        <v>84</v>
      </c>
      <c r="D70" s="538" t="s">
        <v>895</v>
      </c>
      <c r="E70" s="538" t="s">
        <v>236</v>
      </c>
      <c r="F70" s="538" t="s">
        <v>282</v>
      </c>
      <c r="G70" s="538" t="s">
        <v>163</v>
      </c>
      <c r="H70" s="538" t="s">
        <v>250</v>
      </c>
      <c r="I70" s="538" t="s">
        <v>201</v>
      </c>
      <c r="J70" s="538" t="s">
        <v>320</v>
      </c>
      <c r="K70" s="538" t="s">
        <v>896</v>
      </c>
      <c r="L70" s="538" t="s">
        <v>897</v>
      </c>
      <c r="M70" s="538" t="s">
        <v>699</v>
      </c>
      <c r="N70" s="538" t="s">
        <v>898</v>
      </c>
      <c r="O70" s="538" t="b">
        <v>1</v>
      </c>
      <c r="P70" s="538" t="b">
        <v>1</v>
      </c>
      <c r="Q70" s="538" t="s">
        <v>75</v>
      </c>
      <c r="R70" s="538" t="s">
        <v>282</v>
      </c>
      <c r="S70" s="538" t="s">
        <v>75</v>
      </c>
      <c r="T70" s="538" t="s">
        <v>282</v>
      </c>
      <c r="U70" s="538" t="s">
        <v>75</v>
      </c>
      <c r="V70" s="538" t="s">
        <v>282</v>
      </c>
      <c r="W70" s="538" t="s">
        <v>75</v>
      </c>
      <c r="X70" s="538" t="s">
        <v>282</v>
      </c>
      <c r="Y70" s="538" t="s">
        <v>75</v>
      </c>
      <c r="Z70" s="538" t="s">
        <v>282</v>
      </c>
      <c r="AA70" s="538" t="s">
        <v>75</v>
      </c>
      <c r="AB70" s="538" t="s">
        <v>282</v>
      </c>
      <c r="AC70" s="538" t="s">
        <v>75</v>
      </c>
      <c r="AD70" s="538" t="s">
        <v>282</v>
      </c>
      <c r="AE70" s="538" t="s">
        <v>75</v>
      </c>
      <c r="AF70" s="538" t="s">
        <v>282</v>
      </c>
      <c r="AG70" s="538" t="s">
        <v>75</v>
      </c>
      <c r="AH70" s="538" t="s">
        <v>282</v>
      </c>
      <c r="AI70" s="538" t="s">
        <v>75</v>
      </c>
      <c r="AJ70" s="538" t="s">
        <v>282</v>
      </c>
      <c r="AK70" s="538" t="s">
        <v>75</v>
      </c>
      <c r="AL70" s="538" t="s">
        <v>282</v>
      </c>
      <c r="AM70" s="538" t="s">
        <v>75</v>
      </c>
      <c r="AN70" s="538" t="s">
        <v>282</v>
      </c>
      <c r="AO70" s="538" t="s">
        <v>79</v>
      </c>
      <c r="AP70" s="538" t="s">
        <v>236</v>
      </c>
      <c r="AQ70" s="538" t="s">
        <v>79</v>
      </c>
      <c r="AR70" s="538" t="s">
        <v>236</v>
      </c>
      <c r="AS70" s="538">
        <v>1.556590305E9</v>
      </c>
      <c r="AT70" s="538">
        <v>9.13104893E8</v>
      </c>
      <c r="AU70" s="538">
        <v>25.0</v>
      </c>
      <c r="AV70" s="538" t="s">
        <v>46</v>
      </c>
      <c r="AY70" s="538" t="s">
        <v>282</v>
      </c>
      <c r="AZ70" s="538">
        <v>0.5</v>
      </c>
      <c r="BA70" s="538">
        <v>0.1</v>
      </c>
      <c r="BB70" s="538">
        <v>0.2</v>
      </c>
      <c r="BE70" s="538">
        <v>100.0</v>
      </c>
      <c r="BF70" s="538">
        <v>0.0</v>
      </c>
      <c r="BG70" s="538">
        <v>0.0</v>
      </c>
      <c r="BJ70" s="546"/>
      <c r="BL70" s="546"/>
    </row>
    <row r="71" ht="22.5" customHeight="1">
      <c r="A71" s="538">
        <v>70.0</v>
      </c>
      <c r="B71" s="538" t="s">
        <v>894</v>
      </c>
      <c r="C71" s="538" t="s">
        <v>82</v>
      </c>
      <c r="D71" s="538" t="s">
        <v>895</v>
      </c>
      <c r="E71" s="538" t="s">
        <v>319</v>
      </c>
      <c r="G71" s="538" t="s">
        <v>195</v>
      </c>
      <c r="H71" s="538" t="s">
        <v>250</v>
      </c>
      <c r="I71" s="538" t="s">
        <v>122</v>
      </c>
      <c r="J71" s="538" t="s">
        <v>237</v>
      </c>
      <c r="K71" s="538" t="s">
        <v>899</v>
      </c>
      <c r="L71" s="538" t="s">
        <v>900</v>
      </c>
      <c r="M71" s="538" t="s">
        <v>673</v>
      </c>
      <c r="N71" s="538" t="s">
        <v>763</v>
      </c>
      <c r="O71" s="538" t="b">
        <v>0</v>
      </c>
      <c r="P71" s="538" t="b">
        <v>1</v>
      </c>
      <c r="Q71" s="538" t="s">
        <v>79</v>
      </c>
      <c r="R71" s="538" t="s">
        <v>319</v>
      </c>
      <c r="S71" s="538" t="s">
        <v>79</v>
      </c>
      <c r="T71" s="538" t="s">
        <v>319</v>
      </c>
      <c r="U71" s="538" t="s">
        <v>79</v>
      </c>
      <c r="V71" s="538" t="s">
        <v>319</v>
      </c>
      <c r="W71" s="538" t="s">
        <v>79</v>
      </c>
      <c r="X71" s="538" t="s">
        <v>319</v>
      </c>
      <c r="Y71" s="538" t="s">
        <v>79</v>
      </c>
      <c r="Z71" s="538" t="s">
        <v>319</v>
      </c>
      <c r="AA71" s="538" t="s">
        <v>79</v>
      </c>
      <c r="AB71" s="538" t="s">
        <v>319</v>
      </c>
      <c r="AC71" s="538" t="s">
        <v>79</v>
      </c>
      <c r="AD71" s="538" t="s">
        <v>319</v>
      </c>
      <c r="AE71" s="538" t="s">
        <v>79</v>
      </c>
      <c r="AF71" s="538" t="s">
        <v>319</v>
      </c>
      <c r="AG71" s="538" t="s">
        <v>79</v>
      </c>
      <c r="AH71" s="538" t="s">
        <v>319</v>
      </c>
      <c r="AI71" s="538" t="s">
        <v>79</v>
      </c>
      <c r="AJ71" s="538" t="s">
        <v>319</v>
      </c>
      <c r="AK71" s="538" t="s">
        <v>79</v>
      </c>
      <c r="AL71" s="538" t="s">
        <v>319</v>
      </c>
      <c r="AM71" s="538" t="s">
        <v>79</v>
      </c>
      <c r="AN71" s="538" t="s">
        <v>319</v>
      </c>
      <c r="AO71" s="538" t="s">
        <v>79</v>
      </c>
      <c r="AP71" s="538" t="s">
        <v>319</v>
      </c>
      <c r="AQ71" s="538" t="s">
        <v>73</v>
      </c>
      <c r="AS71" s="538">
        <v>2.443405066E9</v>
      </c>
      <c r="AT71" s="538">
        <v>9.13104893E8</v>
      </c>
      <c r="AU71" s="538">
        <v>25.0</v>
      </c>
      <c r="AV71" s="538" t="s">
        <v>46</v>
      </c>
      <c r="AZ71" s="538">
        <v>1.0</v>
      </c>
      <c r="BA71" s="538">
        <v>1.0</v>
      </c>
      <c r="BB71" s="538">
        <v>1.0</v>
      </c>
      <c r="BC71" s="538">
        <v>1.0</v>
      </c>
      <c r="BD71" s="538">
        <v>1.0</v>
      </c>
      <c r="BE71" s="538">
        <v>0.25</v>
      </c>
      <c r="BF71" s="538">
        <v>0.3</v>
      </c>
      <c r="BG71" s="538">
        <v>0.35</v>
      </c>
      <c r="BH71" s="538">
        <v>0.4</v>
      </c>
      <c r="BI71" s="538">
        <v>0.5</v>
      </c>
      <c r="BJ71" s="546"/>
      <c r="BL71" s="546"/>
    </row>
    <row r="72" ht="22.5" customHeight="1">
      <c r="A72" s="538">
        <v>71.0</v>
      </c>
      <c r="B72" s="538" t="s">
        <v>901</v>
      </c>
      <c r="C72" s="538" t="s">
        <v>84</v>
      </c>
      <c r="D72" s="538" t="s">
        <v>895</v>
      </c>
      <c r="E72" s="538" t="s">
        <v>218</v>
      </c>
      <c r="G72" s="538" t="s">
        <v>261</v>
      </c>
      <c r="H72" s="538" t="s">
        <v>250</v>
      </c>
      <c r="I72" s="538" t="s">
        <v>122</v>
      </c>
      <c r="K72" s="538" t="s">
        <v>902</v>
      </c>
      <c r="L72" s="538" t="s">
        <v>903</v>
      </c>
      <c r="M72" s="538" t="s">
        <v>661</v>
      </c>
      <c r="N72" s="538" t="s">
        <v>685</v>
      </c>
      <c r="O72" s="538" t="b">
        <v>0</v>
      </c>
      <c r="P72" s="538" t="b">
        <v>1</v>
      </c>
      <c r="Q72" s="538" t="s">
        <v>73</v>
      </c>
      <c r="S72" s="538" t="s">
        <v>73</v>
      </c>
      <c r="U72" s="538" t="s">
        <v>73</v>
      </c>
      <c r="W72" s="538" t="s">
        <v>73</v>
      </c>
      <c r="Y72" s="538" t="s">
        <v>73</v>
      </c>
      <c r="AA72" s="538" t="s">
        <v>73</v>
      </c>
      <c r="AC72" s="538" t="s">
        <v>73</v>
      </c>
      <c r="AE72" s="538" t="s">
        <v>73</v>
      </c>
      <c r="AG72" s="538" t="s">
        <v>73</v>
      </c>
      <c r="AI72" s="538" t="s">
        <v>73</v>
      </c>
      <c r="AK72" s="538" t="s">
        <v>73</v>
      </c>
      <c r="AM72" s="538" t="s">
        <v>73</v>
      </c>
      <c r="AO72" s="538" t="s">
        <v>79</v>
      </c>
      <c r="AP72" s="538" t="s">
        <v>218</v>
      </c>
      <c r="AQ72" s="538" t="s">
        <v>79</v>
      </c>
      <c r="AR72" s="538" t="s">
        <v>218</v>
      </c>
      <c r="AS72" s="538">
        <v>7.5374504E8</v>
      </c>
      <c r="AT72" s="538">
        <v>3.001921707E9</v>
      </c>
      <c r="AU72" s="538">
        <v>26.0</v>
      </c>
      <c r="AV72" s="538" t="s">
        <v>45</v>
      </c>
      <c r="AZ72" s="538">
        <v>1.0</v>
      </c>
      <c r="BA72" s="538">
        <v>1.0</v>
      </c>
      <c r="BB72" s="538">
        <v>1.0</v>
      </c>
      <c r="BE72" s="538">
        <v>0.1</v>
      </c>
      <c r="BF72" s="538">
        <v>0.05</v>
      </c>
      <c r="BG72" s="538">
        <v>0.1</v>
      </c>
      <c r="BJ72" s="546"/>
      <c r="BL72" s="546"/>
    </row>
    <row r="73" ht="22.5" customHeight="1">
      <c r="A73" s="538">
        <v>72.0</v>
      </c>
      <c r="B73" s="538" t="s">
        <v>901</v>
      </c>
      <c r="C73" s="538" t="s">
        <v>82</v>
      </c>
      <c r="D73" s="538" t="s">
        <v>895</v>
      </c>
      <c r="E73" s="538" t="s">
        <v>218</v>
      </c>
      <c r="F73" s="538" t="s">
        <v>233</v>
      </c>
      <c r="G73" s="538" t="s">
        <v>163</v>
      </c>
      <c r="H73" s="538" t="s">
        <v>250</v>
      </c>
      <c r="I73" s="538" t="s">
        <v>176</v>
      </c>
      <c r="J73" s="538" t="s">
        <v>287</v>
      </c>
      <c r="K73" s="538" t="s">
        <v>904</v>
      </c>
      <c r="L73" s="538" t="s">
        <v>905</v>
      </c>
      <c r="M73" s="538" t="s">
        <v>673</v>
      </c>
      <c r="N73" s="538" t="s">
        <v>906</v>
      </c>
      <c r="O73" s="538" t="b">
        <v>0</v>
      </c>
      <c r="P73" s="538" t="b">
        <v>1</v>
      </c>
      <c r="Q73" s="538" t="s">
        <v>75</v>
      </c>
      <c r="R73" s="538" t="s">
        <v>907</v>
      </c>
      <c r="S73" s="538" t="s">
        <v>75</v>
      </c>
      <c r="T73" s="538" t="s">
        <v>907</v>
      </c>
      <c r="U73" s="538" t="s">
        <v>75</v>
      </c>
      <c r="V73" s="538" t="s">
        <v>907</v>
      </c>
      <c r="W73" s="538" t="s">
        <v>75</v>
      </c>
      <c r="X73" s="538" t="s">
        <v>907</v>
      </c>
      <c r="Y73" s="538" t="s">
        <v>75</v>
      </c>
      <c r="Z73" s="538" t="s">
        <v>907</v>
      </c>
      <c r="AA73" s="538" t="s">
        <v>75</v>
      </c>
      <c r="AB73" s="538" t="s">
        <v>907</v>
      </c>
      <c r="AC73" s="538" t="s">
        <v>75</v>
      </c>
      <c r="AD73" s="538" t="s">
        <v>907</v>
      </c>
      <c r="AE73" s="538" t="s">
        <v>75</v>
      </c>
      <c r="AF73" s="538" t="s">
        <v>907</v>
      </c>
      <c r="AG73" s="538" t="s">
        <v>75</v>
      </c>
      <c r="AH73" s="538" t="s">
        <v>907</v>
      </c>
      <c r="AI73" s="538" t="s">
        <v>79</v>
      </c>
      <c r="AJ73" s="538" t="s">
        <v>233</v>
      </c>
      <c r="AK73" s="538" t="s">
        <v>79</v>
      </c>
      <c r="AL73" s="538" t="s">
        <v>233</v>
      </c>
      <c r="AM73" s="538" t="s">
        <v>79</v>
      </c>
      <c r="AN73" s="538" t="s">
        <v>233</v>
      </c>
      <c r="AO73" s="538" t="s">
        <v>79</v>
      </c>
      <c r="AP73" s="538" t="s">
        <v>218</v>
      </c>
      <c r="AQ73" s="538" t="s">
        <v>79</v>
      </c>
      <c r="AR73" s="538" t="s">
        <v>218</v>
      </c>
      <c r="AS73" s="538">
        <v>6.60977416E8</v>
      </c>
      <c r="AT73" s="538">
        <v>3.001921707E9</v>
      </c>
      <c r="AU73" s="538">
        <v>26.0</v>
      </c>
      <c r="AV73" s="538" t="s">
        <v>45</v>
      </c>
      <c r="AY73" s="538" t="s">
        <v>907</v>
      </c>
      <c r="AZ73" s="538">
        <v>1.0</v>
      </c>
      <c r="BA73" s="538">
        <v>1.0</v>
      </c>
      <c r="BB73" s="538">
        <v>1.0</v>
      </c>
      <c r="BC73" s="538">
        <v>1.0</v>
      </c>
      <c r="BD73" s="538">
        <v>1.0</v>
      </c>
      <c r="BE73" s="538">
        <v>0.25</v>
      </c>
      <c r="BF73" s="538">
        <v>0.35</v>
      </c>
      <c r="BG73" s="538">
        <v>0.75</v>
      </c>
      <c r="BH73" s="538">
        <v>1.75</v>
      </c>
      <c r="BI73" s="538">
        <v>5.0</v>
      </c>
      <c r="BJ73" s="546"/>
      <c r="BL73" s="546"/>
    </row>
    <row r="74" ht="22.5" customHeight="1">
      <c r="A74" s="538">
        <v>73.0</v>
      </c>
      <c r="B74" s="538" t="s">
        <v>908</v>
      </c>
      <c r="C74" s="538" t="s">
        <v>84</v>
      </c>
      <c r="D74" s="538" t="s">
        <v>909</v>
      </c>
      <c r="E74" s="538" t="s">
        <v>218</v>
      </c>
      <c r="F74" s="538" t="s">
        <v>220</v>
      </c>
      <c r="G74" s="538" t="s">
        <v>163</v>
      </c>
      <c r="H74" s="538" t="s">
        <v>250</v>
      </c>
      <c r="I74" s="538" t="s">
        <v>122</v>
      </c>
      <c r="K74" s="538" t="s">
        <v>910</v>
      </c>
      <c r="L74" s="538" t="s">
        <v>911</v>
      </c>
      <c r="M74" s="538" t="s">
        <v>661</v>
      </c>
      <c r="N74" s="538" t="s">
        <v>912</v>
      </c>
      <c r="O74" s="538" t="b">
        <v>0</v>
      </c>
      <c r="P74" s="538" t="b">
        <v>1</v>
      </c>
      <c r="Q74" s="538" t="s">
        <v>75</v>
      </c>
      <c r="R74" s="538" t="s">
        <v>220</v>
      </c>
      <c r="S74" s="538" t="s">
        <v>75</v>
      </c>
      <c r="T74" s="538" t="s">
        <v>220</v>
      </c>
      <c r="U74" s="538" t="s">
        <v>75</v>
      </c>
      <c r="V74" s="538" t="s">
        <v>220</v>
      </c>
      <c r="W74" s="538" t="s">
        <v>75</v>
      </c>
      <c r="X74" s="538" t="s">
        <v>220</v>
      </c>
      <c r="Y74" s="538" t="s">
        <v>75</v>
      </c>
      <c r="Z74" s="538" t="s">
        <v>220</v>
      </c>
      <c r="AA74" s="538" t="s">
        <v>75</v>
      </c>
      <c r="AB74" s="538" t="s">
        <v>220</v>
      </c>
      <c r="AC74" s="538" t="s">
        <v>75</v>
      </c>
      <c r="AD74" s="538" t="s">
        <v>220</v>
      </c>
      <c r="AE74" s="538" t="s">
        <v>75</v>
      </c>
      <c r="AF74" s="538" t="s">
        <v>220</v>
      </c>
      <c r="AG74" s="538" t="s">
        <v>75</v>
      </c>
      <c r="AH74" s="538" t="s">
        <v>220</v>
      </c>
      <c r="AI74" s="538" t="s">
        <v>75</v>
      </c>
      <c r="AJ74" s="538" t="s">
        <v>220</v>
      </c>
      <c r="AK74" s="538" t="s">
        <v>75</v>
      </c>
      <c r="AL74" s="538" t="s">
        <v>220</v>
      </c>
      <c r="AM74" s="538" t="s">
        <v>75</v>
      </c>
      <c r="AN74" s="538" t="s">
        <v>220</v>
      </c>
      <c r="AO74" s="538" t="s">
        <v>79</v>
      </c>
      <c r="AP74" s="538" t="s">
        <v>218</v>
      </c>
      <c r="AQ74" s="538" t="s">
        <v>79</v>
      </c>
      <c r="AR74" s="538" t="s">
        <v>218</v>
      </c>
      <c r="AS74" s="538">
        <v>2.857502443E9</v>
      </c>
      <c r="AT74" s="538">
        <v>3.61377304E8</v>
      </c>
      <c r="AU74" s="538">
        <v>30.0</v>
      </c>
      <c r="AV74" s="538" t="s">
        <v>46</v>
      </c>
      <c r="AY74" s="538" t="s">
        <v>220</v>
      </c>
      <c r="AZ74" s="538">
        <v>1.0</v>
      </c>
      <c r="BA74" s="538">
        <v>1.0</v>
      </c>
      <c r="BB74" s="538">
        <v>1.0</v>
      </c>
      <c r="BE74" s="538">
        <v>0.2</v>
      </c>
      <c r="BF74" s="538">
        <v>0.1</v>
      </c>
      <c r="BG74" s="538">
        <v>0.2</v>
      </c>
      <c r="BJ74" s="546"/>
      <c r="BL74" s="546"/>
    </row>
    <row r="75" ht="22.5" customHeight="1">
      <c r="A75" s="538">
        <v>74.0</v>
      </c>
      <c r="B75" s="538" t="s">
        <v>908</v>
      </c>
      <c r="C75" s="538" t="s">
        <v>82</v>
      </c>
      <c r="D75" s="538" t="s">
        <v>909</v>
      </c>
      <c r="E75" s="538" t="s">
        <v>313</v>
      </c>
      <c r="F75" s="538" t="s">
        <v>913</v>
      </c>
      <c r="G75" s="538" t="s">
        <v>239</v>
      </c>
      <c r="H75" s="538" t="s">
        <v>222</v>
      </c>
      <c r="I75" s="538" t="s">
        <v>189</v>
      </c>
      <c r="J75" s="538" t="s">
        <v>302</v>
      </c>
      <c r="K75" s="538" t="s">
        <v>914</v>
      </c>
      <c r="L75" s="538" t="s">
        <v>915</v>
      </c>
      <c r="M75" s="538" t="s">
        <v>673</v>
      </c>
      <c r="N75" s="538" t="s">
        <v>916</v>
      </c>
      <c r="O75" s="538" t="b">
        <v>0</v>
      </c>
      <c r="P75" s="538" t="b">
        <v>1</v>
      </c>
      <c r="Q75" s="538" t="s">
        <v>75</v>
      </c>
      <c r="R75" s="538" t="s">
        <v>917</v>
      </c>
      <c r="S75" s="538" t="s">
        <v>75</v>
      </c>
      <c r="T75" s="538" t="s">
        <v>917</v>
      </c>
      <c r="U75" s="538" t="s">
        <v>75</v>
      </c>
      <c r="V75" s="538" t="s">
        <v>917</v>
      </c>
      <c r="W75" s="538" t="s">
        <v>75</v>
      </c>
      <c r="X75" s="538" t="s">
        <v>917</v>
      </c>
      <c r="Y75" s="538" t="s">
        <v>75</v>
      </c>
      <c r="Z75" s="538" t="s">
        <v>917</v>
      </c>
      <c r="AA75" s="538" t="s">
        <v>79</v>
      </c>
      <c r="AB75" s="538" t="s">
        <v>385</v>
      </c>
      <c r="AC75" s="538" t="s">
        <v>79</v>
      </c>
      <c r="AD75" s="538" t="s">
        <v>377</v>
      </c>
      <c r="AE75" s="538" t="s">
        <v>79</v>
      </c>
      <c r="AF75" s="538" t="s">
        <v>377</v>
      </c>
      <c r="AG75" s="538" t="s">
        <v>79</v>
      </c>
      <c r="AH75" s="538" t="s">
        <v>380</v>
      </c>
      <c r="AI75" s="538" t="s">
        <v>79</v>
      </c>
      <c r="AJ75" s="538" t="s">
        <v>383</v>
      </c>
      <c r="AK75" s="538" t="s">
        <v>75</v>
      </c>
      <c r="AL75" s="538" t="s">
        <v>917</v>
      </c>
      <c r="AM75" s="538" t="s">
        <v>75</v>
      </c>
      <c r="AN75" s="538" t="s">
        <v>917</v>
      </c>
      <c r="AO75" s="538" t="s">
        <v>79</v>
      </c>
      <c r="AP75" s="538" t="s">
        <v>313</v>
      </c>
      <c r="AQ75" s="538" t="s">
        <v>79</v>
      </c>
      <c r="AR75" s="538" t="s">
        <v>313</v>
      </c>
      <c r="AS75" s="538">
        <v>3.20601814E9</v>
      </c>
      <c r="AT75" s="538">
        <v>3.61377304E8</v>
      </c>
      <c r="AU75" s="538">
        <v>30.0</v>
      </c>
      <c r="AV75" s="538" t="s">
        <v>46</v>
      </c>
      <c r="AX75" s="538" t="s">
        <v>760</v>
      </c>
      <c r="AY75" s="538" t="s">
        <v>917</v>
      </c>
      <c r="AZ75" s="538">
        <v>1.0</v>
      </c>
      <c r="BA75" s="538">
        <v>1.0</v>
      </c>
      <c r="BB75" s="538">
        <v>1.0</v>
      </c>
      <c r="BC75" s="538">
        <v>1.0</v>
      </c>
      <c r="BD75" s="538">
        <v>1.0</v>
      </c>
      <c r="BE75" s="538">
        <v>0.05</v>
      </c>
      <c r="BF75" s="538">
        <v>0.06</v>
      </c>
      <c r="BG75" s="538">
        <v>0.07</v>
      </c>
      <c r="BH75" s="538">
        <v>0.08</v>
      </c>
      <c r="BI75" s="538">
        <v>0.1</v>
      </c>
      <c r="BJ75" s="546"/>
      <c r="BL75" s="546"/>
    </row>
    <row r="76" ht="22.5" customHeight="1">
      <c r="A76" s="538">
        <v>75.0</v>
      </c>
      <c r="B76" s="538" t="s">
        <v>918</v>
      </c>
      <c r="C76" s="538" t="s">
        <v>84</v>
      </c>
      <c r="D76" s="538" t="s">
        <v>909</v>
      </c>
      <c r="E76" s="538" t="s">
        <v>349</v>
      </c>
      <c r="G76" s="538" t="s">
        <v>195</v>
      </c>
      <c r="H76" s="538" t="s">
        <v>182</v>
      </c>
      <c r="I76" s="538" t="s">
        <v>122</v>
      </c>
      <c r="J76" s="538" t="s">
        <v>242</v>
      </c>
      <c r="K76" s="538" t="s">
        <v>919</v>
      </c>
      <c r="L76" s="538" t="s">
        <v>920</v>
      </c>
      <c r="M76" s="538" t="s">
        <v>661</v>
      </c>
      <c r="N76" s="538" t="s">
        <v>785</v>
      </c>
      <c r="O76" s="538" t="b">
        <v>0</v>
      </c>
      <c r="P76" s="538" t="b">
        <v>1</v>
      </c>
      <c r="Q76" s="538" t="s">
        <v>73</v>
      </c>
      <c r="S76" s="538" t="s">
        <v>73</v>
      </c>
      <c r="U76" s="538" t="s">
        <v>73</v>
      </c>
      <c r="W76" s="538" t="s">
        <v>73</v>
      </c>
      <c r="Y76" s="538" t="s">
        <v>73</v>
      </c>
      <c r="AA76" s="538" t="s">
        <v>73</v>
      </c>
      <c r="AC76" s="538" t="s">
        <v>73</v>
      </c>
      <c r="AE76" s="538" t="s">
        <v>73</v>
      </c>
      <c r="AG76" s="538" t="s">
        <v>73</v>
      </c>
      <c r="AI76" s="538" t="s">
        <v>73</v>
      </c>
      <c r="AK76" s="538" t="s">
        <v>73</v>
      </c>
      <c r="AM76" s="538" t="s">
        <v>73</v>
      </c>
      <c r="AO76" s="538" t="s">
        <v>79</v>
      </c>
      <c r="AP76" s="538" t="s">
        <v>349</v>
      </c>
      <c r="AQ76" s="538" t="s">
        <v>79</v>
      </c>
      <c r="AR76" s="538" t="s">
        <v>349</v>
      </c>
      <c r="AS76" s="538">
        <v>2.554625138E9</v>
      </c>
      <c r="AT76" s="538">
        <v>5.13311144E8</v>
      </c>
      <c r="AU76" s="538">
        <v>91.0</v>
      </c>
      <c r="AV76" s="538" t="s">
        <v>45</v>
      </c>
      <c r="AZ76" s="538">
        <v>1.0</v>
      </c>
      <c r="BA76" s="538">
        <v>1.0</v>
      </c>
      <c r="BB76" s="538">
        <v>1.0</v>
      </c>
      <c r="BE76" s="538">
        <v>0.1</v>
      </c>
      <c r="BF76" s="538">
        <v>0.02</v>
      </c>
      <c r="BG76" s="538">
        <v>0.05</v>
      </c>
      <c r="BJ76" s="546"/>
      <c r="BL76" s="546"/>
    </row>
    <row r="77" ht="22.5" customHeight="1">
      <c r="A77" s="538">
        <v>76.0</v>
      </c>
      <c r="B77" s="538" t="s">
        <v>918</v>
      </c>
      <c r="C77" s="538" t="s">
        <v>82</v>
      </c>
      <c r="D77" s="538" t="s">
        <v>909</v>
      </c>
      <c r="E77" s="538" t="s">
        <v>223</v>
      </c>
      <c r="F77" s="538" t="s">
        <v>921</v>
      </c>
      <c r="G77" s="538" t="s">
        <v>239</v>
      </c>
      <c r="H77" s="538" t="s">
        <v>250</v>
      </c>
      <c r="I77" s="538" t="s">
        <v>176</v>
      </c>
      <c r="J77" s="538" t="s">
        <v>329</v>
      </c>
      <c r="K77" s="538" t="s">
        <v>922</v>
      </c>
      <c r="L77" s="538" t="s">
        <v>923</v>
      </c>
      <c r="M77" s="538" t="s">
        <v>673</v>
      </c>
      <c r="N77" s="538" t="s">
        <v>924</v>
      </c>
      <c r="O77" s="538" t="b">
        <v>0</v>
      </c>
      <c r="P77" s="538" t="b">
        <v>1</v>
      </c>
      <c r="Q77" s="538" t="s">
        <v>75</v>
      </c>
      <c r="R77" s="538" t="s">
        <v>360</v>
      </c>
      <c r="S77" s="538" t="s">
        <v>75</v>
      </c>
      <c r="T77" s="538" t="s">
        <v>360</v>
      </c>
      <c r="U77" s="538" t="s">
        <v>75</v>
      </c>
      <c r="V77" s="538" t="s">
        <v>360</v>
      </c>
      <c r="W77" s="538" t="s">
        <v>75</v>
      </c>
      <c r="X77" s="538" t="s">
        <v>360</v>
      </c>
      <c r="Y77" s="538" t="s">
        <v>75</v>
      </c>
      <c r="Z77" s="538" t="s">
        <v>360</v>
      </c>
      <c r="AA77" s="538" t="s">
        <v>75</v>
      </c>
      <c r="AB77" s="538" t="s">
        <v>360</v>
      </c>
      <c r="AC77" s="538" t="s">
        <v>79</v>
      </c>
      <c r="AD77" s="538" t="s">
        <v>377</v>
      </c>
      <c r="AE77" s="538" t="s">
        <v>79</v>
      </c>
      <c r="AF77" s="538" t="s">
        <v>377</v>
      </c>
      <c r="AG77" s="538" t="s">
        <v>79</v>
      </c>
      <c r="AH77" s="538" t="s">
        <v>380</v>
      </c>
      <c r="AI77" s="538" t="s">
        <v>79</v>
      </c>
      <c r="AJ77" s="538" t="s">
        <v>377</v>
      </c>
      <c r="AK77" s="538" t="s">
        <v>75</v>
      </c>
      <c r="AL77" s="538" t="s">
        <v>360</v>
      </c>
      <c r="AM77" s="538" t="s">
        <v>75</v>
      </c>
      <c r="AN77" s="538" t="s">
        <v>360</v>
      </c>
      <c r="AO77" s="538" t="s">
        <v>79</v>
      </c>
      <c r="AP77" s="538" t="s">
        <v>223</v>
      </c>
      <c r="AQ77" s="538" t="s">
        <v>79</v>
      </c>
      <c r="AR77" s="538" t="s">
        <v>223</v>
      </c>
      <c r="AS77" s="538">
        <v>1.785494954E9</v>
      </c>
      <c r="AT77" s="538">
        <v>5.13311144E8</v>
      </c>
      <c r="AU77" s="538">
        <v>91.0</v>
      </c>
      <c r="AV77" s="538" t="s">
        <v>45</v>
      </c>
      <c r="AX77" s="538" t="s">
        <v>760</v>
      </c>
      <c r="AY77" s="538" t="s">
        <v>360</v>
      </c>
      <c r="AZ77" s="538">
        <v>1.0</v>
      </c>
      <c r="BA77" s="538">
        <v>1.0</v>
      </c>
      <c r="BB77" s="538">
        <v>1.0</v>
      </c>
      <c r="BC77" s="538">
        <v>1.0</v>
      </c>
      <c r="BD77" s="538">
        <v>1.0</v>
      </c>
      <c r="BE77" s="538">
        <v>0.2</v>
      </c>
      <c r="BF77" s="538">
        <v>0.4</v>
      </c>
      <c r="BG77" s="538">
        <v>1.0</v>
      </c>
      <c r="BH77" s="538">
        <v>2.5</v>
      </c>
      <c r="BI77" s="538">
        <v>5.0</v>
      </c>
      <c r="BJ77" s="546"/>
      <c r="BL77" s="546"/>
    </row>
    <row r="78" ht="22.5" customHeight="1">
      <c r="A78" s="538">
        <v>77.0</v>
      </c>
      <c r="B78" s="538" t="s">
        <v>925</v>
      </c>
      <c r="C78" s="538" t="s">
        <v>84</v>
      </c>
      <c r="D78" s="538" t="s">
        <v>888</v>
      </c>
      <c r="E78" s="538" t="s">
        <v>310</v>
      </c>
      <c r="F78" s="538" t="s">
        <v>291</v>
      </c>
      <c r="G78" s="538" t="s">
        <v>151</v>
      </c>
      <c r="H78" s="538" t="s">
        <v>250</v>
      </c>
      <c r="I78" s="538" t="s">
        <v>122</v>
      </c>
      <c r="K78" s="538" t="s">
        <v>926</v>
      </c>
      <c r="L78" s="538" t="s">
        <v>927</v>
      </c>
      <c r="M78" s="538" t="s">
        <v>661</v>
      </c>
      <c r="N78" s="538" t="s">
        <v>678</v>
      </c>
      <c r="O78" s="538" t="b">
        <v>0</v>
      </c>
      <c r="P78" s="538" t="b">
        <v>1</v>
      </c>
      <c r="Q78" s="538" t="s">
        <v>79</v>
      </c>
      <c r="R78" s="538" t="s">
        <v>291</v>
      </c>
      <c r="S78" s="538" t="s">
        <v>73</v>
      </c>
      <c r="U78" s="538" t="s">
        <v>79</v>
      </c>
      <c r="V78" s="538" t="s">
        <v>291</v>
      </c>
      <c r="W78" s="538" t="s">
        <v>79</v>
      </c>
      <c r="X78" s="538" t="s">
        <v>291</v>
      </c>
      <c r="Y78" s="538" t="s">
        <v>79</v>
      </c>
      <c r="Z78" s="538" t="s">
        <v>291</v>
      </c>
      <c r="AA78" s="538" t="s">
        <v>79</v>
      </c>
      <c r="AB78" s="538" t="s">
        <v>291</v>
      </c>
      <c r="AC78" s="538" t="s">
        <v>79</v>
      </c>
      <c r="AD78" s="538" t="s">
        <v>291</v>
      </c>
      <c r="AE78" s="538" t="s">
        <v>79</v>
      </c>
      <c r="AF78" s="538" t="s">
        <v>291</v>
      </c>
      <c r="AG78" s="538" t="s">
        <v>79</v>
      </c>
      <c r="AH78" s="538" t="s">
        <v>291</v>
      </c>
      <c r="AI78" s="538" t="s">
        <v>79</v>
      </c>
      <c r="AJ78" s="538" t="s">
        <v>291</v>
      </c>
      <c r="AK78" s="538" t="s">
        <v>79</v>
      </c>
      <c r="AL78" s="538" t="s">
        <v>291</v>
      </c>
      <c r="AM78" s="538" t="s">
        <v>79</v>
      </c>
      <c r="AN78" s="538" t="s">
        <v>291</v>
      </c>
      <c r="AO78" s="538" t="s">
        <v>79</v>
      </c>
      <c r="AP78" s="538" t="s">
        <v>310</v>
      </c>
      <c r="AQ78" s="538" t="s">
        <v>79</v>
      </c>
      <c r="AR78" s="538" t="s">
        <v>310</v>
      </c>
      <c r="AS78" s="538">
        <v>1.693249064E9</v>
      </c>
      <c r="AT78" s="538">
        <v>3.492633912E9</v>
      </c>
      <c r="AU78" s="538">
        <v>54.0</v>
      </c>
      <c r="AV78" s="538" t="s">
        <v>46</v>
      </c>
      <c r="AZ78" s="538">
        <v>1.0</v>
      </c>
      <c r="BA78" s="538">
        <v>1.0</v>
      </c>
      <c r="BB78" s="538">
        <v>1.0</v>
      </c>
      <c r="BE78" s="538">
        <v>0.2</v>
      </c>
      <c r="BF78" s="538">
        <v>0.07</v>
      </c>
      <c r="BG78" s="538">
        <v>0.15</v>
      </c>
      <c r="BJ78" s="546"/>
      <c r="BL78" s="546"/>
    </row>
    <row r="79" ht="22.5" customHeight="1">
      <c r="A79" s="538">
        <v>78.0</v>
      </c>
      <c r="B79" s="538" t="s">
        <v>925</v>
      </c>
      <c r="C79" s="538" t="s">
        <v>82</v>
      </c>
      <c r="D79" s="538" t="s">
        <v>888</v>
      </c>
      <c r="E79" s="538" t="s">
        <v>363</v>
      </c>
      <c r="F79" s="538" t="s">
        <v>291</v>
      </c>
      <c r="G79" s="538" t="s">
        <v>151</v>
      </c>
      <c r="H79" s="538" t="s">
        <v>250</v>
      </c>
      <c r="I79" s="538" t="s">
        <v>122</v>
      </c>
      <c r="K79" s="538" t="s">
        <v>928</v>
      </c>
      <c r="L79" s="538" t="s">
        <v>929</v>
      </c>
      <c r="M79" s="538" t="s">
        <v>673</v>
      </c>
      <c r="N79" s="538" t="s">
        <v>813</v>
      </c>
      <c r="O79" s="538" t="b">
        <v>0</v>
      </c>
      <c r="P79" s="538" t="b">
        <v>1</v>
      </c>
      <c r="Q79" s="538" t="s">
        <v>79</v>
      </c>
      <c r="R79" s="538" t="s">
        <v>291</v>
      </c>
      <c r="S79" s="538" t="s">
        <v>73</v>
      </c>
      <c r="U79" s="538" t="s">
        <v>79</v>
      </c>
      <c r="V79" s="538" t="s">
        <v>291</v>
      </c>
      <c r="W79" s="538" t="s">
        <v>79</v>
      </c>
      <c r="X79" s="538" t="s">
        <v>291</v>
      </c>
      <c r="Y79" s="538" t="s">
        <v>79</v>
      </c>
      <c r="Z79" s="538" t="s">
        <v>291</v>
      </c>
      <c r="AA79" s="538" t="s">
        <v>79</v>
      </c>
      <c r="AB79" s="538" t="s">
        <v>291</v>
      </c>
      <c r="AC79" s="538" t="s">
        <v>79</v>
      </c>
      <c r="AD79" s="538" t="s">
        <v>291</v>
      </c>
      <c r="AE79" s="538" t="s">
        <v>79</v>
      </c>
      <c r="AF79" s="538" t="s">
        <v>291</v>
      </c>
      <c r="AG79" s="538" t="s">
        <v>79</v>
      </c>
      <c r="AH79" s="538" t="s">
        <v>291</v>
      </c>
      <c r="AI79" s="538" t="s">
        <v>79</v>
      </c>
      <c r="AJ79" s="538" t="s">
        <v>291</v>
      </c>
      <c r="AK79" s="538" t="s">
        <v>79</v>
      </c>
      <c r="AL79" s="538" t="s">
        <v>291</v>
      </c>
      <c r="AM79" s="538" t="s">
        <v>79</v>
      </c>
      <c r="AN79" s="538" t="s">
        <v>291</v>
      </c>
      <c r="AO79" s="538" t="s">
        <v>79</v>
      </c>
      <c r="AP79" s="538" t="s">
        <v>363</v>
      </c>
      <c r="AQ79" s="538" t="s">
        <v>79</v>
      </c>
      <c r="AR79" s="538" t="s">
        <v>363</v>
      </c>
      <c r="AS79" s="538">
        <v>1.04634538E9</v>
      </c>
      <c r="AT79" s="538">
        <v>3.492633912E9</v>
      </c>
      <c r="AU79" s="538">
        <v>54.0</v>
      </c>
      <c r="AV79" s="538" t="s">
        <v>46</v>
      </c>
      <c r="AZ79" s="538">
        <v>1.0</v>
      </c>
      <c r="BA79" s="538">
        <v>1.0</v>
      </c>
      <c r="BB79" s="538">
        <v>1.0</v>
      </c>
      <c r="BC79" s="538">
        <v>1.0</v>
      </c>
      <c r="BD79" s="538">
        <v>1.0</v>
      </c>
      <c r="BE79" s="538">
        <v>0.2</v>
      </c>
      <c r="BF79" s="538">
        <v>0.25</v>
      </c>
      <c r="BG79" s="538">
        <v>0.3</v>
      </c>
      <c r="BH79" s="538">
        <v>0.35</v>
      </c>
      <c r="BI79" s="538">
        <v>0.4</v>
      </c>
      <c r="BJ79" s="546"/>
      <c r="BL79" s="546"/>
    </row>
    <row r="80" ht="22.5" customHeight="1">
      <c r="A80" s="538">
        <v>79.0</v>
      </c>
      <c r="B80" s="538">
        <v>718.0</v>
      </c>
      <c r="C80" s="538" t="s">
        <v>84</v>
      </c>
      <c r="D80" s="538" t="s">
        <v>888</v>
      </c>
      <c r="E80" s="538" t="s">
        <v>292</v>
      </c>
      <c r="F80" s="538" t="s">
        <v>291</v>
      </c>
      <c r="G80" s="538" t="s">
        <v>151</v>
      </c>
      <c r="H80" s="538" t="s">
        <v>250</v>
      </c>
      <c r="I80" s="538" t="s">
        <v>155</v>
      </c>
      <c r="K80" s="538" t="s">
        <v>930</v>
      </c>
      <c r="L80" s="538" t="s">
        <v>931</v>
      </c>
      <c r="M80" s="538" t="s">
        <v>661</v>
      </c>
      <c r="N80" s="538" t="s">
        <v>932</v>
      </c>
      <c r="O80" s="538" t="b">
        <v>0</v>
      </c>
      <c r="P80" s="538" t="b">
        <v>1</v>
      </c>
      <c r="Q80" s="538" t="s">
        <v>79</v>
      </c>
      <c r="R80" s="538" t="s">
        <v>291</v>
      </c>
      <c r="S80" s="538" t="s">
        <v>73</v>
      </c>
      <c r="U80" s="538" t="s">
        <v>79</v>
      </c>
      <c r="V80" s="538" t="s">
        <v>291</v>
      </c>
      <c r="W80" s="538" t="s">
        <v>79</v>
      </c>
      <c r="X80" s="538" t="s">
        <v>291</v>
      </c>
      <c r="Y80" s="538" t="s">
        <v>79</v>
      </c>
      <c r="Z80" s="538" t="s">
        <v>291</v>
      </c>
      <c r="AA80" s="538" t="s">
        <v>79</v>
      </c>
      <c r="AB80" s="538" t="s">
        <v>291</v>
      </c>
      <c r="AC80" s="538" t="s">
        <v>79</v>
      </c>
      <c r="AD80" s="538" t="s">
        <v>291</v>
      </c>
      <c r="AE80" s="538" t="s">
        <v>79</v>
      </c>
      <c r="AF80" s="538" t="s">
        <v>291</v>
      </c>
      <c r="AG80" s="538" t="s">
        <v>79</v>
      </c>
      <c r="AH80" s="538" t="s">
        <v>291</v>
      </c>
      <c r="AI80" s="538" t="s">
        <v>79</v>
      </c>
      <c r="AJ80" s="538" t="s">
        <v>291</v>
      </c>
      <c r="AK80" s="538" t="s">
        <v>79</v>
      </c>
      <c r="AL80" s="538" t="s">
        <v>291</v>
      </c>
      <c r="AM80" s="538" t="s">
        <v>79</v>
      </c>
      <c r="AN80" s="538" t="s">
        <v>291</v>
      </c>
      <c r="AO80" s="538" t="s">
        <v>79</v>
      </c>
      <c r="AP80" s="538" t="s">
        <v>292</v>
      </c>
      <c r="AQ80" s="538" t="s">
        <v>79</v>
      </c>
      <c r="AR80" s="538" t="s">
        <v>292</v>
      </c>
      <c r="AS80" s="538">
        <v>2.894716041E9</v>
      </c>
      <c r="AT80" s="538">
        <v>4.219901626E9</v>
      </c>
      <c r="AU80" s="538">
        <v>56.0</v>
      </c>
      <c r="AV80" s="538" t="s">
        <v>45</v>
      </c>
      <c r="AZ80" s="538">
        <v>1.0</v>
      </c>
      <c r="BA80" s="538">
        <v>1.0</v>
      </c>
      <c r="BB80" s="538">
        <v>1.0</v>
      </c>
      <c r="BE80" s="538">
        <v>0.04</v>
      </c>
      <c r="BF80" s="538">
        <v>0.02</v>
      </c>
      <c r="BG80" s="538">
        <v>0.04</v>
      </c>
      <c r="BJ80" s="546"/>
      <c r="BL80" s="546"/>
    </row>
    <row r="81" ht="22.5" customHeight="1">
      <c r="A81" s="538">
        <v>80.0</v>
      </c>
      <c r="B81" s="538">
        <v>718.0</v>
      </c>
      <c r="C81" s="538" t="s">
        <v>82</v>
      </c>
      <c r="D81" s="538" t="s">
        <v>888</v>
      </c>
      <c r="E81" s="538" t="s">
        <v>346</v>
      </c>
      <c r="G81" s="538" t="s">
        <v>151</v>
      </c>
      <c r="H81" s="538" t="s">
        <v>182</v>
      </c>
      <c r="I81" s="538" t="s">
        <v>122</v>
      </c>
      <c r="K81" s="538" t="s">
        <v>933</v>
      </c>
      <c r="L81" s="538" t="s">
        <v>934</v>
      </c>
      <c r="M81" s="538" t="s">
        <v>673</v>
      </c>
      <c r="N81" s="538" t="s">
        <v>794</v>
      </c>
      <c r="O81" s="538" t="b">
        <v>0</v>
      </c>
      <c r="P81" s="538" t="b">
        <v>1</v>
      </c>
      <c r="Q81" s="538" t="s">
        <v>73</v>
      </c>
      <c r="S81" s="538" t="s">
        <v>73</v>
      </c>
      <c r="U81" s="538" t="s">
        <v>73</v>
      </c>
      <c r="W81" s="538" t="s">
        <v>73</v>
      </c>
      <c r="Y81" s="538" t="s">
        <v>73</v>
      </c>
      <c r="AA81" s="538" t="s">
        <v>73</v>
      </c>
      <c r="AC81" s="538" t="s">
        <v>73</v>
      </c>
      <c r="AE81" s="538" t="s">
        <v>73</v>
      </c>
      <c r="AG81" s="538" t="s">
        <v>73</v>
      </c>
      <c r="AI81" s="538" t="s">
        <v>73</v>
      </c>
      <c r="AK81" s="538" t="s">
        <v>73</v>
      </c>
      <c r="AM81" s="538" t="s">
        <v>73</v>
      </c>
      <c r="AO81" s="538" t="s">
        <v>79</v>
      </c>
      <c r="AP81" s="538" t="s">
        <v>346</v>
      </c>
      <c r="AQ81" s="538" t="s">
        <v>79</v>
      </c>
      <c r="AR81" s="538" t="s">
        <v>346</v>
      </c>
      <c r="AS81" s="538">
        <v>4.283269593E9</v>
      </c>
      <c r="AT81" s="538">
        <v>4.219901626E9</v>
      </c>
      <c r="AU81" s="538">
        <v>56.0</v>
      </c>
      <c r="AV81" s="538" t="s">
        <v>45</v>
      </c>
      <c r="AZ81" s="538">
        <v>1.0</v>
      </c>
      <c r="BA81" s="538">
        <v>1.0</v>
      </c>
      <c r="BB81" s="538">
        <v>1.0</v>
      </c>
      <c r="BC81" s="538">
        <v>1.0</v>
      </c>
      <c r="BD81" s="538">
        <v>1.0</v>
      </c>
      <c r="BE81" s="538">
        <v>0.05</v>
      </c>
      <c r="BF81" s="538">
        <v>0.07</v>
      </c>
      <c r="BG81" s="538">
        <v>0.09</v>
      </c>
      <c r="BH81" s="538">
        <v>0.12</v>
      </c>
      <c r="BI81" s="538">
        <v>0.15</v>
      </c>
      <c r="BJ81" s="546"/>
      <c r="BL81" s="546"/>
    </row>
    <row r="82" ht="22.5" customHeight="1">
      <c r="A82" s="538">
        <v>81.0</v>
      </c>
      <c r="B82" s="538" t="s">
        <v>935</v>
      </c>
      <c r="C82" s="538" t="s">
        <v>84</v>
      </c>
      <c r="D82" s="538" t="s">
        <v>888</v>
      </c>
      <c r="E82" s="538" t="s">
        <v>340</v>
      </c>
      <c r="F82" s="538" t="s">
        <v>291</v>
      </c>
      <c r="G82" s="538" t="s">
        <v>151</v>
      </c>
      <c r="H82" s="538" t="s">
        <v>235</v>
      </c>
      <c r="I82" s="538" t="s">
        <v>122</v>
      </c>
      <c r="K82" s="538" t="s">
        <v>936</v>
      </c>
      <c r="L82" s="538" t="s">
        <v>937</v>
      </c>
      <c r="M82" s="538" t="s">
        <v>661</v>
      </c>
      <c r="N82" s="538" t="s">
        <v>912</v>
      </c>
      <c r="O82" s="538" t="b">
        <v>0</v>
      </c>
      <c r="P82" s="538" t="b">
        <v>1</v>
      </c>
      <c r="Q82" s="538" t="s">
        <v>79</v>
      </c>
      <c r="R82" s="538" t="s">
        <v>291</v>
      </c>
      <c r="S82" s="538" t="s">
        <v>73</v>
      </c>
      <c r="U82" s="538" t="s">
        <v>79</v>
      </c>
      <c r="V82" s="538" t="s">
        <v>291</v>
      </c>
      <c r="W82" s="538" t="s">
        <v>79</v>
      </c>
      <c r="X82" s="538" t="s">
        <v>291</v>
      </c>
      <c r="Y82" s="538" t="s">
        <v>79</v>
      </c>
      <c r="Z82" s="538" t="s">
        <v>291</v>
      </c>
      <c r="AA82" s="538" t="s">
        <v>79</v>
      </c>
      <c r="AB82" s="538" t="s">
        <v>291</v>
      </c>
      <c r="AC82" s="538" t="s">
        <v>79</v>
      </c>
      <c r="AD82" s="538" t="s">
        <v>291</v>
      </c>
      <c r="AE82" s="538" t="s">
        <v>79</v>
      </c>
      <c r="AF82" s="538" t="s">
        <v>291</v>
      </c>
      <c r="AG82" s="538" t="s">
        <v>79</v>
      </c>
      <c r="AH82" s="538" t="s">
        <v>291</v>
      </c>
      <c r="AI82" s="538" t="s">
        <v>79</v>
      </c>
      <c r="AJ82" s="538" t="s">
        <v>291</v>
      </c>
      <c r="AK82" s="538" t="s">
        <v>79</v>
      </c>
      <c r="AL82" s="538" t="s">
        <v>291</v>
      </c>
      <c r="AM82" s="538" t="s">
        <v>79</v>
      </c>
      <c r="AN82" s="538" t="s">
        <v>291</v>
      </c>
      <c r="AO82" s="538" t="s">
        <v>79</v>
      </c>
      <c r="AP82" s="538" t="s">
        <v>340</v>
      </c>
      <c r="AQ82" s="538" t="s">
        <v>79</v>
      </c>
      <c r="AR82" s="538" t="s">
        <v>340</v>
      </c>
      <c r="AS82" s="538">
        <v>1.825243742E9</v>
      </c>
      <c r="AT82" s="538">
        <v>4.132174205E9</v>
      </c>
      <c r="AU82" s="538">
        <v>57.0</v>
      </c>
      <c r="AV82" s="538" t="s">
        <v>47</v>
      </c>
      <c r="AZ82" s="538">
        <v>1.0</v>
      </c>
      <c r="BA82" s="538">
        <v>1.0</v>
      </c>
      <c r="BB82" s="538">
        <v>1.0</v>
      </c>
      <c r="BE82" s="538">
        <v>0.2</v>
      </c>
      <c r="BF82" s="538">
        <v>0.1</v>
      </c>
      <c r="BG82" s="538">
        <v>0.2</v>
      </c>
      <c r="BJ82" s="546"/>
      <c r="BL82" s="546"/>
    </row>
    <row r="83" ht="22.5" customHeight="1">
      <c r="A83" s="538">
        <v>82.0</v>
      </c>
      <c r="B83" s="538" t="s">
        <v>935</v>
      </c>
      <c r="C83" s="538" t="s">
        <v>82</v>
      </c>
      <c r="D83" s="538" t="s">
        <v>888</v>
      </c>
      <c r="E83" s="538" t="s">
        <v>218</v>
      </c>
      <c r="G83" s="538" t="s">
        <v>216</v>
      </c>
      <c r="H83" s="538" t="s">
        <v>250</v>
      </c>
      <c r="I83" s="538" t="s">
        <v>122</v>
      </c>
      <c r="J83" s="538" t="s">
        <v>320</v>
      </c>
      <c r="K83" s="538" t="s">
        <v>938</v>
      </c>
      <c r="L83" s="538" t="s">
        <v>939</v>
      </c>
      <c r="M83" s="538" t="s">
        <v>673</v>
      </c>
      <c r="N83" s="538" t="s">
        <v>940</v>
      </c>
      <c r="O83" s="538" t="b">
        <v>0</v>
      </c>
      <c r="P83" s="538" t="b">
        <v>1</v>
      </c>
      <c r="Q83" s="538" t="s">
        <v>73</v>
      </c>
      <c r="S83" s="538" t="s">
        <v>73</v>
      </c>
      <c r="U83" s="538" t="s">
        <v>73</v>
      </c>
      <c r="W83" s="538" t="s">
        <v>73</v>
      </c>
      <c r="Y83" s="538" t="s">
        <v>73</v>
      </c>
      <c r="AA83" s="538" t="s">
        <v>73</v>
      </c>
      <c r="AC83" s="538" t="s">
        <v>73</v>
      </c>
      <c r="AE83" s="538" t="s">
        <v>73</v>
      </c>
      <c r="AG83" s="538" t="s">
        <v>73</v>
      </c>
      <c r="AI83" s="538" t="s">
        <v>73</v>
      </c>
      <c r="AK83" s="538" t="s">
        <v>73</v>
      </c>
      <c r="AM83" s="538" t="s">
        <v>73</v>
      </c>
      <c r="AO83" s="538" t="s">
        <v>79</v>
      </c>
      <c r="AP83" s="538" t="s">
        <v>218</v>
      </c>
      <c r="AQ83" s="538" t="s">
        <v>79</v>
      </c>
      <c r="AR83" s="538" t="s">
        <v>218</v>
      </c>
      <c r="AS83" s="538">
        <v>3.132926029E9</v>
      </c>
      <c r="AT83" s="538">
        <v>4.132174205E9</v>
      </c>
      <c r="AU83" s="538">
        <v>57.0</v>
      </c>
      <c r="AV83" s="538" t="s">
        <v>47</v>
      </c>
      <c r="AZ83" s="538">
        <v>1.0</v>
      </c>
      <c r="BA83" s="538">
        <v>1.0</v>
      </c>
      <c r="BB83" s="538">
        <v>1.0</v>
      </c>
      <c r="BC83" s="538">
        <v>1.0</v>
      </c>
      <c r="BD83" s="538">
        <v>1.0</v>
      </c>
      <c r="BE83" s="538">
        <v>0.3</v>
      </c>
      <c r="BF83" s="538">
        <v>0.4</v>
      </c>
      <c r="BG83" s="538">
        <v>0.5</v>
      </c>
      <c r="BH83" s="538">
        <v>0.6</v>
      </c>
      <c r="BI83" s="538">
        <v>0.7</v>
      </c>
      <c r="BJ83" s="546"/>
      <c r="BL83" s="546"/>
    </row>
    <row r="84" ht="22.5" customHeight="1">
      <c r="A84" s="538">
        <v>83.0</v>
      </c>
      <c r="B84" s="538" t="s">
        <v>941</v>
      </c>
      <c r="C84" s="538" t="s">
        <v>84</v>
      </c>
      <c r="D84" s="538" t="s">
        <v>942</v>
      </c>
      <c r="E84" s="538" t="s">
        <v>218</v>
      </c>
      <c r="F84" s="538" t="s">
        <v>943</v>
      </c>
      <c r="G84" s="538" t="s">
        <v>163</v>
      </c>
      <c r="H84" s="538" t="s">
        <v>250</v>
      </c>
      <c r="I84" s="538" t="s">
        <v>122</v>
      </c>
      <c r="K84" s="538" t="s">
        <v>944</v>
      </c>
      <c r="L84" s="538" t="s">
        <v>945</v>
      </c>
      <c r="M84" s="538" t="s">
        <v>661</v>
      </c>
      <c r="N84" s="538" t="s">
        <v>741</v>
      </c>
      <c r="O84" s="538" t="b">
        <v>0</v>
      </c>
      <c r="P84" s="538" t="b">
        <v>1</v>
      </c>
      <c r="Q84" s="538" t="s">
        <v>75</v>
      </c>
      <c r="R84" s="538" t="s">
        <v>300</v>
      </c>
      <c r="S84" s="538" t="s">
        <v>75</v>
      </c>
      <c r="T84" s="538" t="s">
        <v>300</v>
      </c>
      <c r="U84" s="538" t="s">
        <v>79</v>
      </c>
      <c r="V84" s="538" t="s">
        <v>943</v>
      </c>
      <c r="W84" s="538" t="s">
        <v>79</v>
      </c>
      <c r="X84" s="538" t="s">
        <v>943</v>
      </c>
      <c r="Y84" s="538" t="s">
        <v>79</v>
      </c>
      <c r="Z84" s="538" t="s">
        <v>943</v>
      </c>
      <c r="AA84" s="538" t="s">
        <v>79</v>
      </c>
      <c r="AB84" s="538" t="s">
        <v>943</v>
      </c>
      <c r="AC84" s="538" t="s">
        <v>79</v>
      </c>
      <c r="AD84" s="538" t="s">
        <v>943</v>
      </c>
      <c r="AE84" s="538" t="s">
        <v>79</v>
      </c>
      <c r="AF84" s="538" t="s">
        <v>943</v>
      </c>
      <c r="AG84" s="538" t="s">
        <v>79</v>
      </c>
      <c r="AH84" s="538" t="s">
        <v>943</v>
      </c>
      <c r="AI84" s="538" t="s">
        <v>79</v>
      </c>
      <c r="AJ84" s="538" t="s">
        <v>943</v>
      </c>
      <c r="AK84" s="538" t="s">
        <v>79</v>
      </c>
      <c r="AL84" s="538" t="s">
        <v>943</v>
      </c>
      <c r="AM84" s="538" t="s">
        <v>79</v>
      </c>
      <c r="AN84" s="538" t="s">
        <v>943</v>
      </c>
      <c r="AO84" s="538" t="s">
        <v>79</v>
      </c>
      <c r="AP84" s="538" t="s">
        <v>218</v>
      </c>
      <c r="AQ84" s="538" t="s">
        <v>79</v>
      </c>
      <c r="AR84" s="538" t="s">
        <v>218</v>
      </c>
      <c r="AS84" s="538">
        <v>1.339536277E9</v>
      </c>
      <c r="AT84" s="538">
        <v>6.80147223E8</v>
      </c>
      <c r="AU84" s="538">
        <v>79.0</v>
      </c>
      <c r="AV84" s="538" t="s">
        <v>41</v>
      </c>
      <c r="AY84" s="538" t="s">
        <v>300</v>
      </c>
      <c r="AZ84" s="538">
        <v>1.0</v>
      </c>
      <c r="BA84" s="538">
        <v>1.0</v>
      </c>
      <c r="BB84" s="538">
        <v>1.0</v>
      </c>
      <c r="BE84" s="538">
        <v>0.2</v>
      </c>
      <c r="BF84" s="538">
        <v>0.05</v>
      </c>
      <c r="BG84" s="538">
        <v>0.1</v>
      </c>
      <c r="BJ84" s="546"/>
      <c r="BL84" s="546"/>
    </row>
    <row r="85" ht="22.5" customHeight="1">
      <c r="A85" s="538">
        <v>84.0</v>
      </c>
      <c r="B85" s="538" t="s">
        <v>941</v>
      </c>
      <c r="C85" s="538" t="s">
        <v>82</v>
      </c>
      <c r="D85" s="538" t="s">
        <v>942</v>
      </c>
      <c r="E85" s="538" t="s">
        <v>218</v>
      </c>
      <c r="F85" s="538" t="s">
        <v>946</v>
      </c>
      <c r="G85" s="538" t="s">
        <v>163</v>
      </c>
      <c r="H85" s="538" t="s">
        <v>222</v>
      </c>
      <c r="I85" s="538" t="s">
        <v>189</v>
      </c>
      <c r="K85" s="538" t="s">
        <v>947</v>
      </c>
      <c r="L85" s="538" t="s">
        <v>948</v>
      </c>
      <c r="M85" s="538" t="s">
        <v>673</v>
      </c>
      <c r="N85" s="538" t="s">
        <v>872</v>
      </c>
      <c r="O85" s="538" t="b">
        <v>0</v>
      </c>
      <c r="P85" s="538" t="b">
        <v>1</v>
      </c>
      <c r="Q85" s="538" t="s">
        <v>75</v>
      </c>
      <c r="R85" s="538" t="s">
        <v>282</v>
      </c>
      <c r="S85" s="538" t="s">
        <v>75</v>
      </c>
      <c r="T85" s="538" t="s">
        <v>282</v>
      </c>
      <c r="U85" s="538" t="s">
        <v>79</v>
      </c>
      <c r="V85" s="538" t="s">
        <v>946</v>
      </c>
      <c r="W85" s="538" t="s">
        <v>79</v>
      </c>
      <c r="X85" s="538" t="s">
        <v>946</v>
      </c>
      <c r="Y85" s="538" t="s">
        <v>79</v>
      </c>
      <c r="Z85" s="538" t="s">
        <v>946</v>
      </c>
      <c r="AA85" s="538" t="s">
        <v>79</v>
      </c>
      <c r="AB85" s="538" t="s">
        <v>946</v>
      </c>
      <c r="AC85" s="538" t="s">
        <v>79</v>
      </c>
      <c r="AD85" s="538" t="s">
        <v>946</v>
      </c>
      <c r="AE85" s="538" t="s">
        <v>79</v>
      </c>
      <c r="AF85" s="538" t="s">
        <v>946</v>
      </c>
      <c r="AG85" s="538" t="s">
        <v>79</v>
      </c>
      <c r="AH85" s="538" t="s">
        <v>946</v>
      </c>
      <c r="AI85" s="538" t="s">
        <v>79</v>
      </c>
      <c r="AJ85" s="538" t="s">
        <v>946</v>
      </c>
      <c r="AK85" s="538" t="s">
        <v>79</v>
      </c>
      <c r="AL85" s="538" t="s">
        <v>946</v>
      </c>
      <c r="AM85" s="538" t="s">
        <v>79</v>
      </c>
      <c r="AN85" s="538" t="s">
        <v>946</v>
      </c>
      <c r="AO85" s="538" t="s">
        <v>79</v>
      </c>
      <c r="AP85" s="538" t="s">
        <v>218</v>
      </c>
      <c r="AQ85" s="538" t="s">
        <v>79</v>
      </c>
      <c r="AR85" s="538" t="s">
        <v>218</v>
      </c>
      <c r="AS85" s="538">
        <v>5.0881558E8</v>
      </c>
      <c r="AT85" s="538">
        <v>6.80147223E8</v>
      </c>
      <c r="AU85" s="538">
        <v>79.0</v>
      </c>
      <c r="AV85" s="538" t="s">
        <v>41</v>
      </c>
      <c r="AY85" s="538" t="s">
        <v>282</v>
      </c>
      <c r="AZ85" s="538">
        <v>1.0</v>
      </c>
      <c r="BA85" s="538">
        <v>1.0</v>
      </c>
      <c r="BB85" s="538">
        <v>1.0</v>
      </c>
      <c r="BC85" s="538">
        <v>1.0</v>
      </c>
      <c r="BD85" s="538">
        <v>1.0</v>
      </c>
      <c r="BE85" s="538">
        <v>0.05</v>
      </c>
      <c r="BF85" s="538">
        <v>0.07</v>
      </c>
      <c r="BG85" s="538">
        <v>0.1</v>
      </c>
      <c r="BH85" s="538">
        <v>0.15</v>
      </c>
      <c r="BI85" s="538">
        <v>0.2</v>
      </c>
      <c r="BJ85" s="546"/>
      <c r="BL85" s="546"/>
    </row>
    <row r="86" ht="22.5" customHeight="1">
      <c r="A86" s="538">
        <v>85.0</v>
      </c>
      <c r="B86" s="538" t="s">
        <v>949</v>
      </c>
      <c r="C86" s="538" t="s">
        <v>84</v>
      </c>
      <c r="D86" s="538" t="s">
        <v>942</v>
      </c>
      <c r="E86" s="538" t="s">
        <v>218</v>
      </c>
      <c r="F86" s="538" t="s">
        <v>950</v>
      </c>
      <c r="G86" s="538" t="s">
        <v>163</v>
      </c>
      <c r="H86" s="538" t="s">
        <v>250</v>
      </c>
      <c r="I86" s="538" t="s">
        <v>122</v>
      </c>
      <c r="K86" s="538" t="s">
        <v>951</v>
      </c>
      <c r="L86" s="538" t="s">
        <v>952</v>
      </c>
      <c r="M86" s="538" t="s">
        <v>661</v>
      </c>
      <c r="N86" s="538" t="s">
        <v>741</v>
      </c>
      <c r="O86" s="538" t="b">
        <v>0</v>
      </c>
      <c r="P86" s="538" t="b">
        <v>1</v>
      </c>
      <c r="Q86" s="538" t="s">
        <v>75</v>
      </c>
      <c r="R86" s="538" t="s">
        <v>342</v>
      </c>
      <c r="S86" s="538" t="s">
        <v>75</v>
      </c>
      <c r="T86" s="538" t="s">
        <v>342</v>
      </c>
      <c r="U86" s="538" t="s">
        <v>79</v>
      </c>
      <c r="V86" s="538" t="s">
        <v>950</v>
      </c>
      <c r="W86" s="538" t="s">
        <v>79</v>
      </c>
      <c r="X86" s="538" t="s">
        <v>950</v>
      </c>
      <c r="Y86" s="538" t="s">
        <v>79</v>
      </c>
      <c r="Z86" s="538" t="s">
        <v>950</v>
      </c>
      <c r="AA86" s="538" t="s">
        <v>79</v>
      </c>
      <c r="AB86" s="538" t="s">
        <v>950</v>
      </c>
      <c r="AC86" s="538" t="s">
        <v>79</v>
      </c>
      <c r="AD86" s="538" t="s">
        <v>950</v>
      </c>
      <c r="AE86" s="538" t="s">
        <v>79</v>
      </c>
      <c r="AF86" s="538" t="s">
        <v>950</v>
      </c>
      <c r="AG86" s="538" t="s">
        <v>79</v>
      </c>
      <c r="AH86" s="538" t="s">
        <v>950</v>
      </c>
      <c r="AI86" s="538" t="s">
        <v>79</v>
      </c>
      <c r="AJ86" s="538" t="s">
        <v>950</v>
      </c>
      <c r="AK86" s="538" t="s">
        <v>79</v>
      </c>
      <c r="AL86" s="538" t="s">
        <v>950</v>
      </c>
      <c r="AM86" s="538" t="s">
        <v>79</v>
      </c>
      <c r="AN86" s="538" t="s">
        <v>950</v>
      </c>
      <c r="AO86" s="538" t="s">
        <v>79</v>
      </c>
      <c r="AP86" s="538" t="s">
        <v>218</v>
      </c>
      <c r="AQ86" s="538" t="s">
        <v>79</v>
      </c>
      <c r="AR86" s="538" t="s">
        <v>218</v>
      </c>
      <c r="AS86" s="538">
        <v>9.13371453E8</v>
      </c>
      <c r="AT86" s="538">
        <v>3.394864658E9</v>
      </c>
      <c r="AU86" s="538">
        <v>80.0</v>
      </c>
      <c r="AV86" s="538" t="s">
        <v>41</v>
      </c>
      <c r="AY86" s="538" t="s">
        <v>342</v>
      </c>
      <c r="AZ86" s="538">
        <v>1.0</v>
      </c>
      <c r="BA86" s="538">
        <v>1.0</v>
      </c>
      <c r="BB86" s="538">
        <v>1.0</v>
      </c>
      <c r="BE86" s="538">
        <v>0.2</v>
      </c>
      <c r="BF86" s="538">
        <v>0.05</v>
      </c>
      <c r="BG86" s="538">
        <v>0.1</v>
      </c>
      <c r="BJ86" s="546"/>
      <c r="BL86" s="546"/>
    </row>
    <row r="87" ht="22.5" customHeight="1">
      <c r="A87" s="538">
        <v>86.0</v>
      </c>
      <c r="B87" s="538" t="s">
        <v>949</v>
      </c>
      <c r="C87" s="538" t="s">
        <v>82</v>
      </c>
      <c r="D87" s="538" t="s">
        <v>942</v>
      </c>
      <c r="E87" s="538" t="s">
        <v>218</v>
      </c>
      <c r="F87" s="538" t="s">
        <v>946</v>
      </c>
      <c r="G87" s="538" t="s">
        <v>163</v>
      </c>
      <c r="H87" s="538" t="s">
        <v>250</v>
      </c>
      <c r="I87" s="538" t="s">
        <v>122</v>
      </c>
      <c r="K87" s="538" t="s">
        <v>953</v>
      </c>
      <c r="L87" s="538" t="s">
        <v>954</v>
      </c>
      <c r="M87" s="538" t="s">
        <v>673</v>
      </c>
      <c r="N87" s="538" t="s">
        <v>872</v>
      </c>
      <c r="O87" s="538" t="b">
        <v>0</v>
      </c>
      <c r="P87" s="538" t="b">
        <v>1</v>
      </c>
      <c r="Q87" s="538" t="s">
        <v>75</v>
      </c>
      <c r="R87" s="538" t="s">
        <v>282</v>
      </c>
      <c r="S87" s="538" t="s">
        <v>75</v>
      </c>
      <c r="T87" s="538" t="s">
        <v>282</v>
      </c>
      <c r="U87" s="538" t="s">
        <v>79</v>
      </c>
      <c r="V87" s="538" t="s">
        <v>946</v>
      </c>
      <c r="W87" s="538" t="s">
        <v>79</v>
      </c>
      <c r="X87" s="538" t="s">
        <v>946</v>
      </c>
      <c r="Y87" s="538" t="s">
        <v>79</v>
      </c>
      <c r="Z87" s="538" t="s">
        <v>946</v>
      </c>
      <c r="AA87" s="538" t="s">
        <v>79</v>
      </c>
      <c r="AB87" s="538" t="s">
        <v>946</v>
      </c>
      <c r="AC87" s="538" t="s">
        <v>79</v>
      </c>
      <c r="AD87" s="538" t="s">
        <v>946</v>
      </c>
      <c r="AE87" s="538" t="s">
        <v>79</v>
      </c>
      <c r="AF87" s="538" t="s">
        <v>946</v>
      </c>
      <c r="AG87" s="538" t="s">
        <v>79</v>
      </c>
      <c r="AH87" s="538" t="s">
        <v>946</v>
      </c>
      <c r="AI87" s="538" t="s">
        <v>79</v>
      </c>
      <c r="AJ87" s="538" t="s">
        <v>946</v>
      </c>
      <c r="AK87" s="538" t="s">
        <v>79</v>
      </c>
      <c r="AL87" s="538" t="s">
        <v>946</v>
      </c>
      <c r="AM87" s="538" t="s">
        <v>79</v>
      </c>
      <c r="AN87" s="538" t="s">
        <v>946</v>
      </c>
      <c r="AO87" s="538" t="s">
        <v>79</v>
      </c>
      <c r="AP87" s="538" t="s">
        <v>218</v>
      </c>
      <c r="AQ87" s="538" t="s">
        <v>79</v>
      </c>
      <c r="AR87" s="538" t="s">
        <v>218</v>
      </c>
      <c r="AS87" s="538">
        <v>3.632112638E9</v>
      </c>
      <c r="AT87" s="538">
        <v>3.394864658E9</v>
      </c>
      <c r="AU87" s="538">
        <v>80.0</v>
      </c>
      <c r="AV87" s="538" t="s">
        <v>41</v>
      </c>
      <c r="AY87" s="538" t="s">
        <v>282</v>
      </c>
      <c r="AZ87" s="538">
        <v>1.0</v>
      </c>
      <c r="BA87" s="538">
        <v>1.0</v>
      </c>
      <c r="BB87" s="538">
        <v>1.0</v>
      </c>
      <c r="BC87" s="538">
        <v>1.0</v>
      </c>
      <c r="BD87" s="538">
        <v>1.0</v>
      </c>
      <c r="BE87" s="538">
        <v>0.05</v>
      </c>
      <c r="BF87" s="538">
        <v>0.07</v>
      </c>
      <c r="BG87" s="538">
        <v>0.1</v>
      </c>
      <c r="BH87" s="538">
        <v>0.15</v>
      </c>
      <c r="BI87" s="538">
        <v>0.2</v>
      </c>
      <c r="BJ87" s="546"/>
      <c r="BL87" s="546"/>
    </row>
    <row r="88" ht="22.5" customHeight="1">
      <c r="A88" s="538">
        <v>87.0</v>
      </c>
      <c r="B88" s="538" t="s">
        <v>955</v>
      </c>
      <c r="C88" s="538" t="s">
        <v>84</v>
      </c>
      <c r="D88" s="538" t="s">
        <v>942</v>
      </c>
      <c r="E88" s="538" t="s">
        <v>218</v>
      </c>
      <c r="F88" s="538" t="s">
        <v>956</v>
      </c>
      <c r="G88" s="538" t="s">
        <v>163</v>
      </c>
      <c r="H88" s="538" t="s">
        <v>250</v>
      </c>
      <c r="I88" s="538" t="s">
        <v>122</v>
      </c>
      <c r="K88" s="538" t="s">
        <v>957</v>
      </c>
      <c r="L88" s="538" t="s">
        <v>958</v>
      </c>
      <c r="M88" s="538" t="s">
        <v>661</v>
      </c>
      <c r="N88" s="538" t="s">
        <v>741</v>
      </c>
      <c r="O88" s="538" t="b">
        <v>0</v>
      </c>
      <c r="P88" s="538" t="b">
        <v>1</v>
      </c>
      <c r="Q88" s="538" t="s">
        <v>75</v>
      </c>
      <c r="R88" s="538" t="s">
        <v>309</v>
      </c>
      <c r="S88" s="538" t="s">
        <v>75</v>
      </c>
      <c r="T88" s="538" t="s">
        <v>309</v>
      </c>
      <c r="U88" s="538" t="s">
        <v>79</v>
      </c>
      <c r="V88" s="538" t="s">
        <v>956</v>
      </c>
      <c r="W88" s="538" t="s">
        <v>79</v>
      </c>
      <c r="X88" s="538" t="s">
        <v>956</v>
      </c>
      <c r="Y88" s="538" t="s">
        <v>79</v>
      </c>
      <c r="Z88" s="538" t="s">
        <v>956</v>
      </c>
      <c r="AA88" s="538" t="s">
        <v>79</v>
      </c>
      <c r="AB88" s="538" t="s">
        <v>956</v>
      </c>
      <c r="AC88" s="538" t="s">
        <v>79</v>
      </c>
      <c r="AD88" s="538" t="s">
        <v>956</v>
      </c>
      <c r="AE88" s="538" t="s">
        <v>79</v>
      </c>
      <c r="AF88" s="538" t="s">
        <v>956</v>
      </c>
      <c r="AG88" s="538" t="s">
        <v>79</v>
      </c>
      <c r="AH88" s="538" t="s">
        <v>956</v>
      </c>
      <c r="AI88" s="538" t="s">
        <v>79</v>
      </c>
      <c r="AJ88" s="538" t="s">
        <v>956</v>
      </c>
      <c r="AK88" s="538" t="s">
        <v>79</v>
      </c>
      <c r="AL88" s="538" t="s">
        <v>956</v>
      </c>
      <c r="AM88" s="538" t="s">
        <v>79</v>
      </c>
      <c r="AN88" s="538" t="s">
        <v>956</v>
      </c>
      <c r="AO88" s="538" t="s">
        <v>79</v>
      </c>
      <c r="AP88" s="538" t="s">
        <v>218</v>
      </c>
      <c r="AQ88" s="538" t="s">
        <v>79</v>
      </c>
      <c r="AR88" s="538" t="s">
        <v>218</v>
      </c>
      <c r="AS88" s="538">
        <v>2.058272079E9</v>
      </c>
      <c r="AT88" s="538">
        <v>1.76044746E8</v>
      </c>
      <c r="AU88" s="538">
        <v>81.0</v>
      </c>
      <c r="AV88" s="538" t="s">
        <v>41</v>
      </c>
      <c r="AY88" s="538" t="s">
        <v>309</v>
      </c>
      <c r="AZ88" s="538">
        <v>1.0</v>
      </c>
      <c r="BA88" s="538">
        <v>1.0</v>
      </c>
      <c r="BB88" s="538">
        <v>1.0</v>
      </c>
      <c r="BE88" s="538">
        <v>0.2</v>
      </c>
      <c r="BF88" s="538">
        <v>0.05</v>
      </c>
      <c r="BG88" s="538">
        <v>0.1</v>
      </c>
      <c r="BJ88" s="546"/>
      <c r="BL88" s="546"/>
    </row>
    <row r="89" ht="22.5" customHeight="1">
      <c r="A89" s="538">
        <v>88.0</v>
      </c>
      <c r="B89" s="538" t="s">
        <v>955</v>
      </c>
      <c r="C89" s="538" t="s">
        <v>82</v>
      </c>
      <c r="D89" s="538" t="s">
        <v>942</v>
      </c>
      <c r="E89" s="538" t="s">
        <v>218</v>
      </c>
      <c r="F89" s="538" t="s">
        <v>959</v>
      </c>
      <c r="G89" s="538" t="s">
        <v>163</v>
      </c>
      <c r="H89" s="538" t="s">
        <v>250</v>
      </c>
      <c r="I89" s="538" t="s">
        <v>122</v>
      </c>
      <c r="K89" s="538" t="s">
        <v>960</v>
      </c>
      <c r="L89" s="538" t="s">
        <v>961</v>
      </c>
      <c r="M89" s="538" t="s">
        <v>673</v>
      </c>
      <c r="N89" s="538" t="s">
        <v>872</v>
      </c>
      <c r="O89" s="538" t="b">
        <v>0</v>
      </c>
      <c r="P89" s="538" t="b">
        <v>1</v>
      </c>
      <c r="Q89" s="538" t="s">
        <v>75</v>
      </c>
      <c r="R89" s="538" t="s">
        <v>279</v>
      </c>
      <c r="S89" s="538" t="s">
        <v>75</v>
      </c>
      <c r="T89" s="538" t="s">
        <v>279</v>
      </c>
      <c r="U89" s="538" t="s">
        <v>79</v>
      </c>
      <c r="V89" s="538" t="s">
        <v>959</v>
      </c>
      <c r="W89" s="538" t="s">
        <v>79</v>
      </c>
      <c r="X89" s="538" t="s">
        <v>959</v>
      </c>
      <c r="Y89" s="538" t="s">
        <v>79</v>
      </c>
      <c r="Z89" s="538" t="s">
        <v>959</v>
      </c>
      <c r="AA89" s="538" t="s">
        <v>79</v>
      </c>
      <c r="AB89" s="538" t="s">
        <v>959</v>
      </c>
      <c r="AC89" s="538" t="s">
        <v>79</v>
      </c>
      <c r="AD89" s="538" t="s">
        <v>959</v>
      </c>
      <c r="AE89" s="538" t="s">
        <v>79</v>
      </c>
      <c r="AF89" s="538" t="s">
        <v>959</v>
      </c>
      <c r="AG89" s="538" t="s">
        <v>79</v>
      </c>
      <c r="AH89" s="538" t="s">
        <v>959</v>
      </c>
      <c r="AI89" s="538" t="s">
        <v>79</v>
      </c>
      <c r="AJ89" s="538" t="s">
        <v>959</v>
      </c>
      <c r="AK89" s="538" t="s">
        <v>79</v>
      </c>
      <c r="AL89" s="538" t="s">
        <v>959</v>
      </c>
      <c r="AM89" s="538" t="s">
        <v>79</v>
      </c>
      <c r="AN89" s="538" t="s">
        <v>959</v>
      </c>
      <c r="AO89" s="538" t="s">
        <v>79</v>
      </c>
      <c r="AP89" s="538" t="s">
        <v>218</v>
      </c>
      <c r="AQ89" s="538" t="s">
        <v>79</v>
      </c>
      <c r="AR89" s="538" t="s">
        <v>218</v>
      </c>
      <c r="AS89" s="538">
        <v>2.461367983E9</v>
      </c>
      <c r="AT89" s="538">
        <v>1.76044746E8</v>
      </c>
      <c r="AU89" s="538">
        <v>81.0</v>
      </c>
      <c r="AV89" s="538" t="s">
        <v>41</v>
      </c>
      <c r="AY89" s="538" t="s">
        <v>279</v>
      </c>
      <c r="AZ89" s="538">
        <v>1.0</v>
      </c>
      <c r="BA89" s="538">
        <v>1.0</v>
      </c>
      <c r="BB89" s="538">
        <v>1.0</v>
      </c>
      <c r="BC89" s="538">
        <v>1.0</v>
      </c>
      <c r="BD89" s="538">
        <v>1.0</v>
      </c>
      <c r="BE89" s="538">
        <v>0.05</v>
      </c>
      <c r="BF89" s="538">
        <v>0.07</v>
      </c>
      <c r="BG89" s="538">
        <v>0.1</v>
      </c>
      <c r="BH89" s="538">
        <v>0.15</v>
      </c>
      <c r="BI89" s="538">
        <v>0.2</v>
      </c>
      <c r="BJ89" s="546"/>
      <c r="BL89" s="546"/>
    </row>
    <row r="90" ht="22.5" customHeight="1">
      <c r="A90" s="538">
        <v>89.0</v>
      </c>
      <c r="B90" s="538" t="s">
        <v>962</v>
      </c>
      <c r="C90" s="538" t="s">
        <v>84</v>
      </c>
      <c r="D90" s="538" t="s">
        <v>963</v>
      </c>
      <c r="E90" s="538" t="s">
        <v>218</v>
      </c>
      <c r="F90" s="538" t="s">
        <v>964</v>
      </c>
      <c r="G90" s="538" t="s">
        <v>163</v>
      </c>
      <c r="H90" s="538" t="s">
        <v>250</v>
      </c>
      <c r="I90" s="538" t="s">
        <v>122</v>
      </c>
      <c r="K90" s="538" t="s">
        <v>965</v>
      </c>
      <c r="L90" s="538" t="s">
        <v>966</v>
      </c>
      <c r="M90" s="538" t="s">
        <v>661</v>
      </c>
      <c r="N90" s="538" t="s">
        <v>785</v>
      </c>
      <c r="O90" s="538" t="b">
        <v>0</v>
      </c>
      <c r="P90" s="538" t="b">
        <v>1</v>
      </c>
      <c r="Q90" s="538" t="s">
        <v>73</v>
      </c>
      <c r="S90" s="538" t="s">
        <v>73</v>
      </c>
      <c r="U90" s="538" t="s">
        <v>79</v>
      </c>
      <c r="V90" s="538" t="s">
        <v>964</v>
      </c>
      <c r="W90" s="538" t="s">
        <v>79</v>
      </c>
      <c r="X90" s="538" t="s">
        <v>964</v>
      </c>
      <c r="Y90" s="538" t="s">
        <v>79</v>
      </c>
      <c r="Z90" s="538" t="s">
        <v>964</v>
      </c>
      <c r="AA90" s="538" t="s">
        <v>79</v>
      </c>
      <c r="AB90" s="538" t="s">
        <v>964</v>
      </c>
      <c r="AC90" s="538" t="s">
        <v>79</v>
      </c>
      <c r="AD90" s="538" t="s">
        <v>964</v>
      </c>
      <c r="AE90" s="538" t="s">
        <v>79</v>
      </c>
      <c r="AF90" s="538" t="s">
        <v>964</v>
      </c>
      <c r="AG90" s="538" t="s">
        <v>79</v>
      </c>
      <c r="AH90" s="538" t="s">
        <v>964</v>
      </c>
      <c r="AI90" s="538" t="s">
        <v>79</v>
      </c>
      <c r="AJ90" s="538" t="s">
        <v>964</v>
      </c>
      <c r="AK90" s="538" t="s">
        <v>79</v>
      </c>
      <c r="AL90" s="538" t="s">
        <v>964</v>
      </c>
      <c r="AM90" s="538" t="s">
        <v>79</v>
      </c>
      <c r="AN90" s="538" t="s">
        <v>964</v>
      </c>
      <c r="AO90" s="538" t="s">
        <v>79</v>
      </c>
      <c r="AP90" s="538" t="s">
        <v>218</v>
      </c>
      <c r="AQ90" s="538" t="s">
        <v>79</v>
      </c>
      <c r="AR90" s="538" t="s">
        <v>218</v>
      </c>
      <c r="AS90" s="538">
        <v>3.368245052E9</v>
      </c>
      <c r="AT90" s="538">
        <v>2.963484044E9</v>
      </c>
      <c r="AU90" s="538">
        <v>46.0</v>
      </c>
      <c r="AV90" s="538" t="s">
        <v>41</v>
      </c>
      <c r="AZ90" s="538">
        <v>1.0</v>
      </c>
      <c r="BA90" s="538">
        <v>1.0</v>
      </c>
      <c r="BB90" s="538">
        <v>1.0</v>
      </c>
      <c r="BE90" s="538">
        <v>0.1</v>
      </c>
      <c r="BF90" s="538">
        <v>0.02</v>
      </c>
      <c r="BG90" s="538">
        <v>0.05</v>
      </c>
      <c r="BJ90" s="546"/>
      <c r="BL90" s="546"/>
    </row>
    <row r="91" ht="22.5" customHeight="1">
      <c r="A91" s="538">
        <v>90.0</v>
      </c>
      <c r="B91" s="538" t="s">
        <v>962</v>
      </c>
      <c r="C91" s="538" t="s">
        <v>82</v>
      </c>
      <c r="D91" s="538" t="s">
        <v>963</v>
      </c>
      <c r="E91" s="538" t="s">
        <v>286</v>
      </c>
      <c r="F91" s="538" t="s">
        <v>342</v>
      </c>
      <c r="G91" s="538" t="s">
        <v>151</v>
      </c>
      <c r="H91" s="538" t="s">
        <v>250</v>
      </c>
      <c r="I91" s="538" t="s">
        <v>122</v>
      </c>
      <c r="K91" s="538" t="s">
        <v>967</v>
      </c>
      <c r="L91" s="538" t="s">
        <v>968</v>
      </c>
      <c r="M91" s="538" t="s">
        <v>673</v>
      </c>
      <c r="N91" s="538" t="s">
        <v>781</v>
      </c>
      <c r="O91" s="538" t="b">
        <v>0</v>
      </c>
      <c r="P91" s="538" t="b">
        <v>1</v>
      </c>
      <c r="Q91" s="538" t="s">
        <v>79</v>
      </c>
      <c r="R91" s="538" t="s">
        <v>286</v>
      </c>
      <c r="S91" s="538" t="s">
        <v>79</v>
      </c>
      <c r="T91" s="538" t="s">
        <v>286</v>
      </c>
      <c r="U91" s="538" t="s">
        <v>79</v>
      </c>
      <c r="V91" s="538" t="s">
        <v>286</v>
      </c>
      <c r="W91" s="538" t="s">
        <v>79</v>
      </c>
      <c r="X91" s="538" t="s">
        <v>286</v>
      </c>
      <c r="Y91" s="538" t="s">
        <v>79</v>
      </c>
      <c r="Z91" s="538" t="s">
        <v>286</v>
      </c>
      <c r="AA91" s="538" t="s">
        <v>79</v>
      </c>
      <c r="AB91" s="538" t="s">
        <v>286</v>
      </c>
      <c r="AC91" s="538" t="s">
        <v>79</v>
      </c>
      <c r="AD91" s="538" t="s">
        <v>286</v>
      </c>
      <c r="AE91" s="538" t="s">
        <v>79</v>
      </c>
      <c r="AF91" s="538" t="s">
        <v>286</v>
      </c>
      <c r="AG91" s="538" t="s">
        <v>79</v>
      </c>
      <c r="AH91" s="538" t="s">
        <v>286</v>
      </c>
      <c r="AI91" s="538" t="s">
        <v>79</v>
      </c>
      <c r="AJ91" s="538" t="s">
        <v>286</v>
      </c>
      <c r="AK91" s="538" t="s">
        <v>79</v>
      </c>
      <c r="AL91" s="538" t="s">
        <v>286</v>
      </c>
      <c r="AM91" s="538" t="s">
        <v>79</v>
      </c>
      <c r="AN91" s="538" t="s">
        <v>286</v>
      </c>
      <c r="AO91" s="538" t="s">
        <v>79</v>
      </c>
      <c r="AP91" s="538" t="s">
        <v>286</v>
      </c>
      <c r="AQ91" s="538" t="s">
        <v>73</v>
      </c>
      <c r="AS91" s="538">
        <v>2.899912544E9</v>
      </c>
      <c r="AT91" s="538">
        <v>2.963484044E9</v>
      </c>
      <c r="AU91" s="538">
        <v>46.0</v>
      </c>
      <c r="AV91" s="538" t="s">
        <v>41</v>
      </c>
      <c r="AZ91" s="538">
        <v>1.0</v>
      </c>
      <c r="BA91" s="538">
        <v>1.0</v>
      </c>
      <c r="BB91" s="538">
        <v>1.0</v>
      </c>
      <c r="BC91" s="538">
        <v>1.0</v>
      </c>
      <c r="BD91" s="538">
        <v>1.0</v>
      </c>
      <c r="BE91" s="538">
        <v>0.2</v>
      </c>
      <c r="BF91" s="538">
        <v>0.3</v>
      </c>
      <c r="BG91" s="538">
        <v>0.4</v>
      </c>
      <c r="BH91" s="538">
        <v>0.5</v>
      </c>
      <c r="BI91" s="538">
        <v>0.6</v>
      </c>
      <c r="BJ91" s="546"/>
      <c r="BL91" s="546"/>
    </row>
    <row r="92" ht="22.5" customHeight="1">
      <c r="A92" s="538">
        <v>91.0</v>
      </c>
      <c r="B92" s="538" t="s">
        <v>969</v>
      </c>
      <c r="C92" s="538" t="s">
        <v>84</v>
      </c>
      <c r="D92" s="538" t="s">
        <v>963</v>
      </c>
      <c r="E92" s="538" t="s">
        <v>313</v>
      </c>
      <c r="F92" s="538" t="s">
        <v>276</v>
      </c>
      <c r="G92" s="538" t="s">
        <v>234</v>
      </c>
      <c r="H92" s="538" t="s">
        <v>250</v>
      </c>
      <c r="I92" s="538" t="s">
        <v>122</v>
      </c>
      <c r="J92" s="538" t="s">
        <v>399</v>
      </c>
      <c r="K92" s="538" t="s">
        <v>970</v>
      </c>
      <c r="L92" s="538" t="s">
        <v>971</v>
      </c>
      <c r="M92" s="538" t="s">
        <v>661</v>
      </c>
      <c r="N92" s="538" t="s">
        <v>767</v>
      </c>
      <c r="O92" s="538" t="b">
        <v>0</v>
      </c>
      <c r="P92" s="538" t="b">
        <v>1</v>
      </c>
      <c r="Q92" s="538" t="s">
        <v>75</v>
      </c>
      <c r="R92" s="538" t="s">
        <v>276</v>
      </c>
      <c r="S92" s="538" t="s">
        <v>75</v>
      </c>
      <c r="T92" s="538" t="s">
        <v>276</v>
      </c>
      <c r="U92" s="538" t="s">
        <v>75</v>
      </c>
      <c r="V92" s="538" t="s">
        <v>276</v>
      </c>
      <c r="W92" s="538" t="s">
        <v>75</v>
      </c>
      <c r="X92" s="538" t="s">
        <v>276</v>
      </c>
      <c r="Y92" s="538" t="s">
        <v>75</v>
      </c>
      <c r="Z92" s="538" t="s">
        <v>276</v>
      </c>
      <c r="AA92" s="538" t="s">
        <v>75</v>
      </c>
      <c r="AB92" s="538" t="s">
        <v>276</v>
      </c>
      <c r="AC92" s="538" t="s">
        <v>75</v>
      </c>
      <c r="AD92" s="538" t="s">
        <v>276</v>
      </c>
      <c r="AE92" s="538" t="s">
        <v>75</v>
      </c>
      <c r="AF92" s="538" t="s">
        <v>276</v>
      </c>
      <c r="AG92" s="538" t="s">
        <v>75</v>
      </c>
      <c r="AH92" s="538" t="s">
        <v>276</v>
      </c>
      <c r="AI92" s="538" t="s">
        <v>75</v>
      </c>
      <c r="AJ92" s="538" t="s">
        <v>276</v>
      </c>
      <c r="AK92" s="538" t="s">
        <v>75</v>
      </c>
      <c r="AL92" s="538" t="s">
        <v>276</v>
      </c>
      <c r="AM92" s="538" t="s">
        <v>75</v>
      </c>
      <c r="AN92" s="538" t="s">
        <v>276</v>
      </c>
      <c r="AO92" s="538" t="s">
        <v>79</v>
      </c>
      <c r="AP92" s="538" t="s">
        <v>313</v>
      </c>
      <c r="AQ92" s="538" t="s">
        <v>79</v>
      </c>
      <c r="AR92" s="538" t="s">
        <v>313</v>
      </c>
      <c r="AS92" s="538">
        <v>2.079302126E9</v>
      </c>
      <c r="AT92" s="538">
        <v>3.07877748E8</v>
      </c>
      <c r="AU92" s="538">
        <v>47.0</v>
      </c>
      <c r="AV92" s="538" t="s">
        <v>45</v>
      </c>
      <c r="AY92" s="538" t="s">
        <v>276</v>
      </c>
      <c r="AZ92" s="538">
        <v>1.0</v>
      </c>
      <c r="BA92" s="538">
        <v>1.0</v>
      </c>
      <c r="BB92" s="538">
        <v>1.0</v>
      </c>
      <c r="BE92" s="538">
        <v>0.05</v>
      </c>
      <c r="BF92" s="538">
        <v>0.02</v>
      </c>
      <c r="BG92" s="538">
        <v>0.05</v>
      </c>
      <c r="BJ92" s="546"/>
      <c r="BL92" s="546"/>
    </row>
    <row r="93" ht="22.5" customHeight="1">
      <c r="A93" s="538">
        <v>92.0</v>
      </c>
      <c r="B93" s="538" t="s">
        <v>969</v>
      </c>
      <c r="C93" s="538" t="s">
        <v>82</v>
      </c>
      <c r="D93" s="538" t="s">
        <v>963</v>
      </c>
      <c r="E93" s="538" t="s">
        <v>286</v>
      </c>
      <c r="F93" s="538" t="s">
        <v>300</v>
      </c>
      <c r="G93" s="538" t="s">
        <v>151</v>
      </c>
      <c r="H93" s="538" t="s">
        <v>250</v>
      </c>
      <c r="I93" s="538" t="s">
        <v>122</v>
      </c>
      <c r="K93" s="538" t="s">
        <v>972</v>
      </c>
      <c r="L93" s="538" t="s">
        <v>973</v>
      </c>
      <c r="M93" s="538" t="s">
        <v>673</v>
      </c>
      <c r="N93" s="538" t="s">
        <v>781</v>
      </c>
      <c r="O93" s="538" t="b">
        <v>0</v>
      </c>
      <c r="P93" s="538" t="b">
        <v>1</v>
      </c>
      <c r="Q93" s="538" t="s">
        <v>79</v>
      </c>
      <c r="R93" s="538" t="s">
        <v>286</v>
      </c>
      <c r="S93" s="538" t="s">
        <v>79</v>
      </c>
      <c r="T93" s="538" t="s">
        <v>286</v>
      </c>
      <c r="U93" s="538" t="s">
        <v>79</v>
      </c>
      <c r="V93" s="538" t="s">
        <v>286</v>
      </c>
      <c r="W93" s="538" t="s">
        <v>79</v>
      </c>
      <c r="X93" s="538" t="s">
        <v>286</v>
      </c>
      <c r="Y93" s="538" t="s">
        <v>79</v>
      </c>
      <c r="Z93" s="538" t="s">
        <v>286</v>
      </c>
      <c r="AA93" s="538" t="s">
        <v>79</v>
      </c>
      <c r="AB93" s="538" t="s">
        <v>286</v>
      </c>
      <c r="AC93" s="538" t="s">
        <v>79</v>
      </c>
      <c r="AD93" s="538" t="s">
        <v>286</v>
      </c>
      <c r="AE93" s="538" t="s">
        <v>79</v>
      </c>
      <c r="AF93" s="538" t="s">
        <v>286</v>
      </c>
      <c r="AG93" s="538" t="s">
        <v>79</v>
      </c>
      <c r="AH93" s="538" t="s">
        <v>286</v>
      </c>
      <c r="AI93" s="538" t="s">
        <v>79</v>
      </c>
      <c r="AJ93" s="538" t="s">
        <v>286</v>
      </c>
      <c r="AK93" s="538" t="s">
        <v>79</v>
      </c>
      <c r="AL93" s="538" t="s">
        <v>286</v>
      </c>
      <c r="AM93" s="538" t="s">
        <v>79</v>
      </c>
      <c r="AN93" s="538" t="s">
        <v>286</v>
      </c>
      <c r="AO93" s="538" t="s">
        <v>79</v>
      </c>
      <c r="AP93" s="538" t="s">
        <v>286</v>
      </c>
      <c r="AQ93" s="538" t="s">
        <v>73</v>
      </c>
      <c r="AS93" s="538">
        <v>4.091368E7</v>
      </c>
      <c r="AT93" s="538">
        <v>3.07877748E8</v>
      </c>
      <c r="AU93" s="538">
        <v>47.0</v>
      </c>
      <c r="AV93" s="538" t="s">
        <v>45</v>
      </c>
      <c r="AZ93" s="538">
        <v>1.0</v>
      </c>
      <c r="BA93" s="538">
        <v>1.0</v>
      </c>
      <c r="BB93" s="538">
        <v>1.0</v>
      </c>
      <c r="BC93" s="538">
        <v>1.0</v>
      </c>
      <c r="BD93" s="538">
        <v>1.0</v>
      </c>
      <c r="BE93" s="538">
        <v>0.2</v>
      </c>
      <c r="BF93" s="538">
        <v>0.3</v>
      </c>
      <c r="BG93" s="538">
        <v>0.4</v>
      </c>
      <c r="BH93" s="538">
        <v>0.5</v>
      </c>
      <c r="BI93" s="538">
        <v>0.6</v>
      </c>
      <c r="BJ93" s="546"/>
      <c r="BL93" s="546"/>
    </row>
    <row r="94" ht="22.5" customHeight="1">
      <c r="A94" s="538">
        <v>93.0</v>
      </c>
      <c r="B94" s="538" t="s">
        <v>974</v>
      </c>
      <c r="C94" s="538" t="s">
        <v>84</v>
      </c>
      <c r="D94" s="538" t="s">
        <v>909</v>
      </c>
      <c r="E94" s="538" t="s">
        <v>231</v>
      </c>
      <c r="F94" s="538" t="s">
        <v>256</v>
      </c>
      <c r="G94" s="538" t="s">
        <v>163</v>
      </c>
      <c r="H94" s="538" t="s">
        <v>250</v>
      </c>
      <c r="I94" s="538" t="s">
        <v>122</v>
      </c>
      <c r="K94" s="538" t="s">
        <v>975</v>
      </c>
      <c r="L94" s="538" t="s">
        <v>976</v>
      </c>
      <c r="M94" s="538" t="s">
        <v>661</v>
      </c>
      <c r="N94" s="538" t="s">
        <v>977</v>
      </c>
      <c r="O94" s="538" t="b">
        <v>0</v>
      </c>
      <c r="P94" s="538" t="b">
        <v>1</v>
      </c>
      <c r="Q94" s="538" t="s">
        <v>75</v>
      </c>
      <c r="R94" s="538" t="s">
        <v>256</v>
      </c>
      <c r="S94" s="538" t="s">
        <v>75</v>
      </c>
      <c r="T94" s="538" t="s">
        <v>256</v>
      </c>
      <c r="U94" s="538" t="s">
        <v>75</v>
      </c>
      <c r="V94" s="538" t="s">
        <v>256</v>
      </c>
      <c r="W94" s="538" t="s">
        <v>75</v>
      </c>
      <c r="X94" s="538" t="s">
        <v>256</v>
      </c>
      <c r="Y94" s="538" t="s">
        <v>75</v>
      </c>
      <c r="Z94" s="538" t="s">
        <v>256</v>
      </c>
      <c r="AA94" s="538" t="s">
        <v>75</v>
      </c>
      <c r="AB94" s="538" t="s">
        <v>256</v>
      </c>
      <c r="AC94" s="538" t="s">
        <v>75</v>
      </c>
      <c r="AD94" s="538" t="s">
        <v>256</v>
      </c>
      <c r="AE94" s="538" t="s">
        <v>75</v>
      </c>
      <c r="AF94" s="538" t="s">
        <v>256</v>
      </c>
      <c r="AG94" s="538" t="s">
        <v>75</v>
      </c>
      <c r="AH94" s="538" t="s">
        <v>256</v>
      </c>
      <c r="AI94" s="538" t="s">
        <v>75</v>
      </c>
      <c r="AJ94" s="538" t="s">
        <v>256</v>
      </c>
      <c r="AK94" s="538" t="s">
        <v>75</v>
      </c>
      <c r="AL94" s="538" t="s">
        <v>256</v>
      </c>
      <c r="AM94" s="538" t="s">
        <v>75</v>
      </c>
      <c r="AN94" s="538" t="s">
        <v>256</v>
      </c>
      <c r="AO94" s="538" t="s">
        <v>79</v>
      </c>
      <c r="AP94" s="538" t="s">
        <v>231</v>
      </c>
      <c r="AQ94" s="538" t="s">
        <v>79</v>
      </c>
      <c r="AR94" s="538" t="s">
        <v>231</v>
      </c>
      <c r="AS94" s="538">
        <v>3.94381903E9</v>
      </c>
      <c r="AT94" s="538">
        <v>3.961190554E9</v>
      </c>
      <c r="AU94" s="538">
        <v>31.0</v>
      </c>
      <c r="AV94" s="538" t="s">
        <v>46</v>
      </c>
      <c r="AY94" s="538" t="s">
        <v>256</v>
      </c>
      <c r="AZ94" s="538">
        <v>1.0</v>
      </c>
      <c r="BA94" s="538">
        <v>1.0</v>
      </c>
      <c r="BB94" s="538">
        <v>1.0</v>
      </c>
      <c r="BE94" s="538">
        <v>0.1</v>
      </c>
      <c r="BF94" s="538">
        <v>0.2</v>
      </c>
      <c r="BG94" s="538">
        <v>0.3</v>
      </c>
      <c r="BJ94" s="546"/>
      <c r="BL94" s="546"/>
    </row>
    <row r="95" ht="22.5" customHeight="1">
      <c r="A95" s="538">
        <v>94.0</v>
      </c>
      <c r="B95" s="538" t="s">
        <v>974</v>
      </c>
      <c r="C95" s="538" t="s">
        <v>82</v>
      </c>
      <c r="D95" s="538" t="s">
        <v>909</v>
      </c>
      <c r="E95" s="538" t="s">
        <v>218</v>
      </c>
      <c r="G95" s="538" t="s">
        <v>230</v>
      </c>
      <c r="H95" s="538" t="s">
        <v>250</v>
      </c>
      <c r="I95" s="538" t="s">
        <v>122</v>
      </c>
      <c r="K95" s="538" t="s">
        <v>978</v>
      </c>
      <c r="L95" s="538" t="s">
        <v>979</v>
      </c>
      <c r="M95" s="538" t="s">
        <v>673</v>
      </c>
      <c r="N95" s="538" t="s">
        <v>980</v>
      </c>
      <c r="O95" s="538" t="b">
        <v>0</v>
      </c>
      <c r="P95" s="538" t="b">
        <v>1</v>
      </c>
      <c r="Q95" s="538" t="s">
        <v>73</v>
      </c>
      <c r="S95" s="538" t="s">
        <v>73</v>
      </c>
      <c r="U95" s="538" t="s">
        <v>73</v>
      </c>
      <c r="W95" s="538" t="s">
        <v>73</v>
      </c>
      <c r="Y95" s="538" t="s">
        <v>73</v>
      </c>
      <c r="AA95" s="538" t="s">
        <v>73</v>
      </c>
      <c r="AC95" s="538" t="s">
        <v>73</v>
      </c>
      <c r="AE95" s="538" t="s">
        <v>73</v>
      </c>
      <c r="AG95" s="538" t="s">
        <v>73</v>
      </c>
      <c r="AI95" s="538" t="s">
        <v>73</v>
      </c>
      <c r="AK95" s="538" t="s">
        <v>73</v>
      </c>
      <c r="AM95" s="538" t="s">
        <v>73</v>
      </c>
      <c r="AO95" s="538" t="s">
        <v>79</v>
      </c>
      <c r="AP95" s="538" t="s">
        <v>218</v>
      </c>
      <c r="AQ95" s="538" t="s">
        <v>79</v>
      </c>
      <c r="AR95" s="538" t="s">
        <v>218</v>
      </c>
      <c r="AS95" s="538">
        <v>2.07614493E8</v>
      </c>
      <c r="AT95" s="538">
        <v>3.961190554E9</v>
      </c>
      <c r="AU95" s="538">
        <v>31.0</v>
      </c>
      <c r="AV95" s="538" t="s">
        <v>46</v>
      </c>
      <c r="AZ95" s="538">
        <v>1.0</v>
      </c>
      <c r="BA95" s="538">
        <v>1.0</v>
      </c>
      <c r="BB95" s="538">
        <v>1.0</v>
      </c>
      <c r="BC95" s="538">
        <v>1.0</v>
      </c>
      <c r="BD95" s="538">
        <v>1.0</v>
      </c>
      <c r="BE95" s="538">
        <v>0.06</v>
      </c>
      <c r="BF95" s="538">
        <v>0.07</v>
      </c>
      <c r="BG95" s="538">
        <v>0.08</v>
      </c>
      <c r="BH95" s="538">
        <v>0.09</v>
      </c>
      <c r="BI95" s="538">
        <v>0.1</v>
      </c>
      <c r="BJ95" s="546"/>
      <c r="BL95" s="546"/>
    </row>
    <row r="96" ht="22.5" customHeight="1">
      <c r="A96" s="538">
        <v>95.0</v>
      </c>
      <c r="B96" s="538" t="s">
        <v>981</v>
      </c>
      <c r="C96" s="538" t="s">
        <v>84</v>
      </c>
      <c r="D96" s="538" t="s">
        <v>895</v>
      </c>
      <c r="E96" s="538" t="s">
        <v>214</v>
      </c>
      <c r="G96" s="538" t="s">
        <v>163</v>
      </c>
      <c r="H96" s="538" t="s">
        <v>222</v>
      </c>
      <c r="I96" s="538" t="s">
        <v>197</v>
      </c>
      <c r="J96" s="538" t="s">
        <v>379</v>
      </c>
      <c r="K96" s="538" t="s">
        <v>982</v>
      </c>
      <c r="L96" s="538" t="s">
        <v>983</v>
      </c>
      <c r="M96" s="538" t="s">
        <v>984</v>
      </c>
      <c r="N96" s="538" t="s">
        <v>661</v>
      </c>
      <c r="O96" s="538" t="b">
        <v>1</v>
      </c>
      <c r="P96" s="538" t="b">
        <v>1</v>
      </c>
      <c r="Q96" s="538" t="s">
        <v>73</v>
      </c>
      <c r="S96" s="538" t="s">
        <v>73</v>
      </c>
      <c r="U96" s="538" t="s">
        <v>73</v>
      </c>
      <c r="W96" s="538" t="s">
        <v>73</v>
      </c>
      <c r="Y96" s="538" t="s">
        <v>73</v>
      </c>
      <c r="AA96" s="538" t="s">
        <v>73</v>
      </c>
      <c r="AC96" s="538" t="s">
        <v>73</v>
      </c>
      <c r="AE96" s="538" t="s">
        <v>73</v>
      </c>
      <c r="AG96" s="538" t="s">
        <v>73</v>
      </c>
      <c r="AI96" s="538" t="s">
        <v>73</v>
      </c>
      <c r="AK96" s="538" t="s">
        <v>73</v>
      </c>
      <c r="AM96" s="538" t="s">
        <v>73</v>
      </c>
      <c r="AO96" s="538" t="s">
        <v>79</v>
      </c>
      <c r="AP96" s="538" t="s">
        <v>214</v>
      </c>
      <c r="AQ96" s="538" t="s">
        <v>79</v>
      </c>
      <c r="AR96" s="538" t="s">
        <v>214</v>
      </c>
      <c r="AS96" s="538">
        <v>8.40557541E8</v>
      </c>
      <c r="AT96" s="538">
        <v>1.608562191E9</v>
      </c>
      <c r="AU96" s="538">
        <v>22.0</v>
      </c>
      <c r="AV96" s="538" t="s">
        <v>47</v>
      </c>
      <c r="AZ96" s="538">
        <v>0.8</v>
      </c>
      <c r="BA96" s="538">
        <v>0.05</v>
      </c>
      <c r="BB96" s="538">
        <v>0.1</v>
      </c>
      <c r="BE96" s="538">
        <v>1.0</v>
      </c>
      <c r="BF96" s="538">
        <v>1.0</v>
      </c>
      <c r="BG96" s="538">
        <v>1.0</v>
      </c>
      <c r="BJ96" s="546"/>
      <c r="BL96" s="546"/>
    </row>
    <row r="97" ht="22.5" customHeight="1">
      <c r="A97" s="538">
        <v>96.0</v>
      </c>
      <c r="B97" s="538" t="s">
        <v>981</v>
      </c>
      <c r="C97" s="538" t="s">
        <v>82</v>
      </c>
      <c r="D97" s="538" t="s">
        <v>895</v>
      </c>
      <c r="E97" s="538" t="s">
        <v>204</v>
      </c>
      <c r="G97" s="538" t="s">
        <v>163</v>
      </c>
      <c r="H97" s="538" t="s">
        <v>250</v>
      </c>
      <c r="I97" s="538" t="s">
        <v>176</v>
      </c>
      <c r="J97" s="538" t="s">
        <v>393</v>
      </c>
      <c r="K97" s="538" t="s">
        <v>985</v>
      </c>
      <c r="L97" s="538" t="s">
        <v>986</v>
      </c>
      <c r="M97" s="538" t="s">
        <v>673</v>
      </c>
      <c r="N97" s="538" t="s">
        <v>987</v>
      </c>
      <c r="O97" s="538" t="b">
        <v>0</v>
      </c>
      <c r="P97" s="538" t="b">
        <v>1</v>
      </c>
      <c r="Q97" s="538" t="s">
        <v>73</v>
      </c>
      <c r="S97" s="538" t="s">
        <v>73</v>
      </c>
      <c r="U97" s="538" t="s">
        <v>73</v>
      </c>
      <c r="W97" s="538" t="s">
        <v>73</v>
      </c>
      <c r="Y97" s="538" t="s">
        <v>73</v>
      </c>
      <c r="AA97" s="538" t="s">
        <v>73</v>
      </c>
      <c r="AC97" s="538" t="s">
        <v>73</v>
      </c>
      <c r="AE97" s="538" t="s">
        <v>73</v>
      </c>
      <c r="AG97" s="538" t="s">
        <v>73</v>
      </c>
      <c r="AI97" s="538" t="s">
        <v>73</v>
      </c>
      <c r="AK97" s="538" t="s">
        <v>73</v>
      </c>
      <c r="AM97" s="538" t="s">
        <v>73</v>
      </c>
      <c r="AO97" s="538" t="s">
        <v>79</v>
      </c>
      <c r="AP97" s="538" t="s">
        <v>204</v>
      </c>
      <c r="AQ97" s="538" t="s">
        <v>79</v>
      </c>
      <c r="AR97" s="538" t="s">
        <v>204</v>
      </c>
      <c r="AS97" s="538">
        <v>4.6974357E8</v>
      </c>
      <c r="AT97" s="538">
        <v>1.608562191E9</v>
      </c>
      <c r="AU97" s="538">
        <v>22.0</v>
      </c>
      <c r="AV97" s="538" t="s">
        <v>47</v>
      </c>
      <c r="AZ97" s="538">
        <v>1.0</v>
      </c>
      <c r="BA97" s="538">
        <v>1.0</v>
      </c>
      <c r="BB97" s="538">
        <v>1.0</v>
      </c>
      <c r="BC97" s="538">
        <v>1.0</v>
      </c>
      <c r="BD97" s="538">
        <v>1.0</v>
      </c>
      <c r="BE97" s="538">
        <v>1.0</v>
      </c>
      <c r="BF97" s="538">
        <v>2.0</v>
      </c>
      <c r="BG97" s="538">
        <v>4.0</v>
      </c>
      <c r="BH97" s="538">
        <v>8.0</v>
      </c>
      <c r="BI97" s="538">
        <v>16.0</v>
      </c>
      <c r="BJ97" s="546"/>
      <c r="BL97" s="546"/>
    </row>
    <row r="98" ht="22.5" customHeight="1">
      <c r="A98" s="538">
        <v>97.0</v>
      </c>
      <c r="B98" s="538" t="s">
        <v>988</v>
      </c>
      <c r="C98" s="538" t="s">
        <v>84</v>
      </c>
      <c r="D98" s="538" t="s">
        <v>895</v>
      </c>
      <c r="E98" s="538" t="s">
        <v>218</v>
      </c>
      <c r="F98" s="538" t="s">
        <v>238</v>
      </c>
      <c r="G98" s="538" t="s">
        <v>163</v>
      </c>
      <c r="H98" s="538" t="s">
        <v>250</v>
      </c>
      <c r="I98" s="538" t="s">
        <v>122</v>
      </c>
      <c r="K98" s="538" t="s">
        <v>989</v>
      </c>
      <c r="L98" s="538" t="s">
        <v>990</v>
      </c>
      <c r="M98" s="538" t="s">
        <v>661</v>
      </c>
      <c r="N98" s="538" t="s">
        <v>912</v>
      </c>
      <c r="O98" s="538" t="b">
        <v>0</v>
      </c>
      <c r="P98" s="538" t="b">
        <v>1</v>
      </c>
      <c r="Q98" s="538" t="s">
        <v>75</v>
      </c>
      <c r="R98" s="538" t="s">
        <v>238</v>
      </c>
      <c r="S98" s="538" t="s">
        <v>75</v>
      </c>
      <c r="T98" s="538" t="s">
        <v>238</v>
      </c>
      <c r="U98" s="538" t="s">
        <v>75</v>
      </c>
      <c r="V98" s="538" t="s">
        <v>238</v>
      </c>
      <c r="W98" s="538" t="s">
        <v>75</v>
      </c>
      <c r="X98" s="538" t="s">
        <v>238</v>
      </c>
      <c r="Y98" s="538" t="s">
        <v>75</v>
      </c>
      <c r="Z98" s="538" t="s">
        <v>238</v>
      </c>
      <c r="AA98" s="538" t="s">
        <v>75</v>
      </c>
      <c r="AB98" s="538" t="s">
        <v>238</v>
      </c>
      <c r="AC98" s="538" t="s">
        <v>75</v>
      </c>
      <c r="AD98" s="538" t="s">
        <v>238</v>
      </c>
      <c r="AE98" s="538" t="s">
        <v>75</v>
      </c>
      <c r="AF98" s="538" t="s">
        <v>238</v>
      </c>
      <c r="AG98" s="538" t="s">
        <v>75</v>
      </c>
      <c r="AH98" s="538" t="s">
        <v>238</v>
      </c>
      <c r="AI98" s="538" t="s">
        <v>75</v>
      </c>
      <c r="AJ98" s="538" t="s">
        <v>238</v>
      </c>
      <c r="AK98" s="538" t="s">
        <v>75</v>
      </c>
      <c r="AL98" s="538" t="s">
        <v>238</v>
      </c>
      <c r="AM98" s="538" t="s">
        <v>75</v>
      </c>
      <c r="AN98" s="538" t="s">
        <v>238</v>
      </c>
      <c r="AO98" s="538" t="s">
        <v>79</v>
      </c>
      <c r="AP98" s="538" t="s">
        <v>218</v>
      </c>
      <c r="AQ98" s="538" t="s">
        <v>79</v>
      </c>
      <c r="AR98" s="538" t="s">
        <v>218</v>
      </c>
      <c r="AS98" s="538">
        <v>1.30431925E9</v>
      </c>
      <c r="AT98" s="538">
        <v>1.353192478E9</v>
      </c>
      <c r="AU98" s="538">
        <v>23.0</v>
      </c>
      <c r="AV98" s="538" t="s">
        <v>46</v>
      </c>
      <c r="AY98" s="538" t="s">
        <v>238</v>
      </c>
      <c r="AZ98" s="538">
        <v>1.0</v>
      </c>
      <c r="BA98" s="538">
        <v>1.0</v>
      </c>
      <c r="BB98" s="538">
        <v>1.0</v>
      </c>
      <c r="BE98" s="538">
        <v>0.2</v>
      </c>
      <c r="BF98" s="538">
        <v>0.1</v>
      </c>
      <c r="BG98" s="538">
        <v>0.2</v>
      </c>
      <c r="BJ98" s="546"/>
      <c r="BL98" s="546"/>
    </row>
    <row r="99" ht="22.5" customHeight="1">
      <c r="A99" s="538">
        <v>98.0</v>
      </c>
      <c r="B99" s="538" t="s">
        <v>988</v>
      </c>
      <c r="C99" s="538" t="s">
        <v>82</v>
      </c>
      <c r="D99" s="538" t="s">
        <v>895</v>
      </c>
      <c r="E99" s="538" t="s">
        <v>381</v>
      </c>
      <c r="F99" s="538" t="s">
        <v>720</v>
      </c>
      <c r="G99" s="538" t="s">
        <v>234</v>
      </c>
      <c r="H99" s="538" t="s">
        <v>222</v>
      </c>
      <c r="I99" s="538" t="s">
        <v>189</v>
      </c>
      <c r="K99" s="538" t="s">
        <v>991</v>
      </c>
      <c r="L99" s="538" t="s">
        <v>992</v>
      </c>
      <c r="M99" s="538" t="s">
        <v>673</v>
      </c>
      <c r="N99" s="538" t="s">
        <v>813</v>
      </c>
      <c r="O99" s="538" t="b">
        <v>0</v>
      </c>
      <c r="P99" s="538" t="b">
        <v>1</v>
      </c>
      <c r="Q99" s="538" t="s">
        <v>75</v>
      </c>
      <c r="R99" s="538" t="s">
        <v>127</v>
      </c>
      <c r="S99" s="538" t="s">
        <v>75</v>
      </c>
      <c r="T99" s="538" t="s">
        <v>127</v>
      </c>
      <c r="U99" s="538" t="s">
        <v>75</v>
      </c>
      <c r="V99" s="538" t="s">
        <v>127</v>
      </c>
      <c r="W99" s="538" t="s">
        <v>75</v>
      </c>
      <c r="X99" s="538" t="s">
        <v>127</v>
      </c>
      <c r="Y99" s="538" t="s">
        <v>75</v>
      </c>
      <c r="Z99" s="538" t="s">
        <v>127</v>
      </c>
      <c r="AA99" s="538" t="s">
        <v>75</v>
      </c>
      <c r="AB99" s="538" t="s">
        <v>127</v>
      </c>
      <c r="AC99" s="538" t="s">
        <v>79</v>
      </c>
      <c r="AD99" s="538" t="s">
        <v>377</v>
      </c>
      <c r="AE99" s="538" t="s">
        <v>79</v>
      </c>
      <c r="AF99" s="538" t="s">
        <v>377</v>
      </c>
      <c r="AG99" s="538" t="s">
        <v>79</v>
      </c>
      <c r="AH99" s="538" t="s">
        <v>380</v>
      </c>
      <c r="AI99" s="538" t="s">
        <v>79</v>
      </c>
      <c r="AJ99" s="538" t="s">
        <v>377</v>
      </c>
      <c r="AK99" s="538" t="s">
        <v>75</v>
      </c>
      <c r="AL99" s="538" t="s">
        <v>127</v>
      </c>
      <c r="AM99" s="538" t="s">
        <v>75</v>
      </c>
      <c r="AN99" s="538" t="s">
        <v>127</v>
      </c>
      <c r="AO99" s="538" t="s">
        <v>79</v>
      </c>
      <c r="AP99" s="538" t="s">
        <v>381</v>
      </c>
      <c r="AQ99" s="538" t="s">
        <v>79</v>
      </c>
      <c r="AR99" s="538" t="s">
        <v>381</v>
      </c>
      <c r="AS99" s="538">
        <v>1.9550683E9</v>
      </c>
      <c r="AT99" s="538">
        <v>1.353192478E9</v>
      </c>
      <c r="AU99" s="538">
        <v>23.0</v>
      </c>
      <c r="AV99" s="538" t="s">
        <v>46</v>
      </c>
      <c r="AX99" s="538" t="s">
        <v>437</v>
      </c>
      <c r="AY99" s="538" t="s">
        <v>127</v>
      </c>
      <c r="AZ99" s="538">
        <v>1.0</v>
      </c>
      <c r="BA99" s="538">
        <v>1.0</v>
      </c>
      <c r="BB99" s="538">
        <v>1.0</v>
      </c>
      <c r="BC99" s="538">
        <v>1.0</v>
      </c>
      <c r="BD99" s="538">
        <v>1.0</v>
      </c>
      <c r="BE99" s="538">
        <v>0.2</v>
      </c>
      <c r="BF99" s="538">
        <v>0.25</v>
      </c>
      <c r="BG99" s="538">
        <v>0.3</v>
      </c>
      <c r="BH99" s="538">
        <v>0.35</v>
      </c>
      <c r="BI99" s="538">
        <v>0.4</v>
      </c>
      <c r="BJ99" s="546"/>
      <c r="BL99" s="546"/>
    </row>
    <row r="100" ht="22.5" customHeight="1">
      <c r="A100" s="538">
        <v>99.0</v>
      </c>
      <c r="B100" s="538" t="s">
        <v>993</v>
      </c>
      <c r="C100" s="538" t="s">
        <v>84</v>
      </c>
      <c r="D100" s="538" t="s">
        <v>895</v>
      </c>
      <c r="E100" s="538" t="s">
        <v>214</v>
      </c>
      <c r="G100" s="538" t="s">
        <v>244</v>
      </c>
      <c r="H100" s="538" t="s">
        <v>222</v>
      </c>
      <c r="I100" s="538" t="s">
        <v>197</v>
      </c>
      <c r="J100" s="538" t="s">
        <v>344</v>
      </c>
      <c r="K100" s="538" t="s">
        <v>994</v>
      </c>
      <c r="L100" s="538" t="s">
        <v>995</v>
      </c>
      <c r="M100" s="538" t="s">
        <v>996</v>
      </c>
      <c r="N100" s="538" t="s">
        <v>661</v>
      </c>
      <c r="O100" s="538" t="b">
        <v>1</v>
      </c>
      <c r="P100" s="538" t="b">
        <v>1</v>
      </c>
      <c r="Q100" s="538" t="s">
        <v>73</v>
      </c>
      <c r="S100" s="538" t="s">
        <v>73</v>
      </c>
      <c r="U100" s="538" t="s">
        <v>73</v>
      </c>
      <c r="W100" s="538" t="s">
        <v>73</v>
      </c>
      <c r="Y100" s="538" t="s">
        <v>73</v>
      </c>
      <c r="AA100" s="538" t="s">
        <v>73</v>
      </c>
      <c r="AC100" s="538" t="s">
        <v>73</v>
      </c>
      <c r="AE100" s="538" t="s">
        <v>73</v>
      </c>
      <c r="AG100" s="538" t="s">
        <v>73</v>
      </c>
      <c r="AI100" s="538" t="s">
        <v>73</v>
      </c>
      <c r="AK100" s="538" t="s">
        <v>73</v>
      </c>
      <c r="AM100" s="538" t="s">
        <v>73</v>
      </c>
      <c r="AO100" s="538" t="s">
        <v>79</v>
      </c>
      <c r="AP100" s="538" t="s">
        <v>214</v>
      </c>
      <c r="AQ100" s="538" t="s">
        <v>79</v>
      </c>
      <c r="AR100" s="538" t="s">
        <v>214</v>
      </c>
      <c r="AS100" s="538">
        <v>3.599377845E9</v>
      </c>
      <c r="AT100" s="538">
        <v>3.465002315E9</v>
      </c>
      <c r="AU100" s="538">
        <v>24.0</v>
      </c>
      <c r="AV100" s="538" t="s">
        <v>46</v>
      </c>
      <c r="AZ100" s="538">
        <v>0.3</v>
      </c>
      <c r="BA100" s="538">
        <v>0.07</v>
      </c>
      <c r="BB100" s="538">
        <v>0.15</v>
      </c>
      <c r="BE100" s="538">
        <v>1.0</v>
      </c>
      <c r="BF100" s="538">
        <v>1.0</v>
      </c>
      <c r="BG100" s="538">
        <v>1.0</v>
      </c>
      <c r="BJ100" s="546"/>
      <c r="BL100" s="546"/>
    </row>
    <row r="101" ht="22.5" customHeight="1">
      <c r="A101" s="538">
        <v>100.0</v>
      </c>
      <c r="B101" s="538" t="s">
        <v>993</v>
      </c>
      <c r="C101" s="538" t="s">
        <v>82</v>
      </c>
      <c r="D101" s="538" t="s">
        <v>895</v>
      </c>
      <c r="E101" s="538" t="s">
        <v>218</v>
      </c>
      <c r="F101" s="538" t="s">
        <v>233</v>
      </c>
      <c r="G101" s="538" t="s">
        <v>163</v>
      </c>
      <c r="H101" s="538" t="s">
        <v>250</v>
      </c>
      <c r="I101" s="538" t="s">
        <v>176</v>
      </c>
      <c r="J101" s="538" t="s">
        <v>259</v>
      </c>
      <c r="K101" s="538" t="s">
        <v>997</v>
      </c>
      <c r="L101" s="538" t="s">
        <v>998</v>
      </c>
      <c r="M101" s="538" t="s">
        <v>673</v>
      </c>
      <c r="N101" s="538" t="s">
        <v>906</v>
      </c>
      <c r="O101" s="538" t="b">
        <v>0</v>
      </c>
      <c r="P101" s="538" t="b">
        <v>1</v>
      </c>
      <c r="Q101" s="538" t="s">
        <v>75</v>
      </c>
      <c r="R101" s="538" t="s">
        <v>999</v>
      </c>
      <c r="S101" s="538" t="s">
        <v>75</v>
      </c>
      <c r="T101" s="538" t="s">
        <v>999</v>
      </c>
      <c r="U101" s="538" t="s">
        <v>75</v>
      </c>
      <c r="V101" s="538" t="s">
        <v>999</v>
      </c>
      <c r="W101" s="538" t="s">
        <v>75</v>
      </c>
      <c r="X101" s="538" t="s">
        <v>999</v>
      </c>
      <c r="Y101" s="538" t="s">
        <v>75</v>
      </c>
      <c r="Z101" s="538" t="s">
        <v>999</v>
      </c>
      <c r="AA101" s="538" t="s">
        <v>75</v>
      </c>
      <c r="AB101" s="538" t="s">
        <v>999</v>
      </c>
      <c r="AC101" s="538" t="s">
        <v>75</v>
      </c>
      <c r="AD101" s="538" t="s">
        <v>999</v>
      </c>
      <c r="AE101" s="538" t="s">
        <v>75</v>
      </c>
      <c r="AF101" s="538" t="s">
        <v>999</v>
      </c>
      <c r="AG101" s="538" t="s">
        <v>75</v>
      </c>
      <c r="AH101" s="538" t="s">
        <v>999</v>
      </c>
      <c r="AI101" s="538" t="s">
        <v>79</v>
      </c>
      <c r="AJ101" s="538" t="s">
        <v>233</v>
      </c>
      <c r="AK101" s="538" t="s">
        <v>79</v>
      </c>
      <c r="AL101" s="538" t="s">
        <v>233</v>
      </c>
      <c r="AM101" s="538" t="s">
        <v>79</v>
      </c>
      <c r="AN101" s="538" t="s">
        <v>233</v>
      </c>
      <c r="AO101" s="538" t="s">
        <v>79</v>
      </c>
      <c r="AP101" s="538" t="s">
        <v>218</v>
      </c>
      <c r="AQ101" s="538" t="s">
        <v>79</v>
      </c>
      <c r="AR101" s="538" t="s">
        <v>218</v>
      </c>
      <c r="AS101" s="538">
        <v>6.78167089E8</v>
      </c>
      <c r="AT101" s="538">
        <v>3.465002315E9</v>
      </c>
      <c r="AU101" s="538">
        <v>24.0</v>
      </c>
      <c r="AV101" s="538" t="s">
        <v>46</v>
      </c>
      <c r="AY101" s="538" t="s">
        <v>999</v>
      </c>
      <c r="AZ101" s="538">
        <v>1.0</v>
      </c>
      <c r="BA101" s="538">
        <v>1.0</v>
      </c>
      <c r="BB101" s="538">
        <v>1.0</v>
      </c>
      <c r="BC101" s="538">
        <v>1.0</v>
      </c>
      <c r="BD101" s="538">
        <v>1.0</v>
      </c>
      <c r="BE101" s="538">
        <v>0.25</v>
      </c>
      <c r="BF101" s="538">
        <v>0.35</v>
      </c>
      <c r="BG101" s="538">
        <v>0.75</v>
      </c>
      <c r="BH101" s="538">
        <v>1.75</v>
      </c>
      <c r="BI101" s="538">
        <v>5.0</v>
      </c>
      <c r="BJ101" s="546"/>
      <c r="BL101" s="546"/>
    </row>
    <row r="102" ht="22.5" customHeight="1">
      <c r="A102" s="538">
        <v>101.0</v>
      </c>
      <c r="B102" s="538" t="s">
        <v>1000</v>
      </c>
      <c r="C102" s="538" t="s">
        <v>84</v>
      </c>
      <c r="D102" s="538" t="s">
        <v>895</v>
      </c>
      <c r="E102" s="538" t="s">
        <v>223</v>
      </c>
      <c r="F102" s="538" t="s">
        <v>1001</v>
      </c>
      <c r="G102" s="538" t="s">
        <v>239</v>
      </c>
      <c r="H102" s="538" t="s">
        <v>222</v>
      </c>
      <c r="I102" s="538" t="s">
        <v>189</v>
      </c>
      <c r="K102" s="538" t="s">
        <v>1002</v>
      </c>
      <c r="L102" s="538" t="s">
        <v>1003</v>
      </c>
      <c r="M102" s="538" t="s">
        <v>661</v>
      </c>
      <c r="N102" s="538" t="s">
        <v>1004</v>
      </c>
      <c r="O102" s="538" t="b">
        <v>0</v>
      </c>
      <c r="P102" s="538" t="b">
        <v>1</v>
      </c>
      <c r="Q102" s="538" t="s">
        <v>75</v>
      </c>
      <c r="R102" s="538" t="s">
        <v>315</v>
      </c>
      <c r="S102" s="538" t="s">
        <v>75</v>
      </c>
      <c r="T102" s="538" t="s">
        <v>315</v>
      </c>
      <c r="U102" s="538" t="s">
        <v>75</v>
      </c>
      <c r="V102" s="538" t="s">
        <v>315</v>
      </c>
      <c r="W102" s="538" t="s">
        <v>75</v>
      </c>
      <c r="X102" s="538" t="s">
        <v>315</v>
      </c>
      <c r="Y102" s="538" t="s">
        <v>75</v>
      </c>
      <c r="Z102" s="538" t="s">
        <v>315</v>
      </c>
      <c r="AA102" s="538" t="s">
        <v>75</v>
      </c>
      <c r="AB102" s="538" t="s">
        <v>315</v>
      </c>
      <c r="AC102" s="538" t="s">
        <v>79</v>
      </c>
      <c r="AD102" s="538" t="s">
        <v>377</v>
      </c>
      <c r="AE102" s="538" t="s">
        <v>79</v>
      </c>
      <c r="AF102" s="538" t="s">
        <v>377</v>
      </c>
      <c r="AG102" s="538" t="s">
        <v>79</v>
      </c>
      <c r="AH102" s="538" t="s">
        <v>380</v>
      </c>
      <c r="AI102" s="538" t="s">
        <v>79</v>
      </c>
      <c r="AJ102" s="538" t="s">
        <v>377</v>
      </c>
      <c r="AK102" s="538" t="s">
        <v>75</v>
      </c>
      <c r="AL102" s="538" t="s">
        <v>315</v>
      </c>
      <c r="AM102" s="538" t="s">
        <v>75</v>
      </c>
      <c r="AN102" s="538" t="s">
        <v>315</v>
      </c>
      <c r="AO102" s="538" t="s">
        <v>79</v>
      </c>
      <c r="AP102" s="538" t="s">
        <v>223</v>
      </c>
      <c r="AQ102" s="538" t="s">
        <v>79</v>
      </c>
      <c r="AR102" s="538" t="s">
        <v>223</v>
      </c>
      <c r="AS102" s="538">
        <v>4.19701236E9</v>
      </c>
      <c r="AT102" s="538">
        <v>3.594947012E9</v>
      </c>
      <c r="AU102" s="538">
        <v>27.0</v>
      </c>
      <c r="AV102" s="538" t="s">
        <v>45</v>
      </c>
      <c r="AW102" s="538" t="s">
        <v>437</v>
      </c>
      <c r="AY102" s="538" t="s">
        <v>315</v>
      </c>
      <c r="AZ102" s="538">
        <v>1.0</v>
      </c>
      <c r="BA102" s="538">
        <v>1.0</v>
      </c>
      <c r="BB102" s="538">
        <v>1.0</v>
      </c>
      <c r="BE102" s="538">
        <v>0.35</v>
      </c>
      <c r="BF102" s="538">
        <v>0.1</v>
      </c>
      <c r="BG102" s="538">
        <v>0.2</v>
      </c>
      <c r="BJ102" s="546"/>
      <c r="BL102" s="546"/>
    </row>
    <row r="103" ht="22.5" customHeight="1">
      <c r="A103" s="538">
        <v>102.0</v>
      </c>
      <c r="B103" s="538" t="s">
        <v>1000</v>
      </c>
      <c r="C103" s="538" t="s">
        <v>82</v>
      </c>
      <c r="D103" s="538" t="s">
        <v>895</v>
      </c>
      <c r="E103" s="538" t="s">
        <v>204</v>
      </c>
      <c r="F103" s="538" t="s">
        <v>315</v>
      </c>
      <c r="G103" s="538" t="s">
        <v>239</v>
      </c>
      <c r="H103" s="538" t="s">
        <v>250</v>
      </c>
      <c r="I103" s="538" t="s">
        <v>122</v>
      </c>
      <c r="K103" s="538" t="s">
        <v>1005</v>
      </c>
      <c r="L103" s="538" t="s">
        <v>1006</v>
      </c>
      <c r="M103" s="538" t="s">
        <v>673</v>
      </c>
      <c r="N103" s="538" t="s">
        <v>940</v>
      </c>
      <c r="O103" s="538" t="b">
        <v>0</v>
      </c>
      <c r="P103" s="538" t="b">
        <v>1</v>
      </c>
      <c r="Q103" s="538" t="s">
        <v>75</v>
      </c>
      <c r="R103" s="538" t="s">
        <v>315</v>
      </c>
      <c r="S103" s="538" t="s">
        <v>75</v>
      </c>
      <c r="T103" s="538" t="s">
        <v>315</v>
      </c>
      <c r="U103" s="538" t="s">
        <v>75</v>
      </c>
      <c r="V103" s="538" t="s">
        <v>315</v>
      </c>
      <c r="W103" s="538" t="s">
        <v>75</v>
      </c>
      <c r="X103" s="538" t="s">
        <v>315</v>
      </c>
      <c r="Y103" s="538" t="s">
        <v>75</v>
      </c>
      <c r="Z103" s="538" t="s">
        <v>315</v>
      </c>
      <c r="AA103" s="538" t="s">
        <v>75</v>
      </c>
      <c r="AB103" s="538" t="s">
        <v>315</v>
      </c>
      <c r="AC103" s="538" t="s">
        <v>75</v>
      </c>
      <c r="AD103" s="538" t="s">
        <v>315</v>
      </c>
      <c r="AE103" s="538" t="s">
        <v>75</v>
      </c>
      <c r="AF103" s="538" t="s">
        <v>315</v>
      </c>
      <c r="AG103" s="538" t="s">
        <v>75</v>
      </c>
      <c r="AH103" s="538" t="s">
        <v>315</v>
      </c>
      <c r="AI103" s="538" t="s">
        <v>75</v>
      </c>
      <c r="AJ103" s="538" t="s">
        <v>315</v>
      </c>
      <c r="AK103" s="538" t="s">
        <v>75</v>
      </c>
      <c r="AL103" s="538" t="s">
        <v>315</v>
      </c>
      <c r="AM103" s="538" t="s">
        <v>75</v>
      </c>
      <c r="AN103" s="538" t="s">
        <v>315</v>
      </c>
      <c r="AO103" s="538" t="s">
        <v>79</v>
      </c>
      <c r="AP103" s="538" t="s">
        <v>204</v>
      </c>
      <c r="AQ103" s="538" t="s">
        <v>79</v>
      </c>
      <c r="AR103" s="538" t="s">
        <v>204</v>
      </c>
      <c r="AS103" s="538">
        <v>2.314534937E9</v>
      </c>
      <c r="AT103" s="538">
        <v>3.594947012E9</v>
      </c>
      <c r="AU103" s="538">
        <v>27.0</v>
      </c>
      <c r="AV103" s="538" t="s">
        <v>45</v>
      </c>
      <c r="AW103" s="538" t="s">
        <v>437</v>
      </c>
      <c r="AY103" s="538" t="s">
        <v>315</v>
      </c>
      <c r="AZ103" s="538">
        <v>1.0</v>
      </c>
      <c r="BA103" s="538">
        <v>1.0</v>
      </c>
      <c r="BB103" s="538">
        <v>1.0</v>
      </c>
      <c r="BC103" s="538">
        <v>1.0</v>
      </c>
      <c r="BD103" s="538">
        <v>1.0</v>
      </c>
      <c r="BE103" s="538">
        <v>0.3</v>
      </c>
      <c r="BF103" s="538">
        <v>0.4</v>
      </c>
      <c r="BG103" s="538">
        <v>0.5</v>
      </c>
      <c r="BH103" s="538">
        <v>0.6</v>
      </c>
      <c r="BI103" s="538">
        <v>0.7</v>
      </c>
      <c r="BJ103" s="546"/>
      <c r="BL103" s="546"/>
    </row>
    <row r="104" ht="22.5" customHeight="1">
      <c r="A104" s="538">
        <v>103.0</v>
      </c>
      <c r="B104" s="538" t="s">
        <v>1007</v>
      </c>
      <c r="C104" s="538" t="s">
        <v>84</v>
      </c>
      <c r="D104" s="538" t="s">
        <v>895</v>
      </c>
      <c r="E104" s="538" t="s">
        <v>346</v>
      </c>
      <c r="G104" s="538" t="s">
        <v>195</v>
      </c>
      <c r="H104" s="538" t="s">
        <v>182</v>
      </c>
      <c r="I104" s="538" t="s">
        <v>122</v>
      </c>
      <c r="J104" s="538" t="s">
        <v>242</v>
      </c>
      <c r="K104" s="538" t="s">
        <v>1008</v>
      </c>
      <c r="L104" s="538" t="s">
        <v>1009</v>
      </c>
      <c r="M104" s="538" t="s">
        <v>661</v>
      </c>
      <c r="N104" s="538" t="s">
        <v>785</v>
      </c>
      <c r="O104" s="538" t="b">
        <v>0</v>
      </c>
      <c r="P104" s="538" t="b">
        <v>1</v>
      </c>
      <c r="Q104" s="538" t="s">
        <v>73</v>
      </c>
      <c r="S104" s="538" t="s">
        <v>73</v>
      </c>
      <c r="U104" s="538" t="s">
        <v>73</v>
      </c>
      <c r="W104" s="538" t="s">
        <v>73</v>
      </c>
      <c r="Y104" s="538" t="s">
        <v>73</v>
      </c>
      <c r="AA104" s="538" t="s">
        <v>73</v>
      </c>
      <c r="AC104" s="538" t="s">
        <v>73</v>
      </c>
      <c r="AE104" s="538" t="s">
        <v>73</v>
      </c>
      <c r="AG104" s="538" t="s">
        <v>73</v>
      </c>
      <c r="AI104" s="538" t="s">
        <v>73</v>
      </c>
      <c r="AK104" s="538" t="s">
        <v>73</v>
      </c>
      <c r="AM104" s="538" t="s">
        <v>73</v>
      </c>
      <c r="AO104" s="538" t="s">
        <v>79</v>
      </c>
      <c r="AP104" s="538" t="s">
        <v>346</v>
      </c>
      <c r="AQ104" s="538" t="s">
        <v>79</v>
      </c>
      <c r="AR104" s="538" t="s">
        <v>346</v>
      </c>
      <c r="AS104" s="538">
        <v>2.086809246E9</v>
      </c>
      <c r="AT104" s="538">
        <v>3.114234402E9</v>
      </c>
      <c r="AU104" s="538">
        <v>28.0</v>
      </c>
      <c r="AV104" s="538" t="s">
        <v>45</v>
      </c>
      <c r="AZ104" s="538">
        <v>1.0</v>
      </c>
      <c r="BA104" s="538">
        <v>1.0</v>
      </c>
      <c r="BB104" s="538">
        <v>1.0</v>
      </c>
      <c r="BE104" s="538">
        <v>0.1</v>
      </c>
      <c r="BF104" s="538">
        <v>0.02</v>
      </c>
      <c r="BG104" s="538">
        <v>0.05</v>
      </c>
      <c r="BJ104" s="546"/>
      <c r="BL104" s="546"/>
    </row>
    <row r="105" ht="22.5" customHeight="1">
      <c r="A105" s="538">
        <v>104.0</v>
      </c>
      <c r="B105" s="538" t="s">
        <v>1007</v>
      </c>
      <c r="C105" s="538" t="s">
        <v>82</v>
      </c>
      <c r="D105" s="538" t="s">
        <v>895</v>
      </c>
      <c r="E105" s="538" t="s">
        <v>378</v>
      </c>
      <c r="G105" s="538" t="s">
        <v>163</v>
      </c>
      <c r="H105" s="538" t="s">
        <v>250</v>
      </c>
      <c r="I105" s="538" t="s">
        <v>176</v>
      </c>
      <c r="J105" s="538" t="s">
        <v>393</v>
      </c>
      <c r="K105" s="538" t="s">
        <v>1010</v>
      </c>
      <c r="L105" s="538" t="s">
        <v>1011</v>
      </c>
      <c r="M105" s="538" t="s">
        <v>673</v>
      </c>
      <c r="N105" s="538" t="s">
        <v>906</v>
      </c>
      <c r="O105" s="538" t="b">
        <v>0</v>
      </c>
      <c r="P105" s="538" t="b">
        <v>1</v>
      </c>
      <c r="Q105" s="538" t="s">
        <v>73</v>
      </c>
      <c r="S105" s="538" t="s">
        <v>73</v>
      </c>
      <c r="U105" s="538" t="s">
        <v>73</v>
      </c>
      <c r="W105" s="538" t="s">
        <v>73</v>
      </c>
      <c r="Y105" s="538" t="s">
        <v>73</v>
      </c>
      <c r="AA105" s="538" t="s">
        <v>73</v>
      </c>
      <c r="AC105" s="538" t="s">
        <v>73</v>
      </c>
      <c r="AE105" s="538" t="s">
        <v>73</v>
      </c>
      <c r="AG105" s="538" t="s">
        <v>73</v>
      </c>
      <c r="AI105" s="538" t="s">
        <v>73</v>
      </c>
      <c r="AK105" s="538" t="s">
        <v>73</v>
      </c>
      <c r="AM105" s="538" t="s">
        <v>73</v>
      </c>
      <c r="AO105" s="538" t="s">
        <v>79</v>
      </c>
      <c r="AP105" s="538" t="s">
        <v>378</v>
      </c>
      <c r="AQ105" s="538" t="s">
        <v>79</v>
      </c>
      <c r="AR105" s="538" t="s">
        <v>378</v>
      </c>
      <c r="AS105" s="538">
        <v>2.401299714E9</v>
      </c>
      <c r="AT105" s="538">
        <v>3.114234402E9</v>
      </c>
      <c r="AU105" s="538">
        <v>28.0</v>
      </c>
      <c r="AV105" s="538" t="s">
        <v>45</v>
      </c>
      <c r="AZ105" s="538">
        <v>1.0</v>
      </c>
      <c r="BA105" s="538">
        <v>1.0</v>
      </c>
      <c r="BB105" s="538">
        <v>1.0</v>
      </c>
      <c r="BC105" s="538">
        <v>1.0</v>
      </c>
      <c r="BD105" s="538">
        <v>1.0</v>
      </c>
      <c r="BE105" s="538">
        <v>0.25</v>
      </c>
      <c r="BF105" s="538">
        <v>0.35</v>
      </c>
      <c r="BG105" s="538">
        <v>0.75</v>
      </c>
      <c r="BH105" s="538">
        <v>1.75</v>
      </c>
      <c r="BI105" s="538">
        <v>5.0</v>
      </c>
      <c r="BJ105" s="546"/>
      <c r="BL105" s="546"/>
    </row>
    <row r="106" ht="22.5" customHeight="1">
      <c r="A106" s="538">
        <v>105.0</v>
      </c>
      <c r="B106" s="538" t="s">
        <v>1012</v>
      </c>
      <c r="C106" s="538" t="s">
        <v>84</v>
      </c>
      <c r="D106" s="538" t="s">
        <v>909</v>
      </c>
      <c r="E106" s="538" t="s">
        <v>214</v>
      </c>
      <c r="F106" s="538" t="s">
        <v>276</v>
      </c>
      <c r="G106" s="538" t="s">
        <v>239</v>
      </c>
      <c r="H106" s="538" t="s">
        <v>222</v>
      </c>
      <c r="I106" s="538" t="s">
        <v>197</v>
      </c>
      <c r="J106" s="538" t="s">
        <v>370</v>
      </c>
      <c r="K106" s="538" t="s">
        <v>1013</v>
      </c>
      <c r="L106" s="538" t="s">
        <v>1014</v>
      </c>
      <c r="M106" s="538" t="s">
        <v>984</v>
      </c>
      <c r="N106" s="538" t="s">
        <v>661</v>
      </c>
      <c r="O106" s="538" t="b">
        <v>1</v>
      </c>
      <c r="P106" s="538" t="b">
        <v>1</v>
      </c>
      <c r="Q106" s="538" t="s">
        <v>75</v>
      </c>
      <c r="R106" s="538" t="s">
        <v>276</v>
      </c>
      <c r="S106" s="538" t="s">
        <v>75</v>
      </c>
      <c r="T106" s="538" t="s">
        <v>276</v>
      </c>
      <c r="U106" s="538" t="s">
        <v>75</v>
      </c>
      <c r="V106" s="538" t="s">
        <v>276</v>
      </c>
      <c r="W106" s="538" t="s">
        <v>75</v>
      </c>
      <c r="X106" s="538" t="s">
        <v>276</v>
      </c>
      <c r="Y106" s="538" t="s">
        <v>75</v>
      </c>
      <c r="Z106" s="538" t="s">
        <v>276</v>
      </c>
      <c r="AA106" s="538" t="s">
        <v>75</v>
      </c>
      <c r="AB106" s="538" t="s">
        <v>276</v>
      </c>
      <c r="AC106" s="538" t="s">
        <v>75</v>
      </c>
      <c r="AD106" s="538" t="s">
        <v>276</v>
      </c>
      <c r="AE106" s="538" t="s">
        <v>75</v>
      </c>
      <c r="AF106" s="538" t="s">
        <v>276</v>
      </c>
      <c r="AG106" s="538" t="s">
        <v>75</v>
      </c>
      <c r="AH106" s="538" t="s">
        <v>276</v>
      </c>
      <c r="AI106" s="538" t="s">
        <v>75</v>
      </c>
      <c r="AJ106" s="538" t="s">
        <v>276</v>
      </c>
      <c r="AK106" s="538" t="s">
        <v>75</v>
      </c>
      <c r="AL106" s="538" t="s">
        <v>276</v>
      </c>
      <c r="AM106" s="538" t="s">
        <v>75</v>
      </c>
      <c r="AN106" s="538" t="s">
        <v>276</v>
      </c>
      <c r="AO106" s="538" t="s">
        <v>79</v>
      </c>
      <c r="AP106" s="538" t="s">
        <v>214</v>
      </c>
      <c r="AQ106" s="538" t="s">
        <v>79</v>
      </c>
      <c r="AR106" s="538" t="s">
        <v>214</v>
      </c>
      <c r="AS106" s="538">
        <v>3.930256423E9</v>
      </c>
      <c r="AT106" s="538">
        <v>1.250418815E9</v>
      </c>
      <c r="AU106" s="538">
        <v>29.0</v>
      </c>
      <c r="AV106" s="538" t="s">
        <v>47</v>
      </c>
      <c r="AY106" s="538" t="s">
        <v>276</v>
      </c>
      <c r="AZ106" s="538">
        <v>0.8</v>
      </c>
      <c r="BA106" s="538">
        <v>0.05</v>
      </c>
      <c r="BB106" s="538">
        <v>0.1</v>
      </c>
      <c r="BE106" s="538">
        <v>1.0</v>
      </c>
      <c r="BF106" s="538">
        <v>1.0</v>
      </c>
      <c r="BG106" s="538">
        <v>1.0</v>
      </c>
      <c r="BJ106" s="546"/>
      <c r="BL106" s="546"/>
    </row>
    <row r="107" ht="22.5" customHeight="1">
      <c r="A107" s="538">
        <v>106.0</v>
      </c>
      <c r="B107" s="538" t="s">
        <v>1012</v>
      </c>
      <c r="C107" s="538" t="s">
        <v>82</v>
      </c>
      <c r="D107" s="538" t="s">
        <v>909</v>
      </c>
      <c r="E107" s="538" t="s">
        <v>254</v>
      </c>
      <c r="G107" s="538" t="s">
        <v>163</v>
      </c>
      <c r="H107" s="538" t="s">
        <v>250</v>
      </c>
      <c r="I107" s="538" t="s">
        <v>176</v>
      </c>
      <c r="J107" s="538" t="s">
        <v>397</v>
      </c>
      <c r="K107" s="538" t="s">
        <v>1015</v>
      </c>
      <c r="L107" s="538" t="s">
        <v>1016</v>
      </c>
      <c r="M107" s="538" t="s">
        <v>673</v>
      </c>
      <c r="N107" s="538" t="s">
        <v>987</v>
      </c>
      <c r="O107" s="538" t="b">
        <v>0</v>
      </c>
      <c r="P107" s="538" t="b">
        <v>1</v>
      </c>
      <c r="Q107" s="538" t="s">
        <v>73</v>
      </c>
      <c r="S107" s="538" t="s">
        <v>73</v>
      </c>
      <c r="U107" s="538" t="s">
        <v>73</v>
      </c>
      <c r="W107" s="538" t="s">
        <v>73</v>
      </c>
      <c r="Y107" s="538" t="s">
        <v>73</v>
      </c>
      <c r="AA107" s="538" t="s">
        <v>73</v>
      </c>
      <c r="AC107" s="538" t="s">
        <v>73</v>
      </c>
      <c r="AE107" s="538" t="s">
        <v>73</v>
      </c>
      <c r="AG107" s="538" t="s">
        <v>73</v>
      </c>
      <c r="AI107" s="538" t="s">
        <v>73</v>
      </c>
      <c r="AK107" s="538" t="s">
        <v>73</v>
      </c>
      <c r="AM107" s="538" t="s">
        <v>73</v>
      </c>
      <c r="AO107" s="538" t="s">
        <v>79</v>
      </c>
      <c r="AP107" s="538" t="s">
        <v>254</v>
      </c>
      <c r="AQ107" s="538" t="s">
        <v>79</v>
      </c>
      <c r="AR107" s="538" t="s">
        <v>254</v>
      </c>
      <c r="AS107" s="538">
        <v>2.825675256E9</v>
      </c>
      <c r="AT107" s="538">
        <v>1.250418815E9</v>
      </c>
      <c r="AU107" s="538">
        <v>29.0</v>
      </c>
      <c r="AV107" s="538" t="s">
        <v>47</v>
      </c>
      <c r="AZ107" s="538">
        <v>1.0</v>
      </c>
      <c r="BA107" s="538">
        <v>1.0</v>
      </c>
      <c r="BB107" s="538">
        <v>1.0</v>
      </c>
      <c r="BC107" s="538">
        <v>1.0</v>
      </c>
      <c r="BD107" s="538">
        <v>1.0</v>
      </c>
      <c r="BE107" s="538">
        <v>1.0</v>
      </c>
      <c r="BF107" s="538">
        <v>2.0</v>
      </c>
      <c r="BG107" s="538">
        <v>4.0</v>
      </c>
      <c r="BH107" s="538">
        <v>8.0</v>
      </c>
      <c r="BI107" s="538">
        <v>16.0</v>
      </c>
      <c r="BJ107" s="546"/>
      <c r="BL107" s="546"/>
    </row>
    <row r="108" ht="22.5" customHeight="1">
      <c r="A108" s="538">
        <v>107.0</v>
      </c>
      <c r="B108" s="538" t="s">
        <v>1017</v>
      </c>
      <c r="C108" s="538" t="s">
        <v>84</v>
      </c>
      <c r="D108" s="538" t="s">
        <v>909</v>
      </c>
      <c r="E108" s="538" t="s">
        <v>214</v>
      </c>
      <c r="G108" s="538" t="s">
        <v>230</v>
      </c>
      <c r="H108" s="538" t="s">
        <v>222</v>
      </c>
      <c r="I108" s="538" t="s">
        <v>197</v>
      </c>
      <c r="J108" s="538" t="s">
        <v>341</v>
      </c>
      <c r="K108" s="538" t="s">
        <v>1018</v>
      </c>
      <c r="L108" s="538" t="s">
        <v>1019</v>
      </c>
      <c r="M108" s="538" t="s">
        <v>741</v>
      </c>
      <c r="N108" s="538" t="s">
        <v>661</v>
      </c>
      <c r="O108" s="538" t="b">
        <v>1</v>
      </c>
      <c r="P108" s="538" t="b">
        <v>1</v>
      </c>
      <c r="Q108" s="538" t="s">
        <v>73</v>
      </c>
      <c r="S108" s="538" t="s">
        <v>73</v>
      </c>
      <c r="U108" s="538" t="s">
        <v>73</v>
      </c>
      <c r="W108" s="538" t="s">
        <v>73</v>
      </c>
      <c r="Y108" s="538" t="s">
        <v>73</v>
      </c>
      <c r="AA108" s="538" t="s">
        <v>73</v>
      </c>
      <c r="AC108" s="538" t="s">
        <v>73</v>
      </c>
      <c r="AE108" s="538" t="s">
        <v>73</v>
      </c>
      <c r="AG108" s="538" t="s">
        <v>73</v>
      </c>
      <c r="AI108" s="538" t="s">
        <v>73</v>
      </c>
      <c r="AK108" s="538" t="s">
        <v>73</v>
      </c>
      <c r="AM108" s="538" t="s">
        <v>73</v>
      </c>
      <c r="AO108" s="538" t="s">
        <v>79</v>
      </c>
      <c r="AP108" s="538" t="s">
        <v>214</v>
      </c>
      <c r="AQ108" s="538" t="s">
        <v>79</v>
      </c>
      <c r="AR108" s="538" t="s">
        <v>214</v>
      </c>
      <c r="AS108" s="538">
        <v>3.030072621E9</v>
      </c>
      <c r="AT108" s="538">
        <v>5.31187684E8</v>
      </c>
      <c r="AU108" s="538">
        <v>32.0</v>
      </c>
      <c r="AV108" s="538" t="s">
        <v>46</v>
      </c>
      <c r="AZ108" s="538">
        <v>0.2</v>
      </c>
      <c r="BA108" s="538">
        <v>0.05</v>
      </c>
      <c r="BB108" s="538">
        <v>0.1</v>
      </c>
      <c r="BE108" s="538">
        <v>1.0</v>
      </c>
      <c r="BF108" s="538">
        <v>1.0</v>
      </c>
      <c r="BG108" s="538">
        <v>1.0</v>
      </c>
      <c r="BJ108" s="546"/>
      <c r="BL108" s="546"/>
    </row>
    <row r="109" ht="22.5" customHeight="1">
      <c r="A109" s="538">
        <v>108.0</v>
      </c>
      <c r="B109" s="538" t="s">
        <v>1017</v>
      </c>
      <c r="C109" s="538" t="s">
        <v>82</v>
      </c>
      <c r="D109" s="538" t="s">
        <v>909</v>
      </c>
      <c r="E109" s="538" t="s">
        <v>218</v>
      </c>
      <c r="F109" s="538" t="s">
        <v>233</v>
      </c>
      <c r="G109" s="538" t="s">
        <v>163</v>
      </c>
      <c r="H109" s="538" t="s">
        <v>250</v>
      </c>
      <c r="I109" s="538" t="s">
        <v>176</v>
      </c>
      <c r="J109" s="538" t="s">
        <v>259</v>
      </c>
      <c r="K109" s="538" t="s">
        <v>1020</v>
      </c>
      <c r="L109" s="538" t="s">
        <v>1021</v>
      </c>
      <c r="M109" s="538" t="s">
        <v>673</v>
      </c>
      <c r="N109" s="538" t="s">
        <v>906</v>
      </c>
      <c r="O109" s="538" t="b">
        <v>0</v>
      </c>
      <c r="P109" s="538" t="b">
        <v>1</v>
      </c>
      <c r="Q109" s="538" t="s">
        <v>75</v>
      </c>
      <c r="R109" s="538" t="s">
        <v>999</v>
      </c>
      <c r="S109" s="538" t="s">
        <v>75</v>
      </c>
      <c r="T109" s="538" t="s">
        <v>999</v>
      </c>
      <c r="U109" s="538" t="s">
        <v>75</v>
      </c>
      <c r="V109" s="538" t="s">
        <v>999</v>
      </c>
      <c r="W109" s="538" t="s">
        <v>75</v>
      </c>
      <c r="X109" s="538" t="s">
        <v>999</v>
      </c>
      <c r="Y109" s="538" t="s">
        <v>75</v>
      </c>
      <c r="Z109" s="538" t="s">
        <v>999</v>
      </c>
      <c r="AA109" s="538" t="s">
        <v>75</v>
      </c>
      <c r="AB109" s="538" t="s">
        <v>999</v>
      </c>
      <c r="AC109" s="538" t="s">
        <v>75</v>
      </c>
      <c r="AD109" s="538" t="s">
        <v>999</v>
      </c>
      <c r="AE109" s="538" t="s">
        <v>75</v>
      </c>
      <c r="AF109" s="538" t="s">
        <v>999</v>
      </c>
      <c r="AG109" s="538" t="s">
        <v>75</v>
      </c>
      <c r="AH109" s="538" t="s">
        <v>999</v>
      </c>
      <c r="AI109" s="538" t="s">
        <v>79</v>
      </c>
      <c r="AJ109" s="538" t="s">
        <v>233</v>
      </c>
      <c r="AK109" s="538" t="s">
        <v>79</v>
      </c>
      <c r="AL109" s="538" t="s">
        <v>233</v>
      </c>
      <c r="AM109" s="538" t="s">
        <v>79</v>
      </c>
      <c r="AN109" s="538" t="s">
        <v>233</v>
      </c>
      <c r="AO109" s="538" t="s">
        <v>79</v>
      </c>
      <c r="AP109" s="538" t="s">
        <v>218</v>
      </c>
      <c r="AQ109" s="538" t="s">
        <v>79</v>
      </c>
      <c r="AR109" s="538" t="s">
        <v>218</v>
      </c>
      <c r="AS109" s="538">
        <v>2.59747624E8</v>
      </c>
      <c r="AT109" s="538">
        <v>5.31187684E8</v>
      </c>
      <c r="AU109" s="538">
        <v>32.0</v>
      </c>
      <c r="AV109" s="538" t="s">
        <v>46</v>
      </c>
      <c r="AY109" s="538" t="s">
        <v>999</v>
      </c>
      <c r="AZ109" s="538">
        <v>1.0</v>
      </c>
      <c r="BA109" s="538">
        <v>1.0</v>
      </c>
      <c r="BB109" s="538">
        <v>1.0</v>
      </c>
      <c r="BC109" s="538">
        <v>1.0</v>
      </c>
      <c r="BD109" s="538">
        <v>1.0</v>
      </c>
      <c r="BE109" s="538">
        <v>0.25</v>
      </c>
      <c r="BF109" s="538">
        <v>0.35</v>
      </c>
      <c r="BG109" s="538">
        <v>0.75</v>
      </c>
      <c r="BH109" s="538">
        <v>1.75</v>
      </c>
      <c r="BI109" s="538">
        <v>5.0</v>
      </c>
      <c r="BJ109" s="546"/>
      <c r="BL109" s="546"/>
    </row>
    <row r="110" ht="22.5" customHeight="1">
      <c r="A110" s="538">
        <v>109.0</v>
      </c>
      <c r="B110" s="538" t="s">
        <v>1022</v>
      </c>
      <c r="C110" s="538" t="s">
        <v>84</v>
      </c>
      <c r="D110" s="538" t="s">
        <v>909</v>
      </c>
      <c r="E110" s="538" t="s">
        <v>349</v>
      </c>
      <c r="G110" s="538" t="s">
        <v>151</v>
      </c>
      <c r="H110" s="538" t="s">
        <v>235</v>
      </c>
      <c r="I110" s="538" t="s">
        <v>122</v>
      </c>
      <c r="K110" s="538" t="s">
        <v>1023</v>
      </c>
      <c r="L110" s="538" t="s">
        <v>1024</v>
      </c>
      <c r="M110" s="538" t="s">
        <v>661</v>
      </c>
      <c r="N110" s="538" t="s">
        <v>912</v>
      </c>
      <c r="O110" s="538" t="b">
        <v>0</v>
      </c>
      <c r="P110" s="538" t="b">
        <v>1</v>
      </c>
      <c r="Q110" s="538" t="s">
        <v>73</v>
      </c>
      <c r="S110" s="538" t="s">
        <v>73</v>
      </c>
      <c r="U110" s="538" t="s">
        <v>73</v>
      </c>
      <c r="W110" s="538" t="s">
        <v>73</v>
      </c>
      <c r="Y110" s="538" t="s">
        <v>73</v>
      </c>
      <c r="AA110" s="538" t="s">
        <v>73</v>
      </c>
      <c r="AC110" s="538" t="s">
        <v>73</v>
      </c>
      <c r="AE110" s="538" t="s">
        <v>73</v>
      </c>
      <c r="AG110" s="538" t="s">
        <v>73</v>
      </c>
      <c r="AI110" s="538" t="s">
        <v>73</v>
      </c>
      <c r="AK110" s="538" t="s">
        <v>73</v>
      </c>
      <c r="AM110" s="538" t="s">
        <v>73</v>
      </c>
      <c r="AO110" s="538" t="s">
        <v>79</v>
      </c>
      <c r="AP110" s="538" t="s">
        <v>349</v>
      </c>
      <c r="AQ110" s="538" t="s">
        <v>79</v>
      </c>
      <c r="AR110" s="538" t="s">
        <v>349</v>
      </c>
      <c r="AS110" s="538">
        <v>3.171947561E9</v>
      </c>
      <c r="AT110" s="538">
        <v>3.079282844E9</v>
      </c>
      <c r="AU110" s="538">
        <v>33.0</v>
      </c>
      <c r="AV110" s="538" t="s">
        <v>45</v>
      </c>
      <c r="AZ110" s="538">
        <v>1.0</v>
      </c>
      <c r="BA110" s="538">
        <v>1.0</v>
      </c>
      <c r="BB110" s="538">
        <v>1.0</v>
      </c>
      <c r="BE110" s="538">
        <v>0.2</v>
      </c>
      <c r="BF110" s="538">
        <v>0.1</v>
      </c>
      <c r="BG110" s="538">
        <v>0.2</v>
      </c>
      <c r="BJ110" s="546"/>
      <c r="BL110" s="546"/>
    </row>
    <row r="111" ht="22.5" customHeight="1">
      <c r="A111" s="538">
        <v>110.0</v>
      </c>
      <c r="B111" s="538" t="s">
        <v>1022</v>
      </c>
      <c r="C111" s="538" t="s">
        <v>82</v>
      </c>
      <c r="D111" s="538" t="s">
        <v>909</v>
      </c>
      <c r="E111" s="538" t="s">
        <v>218</v>
      </c>
      <c r="F111" s="538" t="s">
        <v>233</v>
      </c>
      <c r="G111" s="538" t="s">
        <v>163</v>
      </c>
      <c r="H111" s="538" t="s">
        <v>250</v>
      </c>
      <c r="I111" s="538" t="s">
        <v>176</v>
      </c>
      <c r="J111" s="538" t="s">
        <v>281</v>
      </c>
      <c r="K111" s="538" t="s">
        <v>1025</v>
      </c>
      <c r="L111" s="538" t="s">
        <v>1026</v>
      </c>
      <c r="M111" s="538" t="s">
        <v>673</v>
      </c>
      <c r="N111" s="538" t="s">
        <v>906</v>
      </c>
      <c r="O111" s="538" t="b">
        <v>0</v>
      </c>
      <c r="P111" s="538" t="b">
        <v>1</v>
      </c>
      <c r="Q111" s="538" t="s">
        <v>75</v>
      </c>
      <c r="R111" s="538" t="s">
        <v>1027</v>
      </c>
      <c r="S111" s="538" t="s">
        <v>75</v>
      </c>
      <c r="T111" s="538" t="s">
        <v>1027</v>
      </c>
      <c r="U111" s="538" t="s">
        <v>75</v>
      </c>
      <c r="V111" s="538" t="s">
        <v>1027</v>
      </c>
      <c r="W111" s="538" t="s">
        <v>75</v>
      </c>
      <c r="X111" s="538" t="s">
        <v>1027</v>
      </c>
      <c r="Y111" s="538" t="s">
        <v>75</v>
      </c>
      <c r="Z111" s="538" t="s">
        <v>1027</v>
      </c>
      <c r="AA111" s="538" t="s">
        <v>75</v>
      </c>
      <c r="AB111" s="538" t="s">
        <v>1027</v>
      </c>
      <c r="AC111" s="538" t="s">
        <v>75</v>
      </c>
      <c r="AD111" s="538" t="s">
        <v>1027</v>
      </c>
      <c r="AE111" s="538" t="s">
        <v>75</v>
      </c>
      <c r="AF111" s="538" t="s">
        <v>1027</v>
      </c>
      <c r="AG111" s="538" t="s">
        <v>75</v>
      </c>
      <c r="AH111" s="538" t="s">
        <v>1027</v>
      </c>
      <c r="AI111" s="538" t="s">
        <v>79</v>
      </c>
      <c r="AJ111" s="538" t="s">
        <v>233</v>
      </c>
      <c r="AK111" s="538" t="s">
        <v>79</v>
      </c>
      <c r="AL111" s="538" t="s">
        <v>233</v>
      </c>
      <c r="AM111" s="538" t="s">
        <v>79</v>
      </c>
      <c r="AN111" s="538" t="s">
        <v>233</v>
      </c>
      <c r="AO111" s="538" t="s">
        <v>79</v>
      </c>
      <c r="AP111" s="538" t="s">
        <v>218</v>
      </c>
      <c r="AQ111" s="538" t="s">
        <v>79</v>
      </c>
      <c r="AR111" s="538" t="s">
        <v>218</v>
      </c>
      <c r="AS111" s="538">
        <v>3.079666421E9</v>
      </c>
      <c r="AT111" s="538">
        <v>3.079282844E9</v>
      </c>
      <c r="AU111" s="538">
        <v>33.0</v>
      </c>
      <c r="AV111" s="538" t="s">
        <v>45</v>
      </c>
      <c r="AY111" s="538" t="s">
        <v>1027</v>
      </c>
      <c r="AZ111" s="538">
        <v>1.0</v>
      </c>
      <c r="BA111" s="538">
        <v>1.0</v>
      </c>
      <c r="BB111" s="538">
        <v>1.0</v>
      </c>
      <c r="BC111" s="538">
        <v>1.0</v>
      </c>
      <c r="BD111" s="538">
        <v>1.0</v>
      </c>
      <c r="BE111" s="538">
        <v>0.25</v>
      </c>
      <c r="BF111" s="538">
        <v>0.35</v>
      </c>
      <c r="BG111" s="538">
        <v>0.75</v>
      </c>
      <c r="BH111" s="538">
        <v>1.75</v>
      </c>
      <c r="BI111" s="538">
        <v>5.0</v>
      </c>
      <c r="BJ111" s="546"/>
      <c r="BL111" s="546"/>
    </row>
    <row r="112" ht="22.5" customHeight="1">
      <c r="A112" s="538">
        <v>111.0</v>
      </c>
      <c r="B112" s="538" t="s">
        <v>1028</v>
      </c>
      <c r="C112" s="538" t="s">
        <v>84</v>
      </c>
      <c r="D112" s="538" t="s">
        <v>909</v>
      </c>
      <c r="E112" s="538" t="s">
        <v>313</v>
      </c>
      <c r="F112" s="538" t="s">
        <v>1029</v>
      </c>
      <c r="G112" s="538" t="s">
        <v>239</v>
      </c>
      <c r="H112" s="538" t="s">
        <v>222</v>
      </c>
      <c r="I112" s="538" t="s">
        <v>189</v>
      </c>
      <c r="K112" s="538" t="s">
        <v>1030</v>
      </c>
      <c r="L112" s="538" t="s">
        <v>1031</v>
      </c>
      <c r="M112" s="538" t="s">
        <v>661</v>
      </c>
      <c r="N112" s="538" t="s">
        <v>785</v>
      </c>
      <c r="O112" s="538" t="b">
        <v>0</v>
      </c>
      <c r="P112" s="538" t="b">
        <v>1</v>
      </c>
      <c r="Q112" s="538" t="s">
        <v>75</v>
      </c>
      <c r="R112" s="538" t="s">
        <v>312</v>
      </c>
      <c r="S112" s="538" t="s">
        <v>75</v>
      </c>
      <c r="T112" s="538" t="s">
        <v>312</v>
      </c>
      <c r="U112" s="538" t="s">
        <v>75</v>
      </c>
      <c r="V112" s="538" t="s">
        <v>312</v>
      </c>
      <c r="W112" s="538" t="s">
        <v>75</v>
      </c>
      <c r="X112" s="538" t="s">
        <v>312</v>
      </c>
      <c r="Y112" s="538" t="s">
        <v>75</v>
      </c>
      <c r="Z112" s="538" t="s">
        <v>312</v>
      </c>
      <c r="AA112" s="538" t="s">
        <v>75</v>
      </c>
      <c r="AB112" s="538" t="s">
        <v>312</v>
      </c>
      <c r="AC112" s="538" t="s">
        <v>79</v>
      </c>
      <c r="AD112" s="538" t="s">
        <v>377</v>
      </c>
      <c r="AE112" s="538" t="s">
        <v>79</v>
      </c>
      <c r="AF112" s="538" t="s">
        <v>377</v>
      </c>
      <c r="AG112" s="538" t="s">
        <v>79</v>
      </c>
      <c r="AH112" s="538" t="s">
        <v>380</v>
      </c>
      <c r="AI112" s="538" t="s">
        <v>79</v>
      </c>
      <c r="AJ112" s="538" t="s">
        <v>377</v>
      </c>
      <c r="AK112" s="538" t="s">
        <v>75</v>
      </c>
      <c r="AL112" s="538" t="s">
        <v>312</v>
      </c>
      <c r="AM112" s="538" t="s">
        <v>75</v>
      </c>
      <c r="AN112" s="538" t="s">
        <v>312</v>
      </c>
      <c r="AO112" s="538" t="s">
        <v>79</v>
      </c>
      <c r="AP112" s="538" t="s">
        <v>313</v>
      </c>
      <c r="AQ112" s="538" t="s">
        <v>79</v>
      </c>
      <c r="AR112" s="538" t="s">
        <v>313</v>
      </c>
      <c r="AS112" s="538">
        <v>1.133890335E9</v>
      </c>
      <c r="AT112" s="538">
        <v>1.61972881E8</v>
      </c>
      <c r="AU112" s="538">
        <v>35.0</v>
      </c>
      <c r="AV112" s="538" t="s">
        <v>45</v>
      </c>
      <c r="AW112" s="538" t="s">
        <v>760</v>
      </c>
      <c r="AY112" s="538" t="s">
        <v>312</v>
      </c>
      <c r="AZ112" s="538">
        <v>1.0</v>
      </c>
      <c r="BA112" s="538">
        <v>1.0</v>
      </c>
      <c r="BB112" s="538">
        <v>1.0</v>
      </c>
      <c r="BE112" s="538">
        <v>0.1</v>
      </c>
      <c r="BF112" s="538">
        <v>0.02</v>
      </c>
      <c r="BG112" s="538">
        <v>0.05</v>
      </c>
      <c r="BJ112" s="546"/>
      <c r="BL112" s="546"/>
    </row>
    <row r="113" ht="22.5" customHeight="1">
      <c r="A113" s="538">
        <v>112.0</v>
      </c>
      <c r="B113" s="538" t="s">
        <v>1028</v>
      </c>
      <c r="C113" s="538" t="s">
        <v>82</v>
      </c>
      <c r="D113" s="538" t="s">
        <v>909</v>
      </c>
      <c r="E113" s="538" t="s">
        <v>218</v>
      </c>
      <c r="F113" s="538" t="s">
        <v>312</v>
      </c>
      <c r="G113" s="538" t="s">
        <v>239</v>
      </c>
      <c r="H113" s="538" t="s">
        <v>250</v>
      </c>
      <c r="I113" s="538" t="s">
        <v>122</v>
      </c>
      <c r="J113" s="538" t="s">
        <v>320</v>
      </c>
      <c r="K113" s="538" t="s">
        <v>1032</v>
      </c>
      <c r="L113" s="538" t="s">
        <v>1033</v>
      </c>
      <c r="M113" s="538" t="s">
        <v>673</v>
      </c>
      <c r="N113" s="538" t="s">
        <v>781</v>
      </c>
      <c r="O113" s="538" t="b">
        <v>0</v>
      </c>
      <c r="P113" s="538" t="b">
        <v>1</v>
      </c>
      <c r="Q113" s="538" t="s">
        <v>75</v>
      </c>
      <c r="R113" s="538" t="s">
        <v>312</v>
      </c>
      <c r="S113" s="538" t="s">
        <v>75</v>
      </c>
      <c r="T113" s="538" t="s">
        <v>312</v>
      </c>
      <c r="U113" s="538" t="s">
        <v>75</v>
      </c>
      <c r="V113" s="538" t="s">
        <v>312</v>
      </c>
      <c r="W113" s="538" t="s">
        <v>75</v>
      </c>
      <c r="X113" s="538" t="s">
        <v>312</v>
      </c>
      <c r="Y113" s="538" t="s">
        <v>75</v>
      </c>
      <c r="Z113" s="538" t="s">
        <v>312</v>
      </c>
      <c r="AA113" s="538" t="s">
        <v>75</v>
      </c>
      <c r="AB113" s="538" t="s">
        <v>312</v>
      </c>
      <c r="AC113" s="538" t="s">
        <v>75</v>
      </c>
      <c r="AD113" s="538" t="s">
        <v>312</v>
      </c>
      <c r="AE113" s="538" t="s">
        <v>75</v>
      </c>
      <c r="AF113" s="538" t="s">
        <v>312</v>
      </c>
      <c r="AG113" s="538" t="s">
        <v>75</v>
      </c>
      <c r="AH113" s="538" t="s">
        <v>312</v>
      </c>
      <c r="AI113" s="538" t="s">
        <v>75</v>
      </c>
      <c r="AJ113" s="538" t="s">
        <v>312</v>
      </c>
      <c r="AK113" s="538" t="s">
        <v>75</v>
      </c>
      <c r="AL113" s="538" t="s">
        <v>312</v>
      </c>
      <c r="AM113" s="538" t="s">
        <v>75</v>
      </c>
      <c r="AN113" s="538" t="s">
        <v>312</v>
      </c>
      <c r="AO113" s="538" t="s">
        <v>79</v>
      </c>
      <c r="AP113" s="538" t="s">
        <v>218</v>
      </c>
      <c r="AQ113" s="538" t="s">
        <v>79</v>
      </c>
      <c r="AR113" s="538" t="s">
        <v>218</v>
      </c>
      <c r="AS113" s="538">
        <v>3.765448209E9</v>
      </c>
      <c r="AT113" s="538">
        <v>1.61972881E8</v>
      </c>
      <c r="AU113" s="538">
        <v>35.0</v>
      </c>
      <c r="AV113" s="538" t="s">
        <v>45</v>
      </c>
      <c r="AW113" s="538" t="s">
        <v>760</v>
      </c>
      <c r="AY113" s="538" t="s">
        <v>312</v>
      </c>
      <c r="AZ113" s="538">
        <v>1.0</v>
      </c>
      <c r="BA113" s="538">
        <v>1.0</v>
      </c>
      <c r="BB113" s="538">
        <v>1.0</v>
      </c>
      <c r="BC113" s="538">
        <v>1.0</v>
      </c>
      <c r="BD113" s="538">
        <v>1.0</v>
      </c>
      <c r="BE113" s="538">
        <v>0.2</v>
      </c>
      <c r="BF113" s="538">
        <v>0.3</v>
      </c>
      <c r="BG113" s="538">
        <v>0.4</v>
      </c>
      <c r="BH113" s="538">
        <v>0.5</v>
      </c>
      <c r="BI113" s="538">
        <v>0.6</v>
      </c>
      <c r="BJ113" s="546"/>
      <c r="BL113" s="546"/>
    </row>
    <row r="114" ht="22.5" customHeight="1">
      <c r="A114" s="538">
        <v>113.0</v>
      </c>
      <c r="B114" s="538" t="s">
        <v>1034</v>
      </c>
      <c r="C114" s="538" t="s">
        <v>84</v>
      </c>
      <c r="D114" s="538" t="s">
        <v>1035</v>
      </c>
      <c r="E114" s="538" t="s">
        <v>214</v>
      </c>
      <c r="F114" s="538" t="s">
        <v>273</v>
      </c>
      <c r="G114" s="538" t="s">
        <v>239</v>
      </c>
      <c r="H114" s="538" t="s">
        <v>250</v>
      </c>
      <c r="I114" s="538" t="s">
        <v>197</v>
      </c>
      <c r="J114" s="538" t="s">
        <v>373</v>
      </c>
      <c r="K114" s="538" t="s">
        <v>1036</v>
      </c>
      <c r="L114" s="538" t="s">
        <v>1037</v>
      </c>
      <c r="M114" s="538" t="s">
        <v>984</v>
      </c>
      <c r="N114" s="538" t="s">
        <v>661</v>
      </c>
      <c r="O114" s="538" t="b">
        <v>1</v>
      </c>
      <c r="P114" s="538" t="b">
        <v>1</v>
      </c>
      <c r="Q114" s="538" t="s">
        <v>75</v>
      </c>
      <c r="R114" s="538" t="s">
        <v>273</v>
      </c>
      <c r="S114" s="538" t="s">
        <v>75</v>
      </c>
      <c r="T114" s="538" t="s">
        <v>273</v>
      </c>
      <c r="U114" s="538" t="s">
        <v>75</v>
      </c>
      <c r="V114" s="538" t="s">
        <v>273</v>
      </c>
      <c r="W114" s="538" t="s">
        <v>75</v>
      </c>
      <c r="X114" s="538" t="s">
        <v>273</v>
      </c>
      <c r="Y114" s="538" t="s">
        <v>75</v>
      </c>
      <c r="Z114" s="538" t="s">
        <v>273</v>
      </c>
      <c r="AA114" s="538" t="s">
        <v>75</v>
      </c>
      <c r="AB114" s="538" t="s">
        <v>273</v>
      </c>
      <c r="AC114" s="538" t="s">
        <v>75</v>
      </c>
      <c r="AD114" s="538" t="s">
        <v>273</v>
      </c>
      <c r="AE114" s="538" t="s">
        <v>75</v>
      </c>
      <c r="AF114" s="538" t="s">
        <v>273</v>
      </c>
      <c r="AG114" s="538" t="s">
        <v>75</v>
      </c>
      <c r="AH114" s="538" t="s">
        <v>273</v>
      </c>
      <c r="AI114" s="538" t="s">
        <v>75</v>
      </c>
      <c r="AJ114" s="538" t="s">
        <v>273</v>
      </c>
      <c r="AK114" s="538" t="s">
        <v>75</v>
      </c>
      <c r="AL114" s="538" t="s">
        <v>273</v>
      </c>
      <c r="AM114" s="538" t="s">
        <v>75</v>
      </c>
      <c r="AN114" s="538" t="s">
        <v>273</v>
      </c>
      <c r="AO114" s="538" t="s">
        <v>79</v>
      </c>
      <c r="AP114" s="538" t="s">
        <v>214</v>
      </c>
      <c r="AQ114" s="538" t="s">
        <v>79</v>
      </c>
      <c r="AR114" s="538" t="s">
        <v>214</v>
      </c>
      <c r="AS114" s="538">
        <v>2.221311201E9</v>
      </c>
      <c r="AT114" s="538">
        <v>1.127234629E9</v>
      </c>
      <c r="AU114" s="538">
        <v>43.0</v>
      </c>
      <c r="AV114" s="538" t="s">
        <v>47</v>
      </c>
      <c r="AY114" s="538" t="s">
        <v>273</v>
      </c>
      <c r="AZ114" s="538">
        <v>0.8</v>
      </c>
      <c r="BA114" s="538">
        <v>0.05</v>
      </c>
      <c r="BB114" s="538">
        <v>0.1</v>
      </c>
      <c r="BE114" s="538">
        <v>1.0</v>
      </c>
      <c r="BF114" s="538">
        <v>1.0</v>
      </c>
      <c r="BG114" s="538">
        <v>1.0</v>
      </c>
      <c r="BJ114" s="546"/>
      <c r="BL114" s="546"/>
    </row>
    <row r="115" ht="22.5" customHeight="1">
      <c r="A115" s="538">
        <v>114.0</v>
      </c>
      <c r="B115" s="538" t="s">
        <v>1034</v>
      </c>
      <c r="C115" s="538" t="s">
        <v>82</v>
      </c>
      <c r="D115" s="538" t="s">
        <v>1035</v>
      </c>
      <c r="E115" s="538" t="s">
        <v>372</v>
      </c>
      <c r="G115" s="538" t="s">
        <v>163</v>
      </c>
      <c r="H115" s="538" t="s">
        <v>250</v>
      </c>
      <c r="I115" s="538" t="s">
        <v>176</v>
      </c>
      <c r="J115" s="538" t="s">
        <v>395</v>
      </c>
      <c r="K115" s="538" t="s">
        <v>1038</v>
      </c>
      <c r="L115" s="538" t="s">
        <v>1039</v>
      </c>
      <c r="M115" s="538" t="s">
        <v>673</v>
      </c>
      <c r="N115" s="538" t="s">
        <v>987</v>
      </c>
      <c r="O115" s="538" t="b">
        <v>0</v>
      </c>
      <c r="P115" s="538" t="b">
        <v>1</v>
      </c>
      <c r="Q115" s="538" t="s">
        <v>73</v>
      </c>
      <c r="S115" s="538" t="s">
        <v>73</v>
      </c>
      <c r="U115" s="538" t="s">
        <v>73</v>
      </c>
      <c r="W115" s="538" t="s">
        <v>73</v>
      </c>
      <c r="Y115" s="538" t="s">
        <v>73</v>
      </c>
      <c r="AA115" s="538" t="s">
        <v>73</v>
      </c>
      <c r="AC115" s="538" t="s">
        <v>73</v>
      </c>
      <c r="AE115" s="538" t="s">
        <v>73</v>
      </c>
      <c r="AG115" s="538" t="s">
        <v>73</v>
      </c>
      <c r="AI115" s="538" t="s">
        <v>73</v>
      </c>
      <c r="AK115" s="538" t="s">
        <v>73</v>
      </c>
      <c r="AM115" s="538" t="s">
        <v>73</v>
      </c>
      <c r="AO115" s="538" t="s">
        <v>79</v>
      </c>
      <c r="AP115" s="538" t="s">
        <v>372</v>
      </c>
      <c r="AQ115" s="538" t="s">
        <v>79</v>
      </c>
      <c r="AR115" s="538" t="s">
        <v>372</v>
      </c>
      <c r="AS115" s="538">
        <v>1.877391678E9</v>
      </c>
      <c r="AT115" s="538">
        <v>1.127234629E9</v>
      </c>
      <c r="AU115" s="538">
        <v>43.0</v>
      </c>
      <c r="AV115" s="538" t="s">
        <v>47</v>
      </c>
      <c r="AZ115" s="538">
        <v>1.0</v>
      </c>
      <c r="BA115" s="538">
        <v>1.0</v>
      </c>
      <c r="BB115" s="538">
        <v>1.0</v>
      </c>
      <c r="BC115" s="538">
        <v>1.0</v>
      </c>
      <c r="BD115" s="538">
        <v>1.0</v>
      </c>
      <c r="BE115" s="538">
        <v>1.0</v>
      </c>
      <c r="BF115" s="538">
        <v>2.0</v>
      </c>
      <c r="BG115" s="538">
        <v>4.0</v>
      </c>
      <c r="BH115" s="538">
        <v>8.0</v>
      </c>
      <c r="BI115" s="538">
        <v>16.0</v>
      </c>
      <c r="BJ115" s="546"/>
      <c r="BL115" s="546"/>
    </row>
    <row r="116" ht="22.5" customHeight="1">
      <c r="A116" s="538">
        <v>115.0</v>
      </c>
      <c r="B116" s="538" t="s">
        <v>1040</v>
      </c>
      <c r="C116" s="538" t="s">
        <v>84</v>
      </c>
      <c r="D116" s="538" t="s">
        <v>1035</v>
      </c>
      <c r="E116" s="538" t="s">
        <v>366</v>
      </c>
      <c r="F116" s="538" t="s">
        <v>1041</v>
      </c>
      <c r="G116" s="538" t="s">
        <v>239</v>
      </c>
      <c r="H116" s="538" t="s">
        <v>222</v>
      </c>
      <c r="I116" s="538" t="s">
        <v>189</v>
      </c>
      <c r="K116" s="538" t="s">
        <v>1042</v>
      </c>
      <c r="L116" s="538" t="s">
        <v>1043</v>
      </c>
      <c r="M116" s="538" t="s">
        <v>661</v>
      </c>
      <c r="N116" s="538" t="s">
        <v>785</v>
      </c>
      <c r="O116" s="538" t="b">
        <v>0</v>
      </c>
      <c r="P116" s="538" t="b">
        <v>1</v>
      </c>
      <c r="Q116" s="538" t="s">
        <v>73</v>
      </c>
      <c r="S116" s="538" t="s">
        <v>73</v>
      </c>
      <c r="U116" s="538" t="s">
        <v>73</v>
      </c>
      <c r="W116" s="538" t="s">
        <v>73</v>
      </c>
      <c r="Y116" s="538" t="s">
        <v>73</v>
      </c>
      <c r="AA116" s="538" t="s">
        <v>73</v>
      </c>
      <c r="AC116" s="538" t="s">
        <v>79</v>
      </c>
      <c r="AD116" s="538" t="s">
        <v>377</v>
      </c>
      <c r="AE116" s="538" t="s">
        <v>79</v>
      </c>
      <c r="AF116" s="538" t="s">
        <v>377</v>
      </c>
      <c r="AG116" s="538" t="s">
        <v>79</v>
      </c>
      <c r="AH116" s="538" t="s">
        <v>380</v>
      </c>
      <c r="AI116" s="538" t="s">
        <v>79</v>
      </c>
      <c r="AJ116" s="538" t="s">
        <v>377</v>
      </c>
      <c r="AK116" s="538" t="s">
        <v>73</v>
      </c>
      <c r="AM116" s="538" t="s">
        <v>73</v>
      </c>
      <c r="AO116" s="538" t="s">
        <v>79</v>
      </c>
      <c r="AP116" s="538" t="s">
        <v>366</v>
      </c>
      <c r="AQ116" s="538" t="s">
        <v>79</v>
      </c>
      <c r="AR116" s="538" t="s">
        <v>366</v>
      </c>
      <c r="AS116" s="538">
        <v>1.427535254E9</v>
      </c>
      <c r="AT116" s="538">
        <v>3.381802332E9</v>
      </c>
      <c r="AU116" s="538">
        <v>37.0</v>
      </c>
      <c r="AV116" s="538" t="s">
        <v>46</v>
      </c>
      <c r="AZ116" s="538">
        <v>1.0</v>
      </c>
      <c r="BA116" s="538">
        <v>1.0</v>
      </c>
      <c r="BB116" s="538">
        <v>1.0</v>
      </c>
      <c r="BE116" s="538">
        <v>0.1</v>
      </c>
      <c r="BF116" s="538">
        <v>0.02</v>
      </c>
      <c r="BG116" s="538">
        <v>0.05</v>
      </c>
      <c r="BJ116" s="546"/>
      <c r="BL116" s="546"/>
    </row>
    <row r="117" ht="22.5" customHeight="1">
      <c r="A117" s="538">
        <v>116.0</v>
      </c>
      <c r="B117" s="538" t="s">
        <v>1040</v>
      </c>
      <c r="C117" s="538" t="s">
        <v>82</v>
      </c>
      <c r="D117" s="538" t="s">
        <v>1035</v>
      </c>
      <c r="E117" s="538" t="s">
        <v>218</v>
      </c>
      <c r="F117" s="538" t="s">
        <v>233</v>
      </c>
      <c r="G117" s="538" t="s">
        <v>163</v>
      </c>
      <c r="H117" s="538" t="s">
        <v>250</v>
      </c>
      <c r="I117" s="538" t="s">
        <v>176</v>
      </c>
      <c r="J117" s="538" t="s">
        <v>287</v>
      </c>
      <c r="K117" s="538" t="s">
        <v>1044</v>
      </c>
      <c r="L117" s="538" t="s">
        <v>1045</v>
      </c>
      <c r="M117" s="538" t="s">
        <v>673</v>
      </c>
      <c r="N117" s="538" t="s">
        <v>906</v>
      </c>
      <c r="O117" s="538" t="b">
        <v>0</v>
      </c>
      <c r="P117" s="538" t="b">
        <v>1</v>
      </c>
      <c r="Q117" s="538" t="s">
        <v>75</v>
      </c>
      <c r="R117" s="538" t="s">
        <v>907</v>
      </c>
      <c r="S117" s="538" t="s">
        <v>75</v>
      </c>
      <c r="T117" s="538" t="s">
        <v>907</v>
      </c>
      <c r="U117" s="538" t="s">
        <v>75</v>
      </c>
      <c r="V117" s="538" t="s">
        <v>907</v>
      </c>
      <c r="W117" s="538" t="s">
        <v>75</v>
      </c>
      <c r="X117" s="538" t="s">
        <v>907</v>
      </c>
      <c r="Y117" s="538" t="s">
        <v>75</v>
      </c>
      <c r="Z117" s="538" t="s">
        <v>907</v>
      </c>
      <c r="AA117" s="538" t="s">
        <v>75</v>
      </c>
      <c r="AB117" s="538" t="s">
        <v>907</v>
      </c>
      <c r="AC117" s="538" t="s">
        <v>75</v>
      </c>
      <c r="AD117" s="538" t="s">
        <v>907</v>
      </c>
      <c r="AE117" s="538" t="s">
        <v>75</v>
      </c>
      <c r="AF117" s="538" t="s">
        <v>907</v>
      </c>
      <c r="AG117" s="538" t="s">
        <v>75</v>
      </c>
      <c r="AH117" s="538" t="s">
        <v>907</v>
      </c>
      <c r="AI117" s="538" t="s">
        <v>79</v>
      </c>
      <c r="AJ117" s="538" t="s">
        <v>233</v>
      </c>
      <c r="AK117" s="538" t="s">
        <v>79</v>
      </c>
      <c r="AL117" s="538" t="s">
        <v>233</v>
      </c>
      <c r="AM117" s="538" t="s">
        <v>79</v>
      </c>
      <c r="AN117" s="538" t="s">
        <v>233</v>
      </c>
      <c r="AO117" s="538" t="s">
        <v>79</v>
      </c>
      <c r="AP117" s="538" t="s">
        <v>218</v>
      </c>
      <c r="AQ117" s="538" t="s">
        <v>79</v>
      </c>
      <c r="AR117" s="538" t="s">
        <v>218</v>
      </c>
      <c r="AS117" s="538">
        <v>2.64056742E8</v>
      </c>
      <c r="AT117" s="538">
        <v>3.381802332E9</v>
      </c>
      <c r="AU117" s="538">
        <v>37.0</v>
      </c>
      <c r="AV117" s="538" t="s">
        <v>46</v>
      </c>
      <c r="AY117" s="538" t="s">
        <v>907</v>
      </c>
      <c r="AZ117" s="538">
        <v>1.0</v>
      </c>
      <c r="BA117" s="538">
        <v>1.0</v>
      </c>
      <c r="BB117" s="538">
        <v>1.0</v>
      </c>
      <c r="BC117" s="538">
        <v>1.0</v>
      </c>
      <c r="BD117" s="538">
        <v>1.0</v>
      </c>
      <c r="BE117" s="538">
        <v>0.25</v>
      </c>
      <c r="BF117" s="538">
        <v>0.35</v>
      </c>
      <c r="BG117" s="538">
        <v>0.75</v>
      </c>
      <c r="BH117" s="538">
        <v>1.75</v>
      </c>
      <c r="BI117" s="538">
        <v>5.0</v>
      </c>
      <c r="BJ117" s="546"/>
      <c r="BL117" s="546"/>
    </row>
    <row r="118" ht="22.5" customHeight="1">
      <c r="A118" s="538">
        <v>117.0</v>
      </c>
      <c r="B118" s="538" t="s">
        <v>1046</v>
      </c>
      <c r="C118" s="538" t="s">
        <v>84</v>
      </c>
      <c r="D118" s="538" t="s">
        <v>1035</v>
      </c>
      <c r="E118" s="538" t="s">
        <v>218</v>
      </c>
      <c r="F118" s="538" t="s">
        <v>1047</v>
      </c>
      <c r="G118" s="538" t="s">
        <v>163</v>
      </c>
      <c r="H118" s="538" t="s">
        <v>250</v>
      </c>
      <c r="I118" s="538" t="s">
        <v>122</v>
      </c>
      <c r="J118" s="538" t="s">
        <v>305</v>
      </c>
      <c r="K118" s="538" t="s">
        <v>1048</v>
      </c>
      <c r="L118" s="538" t="s">
        <v>1049</v>
      </c>
      <c r="M118" s="538" t="s">
        <v>661</v>
      </c>
      <c r="N118" s="538" t="s">
        <v>912</v>
      </c>
      <c r="O118" s="538" t="b">
        <v>0</v>
      </c>
      <c r="P118" s="538" t="b">
        <v>1</v>
      </c>
      <c r="Q118" s="538" t="s">
        <v>75</v>
      </c>
      <c r="R118" s="538" t="s">
        <v>1047</v>
      </c>
      <c r="S118" s="538" t="s">
        <v>75</v>
      </c>
      <c r="T118" s="538" t="s">
        <v>1047</v>
      </c>
      <c r="U118" s="538" t="s">
        <v>75</v>
      </c>
      <c r="V118" s="538" t="s">
        <v>1047</v>
      </c>
      <c r="W118" s="538" t="s">
        <v>75</v>
      </c>
      <c r="X118" s="538" t="s">
        <v>1047</v>
      </c>
      <c r="Y118" s="538" t="s">
        <v>75</v>
      </c>
      <c r="Z118" s="538" t="s">
        <v>1047</v>
      </c>
      <c r="AA118" s="538" t="s">
        <v>75</v>
      </c>
      <c r="AB118" s="538" t="s">
        <v>1047</v>
      </c>
      <c r="AC118" s="538" t="s">
        <v>75</v>
      </c>
      <c r="AD118" s="538" t="s">
        <v>1047</v>
      </c>
      <c r="AE118" s="538" t="s">
        <v>75</v>
      </c>
      <c r="AF118" s="538" t="s">
        <v>1047</v>
      </c>
      <c r="AG118" s="538" t="s">
        <v>75</v>
      </c>
      <c r="AH118" s="538" t="s">
        <v>1047</v>
      </c>
      <c r="AI118" s="538" t="s">
        <v>75</v>
      </c>
      <c r="AJ118" s="538" t="s">
        <v>1047</v>
      </c>
      <c r="AK118" s="538" t="s">
        <v>75</v>
      </c>
      <c r="AL118" s="538" t="s">
        <v>1047</v>
      </c>
      <c r="AM118" s="538" t="s">
        <v>75</v>
      </c>
      <c r="AN118" s="538" t="s">
        <v>1047</v>
      </c>
      <c r="AO118" s="538" t="s">
        <v>79</v>
      </c>
      <c r="AP118" s="538" t="s">
        <v>218</v>
      </c>
      <c r="AQ118" s="538" t="s">
        <v>79</v>
      </c>
      <c r="AR118" s="538" t="s">
        <v>218</v>
      </c>
      <c r="AS118" s="538">
        <v>2.099626491E9</v>
      </c>
      <c r="AT118" s="538">
        <v>3.553398304E9</v>
      </c>
      <c r="AU118" s="538">
        <v>38.0</v>
      </c>
      <c r="AV118" s="538" t="s">
        <v>46</v>
      </c>
      <c r="AY118" s="538" t="s">
        <v>1047</v>
      </c>
      <c r="AZ118" s="538">
        <v>1.0</v>
      </c>
      <c r="BA118" s="538">
        <v>1.0</v>
      </c>
      <c r="BB118" s="538">
        <v>1.0</v>
      </c>
      <c r="BE118" s="538">
        <v>0.2</v>
      </c>
      <c r="BF118" s="538">
        <v>0.1</v>
      </c>
      <c r="BG118" s="538">
        <v>0.2</v>
      </c>
      <c r="BJ118" s="546"/>
      <c r="BL118" s="546"/>
    </row>
    <row r="119" ht="22.5" customHeight="1">
      <c r="A119" s="538">
        <v>118.0</v>
      </c>
      <c r="B119" s="538" t="s">
        <v>1046</v>
      </c>
      <c r="C119" s="538" t="s">
        <v>82</v>
      </c>
      <c r="D119" s="538" t="s">
        <v>1035</v>
      </c>
      <c r="E119" s="538" t="s">
        <v>369</v>
      </c>
      <c r="F119" s="538" t="s">
        <v>1050</v>
      </c>
      <c r="G119" s="538" t="s">
        <v>163</v>
      </c>
      <c r="H119" s="538" t="s">
        <v>222</v>
      </c>
      <c r="I119" s="538" t="s">
        <v>189</v>
      </c>
      <c r="J119" s="538" t="s">
        <v>308</v>
      </c>
      <c r="K119" s="538" t="s">
        <v>1051</v>
      </c>
      <c r="L119" s="538" t="s">
        <v>1052</v>
      </c>
      <c r="M119" s="538" t="s">
        <v>673</v>
      </c>
      <c r="N119" s="538" t="s">
        <v>1053</v>
      </c>
      <c r="O119" s="538" t="b">
        <v>0</v>
      </c>
      <c r="P119" s="538" t="b">
        <v>1</v>
      </c>
      <c r="Q119" s="538" t="s">
        <v>75</v>
      </c>
      <c r="R119" s="538" t="s">
        <v>679</v>
      </c>
      <c r="S119" s="538" t="s">
        <v>75</v>
      </c>
      <c r="T119" s="538" t="s">
        <v>679</v>
      </c>
      <c r="U119" s="538" t="s">
        <v>75</v>
      </c>
      <c r="V119" s="538" t="s">
        <v>679</v>
      </c>
      <c r="W119" s="538" t="s">
        <v>75</v>
      </c>
      <c r="X119" s="538" t="s">
        <v>679</v>
      </c>
      <c r="Y119" s="538" t="s">
        <v>75</v>
      </c>
      <c r="Z119" s="538" t="s">
        <v>679</v>
      </c>
      <c r="AA119" s="538" t="s">
        <v>75</v>
      </c>
      <c r="AB119" s="538" t="s">
        <v>679</v>
      </c>
      <c r="AC119" s="538" t="s">
        <v>79</v>
      </c>
      <c r="AD119" s="538" t="s">
        <v>377</v>
      </c>
      <c r="AE119" s="538" t="s">
        <v>79</v>
      </c>
      <c r="AF119" s="538" t="s">
        <v>377</v>
      </c>
      <c r="AG119" s="538" t="s">
        <v>79</v>
      </c>
      <c r="AH119" s="538" t="s">
        <v>380</v>
      </c>
      <c r="AI119" s="538" t="s">
        <v>79</v>
      </c>
      <c r="AJ119" s="538" t="s">
        <v>377</v>
      </c>
      <c r="AK119" s="538" t="s">
        <v>75</v>
      </c>
      <c r="AL119" s="538" t="s">
        <v>679</v>
      </c>
      <c r="AM119" s="538" t="s">
        <v>75</v>
      </c>
      <c r="AN119" s="538" t="s">
        <v>679</v>
      </c>
      <c r="AO119" s="538" t="s">
        <v>79</v>
      </c>
      <c r="AP119" s="538" t="s">
        <v>369</v>
      </c>
      <c r="AQ119" s="538" t="s">
        <v>79</v>
      </c>
      <c r="AR119" s="538" t="s">
        <v>369</v>
      </c>
      <c r="AS119" s="538">
        <v>3.875841674E9</v>
      </c>
      <c r="AT119" s="538">
        <v>3.553398304E9</v>
      </c>
      <c r="AU119" s="538">
        <v>38.0</v>
      </c>
      <c r="AV119" s="538" t="s">
        <v>46</v>
      </c>
      <c r="AY119" s="538" t="s">
        <v>679</v>
      </c>
      <c r="AZ119" s="538">
        <v>1.0</v>
      </c>
      <c r="BA119" s="538">
        <v>1.0</v>
      </c>
      <c r="BB119" s="538">
        <v>1.0</v>
      </c>
      <c r="BC119" s="538">
        <v>1.0</v>
      </c>
      <c r="BD119" s="538">
        <v>1.0</v>
      </c>
      <c r="BE119" s="538">
        <v>0.6</v>
      </c>
      <c r="BF119" s="538">
        <v>0.7</v>
      </c>
      <c r="BG119" s="538">
        <v>0.8</v>
      </c>
      <c r="BH119" s="538">
        <v>0.9</v>
      </c>
      <c r="BI119" s="538">
        <v>1.0</v>
      </c>
      <c r="BJ119" s="546"/>
      <c r="BL119" s="546"/>
    </row>
    <row r="120" ht="22.5" customHeight="1">
      <c r="A120" s="538">
        <v>119.0</v>
      </c>
      <c r="B120" s="538" t="s">
        <v>1054</v>
      </c>
      <c r="C120" s="538" t="s">
        <v>84</v>
      </c>
      <c r="D120" s="538" t="s">
        <v>801</v>
      </c>
      <c r="E120" s="538" t="s">
        <v>331</v>
      </c>
      <c r="G120" s="538" t="s">
        <v>151</v>
      </c>
      <c r="H120" s="538" t="s">
        <v>250</v>
      </c>
      <c r="I120" s="538" t="s">
        <v>122</v>
      </c>
      <c r="J120" s="538" t="s">
        <v>416</v>
      </c>
      <c r="K120" s="538" t="s">
        <v>1055</v>
      </c>
      <c r="L120" s="538" t="s">
        <v>1056</v>
      </c>
      <c r="M120" s="538" t="s">
        <v>661</v>
      </c>
      <c r="N120" s="538" t="s">
        <v>1004</v>
      </c>
      <c r="O120" s="538" t="b">
        <v>0</v>
      </c>
      <c r="P120" s="538" t="b">
        <v>1</v>
      </c>
      <c r="Q120" s="538" t="s">
        <v>79</v>
      </c>
      <c r="R120" s="538" t="s">
        <v>331</v>
      </c>
      <c r="S120" s="538" t="s">
        <v>79</v>
      </c>
      <c r="T120" s="538" t="s">
        <v>331</v>
      </c>
      <c r="U120" s="538" t="s">
        <v>79</v>
      </c>
      <c r="V120" s="538" t="s">
        <v>331</v>
      </c>
      <c r="W120" s="538" t="s">
        <v>79</v>
      </c>
      <c r="X120" s="538" t="s">
        <v>331</v>
      </c>
      <c r="Y120" s="538" t="s">
        <v>79</v>
      </c>
      <c r="Z120" s="538" t="s">
        <v>331</v>
      </c>
      <c r="AA120" s="538" t="s">
        <v>79</v>
      </c>
      <c r="AB120" s="538" t="s">
        <v>331</v>
      </c>
      <c r="AC120" s="538" t="s">
        <v>79</v>
      </c>
      <c r="AD120" s="538" t="s">
        <v>331</v>
      </c>
      <c r="AE120" s="538" t="s">
        <v>79</v>
      </c>
      <c r="AF120" s="538" t="s">
        <v>331</v>
      </c>
      <c r="AG120" s="538" t="s">
        <v>79</v>
      </c>
      <c r="AH120" s="538" t="s">
        <v>331</v>
      </c>
      <c r="AI120" s="538" t="s">
        <v>79</v>
      </c>
      <c r="AJ120" s="538" t="s">
        <v>331</v>
      </c>
      <c r="AK120" s="538" t="s">
        <v>79</v>
      </c>
      <c r="AL120" s="538" t="s">
        <v>331</v>
      </c>
      <c r="AM120" s="538" t="s">
        <v>79</v>
      </c>
      <c r="AN120" s="538" t="s">
        <v>331</v>
      </c>
      <c r="AO120" s="538" t="s">
        <v>79</v>
      </c>
      <c r="AP120" s="538" t="s">
        <v>331</v>
      </c>
      <c r="AQ120" s="538" t="s">
        <v>73</v>
      </c>
      <c r="AS120" s="538">
        <v>4.02018014E9</v>
      </c>
      <c r="AT120" s="538">
        <v>2.446409392E9</v>
      </c>
      <c r="AU120" s="538">
        <v>39.0</v>
      </c>
      <c r="AV120" s="538" t="s">
        <v>46</v>
      </c>
      <c r="AZ120" s="538">
        <v>1.0</v>
      </c>
      <c r="BA120" s="538">
        <v>1.0</v>
      </c>
      <c r="BB120" s="538">
        <v>1.0</v>
      </c>
      <c r="BE120" s="538">
        <v>0.35</v>
      </c>
      <c r="BF120" s="538">
        <v>0.1</v>
      </c>
      <c r="BG120" s="538">
        <v>0.2</v>
      </c>
      <c r="BJ120" s="546"/>
      <c r="BL120" s="546"/>
    </row>
    <row r="121" ht="22.5" customHeight="1">
      <c r="A121" s="538">
        <v>120.0</v>
      </c>
      <c r="B121" s="538" t="s">
        <v>1054</v>
      </c>
      <c r="C121" s="538" t="s">
        <v>82</v>
      </c>
      <c r="D121" s="538" t="s">
        <v>801</v>
      </c>
      <c r="E121" s="538" t="s">
        <v>268</v>
      </c>
      <c r="G121" s="538" t="s">
        <v>151</v>
      </c>
      <c r="H121" s="538" t="s">
        <v>250</v>
      </c>
      <c r="I121" s="538" t="s">
        <v>122</v>
      </c>
      <c r="K121" s="538" t="s">
        <v>1057</v>
      </c>
      <c r="L121" s="538" t="s">
        <v>1058</v>
      </c>
      <c r="M121" s="538" t="s">
        <v>673</v>
      </c>
      <c r="N121" s="538" t="s">
        <v>807</v>
      </c>
      <c r="O121" s="538" t="b">
        <v>0</v>
      </c>
      <c r="P121" s="538" t="b">
        <v>1</v>
      </c>
      <c r="Q121" s="538" t="s">
        <v>79</v>
      </c>
      <c r="R121" s="538" t="s">
        <v>268</v>
      </c>
      <c r="S121" s="538" t="s">
        <v>79</v>
      </c>
      <c r="T121" s="538" t="s">
        <v>268</v>
      </c>
      <c r="U121" s="538" t="s">
        <v>79</v>
      </c>
      <c r="V121" s="538" t="s">
        <v>268</v>
      </c>
      <c r="W121" s="538" t="s">
        <v>79</v>
      </c>
      <c r="X121" s="538" t="s">
        <v>268</v>
      </c>
      <c r="Y121" s="538" t="s">
        <v>79</v>
      </c>
      <c r="Z121" s="538" t="s">
        <v>268</v>
      </c>
      <c r="AA121" s="538" t="s">
        <v>79</v>
      </c>
      <c r="AB121" s="538" t="s">
        <v>268</v>
      </c>
      <c r="AC121" s="538" t="s">
        <v>79</v>
      </c>
      <c r="AD121" s="538" t="s">
        <v>268</v>
      </c>
      <c r="AE121" s="538" t="s">
        <v>79</v>
      </c>
      <c r="AF121" s="538" t="s">
        <v>268</v>
      </c>
      <c r="AG121" s="538" t="s">
        <v>79</v>
      </c>
      <c r="AH121" s="538" t="s">
        <v>268</v>
      </c>
      <c r="AI121" s="538" t="s">
        <v>79</v>
      </c>
      <c r="AJ121" s="538" t="s">
        <v>268</v>
      </c>
      <c r="AK121" s="538" t="s">
        <v>79</v>
      </c>
      <c r="AL121" s="538" t="s">
        <v>268</v>
      </c>
      <c r="AM121" s="538" t="s">
        <v>79</v>
      </c>
      <c r="AN121" s="538" t="s">
        <v>268</v>
      </c>
      <c r="AO121" s="538" t="s">
        <v>79</v>
      </c>
      <c r="AP121" s="538" t="s">
        <v>268</v>
      </c>
      <c r="AQ121" s="538" t="s">
        <v>73</v>
      </c>
      <c r="AS121" s="538">
        <v>3.267066178E9</v>
      </c>
      <c r="AT121" s="538">
        <v>2.446409392E9</v>
      </c>
      <c r="AU121" s="538">
        <v>39.0</v>
      </c>
      <c r="AV121" s="538" t="s">
        <v>46</v>
      </c>
      <c r="AZ121" s="538">
        <v>1.0</v>
      </c>
      <c r="BA121" s="538">
        <v>1.0</v>
      </c>
      <c r="BB121" s="538">
        <v>1.0</v>
      </c>
      <c r="BC121" s="538">
        <v>1.0</v>
      </c>
      <c r="BD121" s="538">
        <v>1.0</v>
      </c>
      <c r="BE121" s="538">
        <v>0.5</v>
      </c>
      <c r="BF121" s="538">
        <v>1.0</v>
      </c>
      <c r="BG121" s="538">
        <v>1.5</v>
      </c>
      <c r="BH121" s="538">
        <v>2.0</v>
      </c>
      <c r="BI121" s="538">
        <v>3.0</v>
      </c>
      <c r="BJ121" s="546"/>
      <c r="BL121" s="546"/>
    </row>
    <row r="122" ht="22.5" customHeight="1">
      <c r="A122" s="538">
        <v>121.0</v>
      </c>
      <c r="B122" s="538" t="s">
        <v>1059</v>
      </c>
      <c r="C122" s="538" t="s">
        <v>84</v>
      </c>
      <c r="D122" s="538" t="s">
        <v>1035</v>
      </c>
      <c r="E122" s="538" t="s">
        <v>346</v>
      </c>
      <c r="G122" s="538" t="s">
        <v>151</v>
      </c>
      <c r="H122" s="538" t="s">
        <v>235</v>
      </c>
      <c r="I122" s="538" t="s">
        <v>122</v>
      </c>
      <c r="K122" s="538" t="s">
        <v>1060</v>
      </c>
      <c r="L122" s="538" t="s">
        <v>1061</v>
      </c>
      <c r="M122" s="538" t="s">
        <v>661</v>
      </c>
      <c r="N122" s="538" t="s">
        <v>1062</v>
      </c>
      <c r="O122" s="538" t="b">
        <v>0</v>
      </c>
      <c r="P122" s="538" t="b">
        <v>1</v>
      </c>
      <c r="Q122" s="538" t="s">
        <v>73</v>
      </c>
      <c r="S122" s="538" t="s">
        <v>73</v>
      </c>
      <c r="U122" s="538" t="s">
        <v>73</v>
      </c>
      <c r="W122" s="538" t="s">
        <v>73</v>
      </c>
      <c r="Y122" s="538" t="s">
        <v>73</v>
      </c>
      <c r="AA122" s="538" t="s">
        <v>73</v>
      </c>
      <c r="AC122" s="538" t="s">
        <v>73</v>
      </c>
      <c r="AE122" s="538" t="s">
        <v>73</v>
      </c>
      <c r="AG122" s="538" t="s">
        <v>73</v>
      </c>
      <c r="AI122" s="538" t="s">
        <v>73</v>
      </c>
      <c r="AK122" s="538" t="s">
        <v>73</v>
      </c>
      <c r="AM122" s="538" t="s">
        <v>73</v>
      </c>
      <c r="AO122" s="538" t="s">
        <v>79</v>
      </c>
      <c r="AP122" s="538" t="s">
        <v>346</v>
      </c>
      <c r="AQ122" s="538" t="s">
        <v>79</v>
      </c>
      <c r="AR122" s="538" t="s">
        <v>346</v>
      </c>
      <c r="AS122" s="538">
        <v>1.892484976E9</v>
      </c>
      <c r="AT122" s="538">
        <v>1.143746577E9</v>
      </c>
      <c r="AU122" s="538">
        <v>40.0</v>
      </c>
      <c r="AV122" s="538" t="s">
        <v>45</v>
      </c>
      <c r="AZ122" s="538">
        <v>1.0</v>
      </c>
      <c r="BA122" s="538">
        <v>1.0</v>
      </c>
      <c r="BB122" s="538">
        <v>1.0</v>
      </c>
      <c r="BE122" s="538">
        <v>0.15</v>
      </c>
      <c r="BF122" s="538">
        <v>0.06</v>
      </c>
      <c r="BG122" s="538">
        <v>0.1</v>
      </c>
      <c r="BJ122" s="546"/>
      <c r="BL122" s="546"/>
    </row>
    <row r="123" ht="22.5" customHeight="1">
      <c r="A123" s="538">
        <v>122.0</v>
      </c>
      <c r="B123" s="538" t="s">
        <v>1059</v>
      </c>
      <c r="C123" s="538" t="s">
        <v>82</v>
      </c>
      <c r="D123" s="538" t="s">
        <v>1035</v>
      </c>
      <c r="E123" s="538" t="s">
        <v>223</v>
      </c>
      <c r="F123" s="538" t="s">
        <v>318</v>
      </c>
      <c r="G123" s="538" t="s">
        <v>239</v>
      </c>
      <c r="H123" s="538" t="s">
        <v>250</v>
      </c>
      <c r="I123" s="538" t="s">
        <v>176</v>
      </c>
      <c r="J123" s="538" t="s">
        <v>326</v>
      </c>
      <c r="K123" s="538" t="s">
        <v>1063</v>
      </c>
      <c r="L123" s="538" t="s">
        <v>1064</v>
      </c>
      <c r="M123" s="538" t="s">
        <v>673</v>
      </c>
      <c r="N123" s="538" t="s">
        <v>1065</v>
      </c>
      <c r="O123" s="538" t="b">
        <v>0</v>
      </c>
      <c r="P123" s="538" t="b">
        <v>1</v>
      </c>
      <c r="Q123" s="538" t="s">
        <v>75</v>
      </c>
      <c r="R123" s="538" t="s">
        <v>318</v>
      </c>
      <c r="S123" s="538" t="s">
        <v>75</v>
      </c>
      <c r="T123" s="538" t="s">
        <v>318</v>
      </c>
      <c r="U123" s="538" t="s">
        <v>75</v>
      </c>
      <c r="V123" s="538" t="s">
        <v>318</v>
      </c>
      <c r="W123" s="538" t="s">
        <v>75</v>
      </c>
      <c r="X123" s="538" t="s">
        <v>318</v>
      </c>
      <c r="Y123" s="538" t="s">
        <v>75</v>
      </c>
      <c r="Z123" s="538" t="s">
        <v>318</v>
      </c>
      <c r="AA123" s="538" t="s">
        <v>75</v>
      </c>
      <c r="AB123" s="538" t="s">
        <v>318</v>
      </c>
      <c r="AC123" s="538" t="s">
        <v>75</v>
      </c>
      <c r="AD123" s="538" t="s">
        <v>318</v>
      </c>
      <c r="AE123" s="538" t="s">
        <v>75</v>
      </c>
      <c r="AF123" s="538" t="s">
        <v>318</v>
      </c>
      <c r="AG123" s="538" t="s">
        <v>75</v>
      </c>
      <c r="AH123" s="538" t="s">
        <v>318</v>
      </c>
      <c r="AI123" s="538" t="s">
        <v>75</v>
      </c>
      <c r="AJ123" s="538" t="s">
        <v>318</v>
      </c>
      <c r="AK123" s="538" t="s">
        <v>75</v>
      </c>
      <c r="AL123" s="538" t="s">
        <v>318</v>
      </c>
      <c r="AM123" s="538" t="s">
        <v>75</v>
      </c>
      <c r="AN123" s="538" t="s">
        <v>318</v>
      </c>
      <c r="AO123" s="538" t="s">
        <v>79</v>
      </c>
      <c r="AP123" s="538" t="s">
        <v>223</v>
      </c>
      <c r="AQ123" s="538" t="s">
        <v>79</v>
      </c>
      <c r="AR123" s="538" t="s">
        <v>223</v>
      </c>
      <c r="AS123" s="538">
        <v>4.081666796E9</v>
      </c>
      <c r="AT123" s="538">
        <v>1.143746577E9</v>
      </c>
      <c r="AU123" s="538">
        <v>40.0</v>
      </c>
      <c r="AV123" s="538" t="s">
        <v>45</v>
      </c>
      <c r="AW123" s="538" t="s">
        <v>663</v>
      </c>
      <c r="AY123" s="538" t="s">
        <v>318</v>
      </c>
      <c r="AZ123" s="538">
        <v>1.0</v>
      </c>
      <c r="BA123" s="538">
        <v>1.0</v>
      </c>
      <c r="BB123" s="538">
        <v>1.0</v>
      </c>
      <c r="BC123" s="538">
        <v>1.0</v>
      </c>
      <c r="BD123" s="538">
        <v>1.0</v>
      </c>
      <c r="BE123" s="538">
        <v>0.3</v>
      </c>
      <c r="BF123" s="538">
        <v>0.4</v>
      </c>
      <c r="BG123" s="538">
        <v>0.8</v>
      </c>
      <c r="BH123" s="538">
        <v>1.6</v>
      </c>
      <c r="BI123" s="538">
        <v>3.0</v>
      </c>
      <c r="BJ123" s="546"/>
      <c r="BL123" s="546"/>
    </row>
    <row r="124" ht="22.5" customHeight="1">
      <c r="A124" s="538">
        <v>123.0</v>
      </c>
      <c r="B124" s="538" t="s">
        <v>1066</v>
      </c>
      <c r="C124" s="538" t="s">
        <v>84</v>
      </c>
      <c r="D124" s="538" t="s">
        <v>801</v>
      </c>
      <c r="E124" s="538" t="s">
        <v>331</v>
      </c>
      <c r="G124" s="538" t="s">
        <v>151</v>
      </c>
      <c r="H124" s="538" t="s">
        <v>250</v>
      </c>
      <c r="I124" s="538" t="s">
        <v>122</v>
      </c>
      <c r="J124" s="538" t="s">
        <v>412</v>
      </c>
      <c r="K124" s="538" t="s">
        <v>1067</v>
      </c>
      <c r="L124" s="538" t="s">
        <v>1068</v>
      </c>
      <c r="M124" s="538" t="s">
        <v>661</v>
      </c>
      <c r="N124" s="538" t="s">
        <v>719</v>
      </c>
      <c r="O124" s="538" t="b">
        <v>0</v>
      </c>
      <c r="P124" s="538" t="b">
        <v>1</v>
      </c>
      <c r="Q124" s="538" t="s">
        <v>79</v>
      </c>
      <c r="R124" s="538" t="s">
        <v>331</v>
      </c>
      <c r="S124" s="538" t="s">
        <v>79</v>
      </c>
      <c r="T124" s="538" t="s">
        <v>331</v>
      </c>
      <c r="U124" s="538" t="s">
        <v>79</v>
      </c>
      <c r="V124" s="538" t="s">
        <v>331</v>
      </c>
      <c r="W124" s="538" t="s">
        <v>79</v>
      </c>
      <c r="X124" s="538" t="s">
        <v>331</v>
      </c>
      <c r="Y124" s="538" t="s">
        <v>79</v>
      </c>
      <c r="Z124" s="538" t="s">
        <v>331</v>
      </c>
      <c r="AA124" s="538" t="s">
        <v>79</v>
      </c>
      <c r="AB124" s="538" t="s">
        <v>331</v>
      </c>
      <c r="AC124" s="538" t="s">
        <v>79</v>
      </c>
      <c r="AD124" s="538" t="s">
        <v>331</v>
      </c>
      <c r="AE124" s="538" t="s">
        <v>79</v>
      </c>
      <c r="AF124" s="538" t="s">
        <v>331</v>
      </c>
      <c r="AG124" s="538" t="s">
        <v>79</v>
      </c>
      <c r="AH124" s="538" t="s">
        <v>331</v>
      </c>
      <c r="AI124" s="538" t="s">
        <v>79</v>
      </c>
      <c r="AJ124" s="538" t="s">
        <v>331</v>
      </c>
      <c r="AK124" s="538" t="s">
        <v>79</v>
      </c>
      <c r="AL124" s="538" t="s">
        <v>331</v>
      </c>
      <c r="AM124" s="538" t="s">
        <v>79</v>
      </c>
      <c r="AN124" s="538" t="s">
        <v>331</v>
      </c>
      <c r="AO124" s="538" t="s">
        <v>79</v>
      </c>
      <c r="AP124" s="538" t="s">
        <v>331</v>
      </c>
      <c r="AQ124" s="538" t="s">
        <v>73</v>
      </c>
      <c r="AS124" s="538">
        <v>3.618813132E9</v>
      </c>
      <c r="AT124" s="538">
        <v>3.155462804E9</v>
      </c>
      <c r="AU124" s="538">
        <v>42.0</v>
      </c>
      <c r="AV124" s="538" t="s">
        <v>45</v>
      </c>
      <c r="AZ124" s="538">
        <v>1.0</v>
      </c>
      <c r="BA124" s="538">
        <v>1.0</v>
      </c>
      <c r="BB124" s="538">
        <v>1.0</v>
      </c>
      <c r="BE124" s="538">
        <v>0.1</v>
      </c>
      <c r="BF124" s="538">
        <v>0.1</v>
      </c>
      <c r="BG124" s="538">
        <v>0.2</v>
      </c>
      <c r="BJ124" s="546"/>
      <c r="BL124" s="546"/>
    </row>
    <row r="125" ht="22.5" customHeight="1">
      <c r="A125" s="538">
        <v>124.0</v>
      </c>
      <c r="B125" s="538" t="s">
        <v>1066</v>
      </c>
      <c r="C125" s="538" t="s">
        <v>82</v>
      </c>
      <c r="D125" s="538" t="s">
        <v>801</v>
      </c>
      <c r="E125" s="538" t="s">
        <v>331</v>
      </c>
      <c r="G125" s="538" t="s">
        <v>151</v>
      </c>
      <c r="H125" s="538" t="s">
        <v>250</v>
      </c>
      <c r="I125" s="538" t="s">
        <v>122</v>
      </c>
      <c r="J125" s="538" t="s">
        <v>415</v>
      </c>
      <c r="K125" s="538" t="s">
        <v>1069</v>
      </c>
      <c r="L125" s="538" t="s">
        <v>1070</v>
      </c>
      <c r="M125" s="538" t="s">
        <v>673</v>
      </c>
      <c r="N125" s="538" t="s">
        <v>1071</v>
      </c>
      <c r="O125" s="538" t="b">
        <v>0</v>
      </c>
      <c r="P125" s="538" t="b">
        <v>1</v>
      </c>
      <c r="Q125" s="538" t="s">
        <v>79</v>
      </c>
      <c r="R125" s="538" t="s">
        <v>331</v>
      </c>
      <c r="S125" s="538" t="s">
        <v>79</v>
      </c>
      <c r="T125" s="538" t="s">
        <v>331</v>
      </c>
      <c r="U125" s="538" t="s">
        <v>79</v>
      </c>
      <c r="V125" s="538" t="s">
        <v>331</v>
      </c>
      <c r="W125" s="538" t="s">
        <v>79</v>
      </c>
      <c r="X125" s="538" t="s">
        <v>331</v>
      </c>
      <c r="Y125" s="538" t="s">
        <v>79</v>
      </c>
      <c r="Z125" s="538" t="s">
        <v>331</v>
      </c>
      <c r="AA125" s="538" t="s">
        <v>79</v>
      </c>
      <c r="AB125" s="538" t="s">
        <v>331</v>
      </c>
      <c r="AC125" s="538" t="s">
        <v>79</v>
      </c>
      <c r="AD125" s="538" t="s">
        <v>331</v>
      </c>
      <c r="AE125" s="538" t="s">
        <v>79</v>
      </c>
      <c r="AF125" s="538" t="s">
        <v>331</v>
      </c>
      <c r="AG125" s="538" t="s">
        <v>79</v>
      </c>
      <c r="AH125" s="538" t="s">
        <v>331</v>
      </c>
      <c r="AI125" s="538" t="s">
        <v>79</v>
      </c>
      <c r="AJ125" s="538" t="s">
        <v>331</v>
      </c>
      <c r="AK125" s="538" t="s">
        <v>79</v>
      </c>
      <c r="AL125" s="538" t="s">
        <v>331</v>
      </c>
      <c r="AM125" s="538" t="s">
        <v>79</v>
      </c>
      <c r="AN125" s="538" t="s">
        <v>331</v>
      </c>
      <c r="AO125" s="538" t="s">
        <v>79</v>
      </c>
      <c r="AP125" s="538" t="s">
        <v>331</v>
      </c>
      <c r="AQ125" s="538" t="s">
        <v>73</v>
      </c>
      <c r="AS125" s="538">
        <v>2.208202896E9</v>
      </c>
      <c r="AT125" s="538">
        <v>3.155462804E9</v>
      </c>
      <c r="AU125" s="538">
        <v>42.0</v>
      </c>
      <c r="AV125" s="538" t="s">
        <v>45</v>
      </c>
      <c r="AZ125" s="538">
        <v>1.0</v>
      </c>
      <c r="BA125" s="538">
        <v>1.0</v>
      </c>
      <c r="BB125" s="538">
        <v>1.0</v>
      </c>
      <c r="BC125" s="538">
        <v>1.0</v>
      </c>
      <c r="BD125" s="538">
        <v>1.0</v>
      </c>
      <c r="BE125" s="538">
        <v>0.2</v>
      </c>
      <c r="BF125" s="538">
        <v>0.4</v>
      </c>
      <c r="BG125" s="538">
        <v>0.6</v>
      </c>
      <c r="BH125" s="538">
        <v>0.8</v>
      </c>
      <c r="BI125" s="538">
        <v>1.0</v>
      </c>
      <c r="BJ125" s="546"/>
      <c r="BL125" s="546"/>
    </row>
    <row r="126" ht="22.5" customHeight="1">
      <c r="A126" s="538">
        <v>125.0</v>
      </c>
      <c r="B126" s="538" t="s">
        <v>1072</v>
      </c>
      <c r="C126" s="538" t="s">
        <v>84</v>
      </c>
      <c r="D126" s="538" t="s">
        <v>963</v>
      </c>
      <c r="E126" s="538" t="s">
        <v>337</v>
      </c>
      <c r="F126" s="538" t="s">
        <v>374</v>
      </c>
      <c r="G126" s="538" t="s">
        <v>163</v>
      </c>
      <c r="H126" s="538" t="s">
        <v>235</v>
      </c>
      <c r="I126" s="538" t="s">
        <v>122</v>
      </c>
      <c r="J126" s="538" t="s">
        <v>305</v>
      </c>
      <c r="K126" s="538" t="s">
        <v>1073</v>
      </c>
      <c r="L126" s="538" t="s">
        <v>1074</v>
      </c>
      <c r="M126" s="538" t="s">
        <v>661</v>
      </c>
      <c r="N126" s="538" t="s">
        <v>1075</v>
      </c>
      <c r="O126" s="538" t="b">
        <v>0</v>
      </c>
      <c r="P126" s="538" t="b">
        <v>1</v>
      </c>
      <c r="Q126" s="538" t="s">
        <v>75</v>
      </c>
      <c r="R126" s="538" t="s">
        <v>679</v>
      </c>
      <c r="S126" s="538" t="s">
        <v>75</v>
      </c>
      <c r="T126" s="538" t="s">
        <v>679</v>
      </c>
      <c r="U126" s="538" t="s">
        <v>75</v>
      </c>
      <c r="V126" s="538" t="s">
        <v>679</v>
      </c>
      <c r="W126" s="538" t="s">
        <v>75</v>
      </c>
      <c r="X126" s="538" t="s">
        <v>679</v>
      </c>
      <c r="Y126" s="538" t="s">
        <v>75</v>
      </c>
      <c r="Z126" s="538" t="s">
        <v>679</v>
      </c>
      <c r="AA126" s="538" t="s">
        <v>75</v>
      </c>
      <c r="AB126" s="538" t="s">
        <v>679</v>
      </c>
      <c r="AC126" s="538" t="s">
        <v>75</v>
      </c>
      <c r="AD126" s="538" t="s">
        <v>679</v>
      </c>
      <c r="AE126" s="538" t="s">
        <v>75</v>
      </c>
      <c r="AF126" s="538" t="s">
        <v>679</v>
      </c>
      <c r="AG126" s="538" t="s">
        <v>75</v>
      </c>
      <c r="AH126" s="538" t="s">
        <v>679</v>
      </c>
      <c r="AI126" s="538" t="s">
        <v>75</v>
      </c>
      <c r="AJ126" s="538" t="s">
        <v>679</v>
      </c>
      <c r="AK126" s="538" t="s">
        <v>75</v>
      </c>
      <c r="AL126" s="538" t="s">
        <v>679</v>
      </c>
      <c r="AM126" s="538" t="s">
        <v>75</v>
      </c>
      <c r="AN126" s="538" t="s">
        <v>679</v>
      </c>
      <c r="AO126" s="538" t="s">
        <v>79</v>
      </c>
      <c r="AP126" s="538" t="s">
        <v>337</v>
      </c>
      <c r="AQ126" s="538" t="s">
        <v>79</v>
      </c>
      <c r="AR126" s="538" t="s">
        <v>337</v>
      </c>
      <c r="AS126" s="538">
        <v>1.56238802E8</v>
      </c>
      <c r="AT126" s="538">
        <v>3.29940464E8</v>
      </c>
      <c r="AU126" s="538">
        <v>90.0</v>
      </c>
      <c r="AV126" s="538" t="s">
        <v>47</v>
      </c>
      <c r="AY126" s="538" t="s">
        <v>679</v>
      </c>
      <c r="AZ126" s="538">
        <v>1.0</v>
      </c>
      <c r="BA126" s="538">
        <v>1.0</v>
      </c>
      <c r="BB126" s="538">
        <v>1.0</v>
      </c>
      <c r="BE126" s="538">
        <v>0.4</v>
      </c>
      <c r="BF126" s="538">
        <v>0.4</v>
      </c>
      <c r="BG126" s="538">
        <v>0.8</v>
      </c>
      <c r="BJ126" s="546"/>
      <c r="BL126" s="546"/>
    </row>
    <row r="127" ht="22.5" customHeight="1">
      <c r="A127" s="538">
        <v>126.0</v>
      </c>
      <c r="B127" s="538" t="s">
        <v>1072</v>
      </c>
      <c r="C127" s="538" t="s">
        <v>82</v>
      </c>
      <c r="D127" s="538" t="s">
        <v>963</v>
      </c>
      <c r="E127" s="538" t="s">
        <v>286</v>
      </c>
      <c r="G127" s="538" t="s">
        <v>151</v>
      </c>
      <c r="H127" s="538" t="s">
        <v>250</v>
      </c>
      <c r="I127" s="538" t="s">
        <v>122</v>
      </c>
      <c r="K127" s="538" t="s">
        <v>1076</v>
      </c>
      <c r="L127" s="538" t="s">
        <v>1077</v>
      </c>
      <c r="M127" s="538" t="s">
        <v>673</v>
      </c>
      <c r="N127" s="538" t="s">
        <v>781</v>
      </c>
      <c r="O127" s="538" t="b">
        <v>0</v>
      </c>
      <c r="P127" s="538" t="b">
        <v>1</v>
      </c>
      <c r="Q127" s="538" t="s">
        <v>79</v>
      </c>
      <c r="R127" s="538" t="s">
        <v>286</v>
      </c>
      <c r="S127" s="538" t="s">
        <v>79</v>
      </c>
      <c r="T127" s="538" t="s">
        <v>286</v>
      </c>
      <c r="U127" s="538" t="s">
        <v>79</v>
      </c>
      <c r="V127" s="538" t="s">
        <v>286</v>
      </c>
      <c r="W127" s="538" t="s">
        <v>79</v>
      </c>
      <c r="X127" s="538" t="s">
        <v>286</v>
      </c>
      <c r="Y127" s="538" t="s">
        <v>79</v>
      </c>
      <c r="Z127" s="538" t="s">
        <v>286</v>
      </c>
      <c r="AA127" s="538" t="s">
        <v>79</v>
      </c>
      <c r="AB127" s="538" t="s">
        <v>286</v>
      </c>
      <c r="AC127" s="538" t="s">
        <v>79</v>
      </c>
      <c r="AD127" s="538" t="s">
        <v>286</v>
      </c>
      <c r="AE127" s="538" t="s">
        <v>79</v>
      </c>
      <c r="AF127" s="538" t="s">
        <v>286</v>
      </c>
      <c r="AG127" s="538" t="s">
        <v>79</v>
      </c>
      <c r="AH127" s="538" t="s">
        <v>286</v>
      </c>
      <c r="AI127" s="538" t="s">
        <v>79</v>
      </c>
      <c r="AJ127" s="538" t="s">
        <v>286</v>
      </c>
      <c r="AK127" s="538" t="s">
        <v>79</v>
      </c>
      <c r="AL127" s="538" t="s">
        <v>286</v>
      </c>
      <c r="AM127" s="538" t="s">
        <v>79</v>
      </c>
      <c r="AN127" s="538" t="s">
        <v>286</v>
      </c>
      <c r="AO127" s="538" t="s">
        <v>79</v>
      </c>
      <c r="AP127" s="538" t="s">
        <v>286</v>
      </c>
      <c r="AQ127" s="538" t="s">
        <v>73</v>
      </c>
      <c r="AS127" s="538">
        <v>2.383265567E9</v>
      </c>
      <c r="AT127" s="538">
        <v>3.29940464E8</v>
      </c>
      <c r="AU127" s="538">
        <v>90.0</v>
      </c>
      <c r="AV127" s="538" t="s">
        <v>47</v>
      </c>
      <c r="AZ127" s="538">
        <v>1.0</v>
      </c>
      <c r="BA127" s="538">
        <v>1.0</v>
      </c>
      <c r="BB127" s="538">
        <v>1.0</v>
      </c>
      <c r="BC127" s="538">
        <v>1.0</v>
      </c>
      <c r="BD127" s="538">
        <v>1.0</v>
      </c>
      <c r="BE127" s="538">
        <v>0.2</v>
      </c>
      <c r="BF127" s="538">
        <v>0.3</v>
      </c>
      <c r="BG127" s="538">
        <v>0.4</v>
      </c>
      <c r="BH127" s="538">
        <v>0.5</v>
      </c>
      <c r="BI127" s="538">
        <v>0.6</v>
      </c>
      <c r="BJ127" s="546"/>
      <c r="BL127" s="546"/>
    </row>
    <row r="128" ht="22.5" customHeight="1">
      <c r="A128" s="538">
        <v>127.0</v>
      </c>
      <c r="B128" s="538" t="s">
        <v>1078</v>
      </c>
      <c r="C128" s="538" t="s">
        <v>84</v>
      </c>
      <c r="D128" s="538" t="s">
        <v>963</v>
      </c>
      <c r="E128" s="538" t="s">
        <v>366</v>
      </c>
      <c r="G128" s="538" t="s">
        <v>195</v>
      </c>
      <c r="H128" s="538" t="s">
        <v>250</v>
      </c>
      <c r="I128" s="538" t="s">
        <v>122</v>
      </c>
      <c r="K128" s="538" t="s">
        <v>1079</v>
      </c>
      <c r="L128" s="538" t="s">
        <v>1080</v>
      </c>
      <c r="M128" s="538" t="s">
        <v>661</v>
      </c>
      <c r="N128" s="538" t="s">
        <v>662</v>
      </c>
      <c r="O128" s="538" t="b">
        <v>0</v>
      </c>
      <c r="P128" s="538" t="b">
        <v>1</v>
      </c>
      <c r="Q128" s="538" t="s">
        <v>73</v>
      </c>
      <c r="S128" s="538" t="s">
        <v>73</v>
      </c>
      <c r="U128" s="538" t="s">
        <v>73</v>
      </c>
      <c r="W128" s="538" t="s">
        <v>73</v>
      </c>
      <c r="Y128" s="538" t="s">
        <v>73</v>
      </c>
      <c r="AA128" s="538" t="s">
        <v>73</v>
      </c>
      <c r="AC128" s="538" t="s">
        <v>73</v>
      </c>
      <c r="AE128" s="538" t="s">
        <v>73</v>
      </c>
      <c r="AG128" s="538" t="s">
        <v>73</v>
      </c>
      <c r="AI128" s="538" t="s">
        <v>73</v>
      </c>
      <c r="AK128" s="538" t="s">
        <v>73</v>
      </c>
      <c r="AM128" s="538" t="s">
        <v>73</v>
      </c>
      <c r="AO128" s="538" t="s">
        <v>79</v>
      </c>
      <c r="AP128" s="538" t="s">
        <v>366</v>
      </c>
      <c r="AQ128" s="538" t="s">
        <v>79</v>
      </c>
      <c r="AR128" s="538" t="s">
        <v>366</v>
      </c>
      <c r="AS128" s="538">
        <v>1.0760547E7</v>
      </c>
      <c r="AT128" s="538">
        <v>3.990993357E9</v>
      </c>
      <c r="AU128" s="538">
        <v>44.0</v>
      </c>
      <c r="AV128" s="538" t="s">
        <v>46</v>
      </c>
      <c r="AZ128" s="538">
        <v>1.0</v>
      </c>
      <c r="BA128" s="538">
        <v>1.0</v>
      </c>
      <c r="BB128" s="538">
        <v>1.0</v>
      </c>
      <c r="BE128" s="538">
        <v>0.4</v>
      </c>
      <c r="BF128" s="538">
        <v>0.1</v>
      </c>
      <c r="BG128" s="538">
        <v>0.2</v>
      </c>
      <c r="BJ128" s="546"/>
      <c r="BL128" s="546"/>
    </row>
    <row r="129" ht="22.5" customHeight="1">
      <c r="A129" s="538">
        <v>128.0</v>
      </c>
      <c r="B129" s="538" t="s">
        <v>1078</v>
      </c>
      <c r="C129" s="538" t="s">
        <v>82</v>
      </c>
      <c r="D129" s="538" t="s">
        <v>963</v>
      </c>
      <c r="E129" s="538" t="s">
        <v>231</v>
      </c>
      <c r="F129" s="538" t="s">
        <v>1081</v>
      </c>
      <c r="G129" s="538" t="s">
        <v>163</v>
      </c>
      <c r="H129" s="538" t="s">
        <v>222</v>
      </c>
      <c r="I129" s="538" t="s">
        <v>189</v>
      </c>
      <c r="J129" s="538" t="s">
        <v>305</v>
      </c>
      <c r="K129" s="538" t="s">
        <v>1082</v>
      </c>
      <c r="L129" s="538" t="s">
        <v>1083</v>
      </c>
      <c r="M129" s="538" t="s">
        <v>673</v>
      </c>
      <c r="N129" s="538" t="s">
        <v>940</v>
      </c>
      <c r="O129" s="538" t="b">
        <v>0</v>
      </c>
      <c r="P129" s="538" t="b">
        <v>1</v>
      </c>
      <c r="Q129" s="538" t="s">
        <v>79</v>
      </c>
      <c r="R129" s="538" t="s">
        <v>228</v>
      </c>
      <c r="S129" s="538" t="s">
        <v>79</v>
      </c>
      <c r="T129" s="538" t="s">
        <v>228</v>
      </c>
      <c r="U129" s="538" t="s">
        <v>75</v>
      </c>
      <c r="V129" s="538" t="s">
        <v>679</v>
      </c>
      <c r="W129" s="538" t="s">
        <v>75</v>
      </c>
      <c r="X129" s="538" t="s">
        <v>679</v>
      </c>
      <c r="Y129" s="538" t="s">
        <v>79</v>
      </c>
      <c r="Z129" s="538" t="s">
        <v>228</v>
      </c>
      <c r="AA129" s="538" t="s">
        <v>75</v>
      </c>
      <c r="AB129" s="538" t="s">
        <v>679</v>
      </c>
      <c r="AC129" s="538" t="s">
        <v>79</v>
      </c>
      <c r="AD129" s="538" t="s">
        <v>377</v>
      </c>
      <c r="AE129" s="538" t="s">
        <v>79</v>
      </c>
      <c r="AF129" s="538" t="s">
        <v>377</v>
      </c>
      <c r="AG129" s="538" t="s">
        <v>79</v>
      </c>
      <c r="AH129" s="538" t="s">
        <v>228</v>
      </c>
      <c r="AI129" s="538" t="s">
        <v>79</v>
      </c>
      <c r="AJ129" s="538" t="s">
        <v>377</v>
      </c>
      <c r="AK129" s="538" t="s">
        <v>79</v>
      </c>
      <c r="AL129" s="538" t="s">
        <v>228</v>
      </c>
      <c r="AM129" s="538" t="s">
        <v>79</v>
      </c>
      <c r="AN129" s="538" t="s">
        <v>228</v>
      </c>
      <c r="AO129" s="538" t="s">
        <v>79</v>
      </c>
      <c r="AP129" s="538" t="s">
        <v>231</v>
      </c>
      <c r="AQ129" s="538" t="s">
        <v>79</v>
      </c>
      <c r="AR129" s="538" t="s">
        <v>231</v>
      </c>
      <c r="AS129" s="538">
        <v>1.471408949E9</v>
      </c>
      <c r="AT129" s="538">
        <v>3.990993357E9</v>
      </c>
      <c r="AU129" s="538">
        <v>44.0</v>
      </c>
      <c r="AV129" s="538" t="s">
        <v>46</v>
      </c>
      <c r="AY129" s="538" t="s">
        <v>679</v>
      </c>
      <c r="AZ129" s="538">
        <v>1.0</v>
      </c>
      <c r="BA129" s="538">
        <v>1.0</v>
      </c>
      <c r="BB129" s="538">
        <v>1.0</v>
      </c>
      <c r="BC129" s="538">
        <v>1.0</v>
      </c>
      <c r="BD129" s="538">
        <v>1.0</v>
      </c>
      <c r="BE129" s="538">
        <v>0.3</v>
      </c>
      <c r="BF129" s="538">
        <v>0.4</v>
      </c>
      <c r="BG129" s="538">
        <v>0.5</v>
      </c>
      <c r="BH129" s="538">
        <v>0.6</v>
      </c>
      <c r="BI129" s="538">
        <v>0.7</v>
      </c>
      <c r="BJ129" s="546"/>
      <c r="BL129" s="546"/>
    </row>
    <row r="130" ht="22.5" customHeight="1">
      <c r="A130" s="538">
        <v>129.0</v>
      </c>
      <c r="B130" s="538" t="s">
        <v>1084</v>
      </c>
      <c r="C130" s="538" t="s">
        <v>84</v>
      </c>
      <c r="D130" s="538" t="s">
        <v>963</v>
      </c>
      <c r="E130" s="538" t="s">
        <v>223</v>
      </c>
      <c r="F130" s="538" t="s">
        <v>276</v>
      </c>
      <c r="G130" s="538" t="s">
        <v>239</v>
      </c>
      <c r="H130" s="538" t="s">
        <v>250</v>
      </c>
      <c r="I130" s="538" t="s">
        <v>122</v>
      </c>
      <c r="J130" s="538" t="s">
        <v>335</v>
      </c>
      <c r="K130" s="538" t="s">
        <v>1085</v>
      </c>
      <c r="L130" s="538" t="s">
        <v>1086</v>
      </c>
      <c r="M130" s="538" t="s">
        <v>661</v>
      </c>
      <c r="N130" s="538" t="s">
        <v>912</v>
      </c>
      <c r="O130" s="538" t="b">
        <v>0</v>
      </c>
      <c r="P130" s="538" t="b">
        <v>1</v>
      </c>
      <c r="Q130" s="538" t="s">
        <v>75</v>
      </c>
      <c r="R130" s="538" t="s">
        <v>276</v>
      </c>
      <c r="S130" s="538" t="s">
        <v>75</v>
      </c>
      <c r="T130" s="538" t="s">
        <v>276</v>
      </c>
      <c r="U130" s="538" t="s">
        <v>75</v>
      </c>
      <c r="V130" s="538" t="s">
        <v>276</v>
      </c>
      <c r="W130" s="538" t="s">
        <v>75</v>
      </c>
      <c r="X130" s="538" t="s">
        <v>276</v>
      </c>
      <c r="Y130" s="538" t="s">
        <v>75</v>
      </c>
      <c r="Z130" s="538" t="s">
        <v>276</v>
      </c>
      <c r="AA130" s="538" t="s">
        <v>75</v>
      </c>
      <c r="AB130" s="538" t="s">
        <v>276</v>
      </c>
      <c r="AC130" s="538" t="s">
        <v>75</v>
      </c>
      <c r="AD130" s="538" t="s">
        <v>276</v>
      </c>
      <c r="AE130" s="538" t="s">
        <v>75</v>
      </c>
      <c r="AF130" s="538" t="s">
        <v>276</v>
      </c>
      <c r="AG130" s="538" t="s">
        <v>75</v>
      </c>
      <c r="AH130" s="538" t="s">
        <v>276</v>
      </c>
      <c r="AI130" s="538" t="s">
        <v>75</v>
      </c>
      <c r="AJ130" s="538" t="s">
        <v>276</v>
      </c>
      <c r="AK130" s="538" t="s">
        <v>75</v>
      </c>
      <c r="AL130" s="538" t="s">
        <v>276</v>
      </c>
      <c r="AM130" s="538" t="s">
        <v>75</v>
      </c>
      <c r="AN130" s="538" t="s">
        <v>276</v>
      </c>
      <c r="AO130" s="538" t="s">
        <v>79</v>
      </c>
      <c r="AP130" s="538" t="s">
        <v>223</v>
      </c>
      <c r="AQ130" s="538" t="s">
        <v>79</v>
      </c>
      <c r="AR130" s="538" t="s">
        <v>223</v>
      </c>
      <c r="AS130" s="538">
        <v>1.815450665E9</v>
      </c>
      <c r="AT130" s="538">
        <v>3.628828668E9</v>
      </c>
      <c r="AU130" s="538">
        <v>45.0</v>
      </c>
      <c r="AV130" s="538" t="s">
        <v>45</v>
      </c>
      <c r="AY130" s="538" t="s">
        <v>276</v>
      </c>
      <c r="AZ130" s="538">
        <v>1.0</v>
      </c>
      <c r="BA130" s="538">
        <v>1.0</v>
      </c>
      <c r="BB130" s="538">
        <v>1.0</v>
      </c>
      <c r="BE130" s="538">
        <v>0.2</v>
      </c>
      <c r="BF130" s="538">
        <v>0.1</v>
      </c>
      <c r="BG130" s="538">
        <v>0.2</v>
      </c>
      <c r="BJ130" s="546"/>
      <c r="BL130" s="546"/>
    </row>
    <row r="131" ht="22.5" customHeight="1">
      <c r="A131" s="538">
        <v>130.0</v>
      </c>
      <c r="B131" s="538" t="s">
        <v>1084</v>
      </c>
      <c r="C131" s="538" t="s">
        <v>82</v>
      </c>
      <c r="D131" s="538" t="s">
        <v>963</v>
      </c>
      <c r="E131" s="538" t="s">
        <v>286</v>
      </c>
      <c r="F131" s="538" t="s">
        <v>309</v>
      </c>
      <c r="G131" s="538" t="s">
        <v>151</v>
      </c>
      <c r="H131" s="538" t="s">
        <v>250</v>
      </c>
      <c r="I131" s="538" t="s">
        <v>122</v>
      </c>
      <c r="K131" s="538" t="s">
        <v>1087</v>
      </c>
      <c r="L131" s="538" t="s">
        <v>1088</v>
      </c>
      <c r="M131" s="538" t="s">
        <v>673</v>
      </c>
      <c r="N131" s="538" t="s">
        <v>781</v>
      </c>
      <c r="O131" s="538" t="b">
        <v>0</v>
      </c>
      <c r="P131" s="538" t="b">
        <v>1</v>
      </c>
      <c r="Q131" s="538" t="s">
        <v>79</v>
      </c>
      <c r="R131" s="538" t="s">
        <v>286</v>
      </c>
      <c r="S131" s="538" t="s">
        <v>79</v>
      </c>
      <c r="T131" s="538" t="s">
        <v>286</v>
      </c>
      <c r="U131" s="538" t="s">
        <v>79</v>
      </c>
      <c r="V131" s="538" t="s">
        <v>286</v>
      </c>
      <c r="W131" s="538" t="s">
        <v>79</v>
      </c>
      <c r="X131" s="538" t="s">
        <v>286</v>
      </c>
      <c r="Y131" s="538" t="s">
        <v>79</v>
      </c>
      <c r="Z131" s="538" t="s">
        <v>286</v>
      </c>
      <c r="AA131" s="538" t="s">
        <v>79</v>
      </c>
      <c r="AB131" s="538" t="s">
        <v>286</v>
      </c>
      <c r="AC131" s="538" t="s">
        <v>79</v>
      </c>
      <c r="AD131" s="538" t="s">
        <v>286</v>
      </c>
      <c r="AE131" s="538" t="s">
        <v>79</v>
      </c>
      <c r="AF131" s="538" t="s">
        <v>286</v>
      </c>
      <c r="AG131" s="538" t="s">
        <v>79</v>
      </c>
      <c r="AH131" s="538" t="s">
        <v>286</v>
      </c>
      <c r="AI131" s="538" t="s">
        <v>79</v>
      </c>
      <c r="AJ131" s="538" t="s">
        <v>286</v>
      </c>
      <c r="AK131" s="538" t="s">
        <v>79</v>
      </c>
      <c r="AL131" s="538" t="s">
        <v>286</v>
      </c>
      <c r="AM131" s="538" t="s">
        <v>79</v>
      </c>
      <c r="AN131" s="538" t="s">
        <v>286</v>
      </c>
      <c r="AO131" s="538" t="s">
        <v>79</v>
      </c>
      <c r="AP131" s="538" t="s">
        <v>286</v>
      </c>
      <c r="AQ131" s="538" t="s">
        <v>73</v>
      </c>
      <c r="AS131" s="538">
        <v>4.056050786E9</v>
      </c>
      <c r="AT131" s="538">
        <v>3.628828668E9</v>
      </c>
      <c r="AU131" s="538">
        <v>45.0</v>
      </c>
      <c r="AV131" s="538" t="s">
        <v>45</v>
      </c>
      <c r="AZ131" s="538">
        <v>1.0</v>
      </c>
      <c r="BA131" s="538">
        <v>1.0</v>
      </c>
      <c r="BB131" s="538">
        <v>1.0</v>
      </c>
      <c r="BC131" s="538">
        <v>1.0</v>
      </c>
      <c r="BD131" s="538">
        <v>1.0</v>
      </c>
      <c r="BE131" s="538">
        <v>0.2</v>
      </c>
      <c r="BF131" s="538">
        <v>0.3</v>
      </c>
      <c r="BG131" s="538">
        <v>0.4</v>
      </c>
      <c r="BH131" s="538">
        <v>0.5</v>
      </c>
      <c r="BI131" s="538">
        <v>0.6</v>
      </c>
      <c r="BJ131" s="546"/>
      <c r="BL131" s="546"/>
    </row>
    <row r="132" ht="22.5" customHeight="1">
      <c r="A132" s="538">
        <v>131.0</v>
      </c>
      <c r="B132" s="538" t="s">
        <v>1089</v>
      </c>
      <c r="C132" s="538" t="s">
        <v>84</v>
      </c>
      <c r="D132" s="538" t="s">
        <v>963</v>
      </c>
      <c r="E132" s="538" t="s">
        <v>400</v>
      </c>
      <c r="G132" s="538" t="s">
        <v>151</v>
      </c>
      <c r="H132" s="538" t="s">
        <v>250</v>
      </c>
      <c r="I132" s="538" t="s">
        <v>122</v>
      </c>
      <c r="K132" s="538" t="s">
        <v>1090</v>
      </c>
      <c r="L132" s="538" t="s">
        <v>1091</v>
      </c>
      <c r="M132" s="538" t="s">
        <v>661</v>
      </c>
      <c r="N132" s="538" t="s">
        <v>1092</v>
      </c>
      <c r="O132" s="538" t="b">
        <v>0</v>
      </c>
      <c r="P132" s="538" t="b">
        <v>1</v>
      </c>
      <c r="Q132" s="538" t="s">
        <v>79</v>
      </c>
      <c r="R132" s="538" t="s">
        <v>400</v>
      </c>
      <c r="S132" s="538" t="s">
        <v>79</v>
      </c>
      <c r="T132" s="538" t="s">
        <v>400</v>
      </c>
      <c r="U132" s="538" t="s">
        <v>79</v>
      </c>
      <c r="V132" s="538" t="s">
        <v>400</v>
      </c>
      <c r="W132" s="538" t="s">
        <v>79</v>
      </c>
      <c r="X132" s="538" t="s">
        <v>400</v>
      </c>
      <c r="Y132" s="538" t="s">
        <v>79</v>
      </c>
      <c r="Z132" s="538" t="s">
        <v>400</v>
      </c>
      <c r="AA132" s="538" t="s">
        <v>79</v>
      </c>
      <c r="AB132" s="538" t="s">
        <v>400</v>
      </c>
      <c r="AC132" s="538" t="s">
        <v>79</v>
      </c>
      <c r="AD132" s="538" t="s">
        <v>400</v>
      </c>
      <c r="AE132" s="538" t="s">
        <v>79</v>
      </c>
      <c r="AF132" s="538" t="s">
        <v>400</v>
      </c>
      <c r="AG132" s="538" t="s">
        <v>79</v>
      </c>
      <c r="AH132" s="538" t="s">
        <v>400</v>
      </c>
      <c r="AI132" s="538" t="s">
        <v>79</v>
      </c>
      <c r="AJ132" s="538" t="s">
        <v>400</v>
      </c>
      <c r="AK132" s="538" t="s">
        <v>79</v>
      </c>
      <c r="AL132" s="538" t="s">
        <v>400</v>
      </c>
      <c r="AM132" s="538" t="s">
        <v>79</v>
      </c>
      <c r="AN132" s="538" t="s">
        <v>400</v>
      </c>
      <c r="AO132" s="538" t="s">
        <v>79</v>
      </c>
      <c r="AP132" s="538" t="s">
        <v>400</v>
      </c>
      <c r="AQ132" s="538" t="s">
        <v>73</v>
      </c>
      <c r="AS132" s="538">
        <v>5.11272321E8</v>
      </c>
      <c r="AT132" s="538">
        <v>3.314108979E9</v>
      </c>
      <c r="AU132" s="538">
        <v>48.0</v>
      </c>
      <c r="AV132" s="538" t="s">
        <v>41</v>
      </c>
      <c r="AZ132" s="538">
        <v>1.0</v>
      </c>
      <c r="BA132" s="538">
        <v>1.0</v>
      </c>
      <c r="BB132" s="538">
        <v>1.0</v>
      </c>
      <c r="BE132" s="538">
        <v>0.15</v>
      </c>
      <c r="BF132" s="538">
        <v>0.1</v>
      </c>
      <c r="BG132" s="538">
        <v>0.15</v>
      </c>
      <c r="BJ132" s="546"/>
      <c r="BL132" s="546"/>
    </row>
    <row r="133" ht="22.5" customHeight="1">
      <c r="A133" s="538">
        <v>132.0</v>
      </c>
      <c r="B133" s="538" t="s">
        <v>1089</v>
      </c>
      <c r="C133" s="538" t="s">
        <v>82</v>
      </c>
      <c r="D133" s="538" t="s">
        <v>963</v>
      </c>
      <c r="E133" s="538" t="s">
        <v>286</v>
      </c>
      <c r="F133" s="538" t="s">
        <v>354</v>
      </c>
      <c r="G133" s="538" t="s">
        <v>151</v>
      </c>
      <c r="H133" s="538" t="s">
        <v>250</v>
      </c>
      <c r="I133" s="538" t="s">
        <v>122</v>
      </c>
      <c r="K133" s="538" t="s">
        <v>1093</v>
      </c>
      <c r="L133" s="538" t="s">
        <v>1094</v>
      </c>
      <c r="M133" s="538" t="s">
        <v>673</v>
      </c>
      <c r="N133" s="538" t="s">
        <v>781</v>
      </c>
      <c r="O133" s="538" t="b">
        <v>0</v>
      </c>
      <c r="P133" s="538" t="b">
        <v>1</v>
      </c>
      <c r="Q133" s="538" t="s">
        <v>79</v>
      </c>
      <c r="R133" s="538" t="s">
        <v>286</v>
      </c>
      <c r="S133" s="538" t="s">
        <v>79</v>
      </c>
      <c r="T133" s="538" t="s">
        <v>286</v>
      </c>
      <c r="U133" s="538" t="s">
        <v>79</v>
      </c>
      <c r="V133" s="538" t="s">
        <v>286</v>
      </c>
      <c r="W133" s="538" t="s">
        <v>79</v>
      </c>
      <c r="X133" s="538" t="s">
        <v>286</v>
      </c>
      <c r="Y133" s="538" t="s">
        <v>79</v>
      </c>
      <c r="Z133" s="538" t="s">
        <v>286</v>
      </c>
      <c r="AA133" s="538" t="s">
        <v>79</v>
      </c>
      <c r="AB133" s="538" t="s">
        <v>286</v>
      </c>
      <c r="AC133" s="538" t="s">
        <v>79</v>
      </c>
      <c r="AD133" s="538" t="s">
        <v>286</v>
      </c>
      <c r="AE133" s="538" t="s">
        <v>79</v>
      </c>
      <c r="AF133" s="538" t="s">
        <v>286</v>
      </c>
      <c r="AG133" s="538" t="s">
        <v>79</v>
      </c>
      <c r="AH133" s="538" t="s">
        <v>286</v>
      </c>
      <c r="AI133" s="538" t="s">
        <v>79</v>
      </c>
      <c r="AJ133" s="538" t="s">
        <v>286</v>
      </c>
      <c r="AK133" s="538" t="s">
        <v>79</v>
      </c>
      <c r="AL133" s="538" t="s">
        <v>286</v>
      </c>
      <c r="AM133" s="538" t="s">
        <v>79</v>
      </c>
      <c r="AN133" s="538" t="s">
        <v>286</v>
      </c>
      <c r="AO133" s="538" t="s">
        <v>79</v>
      </c>
      <c r="AP133" s="538" t="s">
        <v>286</v>
      </c>
      <c r="AQ133" s="538" t="s">
        <v>73</v>
      </c>
      <c r="AS133" s="538">
        <v>2.331408146E9</v>
      </c>
      <c r="AT133" s="538">
        <v>3.314108979E9</v>
      </c>
      <c r="AU133" s="538">
        <v>48.0</v>
      </c>
      <c r="AV133" s="538" t="s">
        <v>41</v>
      </c>
      <c r="AZ133" s="538">
        <v>1.0</v>
      </c>
      <c r="BA133" s="538">
        <v>1.0</v>
      </c>
      <c r="BB133" s="538">
        <v>1.0</v>
      </c>
      <c r="BC133" s="538">
        <v>1.0</v>
      </c>
      <c r="BD133" s="538">
        <v>1.0</v>
      </c>
      <c r="BE133" s="538">
        <v>0.2</v>
      </c>
      <c r="BF133" s="538">
        <v>0.3</v>
      </c>
      <c r="BG133" s="538">
        <v>0.4</v>
      </c>
      <c r="BH133" s="538">
        <v>0.5</v>
      </c>
      <c r="BI133" s="538">
        <v>0.6</v>
      </c>
      <c r="BJ133" s="546"/>
      <c r="BL133" s="546"/>
    </row>
    <row r="134" ht="22.5" customHeight="1">
      <c r="A134" s="538">
        <v>133.0</v>
      </c>
      <c r="B134" s="538" t="s">
        <v>1095</v>
      </c>
      <c r="C134" s="538" t="s">
        <v>84</v>
      </c>
      <c r="D134" s="538" t="s">
        <v>888</v>
      </c>
      <c r="E134" s="538" t="s">
        <v>218</v>
      </c>
      <c r="F134" s="538" t="s">
        <v>964</v>
      </c>
      <c r="G134" s="538" t="s">
        <v>163</v>
      </c>
      <c r="H134" s="538" t="s">
        <v>222</v>
      </c>
      <c r="I134" s="538" t="s">
        <v>189</v>
      </c>
      <c r="K134" s="538" t="s">
        <v>1096</v>
      </c>
      <c r="L134" s="538" t="s">
        <v>1097</v>
      </c>
      <c r="M134" s="538" t="s">
        <v>661</v>
      </c>
      <c r="N134" s="538" t="s">
        <v>1098</v>
      </c>
      <c r="O134" s="538" t="b">
        <v>0</v>
      </c>
      <c r="P134" s="538" t="b">
        <v>1</v>
      </c>
      <c r="Q134" s="538" t="s">
        <v>73</v>
      </c>
      <c r="S134" s="538" t="s">
        <v>73</v>
      </c>
      <c r="U134" s="538" t="s">
        <v>79</v>
      </c>
      <c r="V134" s="538" t="s">
        <v>964</v>
      </c>
      <c r="W134" s="538" t="s">
        <v>79</v>
      </c>
      <c r="X134" s="538" t="s">
        <v>964</v>
      </c>
      <c r="Y134" s="538" t="s">
        <v>79</v>
      </c>
      <c r="Z134" s="538" t="s">
        <v>964</v>
      </c>
      <c r="AA134" s="538" t="s">
        <v>79</v>
      </c>
      <c r="AB134" s="538" t="s">
        <v>964</v>
      </c>
      <c r="AC134" s="538" t="s">
        <v>79</v>
      </c>
      <c r="AD134" s="538" t="s">
        <v>964</v>
      </c>
      <c r="AE134" s="538" t="s">
        <v>79</v>
      </c>
      <c r="AF134" s="538" t="s">
        <v>964</v>
      </c>
      <c r="AG134" s="538" t="s">
        <v>79</v>
      </c>
      <c r="AH134" s="538" t="s">
        <v>964</v>
      </c>
      <c r="AI134" s="538" t="s">
        <v>79</v>
      </c>
      <c r="AJ134" s="538" t="s">
        <v>964</v>
      </c>
      <c r="AK134" s="538" t="s">
        <v>79</v>
      </c>
      <c r="AL134" s="538" t="s">
        <v>964</v>
      </c>
      <c r="AM134" s="538" t="s">
        <v>79</v>
      </c>
      <c r="AN134" s="538" t="s">
        <v>964</v>
      </c>
      <c r="AO134" s="538" t="s">
        <v>79</v>
      </c>
      <c r="AP134" s="538" t="s">
        <v>218</v>
      </c>
      <c r="AQ134" s="538" t="s">
        <v>79</v>
      </c>
      <c r="AR134" s="538" t="s">
        <v>218</v>
      </c>
      <c r="AS134" s="538">
        <v>2.068090718E9</v>
      </c>
      <c r="AT134" s="538">
        <v>3.722250154E9</v>
      </c>
      <c r="AU134" s="538">
        <v>92.0</v>
      </c>
      <c r="AV134" s="538" t="s">
        <v>47</v>
      </c>
      <c r="AZ134" s="538">
        <v>1.0</v>
      </c>
      <c r="BA134" s="538">
        <v>1.0</v>
      </c>
      <c r="BB134" s="538">
        <v>1.0</v>
      </c>
      <c r="BE134" s="538">
        <v>0.4</v>
      </c>
      <c r="BF134" s="538">
        <v>0.05</v>
      </c>
      <c r="BG134" s="538">
        <v>0.1</v>
      </c>
      <c r="BJ134" s="546"/>
      <c r="BL134" s="546"/>
    </row>
    <row r="135" ht="22.5" customHeight="1">
      <c r="A135" s="538">
        <v>134.0</v>
      </c>
      <c r="B135" s="538" t="s">
        <v>1095</v>
      </c>
      <c r="C135" s="538" t="s">
        <v>82</v>
      </c>
      <c r="D135" s="538" t="s">
        <v>888</v>
      </c>
      <c r="E135" s="538" t="s">
        <v>218</v>
      </c>
      <c r="G135" s="538" t="s">
        <v>151</v>
      </c>
      <c r="H135" s="538" t="s">
        <v>250</v>
      </c>
      <c r="I135" s="538" t="s">
        <v>122</v>
      </c>
      <c r="K135" s="538" t="s">
        <v>1099</v>
      </c>
      <c r="L135" s="538" t="s">
        <v>1100</v>
      </c>
      <c r="M135" s="538" t="s">
        <v>673</v>
      </c>
      <c r="N135" s="538" t="s">
        <v>813</v>
      </c>
      <c r="O135" s="538" t="b">
        <v>0</v>
      </c>
      <c r="P135" s="538" t="b">
        <v>1</v>
      </c>
      <c r="Q135" s="538" t="s">
        <v>73</v>
      </c>
      <c r="S135" s="538" t="s">
        <v>73</v>
      </c>
      <c r="U135" s="538" t="s">
        <v>73</v>
      </c>
      <c r="W135" s="538" t="s">
        <v>73</v>
      </c>
      <c r="Y135" s="538" t="s">
        <v>73</v>
      </c>
      <c r="AA135" s="538" t="s">
        <v>73</v>
      </c>
      <c r="AC135" s="538" t="s">
        <v>73</v>
      </c>
      <c r="AE135" s="538" t="s">
        <v>73</v>
      </c>
      <c r="AG135" s="538" t="s">
        <v>73</v>
      </c>
      <c r="AI135" s="538" t="s">
        <v>73</v>
      </c>
      <c r="AK135" s="538" t="s">
        <v>73</v>
      </c>
      <c r="AM135" s="538" t="s">
        <v>73</v>
      </c>
      <c r="AO135" s="538" t="s">
        <v>79</v>
      </c>
      <c r="AP135" s="538" t="s">
        <v>218</v>
      </c>
      <c r="AQ135" s="538" t="s">
        <v>79</v>
      </c>
      <c r="AR135" s="538" t="s">
        <v>218</v>
      </c>
      <c r="AS135" s="538">
        <v>2.541302043E9</v>
      </c>
      <c r="AT135" s="538">
        <v>3.722250154E9</v>
      </c>
      <c r="AU135" s="538">
        <v>92.0</v>
      </c>
      <c r="AV135" s="538" t="s">
        <v>47</v>
      </c>
      <c r="AZ135" s="538">
        <v>1.0</v>
      </c>
      <c r="BA135" s="538">
        <v>1.0</v>
      </c>
      <c r="BB135" s="538">
        <v>1.0</v>
      </c>
      <c r="BC135" s="538">
        <v>1.0</v>
      </c>
      <c r="BD135" s="538">
        <v>1.0</v>
      </c>
      <c r="BE135" s="538">
        <v>0.2</v>
      </c>
      <c r="BF135" s="538">
        <v>0.25</v>
      </c>
      <c r="BG135" s="538">
        <v>0.3</v>
      </c>
      <c r="BH135" s="538">
        <v>0.35</v>
      </c>
      <c r="BI135" s="538">
        <v>0.4</v>
      </c>
      <c r="BJ135" s="546"/>
      <c r="BL135" s="546"/>
    </row>
    <row r="136" ht="22.5" customHeight="1">
      <c r="A136" s="538">
        <v>135.0</v>
      </c>
      <c r="B136" s="538" t="s">
        <v>1101</v>
      </c>
      <c r="C136" s="538" t="s">
        <v>84</v>
      </c>
      <c r="D136" s="538" t="s">
        <v>888</v>
      </c>
      <c r="E136" s="538" t="s">
        <v>310</v>
      </c>
      <c r="F136" s="538" t="s">
        <v>291</v>
      </c>
      <c r="G136" s="538" t="s">
        <v>151</v>
      </c>
      <c r="H136" s="538" t="s">
        <v>250</v>
      </c>
      <c r="I136" s="538" t="s">
        <v>122</v>
      </c>
      <c r="K136" s="538" t="s">
        <v>1102</v>
      </c>
      <c r="L136" s="538" t="s">
        <v>1103</v>
      </c>
      <c r="M136" s="538" t="s">
        <v>661</v>
      </c>
      <c r="N136" s="538" t="s">
        <v>685</v>
      </c>
      <c r="O136" s="538" t="b">
        <v>0</v>
      </c>
      <c r="P136" s="538" t="b">
        <v>1</v>
      </c>
      <c r="Q136" s="538" t="s">
        <v>79</v>
      </c>
      <c r="R136" s="538" t="s">
        <v>291</v>
      </c>
      <c r="S136" s="538" t="s">
        <v>73</v>
      </c>
      <c r="U136" s="538" t="s">
        <v>79</v>
      </c>
      <c r="V136" s="538" t="s">
        <v>291</v>
      </c>
      <c r="W136" s="538" t="s">
        <v>79</v>
      </c>
      <c r="X136" s="538" t="s">
        <v>291</v>
      </c>
      <c r="Y136" s="538" t="s">
        <v>79</v>
      </c>
      <c r="Z136" s="538" t="s">
        <v>291</v>
      </c>
      <c r="AA136" s="538" t="s">
        <v>79</v>
      </c>
      <c r="AB136" s="538" t="s">
        <v>291</v>
      </c>
      <c r="AC136" s="538" t="s">
        <v>79</v>
      </c>
      <c r="AD136" s="538" t="s">
        <v>291</v>
      </c>
      <c r="AE136" s="538" t="s">
        <v>79</v>
      </c>
      <c r="AF136" s="538" t="s">
        <v>291</v>
      </c>
      <c r="AG136" s="538" t="s">
        <v>79</v>
      </c>
      <c r="AH136" s="538" t="s">
        <v>291</v>
      </c>
      <c r="AI136" s="538" t="s">
        <v>79</v>
      </c>
      <c r="AJ136" s="538" t="s">
        <v>291</v>
      </c>
      <c r="AK136" s="538" t="s">
        <v>79</v>
      </c>
      <c r="AL136" s="538" t="s">
        <v>291</v>
      </c>
      <c r="AM136" s="538" t="s">
        <v>79</v>
      </c>
      <c r="AN136" s="538" t="s">
        <v>291</v>
      </c>
      <c r="AO136" s="538" t="s">
        <v>79</v>
      </c>
      <c r="AP136" s="538" t="s">
        <v>310</v>
      </c>
      <c r="AQ136" s="538" t="s">
        <v>79</v>
      </c>
      <c r="AR136" s="538" t="s">
        <v>310</v>
      </c>
      <c r="AS136" s="538">
        <v>4.231113561E9</v>
      </c>
      <c r="AT136" s="538">
        <v>4.07568868E8</v>
      </c>
      <c r="AU136" s="538">
        <v>59.0</v>
      </c>
      <c r="AV136" s="538" t="s">
        <v>41</v>
      </c>
      <c r="AZ136" s="538">
        <v>1.0</v>
      </c>
      <c r="BA136" s="538">
        <v>1.0</v>
      </c>
      <c r="BB136" s="538">
        <v>1.0</v>
      </c>
      <c r="BE136" s="538">
        <v>0.1</v>
      </c>
      <c r="BF136" s="538">
        <v>0.05</v>
      </c>
      <c r="BG136" s="538">
        <v>0.1</v>
      </c>
      <c r="BJ136" s="546"/>
      <c r="BL136" s="546"/>
    </row>
    <row r="137" ht="22.5" customHeight="1">
      <c r="A137" s="538">
        <v>136.0</v>
      </c>
      <c r="B137" s="538" t="s">
        <v>1101</v>
      </c>
      <c r="C137" s="538" t="s">
        <v>82</v>
      </c>
      <c r="D137" s="538" t="s">
        <v>888</v>
      </c>
      <c r="E137" s="538" t="s">
        <v>218</v>
      </c>
      <c r="F137" s="538" t="s">
        <v>291</v>
      </c>
      <c r="G137" s="538" t="s">
        <v>151</v>
      </c>
      <c r="H137" s="538" t="s">
        <v>250</v>
      </c>
      <c r="I137" s="538" t="s">
        <v>122</v>
      </c>
      <c r="K137" s="538" t="s">
        <v>1104</v>
      </c>
      <c r="L137" s="538" t="s">
        <v>1105</v>
      </c>
      <c r="M137" s="538" t="s">
        <v>673</v>
      </c>
      <c r="N137" s="538" t="s">
        <v>1106</v>
      </c>
      <c r="O137" s="538" t="b">
        <v>0</v>
      </c>
      <c r="P137" s="538" t="b">
        <v>1</v>
      </c>
      <c r="Q137" s="538" t="s">
        <v>79</v>
      </c>
      <c r="R137" s="538" t="s">
        <v>291</v>
      </c>
      <c r="S137" s="538" t="s">
        <v>73</v>
      </c>
      <c r="U137" s="538" t="s">
        <v>79</v>
      </c>
      <c r="V137" s="538" t="s">
        <v>291</v>
      </c>
      <c r="W137" s="538" t="s">
        <v>79</v>
      </c>
      <c r="X137" s="538" t="s">
        <v>291</v>
      </c>
      <c r="Y137" s="538" t="s">
        <v>79</v>
      </c>
      <c r="Z137" s="538" t="s">
        <v>291</v>
      </c>
      <c r="AA137" s="538" t="s">
        <v>79</v>
      </c>
      <c r="AB137" s="538" t="s">
        <v>291</v>
      </c>
      <c r="AC137" s="538" t="s">
        <v>79</v>
      </c>
      <c r="AD137" s="538" t="s">
        <v>291</v>
      </c>
      <c r="AE137" s="538" t="s">
        <v>79</v>
      </c>
      <c r="AF137" s="538" t="s">
        <v>291</v>
      </c>
      <c r="AG137" s="538" t="s">
        <v>79</v>
      </c>
      <c r="AH137" s="538" t="s">
        <v>291</v>
      </c>
      <c r="AI137" s="538" t="s">
        <v>79</v>
      </c>
      <c r="AJ137" s="538" t="s">
        <v>291</v>
      </c>
      <c r="AK137" s="538" t="s">
        <v>79</v>
      </c>
      <c r="AL137" s="538" t="s">
        <v>291</v>
      </c>
      <c r="AM137" s="538" t="s">
        <v>79</v>
      </c>
      <c r="AN137" s="538" t="s">
        <v>291</v>
      </c>
      <c r="AO137" s="538" t="s">
        <v>79</v>
      </c>
      <c r="AP137" s="538" t="s">
        <v>218</v>
      </c>
      <c r="AQ137" s="538" t="s">
        <v>79</v>
      </c>
      <c r="AR137" s="538" t="s">
        <v>218</v>
      </c>
      <c r="AS137" s="538">
        <v>2.43472742E8</v>
      </c>
      <c r="AT137" s="538">
        <v>4.07568868E8</v>
      </c>
      <c r="AU137" s="538">
        <v>59.0</v>
      </c>
      <c r="AV137" s="538" t="s">
        <v>41</v>
      </c>
      <c r="AZ137" s="538">
        <v>1.0</v>
      </c>
      <c r="BA137" s="538">
        <v>1.0</v>
      </c>
      <c r="BB137" s="538">
        <v>1.0</v>
      </c>
      <c r="BC137" s="538">
        <v>1.0</v>
      </c>
      <c r="BD137" s="538">
        <v>1.0</v>
      </c>
      <c r="BE137" s="538">
        <v>0.05</v>
      </c>
      <c r="BF137" s="538">
        <v>0.08</v>
      </c>
      <c r="BG137" s="538">
        <v>0.1</v>
      </c>
      <c r="BH137" s="538">
        <v>0.15</v>
      </c>
      <c r="BI137" s="538">
        <v>0.2</v>
      </c>
      <c r="BJ137" s="546"/>
      <c r="BL137" s="546"/>
    </row>
    <row r="138" ht="22.5" customHeight="1">
      <c r="A138" s="538">
        <v>137.0</v>
      </c>
      <c r="B138" s="538" t="s">
        <v>1107</v>
      </c>
      <c r="C138" s="538" t="s">
        <v>84</v>
      </c>
      <c r="D138" s="538" t="s">
        <v>1108</v>
      </c>
      <c r="E138" s="538" t="s">
        <v>223</v>
      </c>
      <c r="F138" s="538" t="s">
        <v>1109</v>
      </c>
      <c r="G138" s="538" t="s">
        <v>163</v>
      </c>
      <c r="H138" s="538" t="s">
        <v>153</v>
      </c>
      <c r="I138" s="538" t="s">
        <v>189</v>
      </c>
      <c r="J138" s="538" t="s">
        <v>350</v>
      </c>
      <c r="K138" s="538" t="s">
        <v>1110</v>
      </c>
      <c r="L138" s="538" t="s">
        <v>1111</v>
      </c>
      <c r="M138" s="538" t="s">
        <v>727</v>
      </c>
      <c r="N138" s="538" t="s">
        <v>1112</v>
      </c>
      <c r="O138" s="538" t="b">
        <v>1</v>
      </c>
      <c r="P138" s="538" t="b">
        <v>1</v>
      </c>
      <c r="Q138" s="538" t="s">
        <v>79</v>
      </c>
      <c r="R138" s="538" t="s">
        <v>253</v>
      </c>
      <c r="S138" s="538" t="s">
        <v>73</v>
      </c>
      <c r="U138" s="538" t="s">
        <v>79</v>
      </c>
      <c r="V138" s="538" t="s">
        <v>253</v>
      </c>
      <c r="W138" s="538" t="s">
        <v>79</v>
      </c>
      <c r="X138" s="538" t="s">
        <v>253</v>
      </c>
      <c r="Y138" s="538" t="s">
        <v>79</v>
      </c>
      <c r="Z138" s="538" t="s">
        <v>253</v>
      </c>
      <c r="AA138" s="538" t="s">
        <v>79</v>
      </c>
      <c r="AB138" s="538" t="s">
        <v>253</v>
      </c>
      <c r="AC138" s="538" t="s">
        <v>79</v>
      </c>
      <c r="AD138" s="538" t="s">
        <v>253</v>
      </c>
      <c r="AE138" s="538" t="s">
        <v>79</v>
      </c>
      <c r="AF138" s="538" t="s">
        <v>253</v>
      </c>
      <c r="AG138" s="538" t="s">
        <v>79</v>
      </c>
      <c r="AH138" s="538" t="s">
        <v>380</v>
      </c>
      <c r="AI138" s="538" t="s">
        <v>79</v>
      </c>
      <c r="AJ138" s="538" t="s">
        <v>253</v>
      </c>
      <c r="AK138" s="538" t="s">
        <v>79</v>
      </c>
      <c r="AL138" s="538" t="s">
        <v>253</v>
      </c>
      <c r="AM138" s="538" t="s">
        <v>79</v>
      </c>
      <c r="AN138" s="538" t="s">
        <v>253</v>
      </c>
      <c r="AO138" s="538" t="s">
        <v>79</v>
      </c>
      <c r="AP138" s="538" t="s">
        <v>223</v>
      </c>
      <c r="AQ138" s="538" t="s">
        <v>79</v>
      </c>
      <c r="AR138" s="538" t="s">
        <v>223</v>
      </c>
      <c r="AS138" s="538">
        <v>1.479384085E9</v>
      </c>
      <c r="AT138" s="538">
        <v>2.822661458E9</v>
      </c>
      <c r="AU138" s="538">
        <v>60.0</v>
      </c>
      <c r="AV138" s="538" t="s">
        <v>47</v>
      </c>
      <c r="AZ138" s="538">
        <v>0.5</v>
      </c>
      <c r="BA138" s="538">
        <v>0.1</v>
      </c>
      <c r="BB138" s="538">
        <v>0.25</v>
      </c>
      <c r="BE138" s="538">
        <v>10.0</v>
      </c>
      <c r="BF138" s="538">
        <v>0.0</v>
      </c>
      <c r="BG138" s="538">
        <v>0.0</v>
      </c>
      <c r="BJ138" s="546"/>
      <c r="BL138" s="546"/>
    </row>
    <row r="139" ht="22.5" customHeight="1">
      <c r="A139" s="538">
        <v>138.0</v>
      </c>
      <c r="B139" s="538" t="s">
        <v>1107</v>
      </c>
      <c r="C139" s="538" t="s">
        <v>82</v>
      </c>
      <c r="D139" s="538" t="s">
        <v>1108</v>
      </c>
      <c r="E139" s="538" t="s">
        <v>292</v>
      </c>
      <c r="G139" s="538" t="s">
        <v>230</v>
      </c>
      <c r="H139" s="538" t="s">
        <v>250</v>
      </c>
      <c r="I139" s="538" t="s">
        <v>155</v>
      </c>
      <c r="K139" s="538" t="s">
        <v>1113</v>
      </c>
      <c r="L139" s="538" t="s">
        <v>1114</v>
      </c>
      <c r="M139" s="538" t="s">
        <v>673</v>
      </c>
      <c r="N139" s="538" t="s">
        <v>1115</v>
      </c>
      <c r="O139" s="538" t="b">
        <v>0</v>
      </c>
      <c r="P139" s="538" t="b">
        <v>0</v>
      </c>
      <c r="Q139" s="538" t="s">
        <v>73</v>
      </c>
      <c r="S139" s="538" t="s">
        <v>73</v>
      </c>
      <c r="U139" s="538" t="s">
        <v>73</v>
      </c>
      <c r="W139" s="538" t="s">
        <v>73</v>
      </c>
      <c r="Y139" s="538" t="s">
        <v>73</v>
      </c>
      <c r="AA139" s="538" t="s">
        <v>73</v>
      </c>
      <c r="AC139" s="538" t="s">
        <v>73</v>
      </c>
      <c r="AE139" s="538" t="s">
        <v>73</v>
      </c>
      <c r="AG139" s="538" t="s">
        <v>73</v>
      </c>
      <c r="AI139" s="538" t="s">
        <v>73</v>
      </c>
      <c r="AK139" s="538" t="s">
        <v>73</v>
      </c>
      <c r="AM139" s="538" t="s">
        <v>73</v>
      </c>
      <c r="AO139" s="538" t="s">
        <v>79</v>
      </c>
      <c r="AP139" s="538" t="s">
        <v>292</v>
      </c>
      <c r="AQ139" s="538" t="s">
        <v>79</v>
      </c>
      <c r="AR139" s="538" t="s">
        <v>292</v>
      </c>
      <c r="AS139" s="538">
        <v>4.235813457E9</v>
      </c>
      <c r="AT139" s="538">
        <v>2.822661458E9</v>
      </c>
      <c r="AU139" s="538">
        <v>60.0</v>
      </c>
      <c r="AV139" s="538" t="s">
        <v>47</v>
      </c>
      <c r="AZ139" s="538">
        <v>1.0</v>
      </c>
      <c r="BA139" s="538">
        <v>1.0</v>
      </c>
      <c r="BB139" s="538">
        <v>1.0</v>
      </c>
      <c r="BC139" s="538">
        <v>1.0</v>
      </c>
      <c r="BD139" s="538">
        <v>1.0</v>
      </c>
      <c r="BE139" s="538">
        <v>0.01</v>
      </c>
      <c r="BF139" s="538">
        <v>0.02</v>
      </c>
      <c r="BG139" s="538">
        <v>0.03</v>
      </c>
      <c r="BH139" s="538">
        <v>0.04</v>
      </c>
      <c r="BI139" s="538">
        <v>0.05</v>
      </c>
      <c r="BJ139" s="546"/>
      <c r="BL139" s="546"/>
    </row>
    <row r="140" ht="22.5" customHeight="1">
      <c r="A140" s="538">
        <v>139.0</v>
      </c>
      <c r="B140" s="538" t="s">
        <v>1116</v>
      </c>
      <c r="C140" s="538" t="s">
        <v>84</v>
      </c>
      <c r="D140" s="538" t="s">
        <v>1108</v>
      </c>
      <c r="E140" s="538" t="s">
        <v>223</v>
      </c>
      <c r="F140" s="538" t="s">
        <v>1109</v>
      </c>
      <c r="G140" s="538" t="s">
        <v>163</v>
      </c>
      <c r="H140" s="538" t="s">
        <v>250</v>
      </c>
      <c r="I140" s="538" t="s">
        <v>155</v>
      </c>
      <c r="J140" s="538" t="s">
        <v>320</v>
      </c>
      <c r="K140" s="538" t="s">
        <v>1117</v>
      </c>
      <c r="L140" s="538" t="s">
        <v>1118</v>
      </c>
      <c r="M140" s="538" t="s">
        <v>727</v>
      </c>
      <c r="N140" s="538" t="s">
        <v>1119</v>
      </c>
      <c r="O140" s="538" t="b">
        <v>1</v>
      </c>
      <c r="P140" s="538" t="b">
        <v>1</v>
      </c>
      <c r="Q140" s="538" t="s">
        <v>79</v>
      </c>
      <c r="R140" s="538" t="s">
        <v>253</v>
      </c>
      <c r="S140" s="538" t="s">
        <v>73</v>
      </c>
      <c r="U140" s="538" t="s">
        <v>79</v>
      </c>
      <c r="V140" s="538" t="s">
        <v>253</v>
      </c>
      <c r="W140" s="538" t="s">
        <v>79</v>
      </c>
      <c r="X140" s="538" t="s">
        <v>253</v>
      </c>
      <c r="Y140" s="538" t="s">
        <v>79</v>
      </c>
      <c r="Z140" s="538" t="s">
        <v>253</v>
      </c>
      <c r="AA140" s="538" t="s">
        <v>79</v>
      </c>
      <c r="AB140" s="538" t="s">
        <v>253</v>
      </c>
      <c r="AC140" s="538" t="s">
        <v>79</v>
      </c>
      <c r="AD140" s="538" t="s">
        <v>253</v>
      </c>
      <c r="AE140" s="538" t="s">
        <v>79</v>
      </c>
      <c r="AF140" s="538" t="s">
        <v>253</v>
      </c>
      <c r="AG140" s="538" t="s">
        <v>79</v>
      </c>
      <c r="AH140" s="538" t="s">
        <v>380</v>
      </c>
      <c r="AI140" s="538" t="s">
        <v>79</v>
      </c>
      <c r="AJ140" s="538" t="s">
        <v>253</v>
      </c>
      <c r="AK140" s="538" t="s">
        <v>79</v>
      </c>
      <c r="AL140" s="538" t="s">
        <v>253</v>
      </c>
      <c r="AM140" s="538" t="s">
        <v>79</v>
      </c>
      <c r="AN140" s="538" t="s">
        <v>253</v>
      </c>
      <c r="AO140" s="538" t="s">
        <v>79</v>
      </c>
      <c r="AP140" s="538" t="s">
        <v>223</v>
      </c>
      <c r="AQ140" s="538" t="s">
        <v>79</v>
      </c>
      <c r="AR140" s="538" t="s">
        <v>223</v>
      </c>
      <c r="AS140" s="538">
        <v>4.1695482E8</v>
      </c>
      <c r="AT140" s="538">
        <v>3.264304828E9</v>
      </c>
      <c r="AU140" s="538">
        <v>61.0</v>
      </c>
      <c r="AV140" s="538" t="s">
        <v>46</v>
      </c>
      <c r="AZ140" s="538">
        <v>0.5</v>
      </c>
      <c r="BA140" s="538">
        <v>0.1</v>
      </c>
      <c r="BB140" s="538">
        <v>0.25</v>
      </c>
      <c r="BE140" s="538">
        <v>1.0E7</v>
      </c>
      <c r="BF140" s="538">
        <v>0.0</v>
      </c>
      <c r="BG140" s="538">
        <v>0.0</v>
      </c>
      <c r="BJ140" s="546"/>
      <c r="BL140" s="546"/>
    </row>
    <row r="141" ht="22.5" customHeight="1">
      <c r="A141" s="538">
        <v>140.0</v>
      </c>
      <c r="B141" s="538" t="s">
        <v>1116</v>
      </c>
      <c r="C141" s="538" t="s">
        <v>82</v>
      </c>
      <c r="D141" s="538" t="s">
        <v>1108</v>
      </c>
      <c r="E141" s="538" t="s">
        <v>218</v>
      </c>
      <c r="F141" s="538" t="s">
        <v>1109</v>
      </c>
      <c r="G141" s="538" t="s">
        <v>163</v>
      </c>
      <c r="H141" s="538" t="s">
        <v>153</v>
      </c>
      <c r="I141" s="538" t="s">
        <v>189</v>
      </c>
      <c r="K141" s="538" t="s">
        <v>1120</v>
      </c>
      <c r="L141" s="538" t="s">
        <v>1121</v>
      </c>
      <c r="M141" s="538" t="s">
        <v>673</v>
      </c>
      <c r="N141" s="538" t="s">
        <v>682</v>
      </c>
      <c r="O141" s="538" t="b">
        <v>0</v>
      </c>
      <c r="P141" s="538" t="b">
        <v>1</v>
      </c>
      <c r="Q141" s="538" t="s">
        <v>79</v>
      </c>
      <c r="R141" s="538" t="s">
        <v>253</v>
      </c>
      <c r="S141" s="538" t="s">
        <v>73</v>
      </c>
      <c r="U141" s="538" t="s">
        <v>79</v>
      </c>
      <c r="V141" s="538" t="s">
        <v>253</v>
      </c>
      <c r="W141" s="538" t="s">
        <v>79</v>
      </c>
      <c r="X141" s="538" t="s">
        <v>253</v>
      </c>
      <c r="Y141" s="538" t="s">
        <v>79</v>
      </c>
      <c r="Z141" s="538" t="s">
        <v>253</v>
      </c>
      <c r="AA141" s="538" t="s">
        <v>79</v>
      </c>
      <c r="AB141" s="538" t="s">
        <v>253</v>
      </c>
      <c r="AC141" s="538" t="s">
        <v>79</v>
      </c>
      <c r="AD141" s="538" t="s">
        <v>253</v>
      </c>
      <c r="AE141" s="538" t="s">
        <v>79</v>
      </c>
      <c r="AF141" s="538" t="s">
        <v>253</v>
      </c>
      <c r="AG141" s="538" t="s">
        <v>79</v>
      </c>
      <c r="AH141" s="538" t="s">
        <v>380</v>
      </c>
      <c r="AI141" s="538" t="s">
        <v>79</v>
      </c>
      <c r="AJ141" s="538" t="s">
        <v>253</v>
      </c>
      <c r="AK141" s="538" t="s">
        <v>79</v>
      </c>
      <c r="AL141" s="538" t="s">
        <v>253</v>
      </c>
      <c r="AM141" s="538" t="s">
        <v>79</v>
      </c>
      <c r="AN141" s="538" t="s">
        <v>253</v>
      </c>
      <c r="AO141" s="538" t="s">
        <v>79</v>
      </c>
      <c r="AP141" s="538" t="s">
        <v>218</v>
      </c>
      <c r="AQ141" s="538" t="s">
        <v>79</v>
      </c>
      <c r="AR141" s="538" t="s">
        <v>218</v>
      </c>
      <c r="AS141" s="538">
        <v>5.56660994E8</v>
      </c>
      <c r="AT141" s="538">
        <v>3.264304828E9</v>
      </c>
      <c r="AU141" s="538">
        <v>61.0</v>
      </c>
      <c r="AV141" s="538" t="s">
        <v>46</v>
      </c>
      <c r="AZ141" s="538">
        <v>1.0</v>
      </c>
      <c r="BA141" s="538">
        <v>1.0</v>
      </c>
      <c r="BB141" s="538">
        <v>1.0</v>
      </c>
      <c r="BC141" s="538">
        <v>1.0</v>
      </c>
      <c r="BD141" s="538">
        <v>1.0</v>
      </c>
      <c r="BE141" s="538">
        <v>0.1</v>
      </c>
      <c r="BF141" s="538">
        <v>0.15</v>
      </c>
      <c r="BG141" s="538">
        <v>0.2</v>
      </c>
      <c r="BH141" s="538">
        <v>0.25</v>
      </c>
      <c r="BI141" s="538">
        <v>0.3</v>
      </c>
      <c r="BJ141" s="546"/>
      <c r="BL141" s="546"/>
    </row>
    <row r="142" ht="22.5" customHeight="1">
      <c r="A142" s="538">
        <v>141.0</v>
      </c>
      <c r="B142" s="538" t="s">
        <v>1122</v>
      </c>
      <c r="C142" s="538" t="s">
        <v>84</v>
      </c>
      <c r="D142" s="538" t="s">
        <v>1108</v>
      </c>
      <c r="E142" s="538" t="s">
        <v>361</v>
      </c>
      <c r="G142" s="538" t="s">
        <v>151</v>
      </c>
      <c r="H142" s="538" t="s">
        <v>250</v>
      </c>
      <c r="I142" s="538" t="s">
        <v>122</v>
      </c>
      <c r="K142" s="538" t="s">
        <v>1123</v>
      </c>
      <c r="L142" s="538" t="s">
        <v>1124</v>
      </c>
      <c r="M142" s="538" t="s">
        <v>661</v>
      </c>
      <c r="N142" s="538" t="s">
        <v>734</v>
      </c>
      <c r="O142" s="538" t="b">
        <v>0</v>
      </c>
      <c r="P142" s="538" t="b">
        <v>1</v>
      </c>
      <c r="Q142" s="538" t="s">
        <v>79</v>
      </c>
      <c r="R142" s="538" t="s">
        <v>361</v>
      </c>
      <c r="S142" s="538" t="s">
        <v>79</v>
      </c>
      <c r="T142" s="538" t="s">
        <v>361</v>
      </c>
      <c r="U142" s="538" t="s">
        <v>79</v>
      </c>
      <c r="V142" s="538" t="s">
        <v>361</v>
      </c>
      <c r="W142" s="538" t="s">
        <v>79</v>
      </c>
      <c r="X142" s="538" t="s">
        <v>361</v>
      </c>
      <c r="Y142" s="538" t="s">
        <v>79</v>
      </c>
      <c r="Z142" s="538" t="s">
        <v>361</v>
      </c>
      <c r="AA142" s="538" t="s">
        <v>79</v>
      </c>
      <c r="AB142" s="538" t="s">
        <v>361</v>
      </c>
      <c r="AC142" s="538" t="s">
        <v>79</v>
      </c>
      <c r="AD142" s="538" t="s">
        <v>361</v>
      </c>
      <c r="AE142" s="538" t="s">
        <v>79</v>
      </c>
      <c r="AF142" s="538" t="s">
        <v>361</v>
      </c>
      <c r="AG142" s="538" t="s">
        <v>79</v>
      </c>
      <c r="AH142" s="538" t="s">
        <v>361</v>
      </c>
      <c r="AI142" s="538" t="s">
        <v>79</v>
      </c>
      <c r="AJ142" s="538" t="s">
        <v>361</v>
      </c>
      <c r="AK142" s="538" t="s">
        <v>79</v>
      </c>
      <c r="AL142" s="538" t="s">
        <v>361</v>
      </c>
      <c r="AM142" s="538" t="s">
        <v>79</v>
      </c>
      <c r="AN142" s="538" t="s">
        <v>361</v>
      </c>
      <c r="AO142" s="538" t="s">
        <v>79</v>
      </c>
      <c r="AP142" s="538" t="s">
        <v>361</v>
      </c>
      <c r="AQ142" s="538" t="s">
        <v>73</v>
      </c>
      <c r="AS142" s="538">
        <v>2.905060077E9</v>
      </c>
      <c r="AT142" s="538">
        <v>1.617168639E9</v>
      </c>
      <c r="AU142" s="538">
        <v>62.0</v>
      </c>
      <c r="AV142" s="538" t="s">
        <v>46</v>
      </c>
      <c r="AZ142" s="538">
        <v>1.0</v>
      </c>
      <c r="BA142" s="538">
        <v>1.0</v>
      </c>
      <c r="BB142" s="538">
        <v>1.0</v>
      </c>
      <c r="BE142" s="538">
        <v>0.2</v>
      </c>
      <c r="BF142" s="538">
        <v>0.05</v>
      </c>
      <c r="BG142" s="538">
        <v>0.15</v>
      </c>
      <c r="BJ142" s="546"/>
      <c r="BL142" s="546"/>
    </row>
    <row r="143" ht="22.5" customHeight="1">
      <c r="A143" s="538">
        <v>142.0</v>
      </c>
      <c r="B143" s="538" t="s">
        <v>1122</v>
      </c>
      <c r="C143" s="538" t="s">
        <v>82</v>
      </c>
      <c r="D143" s="538" t="s">
        <v>1108</v>
      </c>
      <c r="E143" s="538" t="s">
        <v>340</v>
      </c>
      <c r="G143" s="538" t="s">
        <v>151</v>
      </c>
      <c r="H143" s="538" t="s">
        <v>240</v>
      </c>
      <c r="I143" s="538" t="s">
        <v>122</v>
      </c>
      <c r="K143" s="538" t="s">
        <v>1125</v>
      </c>
      <c r="L143" s="538" t="s">
        <v>1126</v>
      </c>
      <c r="M143" s="538" t="s">
        <v>673</v>
      </c>
      <c r="N143" s="538" t="s">
        <v>1127</v>
      </c>
      <c r="O143" s="538" t="b">
        <v>0</v>
      </c>
      <c r="P143" s="538" t="b">
        <v>1</v>
      </c>
      <c r="Q143" s="538" t="s">
        <v>73</v>
      </c>
      <c r="S143" s="538" t="s">
        <v>73</v>
      </c>
      <c r="U143" s="538" t="s">
        <v>73</v>
      </c>
      <c r="W143" s="538" t="s">
        <v>73</v>
      </c>
      <c r="Y143" s="538" t="s">
        <v>73</v>
      </c>
      <c r="AA143" s="538" t="s">
        <v>73</v>
      </c>
      <c r="AC143" s="538" t="s">
        <v>73</v>
      </c>
      <c r="AE143" s="538" t="s">
        <v>73</v>
      </c>
      <c r="AG143" s="538" t="s">
        <v>73</v>
      </c>
      <c r="AI143" s="538" t="s">
        <v>73</v>
      </c>
      <c r="AK143" s="538" t="s">
        <v>73</v>
      </c>
      <c r="AM143" s="538" t="s">
        <v>73</v>
      </c>
      <c r="AO143" s="538" t="s">
        <v>79</v>
      </c>
      <c r="AP143" s="538" t="s">
        <v>340</v>
      </c>
      <c r="AQ143" s="538" t="s">
        <v>79</v>
      </c>
      <c r="AR143" s="538" t="s">
        <v>340</v>
      </c>
      <c r="AS143" s="538">
        <v>1.434879169E9</v>
      </c>
      <c r="AT143" s="538">
        <v>1.617168639E9</v>
      </c>
      <c r="AU143" s="538">
        <v>62.0</v>
      </c>
      <c r="AV143" s="538" t="s">
        <v>46</v>
      </c>
      <c r="AZ143" s="538">
        <v>1.0</v>
      </c>
      <c r="BA143" s="538">
        <v>1.0</v>
      </c>
      <c r="BB143" s="538">
        <v>1.0</v>
      </c>
      <c r="BC143" s="538">
        <v>1.0</v>
      </c>
      <c r="BD143" s="538">
        <v>1.0</v>
      </c>
      <c r="BE143" s="538">
        <v>0.5</v>
      </c>
      <c r="BF143" s="538">
        <v>0.6</v>
      </c>
      <c r="BG143" s="538">
        <v>0.7</v>
      </c>
      <c r="BH143" s="538">
        <v>0.8</v>
      </c>
      <c r="BI143" s="538">
        <v>0.9</v>
      </c>
      <c r="BJ143" s="546"/>
      <c r="BL143" s="546"/>
    </row>
    <row r="144" ht="22.5" customHeight="1">
      <c r="A144" s="538">
        <v>143.0</v>
      </c>
      <c r="B144" s="538" t="s">
        <v>1128</v>
      </c>
      <c r="C144" s="538" t="s">
        <v>84</v>
      </c>
      <c r="D144" s="538" t="s">
        <v>1108</v>
      </c>
      <c r="E144" s="538" t="s">
        <v>268</v>
      </c>
      <c r="G144" s="538" t="s">
        <v>151</v>
      </c>
      <c r="H144" s="538" t="s">
        <v>250</v>
      </c>
      <c r="I144" s="538" t="s">
        <v>122</v>
      </c>
      <c r="K144" s="538" t="s">
        <v>1129</v>
      </c>
      <c r="L144" s="538" t="s">
        <v>1058</v>
      </c>
      <c r="M144" s="538" t="s">
        <v>661</v>
      </c>
      <c r="N144" s="538" t="s">
        <v>1130</v>
      </c>
      <c r="O144" s="538" t="b">
        <v>0</v>
      </c>
      <c r="P144" s="538" t="b">
        <v>1</v>
      </c>
      <c r="Q144" s="538" t="s">
        <v>79</v>
      </c>
      <c r="R144" s="538" t="s">
        <v>268</v>
      </c>
      <c r="S144" s="538" t="s">
        <v>79</v>
      </c>
      <c r="T144" s="538" t="s">
        <v>268</v>
      </c>
      <c r="U144" s="538" t="s">
        <v>79</v>
      </c>
      <c r="V144" s="538" t="s">
        <v>268</v>
      </c>
      <c r="W144" s="538" t="s">
        <v>79</v>
      </c>
      <c r="X144" s="538" t="s">
        <v>268</v>
      </c>
      <c r="Y144" s="538" t="s">
        <v>79</v>
      </c>
      <c r="Z144" s="538" t="s">
        <v>268</v>
      </c>
      <c r="AA144" s="538" t="s">
        <v>79</v>
      </c>
      <c r="AB144" s="538" t="s">
        <v>268</v>
      </c>
      <c r="AC144" s="538" t="s">
        <v>79</v>
      </c>
      <c r="AD144" s="538" t="s">
        <v>268</v>
      </c>
      <c r="AE144" s="538" t="s">
        <v>79</v>
      </c>
      <c r="AF144" s="538" t="s">
        <v>268</v>
      </c>
      <c r="AG144" s="538" t="s">
        <v>79</v>
      </c>
      <c r="AH144" s="538" t="s">
        <v>268</v>
      </c>
      <c r="AI144" s="538" t="s">
        <v>79</v>
      </c>
      <c r="AJ144" s="538" t="s">
        <v>268</v>
      </c>
      <c r="AK144" s="538" t="s">
        <v>79</v>
      </c>
      <c r="AL144" s="538" t="s">
        <v>268</v>
      </c>
      <c r="AM144" s="538" t="s">
        <v>79</v>
      </c>
      <c r="AN144" s="538" t="s">
        <v>268</v>
      </c>
      <c r="AO144" s="538" t="s">
        <v>79</v>
      </c>
      <c r="AP144" s="538" t="s">
        <v>268</v>
      </c>
      <c r="AQ144" s="538" t="s">
        <v>73</v>
      </c>
      <c r="AS144" s="538">
        <v>1.585093811E9</v>
      </c>
      <c r="AT144" s="538">
        <v>3.528103772E9</v>
      </c>
      <c r="AU144" s="538">
        <v>63.0</v>
      </c>
      <c r="AV144" s="538" t="s">
        <v>45</v>
      </c>
      <c r="AZ144" s="538">
        <v>1.0</v>
      </c>
      <c r="BA144" s="538">
        <v>1.0</v>
      </c>
      <c r="BB144" s="538">
        <v>1.0</v>
      </c>
      <c r="BE144" s="538">
        <v>0.5</v>
      </c>
      <c r="BF144" s="538">
        <v>0.15</v>
      </c>
      <c r="BG144" s="538">
        <v>0.25</v>
      </c>
      <c r="BJ144" s="546"/>
      <c r="BL144" s="546"/>
    </row>
    <row r="145" ht="22.5" customHeight="1">
      <c r="A145" s="538">
        <v>144.0</v>
      </c>
      <c r="B145" s="538" t="s">
        <v>1128</v>
      </c>
      <c r="C145" s="538" t="s">
        <v>82</v>
      </c>
      <c r="D145" s="538" t="s">
        <v>1108</v>
      </c>
      <c r="E145" s="538" t="s">
        <v>331</v>
      </c>
      <c r="G145" s="538" t="s">
        <v>151</v>
      </c>
      <c r="H145" s="538" t="s">
        <v>250</v>
      </c>
      <c r="I145" s="538" t="s">
        <v>122</v>
      </c>
      <c r="J145" s="538" t="s">
        <v>408</v>
      </c>
      <c r="K145" s="538" t="s">
        <v>1131</v>
      </c>
      <c r="L145" s="538" t="s">
        <v>1132</v>
      </c>
      <c r="M145" s="538" t="s">
        <v>673</v>
      </c>
      <c r="N145" s="538" t="s">
        <v>1133</v>
      </c>
      <c r="O145" s="538" t="b">
        <v>0</v>
      </c>
      <c r="P145" s="538" t="b">
        <v>1</v>
      </c>
      <c r="Q145" s="538" t="s">
        <v>79</v>
      </c>
      <c r="R145" s="538" t="s">
        <v>331</v>
      </c>
      <c r="S145" s="538" t="s">
        <v>79</v>
      </c>
      <c r="T145" s="538" t="s">
        <v>331</v>
      </c>
      <c r="U145" s="538" t="s">
        <v>79</v>
      </c>
      <c r="V145" s="538" t="s">
        <v>331</v>
      </c>
      <c r="W145" s="538" t="s">
        <v>79</v>
      </c>
      <c r="X145" s="538" t="s">
        <v>331</v>
      </c>
      <c r="Y145" s="538" t="s">
        <v>79</v>
      </c>
      <c r="Z145" s="538" t="s">
        <v>331</v>
      </c>
      <c r="AA145" s="538" t="s">
        <v>79</v>
      </c>
      <c r="AB145" s="538" t="s">
        <v>331</v>
      </c>
      <c r="AC145" s="538" t="s">
        <v>79</v>
      </c>
      <c r="AD145" s="538" t="s">
        <v>331</v>
      </c>
      <c r="AE145" s="538" t="s">
        <v>79</v>
      </c>
      <c r="AF145" s="538" t="s">
        <v>331</v>
      </c>
      <c r="AG145" s="538" t="s">
        <v>79</v>
      </c>
      <c r="AH145" s="538" t="s">
        <v>331</v>
      </c>
      <c r="AI145" s="538" t="s">
        <v>79</v>
      </c>
      <c r="AJ145" s="538" t="s">
        <v>331</v>
      </c>
      <c r="AK145" s="538" t="s">
        <v>79</v>
      </c>
      <c r="AL145" s="538" t="s">
        <v>331</v>
      </c>
      <c r="AM145" s="538" t="s">
        <v>79</v>
      </c>
      <c r="AN145" s="538" t="s">
        <v>331</v>
      </c>
      <c r="AO145" s="538" t="s">
        <v>79</v>
      </c>
      <c r="AP145" s="538" t="s">
        <v>331</v>
      </c>
      <c r="AQ145" s="538" t="s">
        <v>73</v>
      </c>
      <c r="AS145" s="538">
        <v>1.24441374E9</v>
      </c>
      <c r="AT145" s="538">
        <v>3.528103772E9</v>
      </c>
      <c r="AU145" s="538">
        <v>63.0</v>
      </c>
      <c r="AV145" s="538" t="s">
        <v>45</v>
      </c>
      <c r="AZ145" s="538">
        <v>1.0</v>
      </c>
      <c r="BA145" s="538">
        <v>1.0</v>
      </c>
      <c r="BB145" s="538">
        <v>1.0</v>
      </c>
      <c r="BC145" s="538">
        <v>1.0</v>
      </c>
      <c r="BD145" s="538">
        <v>1.0</v>
      </c>
      <c r="BE145" s="538">
        <v>0.4</v>
      </c>
      <c r="BF145" s="538">
        <v>0.6</v>
      </c>
      <c r="BG145" s="538">
        <v>0.8</v>
      </c>
      <c r="BH145" s="538">
        <v>1.0</v>
      </c>
      <c r="BI145" s="538">
        <v>1.25</v>
      </c>
      <c r="BJ145" s="546"/>
      <c r="BL145" s="546"/>
    </row>
    <row r="146" ht="22.5" customHeight="1">
      <c r="A146" s="538">
        <v>145.0</v>
      </c>
      <c r="B146" s="538" t="s">
        <v>1134</v>
      </c>
      <c r="C146" s="538" t="s">
        <v>84</v>
      </c>
      <c r="D146" s="538" t="s">
        <v>1108</v>
      </c>
      <c r="E146" s="538" t="s">
        <v>218</v>
      </c>
      <c r="F146" s="538" t="s">
        <v>1135</v>
      </c>
      <c r="G146" s="538" t="s">
        <v>239</v>
      </c>
      <c r="H146" s="538" t="s">
        <v>250</v>
      </c>
      <c r="I146" s="538" t="s">
        <v>122</v>
      </c>
      <c r="J146" s="538" t="s">
        <v>320</v>
      </c>
      <c r="K146" s="538" t="s">
        <v>1136</v>
      </c>
      <c r="L146" s="538" t="s">
        <v>1137</v>
      </c>
      <c r="M146" s="538" t="s">
        <v>661</v>
      </c>
      <c r="N146" s="538" t="s">
        <v>741</v>
      </c>
      <c r="O146" s="538" t="b">
        <v>0</v>
      </c>
      <c r="P146" s="538" t="b">
        <v>1</v>
      </c>
      <c r="Q146" s="538" t="s">
        <v>79</v>
      </c>
      <c r="R146" s="538" t="s">
        <v>253</v>
      </c>
      <c r="S146" s="538" t="s">
        <v>73</v>
      </c>
      <c r="U146" s="538" t="s">
        <v>79</v>
      </c>
      <c r="V146" s="538" t="s">
        <v>253</v>
      </c>
      <c r="W146" s="538" t="s">
        <v>79</v>
      </c>
      <c r="X146" s="538" t="s">
        <v>253</v>
      </c>
      <c r="Y146" s="538" t="s">
        <v>79</v>
      </c>
      <c r="Z146" s="538" t="s">
        <v>253</v>
      </c>
      <c r="AA146" s="538" t="s">
        <v>79</v>
      </c>
      <c r="AB146" s="538" t="s">
        <v>253</v>
      </c>
      <c r="AC146" s="538" t="s">
        <v>79</v>
      </c>
      <c r="AD146" s="538" t="s">
        <v>253</v>
      </c>
      <c r="AE146" s="538" t="s">
        <v>79</v>
      </c>
      <c r="AF146" s="538" t="s">
        <v>253</v>
      </c>
      <c r="AG146" s="538" t="s">
        <v>79</v>
      </c>
      <c r="AH146" s="538" t="s">
        <v>380</v>
      </c>
      <c r="AI146" s="538" t="s">
        <v>79</v>
      </c>
      <c r="AJ146" s="538" t="s">
        <v>253</v>
      </c>
      <c r="AK146" s="538" t="s">
        <v>79</v>
      </c>
      <c r="AL146" s="538" t="s">
        <v>253</v>
      </c>
      <c r="AM146" s="538" t="s">
        <v>79</v>
      </c>
      <c r="AN146" s="538" t="s">
        <v>253</v>
      </c>
      <c r="AO146" s="538" t="s">
        <v>79</v>
      </c>
      <c r="AP146" s="538" t="s">
        <v>218</v>
      </c>
      <c r="AQ146" s="538" t="s">
        <v>79</v>
      </c>
      <c r="AR146" s="538" t="s">
        <v>218</v>
      </c>
      <c r="AS146" s="538">
        <v>9.35457644E8</v>
      </c>
      <c r="AT146" s="538">
        <v>2.219055924E9</v>
      </c>
      <c r="AU146" s="538">
        <v>64.0</v>
      </c>
      <c r="AV146" s="538" t="s">
        <v>45</v>
      </c>
      <c r="AZ146" s="538">
        <v>1.0</v>
      </c>
      <c r="BA146" s="538">
        <v>1.0</v>
      </c>
      <c r="BB146" s="538">
        <v>1.0</v>
      </c>
      <c r="BE146" s="538">
        <v>0.2</v>
      </c>
      <c r="BF146" s="538">
        <v>0.05</v>
      </c>
      <c r="BG146" s="538">
        <v>0.1</v>
      </c>
      <c r="BJ146" s="546"/>
      <c r="BL146" s="546"/>
    </row>
    <row r="147" ht="22.5" customHeight="1">
      <c r="A147" s="538">
        <v>146.0</v>
      </c>
      <c r="B147" s="538" t="s">
        <v>1134</v>
      </c>
      <c r="C147" s="538" t="s">
        <v>82</v>
      </c>
      <c r="D147" s="538" t="s">
        <v>1108</v>
      </c>
      <c r="E147" s="538" t="s">
        <v>343</v>
      </c>
      <c r="G147" s="538" t="s">
        <v>151</v>
      </c>
      <c r="H147" s="538" t="s">
        <v>235</v>
      </c>
      <c r="I147" s="538" t="s">
        <v>122</v>
      </c>
      <c r="K147" s="538" t="s">
        <v>1138</v>
      </c>
      <c r="L147" s="538" t="s">
        <v>1139</v>
      </c>
      <c r="M147" s="538" t="s">
        <v>673</v>
      </c>
      <c r="N147" s="538" t="s">
        <v>781</v>
      </c>
      <c r="O147" s="538" t="b">
        <v>0</v>
      </c>
      <c r="P147" s="538" t="b">
        <v>1</v>
      </c>
      <c r="Q147" s="538" t="s">
        <v>73</v>
      </c>
      <c r="S147" s="538" t="s">
        <v>73</v>
      </c>
      <c r="U147" s="538" t="s">
        <v>73</v>
      </c>
      <c r="W147" s="538" t="s">
        <v>73</v>
      </c>
      <c r="Y147" s="538" t="s">
        <v>73</v>
      </c>
      <c r="AA147" s="538" t="s">
        <v>73</v>
      </c>
      <c r="AC147" s="538" t="s">
        <v>73</v>
      </c>
      <c r="AE147" s="538" t="s">
        <v>73</v>
      </c>
      <c r="AG147" s="538" t="s">
        <v>73</v>
      </c>
      <c r="AI147" s="538" t="s">
        <v>73</v>
      </c>
      <c r="AK147" s="538" t="s">
        <v>73</v>
      </c>
      <c r="AM147" s="538" t="s">
        <v>73</v>
      </c>
      <c r="AO147" s="538" t="s">
        <v>79</v>
      </c>
      <c r="AP147" s="538" t="s">
        <v>343</v>
      </c>
      <c r="AQ147" s="538" t="s">
        <v>79</v>
      </c>
      <c r="AR147" s="538" t="s">
        <v>343</v>
      </c>
      <c r="AS147" s="538">
        <v>2.283189229E9</v>
      </c>
      <c r="AT147" s="538">
        <v>2.219055924E9</v>
      </c>
      <c r="AU147" s="538">
        <v>64.0</v>
      </c>
      <c r="AV147" s="538" t="s">
        <v>45</v>
      </c>
      <c r="AZ147" s="538">
        <v>1.0</v>
      </c>
      <c r="BA147" s="538">
        <v>1.0</v>
      </c>
      <c r="BB147" s="538">
        <v>1.0</v>
      </c>
      <c r="BC147" s="538">
        <v>1.0</v>
      </c>
      <c r="BD147" s="538">
        <v>1.0</v>
      </c>
      <c r="BE147" s="538">
        <v>0.2</v>
      </c>
      <c r="BF147" s="538">
        <v>0.3</v>
      </c>
      <c r="BG147" s="538">
        <v>0.4</v>
      </c>
      <c r="BH147" s="538">
        <v>0.5</v>
      </c>
      <c r="BI147" s="538">
        <v>0.6</v>
      </c>
      <c r="BJ147" s="546"/>
      <c r="BL147" s="546"/>
    </row>
    <row r="148" ht="22.5" customHeight="1">
      <c r="A148" s="538">
        <v>147.0</v>
      </c>
      <c r="B148" s="538" t="s">
        <v>1140</v>
      </c>
      <c r="C148" s="538" t="s">
        <v>84</v>
      </c>
      <c r="D148" s="538" t="s">
        <v>1108</v>
      </c>
      <c r="E148" s="538" t="s">
        <v>292</v>
      </c>
      <c r="F148" s="538" t="s">
        <v>1135</v>
      </c>
      <c r="G148" s="538" t="s">
        <v>239</v>
      </c>
      <c r="H148" s="538" t="s">
        <v>250</v>
      </c>
      <c r="I148" s="538" t="s">
        <v>155</v>
      </c>
      <c r="J148" s="538" t="s">
        <v>320</v>
      </c>
      <c r="K148" s="538" t="s">
        <v>1141</v>
      </c>
      <c r="L148" s="538" t="s">
        <v>1142</v>
      </c>
      <c r="M148" s="538" t="s">
        <v>661</v>
      </c>
      <c r="N148" s="538" t="s">
        <v>1143</v>
      </c>
      <c r="O148" s="538" t="b">
        <v>0</v>
      </c>
      <c r="P148" s="538" t="b">
        <v>1</v>
      </c>
      <c r="Q148" s="538" t="s">
        <v>79</v>
      </c>
      <c r="R148" s="538" t="s">
        <v>253</v>
      </c>
      <c r="S148" s="538" t="s">
        <v>73</v>
      </c>
      <c r="U148" s="538" t="s">
        <v>79</v>
      </c>
      <c r="V148" s="538" t="s">
        <v>253</v>
      </c>
      <c r="W148" s="538" t="s">
        <v>79</v>
      </c>
      <c r="X148" s="538" t="s">
        <v>253</v>
      </c>
      <c r="Y148" s="538" t="s">
        <v>79</v>
      </c>
      <c r="Z148" s="538" t="s">
        <v>253</v>
      </c>
      <c r="AA148" s="538" t="s">
        <v>79</v>
      </c>
      <c r="AB148" s="538" t="s">
        <v>253</v>
      </c>
      <c r="AC148" s="538" t="s">
        <v>79</v>
      </c>
      <c r="AD148" s="538" t="s">
        <v>253</v>
      </c>
      <c r="AE148" s="538" t="s">
        <v>79</v>
      </c>
      <c r="AF148" s="538" t="s">
        <v>253</v>
      </c>
      <c r="AG148" s="538" t="s">
        <v>79</v>
      </c>
      <c r="AH148" s="538" t="s">
        <v>380</v>
      </c>
      <c r="AI148" s="538" t="s">
        <v>79</v>
      </c>
      <c r="AJ148" s="538" t="s">
        <v>253</v>
      </c>
      <c r="AK148" s="538" t="s">
        <v>79</v>
      </c>
      <c r="AL148" s="538" t="s">
        <v>253</v>
      </c>
      <c r="AM148" s="538" t="s">
        <v>79</v>
      </c>
      <c r="AN148" s="538" t="s">
        <v>253</v>
      </c>
      <c r="AO148" s="538" t="s">
        <v>79</v>
      </c>
      <c r="AP148" s="538" t="s">
        <v>292</v>
      </c>
      <c r="AQ148" s="538" t="s">
        <v>79</v>
      </c>
      <c r="AR148" s="538" t="s">
        <v>292</v>
      </c>
      <c r="AS148" s="538">
        <v>3.199621934E9</v>
      </c>
      <c r="AT148" s="538">
        <v>1.602389738E9</v>
      </c>
      <c r="AU148" s="538">
        <v>65.0</v>
      </c>
      <c r="AV148" s="538" t="s">
        <v>45</v>
      </c>
      <c r="AZ148" s="538">
        <v>1.0</v>
      </c>
      <c r="BA148" s="538">
        <v>1.0</v>
      </c>
      <c r="BB148" s="538">
        <v>1.0</v>
      </c>
      <c r="BE148" s="538">
        <v>0.04</v>
      </c>
      <c r="BF148" s="538">
        <v>0.02</v>
      </c>
      <c r="BG148" s="538">
        <v>0.03</v>
      </c>
      <c r="BJ148" s="546"/>
      <c r="BL148" s="546"/>
    </row>
    <row r="149" ht="22.5" customHeight="1">
      <c r="A149" s="538">
        <v>148.0</v>
      </c>
      <c r="B149" s="538" t="s">
        <v>1140</v>
      </c>
      <c r="C149" s="538" t="s">
        <v>82</v>
      </c>
      <c r="D149" s="538" t="s">
        <v>1108</v>
      </c>
      <c r="E149" s="538" t="s">
        <v>295</v>
      </c>
      <c r="F149" s="538" t="s">
        <v>1109</v>
      </c>
      <c r="G149" s="538" t="s">
        <v>163</v>
      </c>
      <c r="H149" s="538" t="s">
        <v>250</v>
      </c>
      <c r="I149" s="538" t="s">
        <v>155</v>
      </c>
      <c r="K149" s="538" t="s">
        <v>1144</v>
      </c>
      <c r="L149" s="538" t="s">
        <v>1145</v>
      </c>
      <c r="M149" s="538" t="s">
        <v>673</v>
      </c>
      <c r="N149" s="538" t="s">
        <v>695</v>
      </c>
      <c r="O149" s="538" t="b">
        <v>0</v>
      </c>
      <c r="P149" s="538" t="b">
        <v>0</v>
      </c>
      <c r="Q149" s="538" t="s">
        <v>79</v>
      </c>
      <c r="R149" s="538" t="s">
        <v>253</v>
      </c>
      <c r="S149" s="538" t="s">
        <v>73</v>
      </c>
      <c r="U149" s="538" t="s">
        <v>79</v>
      </c>
      <c r="V149" s="538" t="s">
        <v>253</v>
      </c>
      <c r="W149" s="538" t="s">
        <v>79</v>
      </c>
      <c r="X149" s="538" t="s">
        <v>253</v>
      </c>
      <c r="Y149" s="538" t="s">
        <v>79</v>
      </c>
      <c r="Z149" s="538" t="s">
        <v>253</v>
      </c>
      <c r="AA149" s="538" t="s">
        <v>79</v>
      </c>
      <c r="AB149" s="538" t="s">
        <v>253</v>
      </c>
      <c r="AC149" s="538" t="s">
        <v>79</v>
      </c>
      <c r="AD149" s="538" t="s">
        <v>253</v>
      </c>
      <c r="AE149" s="538" t="s">
        <v>79</v>
      </c>
      <c r="AF149" s="538" t="s">
        <v>253</v>
      </c>
      <c r="AG149" s="538" t="s">
        <v>79</v>
      </c>
      <c r="AH149" s="538" t="s">
        <v>380</v>
      </c>
      <c r="AI149" s="538" t="s">
        <v>79</v>
      </c>
      <c r="AJ149" s="538" t="s">
        <v>253</v>
      </c>
      <c r="AK149" s="538" t="s">
        <v>79</v>
      </c>
      <c r="AL149" s="538" t="s">
        <v>253</v>
      </c>
      <c r="AM149" s="538" t="s">
        <v>79</v>
      </c>
      <c r="AN149" s="538" t="s">
        <v>253</v>
      </c>
      <c r="AO149" s="538" t="s">
        <v>79</v>
      </c>
      <c r="AP149" s="538" t="s">
        <v>295</v>
      </c>
      <c r="AQ149" s="538" t="s">
        <v>79</v>
      </c>
      <c r="AR149" s="538" t="s">
        <v>295</v>
      </c>
      <c r="AS149" s="538">
        <v>9.05884666E8</v>
      </c>
      <c r="AT149" s="538">
        <v>1.602389738E9</v>
      </c>
      <c r="AU149" s="538">
        <v>65.0</v>
      </c>
      <c r="AV149" s="538" t="s">
        <v>45</v>
      </c>
      <c r="AZ149" s="538">
        <v>1.0</v>
      </c>
      <c r="BA149" s="538">
        <v>1.0</v>
      </c>
      <c r="BB149" s="538">
        <v>1.0</v>
      </c>
      <c r="BC149" s="538">
        <v>1.0</v>
      </c>
      <c r="BD149" s="538">
        <v>1.0</v>
      </c>
      <c r="BE149" s="538">
        <v>0.15</v>
      </c>
      <c r="BF149" s="538">
        <v>0.2</v>
      </c>
      <c r="BG149" s="538">
        <v>0.25</v>
      </c>
      <c r="BH149" s="538">
        <v>0.3</v>
      </c>
      <c r="BI149" s="538">
        <v>0.4</v>
      </c>
      <c r="BJ149" s="546"/>
      <c r="BL149" s="546"/>
    </row>
    <row r="150" ht="22.5" customHeight="1">
      <c r="A150" s="538">
        <v>149.0</v>
      </c>
      <c r="B150" s="538" t="s">
        <v>1146</v>
      </c>
      <c r="C150" s="538" t="s">
        <v>84</v>
      </c>
      <c r="D150" s="538" t="s">
        <v>1108</v>
      </c>
      <c r="E150" s="538" t="s">
        <v>295</v>
      </c>
      <c r="F150" s="538" t="s">
        <v>315</v>
      </c>
      <c r="G150" s="538" t="s">
        <v>239</v>
      </c>
      <c r="H150" s="538" t="s">
        <v>250</v>
      </c>
      <c r="I150" s="538" t="s">
        <v>155</v>
      </c>
      <c r="J150" s="538" t="s">
        <v>320</v>
      </c>
      <c r="K150" s="538" t="s">
        <v>1147</v>
      </c>
      <c r="L150" s="538" t="s">
        <v>1148</v>
      </c>
      <c r="M150" s="538" t="s">
        <v>661</v>
      </c>
      <c r="N150" s="538" t="s">
        <v>912</v>
      </c>
      <c r="O150" s="538" t="b">
        <v>0</v>
      </c>
      <c r="P150" s="538" t="b">
        <v>1</v>
      </c>
      <c r="Q150" s="538" t="s">
        <v>75</v>
      </c>
      <c r="R150" s="538" t="s">
        <v>315</v>
      </c>
      <c r="S150" s="538" t="s">
        <v>75</v>
      </c>
      <c r="T150" s="538" t="s">
        <v>315</v>
      </c>
      <c r="U150" s="538" t="s">
        <v>75</v>
      </c>
      <c r="V150" s="538" t="s">
        <v>315</v>
      </c>
      <c r="W150" s="538" t="s">
        <v>75</v>
      </c>
      <c r="X150" s="538" t="s">
        <v>315</v>
      </c>
      <c r="Y150" s="538" t="s">
        <v>75</v>
      </c>
      <c r="Z150" s="538" t="s">
        <v>315</v>
      </c>
      <c r="AA150" s="538" t="s">
        <v>75</v>
      </c>
      <c r="AB150" s="538" t="s">
        <v>315</v>
      </c>
      <c r="AC150" s="538" t="s">
        <v>75</v>
      </c>
      <c r="AD150" s="538" t="s">
        <v>315</v>
      </c>
      <c r="AE150" s="538" t="s">
        <v>75</v>
      </c>
      <c r="AF150" s="538" t="s">
        <v>315</v>
      </c>
      <c r="AG150" s="538" t="s">
        <v>75</v>
      </c>
      <c r="AH150" s="538" t="s">
        <v>315</v>
      </c>
      <c r="AI150" s="538" t="s">
        <v>75</v>
      </c>
      <c r="AJ150" s="538" t="s">
        <v>315</v>
      </c>
      <c r="AK150" s="538" t="s">
        <v>75</v>
      </c>
      <c r="AL150" s="538" t="s">
        <v>315</v>
      </c>
      <c r="AM150" s="538" t="s">
        <v>75</v>
      </c>
      <c r="AN150" s="538" t="s">
        <v>315</v>
      </c>
      <c r="AO150" s="538" t="s">
        <v>79</v>
      </c>
      <c r="AP150" s="538" t="s">
        <v>295</v>
      </c>
      <c r="AQ150" s="538" t="s">
        <v>79</v>
      </c>
      <c r="AR150" s="538" t="s">
        <v>295</v>
      </c>
      <c r="AS150" s="538">
        <v>1.63928546E9</v>
      </c>
      <c r="AT150" s="538">
        <v>3.019272402E9</v>
      </c>
      <c r="AU150" s="538">
        <v>120.0</v>
      </c>
      <c r="AV150" s="538" t="s">
        <v>46</v>
      </c>
      <c r="AW150" s="538" t="s">
        <v>437</v>
      </c>
      <c r="AY150" s="538" t="s">
        <v>315</v>
      </c>
      <c r="AZ150" s="538">
        <v>1.0</v>
      </c>
      <c r="BA150" s="538">
        <v>1.0</v>
      </c>
      <c r="BB150" s="538">
        <v>1.0</v>
      </c>
      <c r="BE150" s="538">
        <v>0.2</v>
      </c>
      <c r="BF150" s="538">
        <v>0.1</v>
      </c>
      <c r="BG150" s="538">
        <v>0.2</v>
      </c>
      <c r="BJ150" s="546"/>
      <c r="BL150" s="546"/>
    </row>
    <row r="151" ht="22.5" customHeight="1">
      <c r="A151" s="538">
        <v>150.0</v>
      </c>
      <c r="B151" s="538" t="s">
        <v>1146</v>
      </c>
      <c r="C151" s="538" t="s">
        <v>82</v>
      </c>
      <c r="D151" s="538" t="s">
        <v>1108</v>
      </c>
      <c r="E151" s="538" t="s">
        <v>223</v>
      </c>
      <c r="F151" s="538" t="s">
        <v>315</v>
      </c>
      <c r="G151" s="538" t="s">
        <v>239</v>
      </c>
      <c r="H151" s="538" t="s">
        <v>250</v>
      </c>
      <c r="I151" s="538" t="s">
        <v>122</v>
      </c>
      <c r="J151" s="538" t="s">
        <v>320</v>
      </c>
      <c r="K151" s="538" t="s">
        <v>1149</v>
      </c>
      <c r="L151" s="538" t="s">
        <v>1150</v>
      </c>
      <c r="M151" s="538" t="s">
        <v>673</v>
      </c>
      <c r="N151" s="538" t="s">
        <v>1151</v>
      </c>
      <c r="O151" s="538" t="b">
        <v>0</v>
      </c>
      <c r="P151" s="538" t="b">
        <v>1</v>
      </c>
      <c r="Q151" s="538" t="s">
        <v>75</v>
      </c>
      <c r="R151" s="538" t="s">
        <v>315</v>
      </c>
      <c r="S151" s="538" t="s">
        <v>75</v>
      </c>
      <c r="T151" s="538" t="s">
        <v>315</v>
      </c>
      <c r="U151" s="538" t="s">
        <v>75</v>
      </c>
      <c r="V151" s="538" t="s">
        <v>315</v>
      </c>
      <c r="W151" s="538" t="s">
        <v>75</v>
      </c>
      <c r="X151" s="538" t="s">
        <v>315</v>
      </c>
      <c r="Y151" s="538" t="s">
        <v>75</v>
      </c>
      <c r="Z151" s="538" t="s">
        <v>315</v>
      </c>
      <c r="AA151" s="538" t="s">
        <v>75</v>
      </c>
      <c r="AB151" s="538" t="s">
        <v>315</v>
      </c>
      <c r="AC151" s="538" t="s">
        <v>75</v>
      </c>
      <c r="AD151" s="538" t="s">
        <v>315</v>
      </c>
      <c r="AE151" s="538" t="s">
        <v>75</v>
      </c>
      <c r="AF151" s="538" t="s">
        <v>315</v>
      </c>
      <c r="AG151" s="538" t="s">
        <v>75</v>
      </c>
      <c r="AH151" s="538" t="s">
        <v>315</v>
      </c>
      <c r="AI151" s="538" t="s">
        <v>75</v>
      </c>
      <c r="AJ151" s="538" t="s">
        <v>315</v>
      </c>
      <c r="AK151" s="538" t="s">
        <v>75</v>
      </c>
      <c r="AL151" s="538" t="s">
        <v>315</v>
      </c>
      <c r="AM151" s="538" t="s">
        <v>75</v>
      </c>
      <c r="AN151" s="538" t="s">
        <v>315</v>
      </c>
      <c r="AO151" s="538" t="s">
        <v>79</v>
      </c>
      <c r="AP151" s="538" t="s">
        <v>223</v>
      </c>
      <c r="AQ151" s="538" t="s">
        <v>79</v>
      </c>
      <c r="AR151" s="538" t="s">
        <v>223</v>
      </c>
      <c r="AS151" s="538">
        <v>2.724936958E9</v>
      </c>
      <c r="AT151" s="538">
        <v>3.019272402E9</v>
      </c>
      <c r="AU151" s="538">
        <v>120.0</v>
      </c>
      <c r="AV151" s="538" t="s">
        <v>46</v>
      </c>
      <c r="AW151" s="538" t="s">
        <v>437</v>
      </c>
      <c r="AY151" s="538" t="s">
        <v>315</v>
      </c>
      <c r="AZ151" s="538">
        <v>1.0</v>
      </c>
      <c r="BA151" s="538">
        <v>1.0</v>
      </c>
      <c r="BB151" s="538">
        <v>1.0</v>
      </c>
      <c r="BC151" s="538">
        <v>1.0</v>
      </c>
      <c r="BD151" s="538">
        <v>1.0</v>
      </c>
      <c r="BE151" s="538">
        <v>0.5</v>
      </c>
      <c r="BF151" s="538">
        <v>0.65</v>
      </c>
      <c r="BG151" s="538">
        <v>0.85</v>
      </c>
      <c r="BH151" s="538">
        <v>1.1</v>
      </c>
      <c r="BI151" s="538">
        <v>1.4</v>
      </c>
      <c r="BJ151" s="546"/>
      <c r="BK151" s="547"/>
      <c r="BL151" s="546"/>
    </row>
    <row r="152" ht="22.5" customHeight="1">
      <c r="A152" s="538">
        <v>151.0</v>
      </c>
      <c r="B152" s="538" t="s">
        <v>1152</v>
      </c>
      <c r="C152" s="538" t="s">
        <v>84</v>
      </c>
      <c r="D152" s="538" t="s">
        <v>1108</v>
      </c>
      <c r="E152" s="538" t="s">
        <v>319</v>
      </c>
      <c r="G152" s="538" t="s">
        <v>151</v>
      </c>
      <c r="H152" s="538" t="s">
        <v>250</v>
      </c>
      <c r="I152" s="538" t="s">
        <v>122</v>
      </c>
      <c r="K152" s="538" t="s">
        <v>1153</v>
      </c>
      <c r="L152" s="538" t="s">
        <v>1154</v>
      </c>
      <c r="M152" s="538" t="s">
        <v>661</v>
      </c>
      <c r="N152" s="538" t="s">
        <v>734</v>
      </c>
      <c r="O152" s="538" t="b">
        <v>0</v>
      </c>
      <c r="P152" s="538" t="b">
        <v>1</v>
      </c>
      <c r="Q152" s="538" t="s">
        <v>79</v>
      </c>
      <c r="R152" s="538" t="s">
        <v>319</v>
      </c>
      <c r="S152" s="538" t="s">
        <v>79</v>
      </c>
      <c r="T152" s="538" t="s">
        <v>319</v>
      </c>
      <c r="U152" s="538" t="s">
        <v>79</v>
      </c>
      <c r="V152" s="538" t="s">
        <v>319</v>
      </c>
      <c r="W152" s="538" t="s">
        <v>79</v>
      </c>
      <c r="X152" s="538" t="s">
        <v>319</v>
      </c>
      <c r="Y152" s="538" t="s">
        <v>79</v>
      </c>
      <c r="Z152" s="538" t="s">
        <v>319</v>
      </c>
      <c r="AA152" s="538" t="s">
        <v>79</v>
      </c>
      <c r="AB152" s="538" t="s">
        <v>319</v>
      </c>
      <c r="AC152" s="538" t="s">
        <v>79</v>
      </c>
      <c r="AD152" s="538" t="s">
        <v>319</v>
      </c>
      <c r="AE152" s="538" t="s">
        <v>79</v>
      </c>
      <c r="AF152" s="538" t="s">
        <v>319</v>
      </c>
      <c r="AG152" s="538" t="s">
        <v>79</v>
      </c>
      <c r="AH152" s="538" t="s">
        <v>319</v>
      </c>
      <c r="AI152" s="538" t="s">
        <v>79</v>
      </c>
      <c r="AJ152" s="538" t="s">
        <v>319</v>
      </c>
      <c r="AK152" s="538" t="s">
        <v>79</v>
      </c>
      <c r="AL152" s="538" t="s">
        <v>319</v>
      </c>
      <c r="AM152" s="538" t="s">
        <v>79</v>
      </c>
      <c r="AN152" s="538" t="s">
        <v>319</v>
      </c>
      <c r="AO152" s="538" t="s">
        <v>79</v>
      </c>
      <c r="AP152" s="538" t="s">
        <v>319</v>
      </c>
      <c r="AQ152" s="538" t="s">
        <v>73</v>
      </c>
      <c r="AS152" s="538">
        <v>1.08011378E9</v>
      </c>
      <c r="AT152" s="538">
        <v>4.3410162E7</v>
      </c>
      <c r="AU152" s="538">
        <v>121.0</v>
      </c>
      <c r="AV152" s="538" t="s">
        <v>46</v>
      </c>
      <c r="AZ152" s="538">
        <v>1.0</v>
      </c>
      <c r="BA152" s="538">
        <v>1.0</v>
      </c>
      <c r="BB152" s="538">
        <v>1.0</v>
      </c>
      <c r="BE152" s="538">
        <v>0.2</v>
      </c>
      <c r="BF152" s="538">
        <v>0.05</v>
      </c>
      <c r="BG152" s="538">
        <v>0.15</v>
      </c>
      <c r="BJ152" s="546"/>
      <c r="BL152" s="546"/>
    </row>
    <row r="153" ht="22.5" customHeight="1">
      <c r="A153" s="538">
        <v>152.0</v>
      </c>
      <c r="B153" s="538" t="s">
        <v>1152</v>
      </c>
      <c r="C153" s="538" t="s">
        <v>82</v>
      </c>
      <c r="D153" s="538" t="s">
        <v>1108</v>
      </c>
      <c r="E153" s="538" t="s">
        <v>214</v>
      </c>
      <c r="G153" s="538" t="s">
        <v>239</v>
      </c>
      <c r="H153" s="538" t="s">
        <v>250</v>
      </c>
      <c r="I153" s="538" t="s">
        <v>197</v>
      </c>
      <c r="J153" s="538" t="s">
        <v>379</v>
      </c>
      <c r="K153" s="538" t="s">
        <v>1155</v>
      </c>
      <c r="L153" s="538" t="s">
        <v>1156</v>
      </c>
      <c r="M153" s="538" t="s">
        <v>1157</v>
      </c>
      <c r="N153" s="538" t="s">
        <v>673</v>
      </c>
      <c r="O153" s="538" t="b">
        <v>1</v>
      </c>
      <c r="P153" s="538" t="b">
        <v>1</v>
      </c>
      <c r="Q153" s="538" t="s">
        <v>73</v>
      </c>
      <c r="S153" s="538" t="s">
        <v>73</v>
      </c>
      <c r="U153" s="538" t="s">
        <v>73</v>
      </c>
      <c r="W153" s="538" t="s">
        <v>73</v>
      </c>
      <c r="Y153" s="538" t="s">
        <v>73</v>
      </c>
      <c r="AA153" s="538" t="s">
        <v>73</v>
      </c>
      <c r="AC153" s="538" t="s">
        <v>73</v>
      </c>
      <c r="AE153" s="538" t="s">
        <v>73</v>
      </c>
      <c r="AG153" s="538" t="s">
        <v>73</v>
      </c>
      <c r="AI153" s="538" t="s">
        <v>73</v>
      </c>
      <c r="AK153" s="538" t="s">
        <v>73</v>
      </c>
      <c r="AM153" s="538" t="s">
        <v>73</v>
      </c>
      <c r="AO153" s="538" t="s">
        <v>79</v>
      </c>
      <c r="AP153" s="538" t="s">
        <v>214</v>
      </c>
      <c r="AQ153" s="538" t="s">
        <v>79</v>
      </c>
      <c r="AR153" s="538" t="s">
        <v>214</v>
      </c>
      <c r="AS153" s="538">
        <v>2.657236509E9</v>
      </c>
      <c r="AT153" s="538">
        <v>4.3410162E7</v>
      </c>
      <c r="AU153" s="538">
        <v>121.0</v>
      </c>
      <c r="AV153" s="538" t="s">
        <v>46</v>
      </c>
      <c r="AZ153" s="538">
        <v>0.25</v>
      </c>
      <c r="BA153" s="538">
        <v>0.35</v>
      </c>
      <c r="BB153" s="538">
        <v>0.45</v>
      </c>
      <c r="BC153" s="538">
        <v>0.55</v>
      </c>
      <c r="BD153" s="538">
        <v>0.65</v>
      </c>
      <c r="BE153" s="538">
        <v>1.0</v>
      </c>
      <c r="BF153" s="538">
        <v>1.0</v>
      </c>
      <c r="BG153" s="538">
        <v>1.0</v>
      </c>
      <c r="BH153" s="538">
        <v>1.0</v>
      </c>
      <c r="BI153" s="538">
        <v>1.0</v>
      </c>
      <c r="BJ153" s="546"/>
      <c r="BL153" s="546"/>
    </row>
    <row r="154" ht="22.5" customHeight="1">
      <c r="A154" s="538">
        <v>153.0</v>
      </c>
      <c r="B154" s="538" t="s">
        <v>1158</v>
      </c>
      <c r="C154" s="538" t="s">
        <v>84</v>
      </c>
      <c r="D154" s="538" t="s">
        <v>1108</v>
      </c>
      <c r="E154" s="538" t="s">
        <v>218</v>
      </c>
      <c r="F154" s="538" t="s">
        <v>315</v>
      </c>
      <c r="G154" s="538" t="s">
        <v>239</v>
      </c>
      <c r="H154" s="538" t="s">
        <v>250</v>
      </c>
      <c r="I154" s="538" t="s">
        <v>122</v>
      </c>
      <c r="J154" s="538" t="s">
        <v>320</v>
      </c>
      <c r="K154" s="538" t="s">
        <v>1159</v>
      </c>
      <c r="L154" s="538" t="s">
        <v>1160</v>
      </c>
      <c r="M154" s="538" t="s">
        <v>661</v>
      </c>
      <c r="N154" s="538" t="s">
        <v>662</v>
      </c>
      <c r="O154" s="538" t="b">
        <v>0</v>
      </c>
      <c r="P154" s="538" t="b">
        <v>1</v>
      </c>
      <c r="Q154" s="538" t="s">
        <v>75</v>
      </c>
      <c r="R154" s="538" t="s">
        <v>315</v>
      </c>
      <c r="S154" s="538" t="s">
        <v>75</v>
      </c>
      <c r="T154" s="538" t="s">
        <v>315</v>
      </c>
      <c r="U154" s="538" t="s">
        <v>75</v>
      </c>
      <c r="V154" s="538" t="s">
        <v>315</v>
      </c>
      <c r="W154" s="538" t="s">
        <v>75</v>
      </c>
      <c r="X154" s="538" t="s">
        <v>315</v>
      </c>
      <c r="Y154" s="538" t="s">
        <v>75</v>
      </c>
      <c r="Z154" s="538" t="s">
        <v>315</v>
      </c>
      <c r="AA154" s="538" t="s">
        <v>75</v>
      </c>
      <c r="AB154" s="538" t="s">
        <v>315</v>
      </c>
      <c r="AC154" s="538" t="s">
        <v>75</v>
      </c>
      <c r="AD154" s="538" t="s">
        <v>315</v>
      </c>
      <c r="AE154" s="538" t="s">
        <v>75</v>
      </c>
      <c r="AF154" s="538" t="s">
        <v>315</v>
      </c>
      <c r="AG154" s="538" t="s">
        <v>75</v>
      </c>
      <c r="AH154" s="538" t="s">
        <v>315</v>
      </c>
      <c r="AI154" s="538" t="s">
        <v>75</v>
      </c>
      <c r="AJ154" s="538" t="s">
        <v>315</v>
      </c>
      <c r="AK154" s="538" t="s">
        <v>75</v>
      </c>
      <c r="AL154" s="538" t="s">
        <v>315</v>
      </c>
      <c r="AM154" s="538" t="s">
        <v>75</v>
      </c>
      <c r="AN154" s="538" t="s">
        <v>315</v>
      </c>
      <c r="AO154" s="538" t="s">
        <v>79</v>
      </c>
      <c r="AP154" s="538" t="s">
        <v>218</v>
      </c>
      <c r="AQ154" s="538" t="s">
        <v>79</v>
      </c>
      <c r="AR154" s="538" t="s">
        <v>218</v>
      </c>
      <c r="AS154" s="538">
        <v>2.804399891E9</v>
      </c>
      <c r="AT154" s="538">
        <v>1.349602017E9</v>
      </c>
      <c r="AU154" s="538">
        <v>122.0</v>
      </c>
      <c r="AV154" s="538" t="s">
        <v>46</v>
      </c>
      <c r="AW154" s="538" t="s">
        <v>437</v>
      </c>
      <c r="AY154" s="538" t="s">
        <v>315</v>
      </c>
      <c r="AZ154" s="538">
        <v>1.0</v>
      </c>
      <c r="BA154" s="538">
        <v>1.0</v>
      </c>
      <c r="BB154" s="538">
        <v>1.0</v>
      </c>
      <c r="BE154" s="538">
        <v>0.4</v>
      </c>
      <c r="BF154" s="538">
        <v>0.1</v>
      </c>
      <c r="BG154" s="538">
        <v>0.2</v>
      </c>
      <c r="BJ154" s="546"/>
      <c r="BL154" s="546"/>
    </row>
    <row r="155" ht="22.5" customHeight="1">
      <c r="A155" s="538">
        <v>154.0</v>
      </c>
      <c r="B155" s="538" t="s">
        <v>1158</v>
      </c>
      <c r="C155" s="538" t="s">
        <v>82</v>
      </c>
      <c r="D155" s="538" t="s">
        <v>1108</v>
      </c>
      <c r="E155" s="538" t="s">
        <v>292</v>
      </c>
      <c r="F155" s="538" t="s">
        <v>315</v>
      </c>
      <c r="G155" s="538" t="s">
        <v>239</v>
      </c>
      <c r="H155" s="538" t="s">
        <v>250</v>
      </c>
      <c r="I155" s="538" t="s">
        <v>155</v>
      </c>
      <c r="J155" s="538" t="s">
        <v>320</v>
      </c>
      <c r="K155" s="538" t="s">
        <v>1161</v>
      </c>
      <c r="L155" s="538" t="s">
        <v>1162</v>
      </c>
      <c r="M155" s="538" t="s">
        <v>673</v>
      </c>
      <c r="N155" s="538" t="s">
        <v>1106</v>
      </c>
      <c r="O155" s="538" t="b">
        <v>0</v>
      </c>
      <c r="P155" s="538" t="b">
        <v>1</v>
      </c>
      <c r="Q155" s="538" t="s">
        <v>75</v>
      </c>
      <c r="R155" s="538" t="s">
        <v>315</v>
      </c>
      <c r="S155" s="538" t="s">
        <v>75</v>
      </c>
      <c r="T155" s="538" t="s">
        <v>315</v>
      </c>
      <c r="U155" s="538" t="s">
        <v>75</v>
      </c>
      <c r="V155" s="538" t="s">
        <v>315</v>
      </c>
      <c r="W155" s="538" t="s">
        <v>75</v>
      </c>
      <c r="X155" s="538" t="s">
        <v>315</v>
      </c>
      <c r="Y155" s="538" t="s">
        <v>75</v>
      </c>
      <c r="Z155" s="538" t="s">
        <v>315</v>
      </c>
      <c r="AA155" s="538" t="s">
        <v>75</v>
      </c>
      <c r="AB155" s="538" t="s">
        <v>315</v>
      </c>
      <c r="AC155" s="538" t="s">
        <v>75</v>
      </c>
      <c r="AD155" s="538" t="s">
        <v>315</v>
      </c>
      <c r="AE155" s="538" t="s">
        <v>75</v>
      </c>
      <c r="AF155" s="538" t="s">
        <v>315</v>
      </c>
      <c r="AG155" s="538" t="s">
        <v>75</v>
      </c>
      <c r="AH155" s="538" t="s">
        <v>315</v>
      </c>
      <c r="AI155" s="538" t="s">
        <v>75</v>
      </c>
      <c r="AJ155" s="538" t="s">
        <v>315</v>
      </c>
      <c r="AK155" s="538" t="s">
        <v>75</v>
      </c>
      <c r="AL155" s="538" t="s">
        <v>315</v>
      </c>
      <c r="AM155" s="538" t="s">
        <v>75</v>
      </c>
      <c r="AN155" s="538" t="s">
        <v>315</v>
      </c>
      <c r="AO155" s="538" t="s">
        <v>79</v>
      </c>
      <c r="AP155" s="538" t="s">
        <v>292</v>
      </c>
      <c r="AQ155" s="538" t="s">
        <v>79</v>
      </c>
      <c r="AR155" s="538" t="s">
        <v>292</v>
      </c>
      <c r="AS155" s="538">
        <v>1.975058516E9</v>
      </c>
      <c r="AT155" s="538">
        <v>1.349602017E9</v>
      </c>
      <c r="AU155" s="538">
        <v>122.0</v>
      </c>
      <c r="AV155" s="538" t="s">
        <v>46</v>
      </c>
      <c r="AW155" s="538" t="s">
        <v>437</v>
      </c>
      <c r="AY155" s="538" t="s">
        <v>315</v>
      </c>
      <c r="AZ155" s="538">
        <v>1.0</v>
      </c>
      <c r="BA155" s="538">
        <v>1.0</v>
      </c>
      <c r="BB155" s="538">
        <v>1.0</v>
      </c>
      <c r="BC155" s="538">
        <v>1.0</v>
      </c>
      <c r="BD155" s="538">
        <v>1.0</v>
      </c>
      <c r="BE155" s="538">
        <v>0.05</v>
      </c>
      <c r="BF155" s="538">
        <v>0.08</v>
      </c>
      <c r="BG155" s="538">
        <v>0.1</v>
      </c>
      <c r="BH155" s="538">
        <v>0.15</v>
      </c>
      <c r="BI155" s="538">
        <v>0.2</v>
      </c>
      <c r="BJ155" s="546"/>
      <c r="BL155" s="546"/>
    </row>
    <row r="156" ht="22.5" customHeight="1">
      <c r="A156" s="538">
        <v>155.0</v>
      </c>
      <c r="B156" s="538" t="s">
        <v>1163</v>
      </c>
      <c r="C156" s="538" t="s">
        <v>84</v>
      </c>
      <c r="D156" s="538" t="s">
        <v>1164</v>
      </c>
      <c r="E156" s="538" t="s">
        <v>218</v>
      </c>
      <c r="F156" s="538" t="s">
        <v>1165</v>
      </c>
      <c r="G156" s="538" t="s">
        <v>118</v>
      </c>
      <c r="H156" s="538" t="s">
        <v>222</v>
      </c>
      <c r="I156" s="538" t="s">
        <v>189</v>
      </c>
      <c r="J156" s="538" t="s">
        <v>308</v>
      </c>
      <c r="K156" s="538" t="s">
        <v>1166</v>
      </c>
      <c r="L156" s="538" t="s">
        <v>1167</v>
      </c>
      <c r="M156" s="538" t="s">
        <v>661</v>
      </c>
      <c r="N156" s="538" t="s">
        <v>1168</v>
      </c>
      <c r="O156" s="538" t="b">
        <v>0</v>
      </c>
      <c r="P156" s="538" t="b">
        <v>1</v>
      </c>
      <c r="Q156" s="538" t="s">
        <v>79</v>
      </c>
      <c r="R156" s="538" t="s">
        <v>365</v>
      </c>
      <c r="S156" s="538" t="s">
        <v>79</v>
      </c>
      <c r="T156" s="538" t="s">
        <v>365</v>
      </c>
      <c r="U156" s="538" t="s">
        <v>79</v>
      </c>
      <c r="V156" s="538" t="s">
        <v>365</v>
      </c>
      <c r="W156" s="538" t="s">
        <v>79</v>
      </c>
      <c r="X156" s="538" t="s">
        <v>365</v>
      </c>
      <c r="Y156" s="538" t="s">
        <v>79</v>
      </c>
      <c r="Z156" s="538" t="s">
        <v>365</v>
      </c>
      <c r="AA156" s="538" t="s">
        <v>79</v>
      </c>
      <c r="AB156" s="538" t="s">
        <v>365</v>
      </c>
      <c r="AC156" s="538" t="s">
        <v>75</v>
      </c>
      <c r="AD156" s="538" t="s">
        <v>679</v>
      </c>
      <c r="AE156" s="538" t="s">
        <v>75</v>
      </c>
      <c r="AF156" s="538" t="s">
        <v>679</v>
      </c>
      <c r="AG156" s="538" t="s">
        <v>79</v>
      </c>
      <c r="AH156" s="538" t="s">
        <v>365</v>
      </c>
      <c r="AI156" s="538" t="s">
        <v>79</v>
      </c>
      <c r="AJ156" s="538" t="s">
        <v>365</v>
      </c>
      <c r="AK156" s="538" t="s">
        <v>79</v>
      </c>
      <c r="AL156" s="538" t="s">
        <v>365</v>
      </c>
      <c r="AM156" s="538" t="s">
        <v>79</v>
      </c>
      <c r="AN156" s="538" t="s">
        <v>365</v>
      </c>
      <c r="AO156" s="538" t="s">
        <v>79</v>
      </c>
      <c r="AP156" s="538" t="s">
        <v>218</v>
      </c>
      <c r="AQ156" s="538" t="s">
        <v>79</v>
      </c>
      <c r="AR156" s="538" t="s">
        <v>218</v>
      </c>
      <c r="AS156" s="538">
        <v>2.953367854E9</v>
      </c>
      <c r="AT156" s="538">
        <v>6.34330627E8</v>
      </c>
      <c r="AU156" s="538">
        <v>123.0</v>
      </c>
      <c r="AV156" s="538" t="s">
        <v>47</v>
      </c>
      <c r="AY156" s="538" t="s">
        <v>679</v>
      </c>
      <c r="AZ156" s="538">
        <v>1.0</v>
      </c>
      <c r="BA156" s="538">
        <v>1.0</v>
      </c>
      <c r="BB156" s="538">
        <v>1.0</v>
      </c>
      <c r="BE156" s="538">
        <v>0.1</v>
      </c>
      <c r="BF156" s="538">
        <v>0.03</v>
      </c>
      <c r="BG156" s="538">
        <v>0.05</v>
      </c>
      <c r="BJ156" s="546"/>
      <c r="BL156" s="546"/>
    </row>
    <row r="157" ht="22.5" customHeight="1">
      <c r="A157" s="538">
        <v>156.0</v>
      </c>
      <c r="B157" s="538" t="s">
        <v>1163</v>
      </c>
      <c r="C157" s="538" t="s">
        <v>82</v>
      </c>
      <c r="D157" s="538" t="s">
        <v>1164</v>
      </c>
      <c r="E157" s="538" t="s">
        <v>218</v>
      </c>
      <c r="F157" s="538" t="s">
        <v>374</v>
      </c>
      <c r="G157" s="538" t="s">
        <v>249</v>
      </c>
      <c r="H157" s="538" t="s">
        <v>250</v>
      </c>
      <c r="I157" s="538" t="s">
        <v>122</v>
      </c>
      <c r="J157" s="538" t="s">
        <v>305</v>
      </c>
      <c r="K157" s="538" t="s">
        <v>1169</v>
      </c>
      <c r="L157" s="538" t="s">
        <v>1170</v>
      </c>
      <c r="M157" s="538" t="s">
        <v>673</v>
      </c>
      <c r="N157" s="538" t="s">
        <v>1171</v>
      </c>
      <c r="O157" s="538" t="b">
        <v>0</v>
      </c>
      <c r="P157" s="538" t="b">
        <v>1</v>
      </c>
      <c r="Q157" s="538" t="s">
        <v>75</v>
      </c>
      <c r="R157" s="538" t="s">
        <v>679</v>
      </c>
      <c r="S157" s="538" t="s">
        <v>75</v>
      </c>
      <c r="T157" s="538" t="s">
        <v>679</v>
      </c>
      <c r="U157" s="538" t="s">
        <v>75</v>
      </c>
      <c r="V157" s="538" t="s">
        <v>679</v>
      </c>
      <c r="W157" s="538" t="s">
        <v>75</v>
      </c>
      <c r="X157" s="538" t="s">
        <v>679</v>
      </c>
      <c r="Y157" s="538" t="s">
        <v>75</v>
      </c>
      <c r="Z157" s="538" t="s">
        <v>679</v>
      </c>
      <c r="AA157" s="538" t="s">
        <v>75</v>
      </c>
      <c r="AB157" s="538" t="s">
        <v>679</v>
      </c>
      <c r="AC157" s="538" t="s">
        <v>75</v>
      </c>
      <c r="AD157" s="538" t="s">
        <v>679</v>
      </c>
      <c r="AE157" s="538" t="s">
        <v>75</v>
      </c>
      <c r="AF157" s="538" t="s">
        <v>679</v>
      </c>
      <c r="AG157" s="538" t="s">
        <v>75</v>
      </c>
      <c r="AH157" s="538" t="s">
        <v>679</v>
      </c>
      <c r="AI157" s="538" t="s">
        <v>75</v>
      </c>
      <c r="AJ157" s="538" t="s">
        <v>679</v>
      </c>
      <c r="AK157" s="538" t="s">
        <v>75</v>
      </c>
      <c r="AL157" s="538" t="s">
        <v>679</v>
      </c>
      <c r="AM157" s="538" t="s">
        <v>75</v>
      </c>
      <c r="AN157" s="538" t="s">
        <v>679</v>
      </c>
      <c r="AO157" s="538" t="s">
        <v>79</v>
      </c>
      <c r="AP157" s="538" t="s">
        <v>218</v>
      </c>
      <c r="AQ157" s="538" t="s">
        <v>79</v>
      </c>
      <c r="AR157" s="538" t="s">
        <v>218</v>
      </c>
      <c r="AS157" s="538">
        <v>1.501211612E9</v>
      </c>
      <c r="AT157" s="538">
        <v>6.34330627E8</v>
      </c>
      <c r="AU157" s="538">
        <v>123.0</v>
      </c>
      <c r="AV157" s="538" t="s">
        <v>47</v>
      </c>
      <c r="AY157" s="538" t="s">
        <v>679</v>
      </c>
      <c r="AZ157" s="538">
        <v>1.0</v>
      </c>
      <c r="BA157" s="538">
        <v>1.0</v>
      </c>
      <c r="BB157" s="538">
        <v>1.0</v>
      </c>
      <c r="BC157" s="538">
        <v>1.0</v>
      </c>
      <c r="BD157" s="538">
        <v>1.0</v>
      </c>
      <c r="BE157" s="538">
        <v>2.0</v>
      </c>
      <c r="BF157" s="538">
        <v>2.5</v>
      </c>
      <c r="BG157" s="538">
        <v>3.0</v>
      </c>
      <c r="BH157" s="538">
        <v>3.5</v>
      </c>
      <c r="BI157" s="538">
        <v>4.0</v>
      </c>
      <c r="BJ157" s="546"/>
      <c r="BL157" s="546"/>
    </row>
    <row r="158" ht="22.5" customHeight="1">
      <c r="A158" s="538">
        <v>157.0</v>
      </c>
      <c r="B158" s="538" t="s">
        <v>1172</v>
      </c>
      <c r="C158" s="538" t="s">
        <v>84</v>
      </c>
      <c r="D158" s="538" t="s">
        <v>1164</v>
      </c>
      <c r="E158" s="538" t="s">
        <v>218</v>
      </c>
      <c r="F158" s="538" t="s">
        <v>374</v>
      </c>
      <c r="G158" s="538" t="s">
        <v>244</v>
      </c>
      <c r="H158" s="538" t="s">
        <v>250</v>
      </c>
      <c r="I158" s="538" t="s">
        <v>122</v>
      </c>
      <c r="J158" s="538" t="s">
        <v>305</v>
      </c>
      <c r="K158" s="538" t="s">
        <v>1173</v>
      </c>
      <c r="L158" s="538" t="s">
        <v>1174</v>
      </c>
      <c r="M158" s="538" t="s">
        <v>661</v>
      </c>
      <c r="N158" s="538" t="s">
        <v>785</v>
      </c>
      <c r="O158" s="538" t="b">
        <v>0</v>
      </c>
      <c r="P158" s="538" t="b">
        <v>1</v>
      </c>
      <c r="Q158" s="538" t="s">
        <v>75</v>
      </c>
      <c r="R158" s="538" t="s">
        <v>679</v>
      </c>
      <c r="S158" s="538" t="s">
        <v>75</v>
      </c>
      <c r="T158" s="538" t="s">
        <v>679</v>
      </c>
      <c r="U158" s="538" t="s">
        <v>75</v>
      </c>
      <c r="V158" s="538" t="s">
        <v>679</v>
      </c>
      <c r="W158" s="538" t="s">
        <v>75</v>
      </c>
      <c r="X158" s="538" t="s">
        <v>679</v>
      </c>
      <c r="Y158" s="538" t="s">
        <v>75</v>
      </c>
      <c r="Z158" s="538" t="s">
        <v>679</v>
      </c>
      <c r="AA158" s="538" t="s">
        <v>75</v>
      </c>
      <c r="AB158" s="538" t="s">
        <v>679</v>
      </c>
      <c r="AC158" s="538" t="s">
        <v>75</v>
      </c>
      <c r="AD158" s="538" t="s">
        <v>679</v>
      </c>
      <c r="AE158" s="538" t="s">
        <v>75</v>
      </c>
      <c r="AF158" s="538" t="s">
        <v>679</v>
      </c>
      <c r="AG158" s="538" t="s">
        <v>75</v>
      </c>
      <c r="AH158" s="538" t="s">
        <v>679</v>
      </c>
      <c r="AI158" s="538" t="s">
        <v>75</v>
      </c>
      <c r="AJ158" s="538" t="s">
        <v>679</v>
      </c>
      <c r="AK158" s="538" t="s">
        <v>75</v>
      </c>
      <c r="AL158" s="538" t="s">
        <v>679</v>
      </c>
      <c r="AM158" s="538" t="s">
        <v>75</v>
      </c>
      <c r="AN158" s="538" t="s">
        <v>679</v>
      </c>
      <c r="AO158" s="538" t="s">
        <v>79</v>
      </c>
      <c r="AP158" s="538" t="s">
        <v>218</v>
      </c>
      <c r="AQ158" s="538" t="s">
        <v>79</v>
      </c>
      <c r="AR158" s="538" t="s">
        <v>218</v>
      </c>
      <c r="AS158" s="538">
        <v>3.789527814E9</v>
      </c>
      <c r="AT158" s="538">
        <v>9.49329475E8</v>
      </c>
      <c r="AU158" s="538">
        <v>124.0</v>
      </c>
      <c r="AV158" s="538" t="s">
        <v>47</v>
      </c>
      <c r="AY158" s="538" t="s">
        <v>679</v>
      </c>
      <c r="AZ158" s="538">
        <v>1.0</v>
      </c>
      <c r="BA158" s="538">
        <v>1.0</v>
      </c>
      <c r="BB158" s="538">
        <v>1.0</v>
      </c>
      <c r="BE158" s="538">
        <v>0.1</v>
      </c>
      <c r="BF158" s="538">
        <v>0.02</v>
      </c>
      <c r="BG158" s="538">
        <v>0.05</v>
      </c>
      <c r="BJ158" s="546"/>
      <c r="BL158" s="546"/>
    </row>
    <row r="159" ht="22.5" customHeight="1">
      <c r="A159" s="538">
        <v>158.0</v>
      </c>
      <c r="B159" s="538" t="s">
        <v>1172</v>
      </c>
      <c r="C159" s="538" t="s">
        <v>82</v>
      </c>
      <c r="D159" s="538" t="s">
        <v>1164</v>
      </c>
      <c r="E159" s="538" t="s">
        <v>366</v>
      </c>
      <c r="F159" s="538" t="s">
        <v>374</v>
      </c>
      <c r="G159" s="538" t="s">
        <v>249</v>
      </c>
      <c r="H159" s="538" t="s">
        <v>250</v>
      </c>
      <c r="I159" s="538" t="s">
        <v>122</v>
      </c>
      <c r="J159" s="538" t="s">
        <v>305</v>
      </c>
      <c r="K159" s="538" t="s">
        <v>1175</v>
      </c>
      <c r="L159" s="538" t="s">
        <v>1176</v>
      </c>
      <c r="M159" s="538" t="s">
        <v>1177</v>
      </c>
      <c r="N159" s="538" t="s">
        <v>1178</v>
      </c>
      <c r="O159" s="538" t="b">
        <v>1</v>
      </c>
      <c r="P159" s="538" t="b">
        <v>1</v>
      </c>
      <c r="Q159" s="538" t="s">
        <v>75</v>
      </c>
      <c r="R159" s="538" t="s">
        <v>679</v>
      </c>
      <c r="S159" s="538" t="s">
        <v>75</v>
      </c>
      <c r="T159" s="538" t="s">
        <v>679</v>
      </c>
      <c r="U159" s="538" t="s">
        <v>75</v>
      </c>
      <c r="V159" s="538" t="s">
        <v>679</v>
      </c>
      <c r="W159" s="538" t="s">
        <v>75</v>
      </c>
      <c r="X159" s="538" t="s">
        <v>679</v>
      </c>
      <c r="Y159" s="538" t="s">
        <v>75</v>
      </c>
      <c r="Z159" s="538" t="s">
        <v>679</v>
      </c>
      <c r="AA159" s="538" t="s">
        <v>75</v>
      </c>
      <c r="AB159" s="538" t="s">
        <v>679</v>
      </c>
      <c r="AC159" s="538" t="s">
        <v>75</v>
      </c>
      <c r="AD159" s="538" t="s">
        <v>679</v>
      </c>
      <c r="AE159" s="538" t="s">
        <v>75</v>
      </c>
      <c r="AF159" s="538" t="s">
        <v>679</v>
      </c>
      <c r="AG159" s="538" t="s">
        <v>75</v>
      </c>
      <c r="AH159" s="538" t="s">
        <v>679</v>
      </c>
      <c r="AI159" s="538" t="s">
        <v>75</v>
      </c>
      <c r="AJ159" s="538" t="s">
        <v>679</v>
      </c>
      <c r="AK159" s="538" t="s">
        <v>75</v>
      </c>
      <c r="AL159" s="538" t="s">
        <v>679</v>
      </c>
      <c r="AM159" s="538" t="s">
        <v>75</v>
      </c>
      <c r="AN159" s="538" t="s">
        <v>679</v>
      </c>
      <c r="AO159" s="538" t="s">
        <v>79</v>
      </c>
      <c r="AP159" s="538" t="s">
        <v>366</v>
      </c>
      <c r="AQ159" s="538" t="s">
        <v>79</v>
      </c>
      <c r="AR159" s="538" t="s">
        <v>366</v>
      </c>
      <c r="AS159" s="538">
        <v>1.608351478E9</v>
      </c>
      <c r="AT159" s="538">
        <v>9.49329475E8</v>
      </c>
      <c r="AU159" s="538">
        <v>124.0</v>
      </c>
      <c r="AV159" s="538" t="s">
        <v>47</v>
      </c>
      <c r="AY159" s="538" t="s">
        <v>679</v>
      </c>
      <c r="AZ159" s="538">
        <v>0.35</v>
      </c>
      <c r="BA159" s="538">
        <v>0.45</v>
      </c>
      <c r="BB159" s="538">
        <v>0.55</v>
      </c>
      <c r="BC159" s="538">
        <v>0.65</v>
      </c>
      <c r="BD159" s="538">
        <v>0.75</v>
      </c>
      <c r="BE159" s="538">
        <v>0.05</v>
      </c>
      <c r="BF159" s="538">
        <v>0.05</v>
      </c>
      <c r="BG159" s="538">
        <v>0.05</v>
      </c>
      <c r="BH159" s="538">
        <v>0.05</v>
      </c>
      <c r="BI159" s="538">
        <v>0.05</v>
      </c>
      <c r="BJ159" s="546"/>
      <c r="BL159" s="546"/>
    </row>
    <row r="160" ht="22.5" customHeight="1">
      <c r="A160" s="538">
        <v>159.0</v>
      </c>
      <c r="B160" s="538" t="s">
        <v>1179</v>
      </c>
      <c r="C160" s="538" t="s">
        <v>84</v>
      </c>
      <c r="D160" s="538" t="s">
        <v>1164</v>
      </c>
      <c r="E160" s="538" t="s">
        <v>292</v>
      </c>
      <c r="F160" s="538" t="s">
        <v>233</v>
      </c>
      <c r="G160" s="538" t="s">
        <v>163</v>
      </c>
      <c r="H160" s="538" t="s">
        <v>222</v>
      </c>
      <c r="I160" s="538" t="s">
        <v>201</v>
      </c>
      <c r="J160" s="538" t="s">
        <v>247</v>
      </c>
      <c r="K160" s="538" t="s">
        <v>1180</v>
      </c>
      <c r="L160" s="538" t="s">
        <v>1181</v>
      </c>
      <c r="M160" s="538" t="s">
        <v>912</v>
      </c>
      <c r="N160" s="538" t="s">
        <v>1182</v>
      </c>
      <c r="O160" s="538" t="b">
        <v>1</v>
      </c>
      <c r="P160" s="538" t="b">
        <v>1</v>
      </c>
      <c r="Q160" s="538" t="s">
        <v>79</v>
      </c>
      <c r="R160" s="538" t="s">
        <v>233</v>
      </c>
      <c r="S160" s="538" t="s">
        <v>79</v>
      </c>
      <c r="T160" s="538" t="s">
        <v>233</v>
      </c>
      <c r="U160" s="538" t="s">
        <v>75</v>
      </c>
      <c r="V160" s="538" t="s">
        <v>1183</v>
      </c>
      <c r="W160" s="538" t="s">
        <v>75</v>
      </c>
      <c r="X160" s="538" t="s">
        <v>1183</v>
      </c>
      <c r="Y160" s="538" t="s">
        <v>75</v>
      </c>
      <c r="Z160" s="538" t="s">
        <v>1183</v>
      </c>
      <c r="AA160" s="538" t="s">
        <v>75</v>
      </c>
      <c r="AB160" s="538" t="s">
        <v>1183</v>
      </c>
      <c r="AC160" s="538" t="s">
        <v>75</v>
      </c>
      <c r="AD160" s="538" t="s">
        <v>1183</v>
      </c>
      <c r="AE160" s="538" t="s">
        <v>75</v>
      </c>
      <c r="AF160" s="538" t="s">
        <v>1183</v>
      </c>
      <c r="AG160" s="538" t="s">
        <v>75</v>
      </c>
      <c r="AH160" s="538" t="s">
        <v>1183</v>
      </c>
      <c r="AI160" s="538" t="s">
        <v>79</v>
      </c>
      <c r="AJ160" s="538" t="s">
        <v>233</v>
      </c>
      <c r="AK160" s="538" t="s">
        <v>79</v>
      </c>
      <c r="AL160" s="538" t="s">
        <v>233</v>
      </c>
      <c r="AM160" s="538" t="s">
        <v>79</v>
      </c>
      <c r="AN160" s="538" t="s">
        <v>233</v>
      </c>
      <c r="AO160" s="538" t="s">
        <v>79</v>
      </c>
      <c r="AP160" s="538" t="s">
        <v>292</v>
      </c>
      <c r="AQ160" s="538" t="s">
        <v>79</v>
      </c>
      <c r="AR160" s="538" t="s">
        <v>292</v>
      </c>
      <c r="AS160" s="538">
        <v>1.96211263E8</v>
      </c>
      <c r="AT160" s="538">
        <v>2.651130337E9</v>
      </c>
      <c r="AU160" s="538">
        <v>126.0</v>
      </c>
      <c r="AV160" s="538" t="s">
        <v>41</v>
      </c>
      <c r="AY160" s="538" t="s">
        <v>1183</v>
      </c>
      <c r="AZ160" s="538">
        <v>0.2</v>
      </c>
      <c r="BA160" s="538">
        <v>0.1</v>
      </c>
      <c r="BB160" s="538">
        <v>0.2</v>
      </c>
      <c r="BE160" s="538">
        <v>0.15</v>
      </c>
      <c r="BF160" s="538">
        <v>0.0</v>
      </c>
      <c r="BG160" s="538">
        <v>0.0</v>
      </c>
      <c r="BJ160" s="546"/>
      <c r="BL160" s="546"/>
    </row>
    <row r="161" ht="22.5" customHeight="1">
      <c r="A161" s="538">
        <v>160.0</v>
      </c>
      <c r="B161" s="538" t="s">
        <v>1179</v>
      </c>
      <c r="C161" s="538" t="s">
        <v>82</v>
      </c>
      <c r="D161" s="538" t="s">
        <v>1164</v>
      </c>
      <c r="E161" s="538" t="s">
        <v>295</v>
      </c>
      <c r="F161" s="538" t="s">
        <v>233</v>
      </c>
      <c r="G161" s="538" t="s">
        <v>163</v>
      </c>
      <c r="H161" s="538" t="s">
        <v>250</v>
      </c>
      <c r="I161" s="538" t="s">
        <v>155</v>
      </c>
      <c r="J161" s="538" t="s">
        <v>252</v>
      </c>
      <c r="K161" s="538" t="s">
        <v>1184</v>
      </c>
      <c r="L161" s="538" t="s">
        <v>1185</v>
      </c>
      <c r="M161" s="538" t="s">
        <v>673</v>
      </c>
      <c r="N161" s="538" t="s">
        <v>1186</v>
      </c>
      <c r="O161" s="538" t="b">
        <v>0</v>
      </c>
      <c r="P161" s="538" t="b">
        <v>1</v>
      </c>
      <c r="Q161" s="538" t="s">
        <v>79</v>
      </c>
      <c r="R161" s="538" t="s">
        <v>233</v>
      </c>
      <c r="S161" s="538" t="s">
        <v>79</v>
      </c>
      <c r="T161" s="538" t="s">
        <v>233</v>
      </c>
      <c r="U161" s="538" t="s">
        <v>75</v>
      </c>
      <c r="V161" s="538" t="s">
        <v>1183</v>
      </c>
      <c r="W161" s="538" t="s">
        <v>75</v>
      </c>
      <c r="X161" s="538" t="s">
        <v>1183</v>
      </c>
      <c r="Y161" s="538" t="s">
        <v>75</v>
      </c>
      <c r="Z161" s="538" t="s">
        <v>1183</v>
      </c>
      <c r="AA161" s="538" t="s">
        <v>75</v>
      </c>
      <c r="AB161" s="538" t="s">
        <v>1183</v>
      </c>
      <c r="AC161" s="538" t="s">
        <v>75</v>
      </c>
      <c r="AD161" s="538" t="s">
        <v>1183</v>
      </c>
      <c r="AE161" s="538" t="s">
        <v>75</v>
      </c>
      <c r="AF161" s="538" t="s">
        <v>1183</v>
      </c>
      <c r="AG161" s="538" t="s">
        <v>75</v>
      </c>
      <c r="AH161" s="538" t="s">
        <v>1183</v>
      </c>
      <c r="AI161" s="538" t="s">
        <v>79</v>
      </c>
      <c r="AJ161" s="538" t="s">
        <v>233</v>
      </c>
      <c r="AK161" s="538" t="s">
        <v>79</v>
      </c>
      <c r="AL161" s="538" t="s">
        <v>233</v>
      </c>
      <c r="AM161" s="538" t="s">
        <v>79</v>
      </c>
      <c r="AN161" s="538" t="s">
        <v>233</v>
      </c>
      <c r="AO161" s="538" t="s">
        <v>79</v>
      </c>
      <c r="AP161" s="538" t="s">
        <v>295</v>
      </c>
      <c r="AQ161" s="538" t="s">
        <v>79</v>
      </c>
      <c r="AR161" s="538" t="s">
        <v>295</v>
      </c>
      <c r="AS161" s="538">
        <v>4.129104008E9</v>
      </c>
      <c r="AT161" s="538">
        <v>2.651130337E9</v>
      </c>
      <c r="AU161" s="538">
        <v>126.0</v>
      </c>
      <c r="AV161" s="538" t="s">
        <v>41</v>
      </c>
      <c r="AY161" s="538" t="s">
        <v>1183</v>
      </c>
      <c r="AZ161" s="538">
        <v>1.0</v>
      </c>
      <c r="BA161" s="538">
        <v>1.0</v>
      </c>
      <c r="BB161" s="538">
        <v>1.0</v>
      </c>
      <c r="BC161" s="538">
        <v>1.0</v>
      </c>
      <c r="BD161" s="538">
        <v>1.0</v>
      </c>
      <c r="BE161" s="538">
        <v>0.2</v>
      </c>
      <c r="BF161" s="538">
        <v>0.3</v>
      </c>
      <c r="BG161" s="538">
        <v>0.5</v>
      </c>
      <c r="BH161" s="538">
        <v>0.7</v>
      </c>
      <c r="BI161" s="538">
        <v>0.9</v>
      </c>
      <c r="BJ161" s="546"/>
      <c r="BL161" s="546"/>
    </row>
    <row r="162" ht="22.5" customHeight="1">
      <c r="A162" s="538">
        <v>161.0</v>
      </c>
      <c r="B162" s="538" t="s">
        <v>1187</v>
      </c>
      <c r="C162" s="538" t="s">
        <v>84</v>
      </c>
      <c r="D162" s="538" t="s">
        <v>1164</v>
      </c>
      <c r="E162" s="538" t="s">
        <v>340</v>
      </c>
      <c r="G162" s="538" t="s">
        <v>151</v>
      </c>
      <c r="H162" s="538" t="s">
        <v>240</v>
      </c>
      <c r="I162" s="538" t="s">
        <v>122</v>
      </c>
      <c r="K162" s="538" t="s">
        <v>1188</v>
      </c>
      <c r="L162" s="538" t="s">
        <v>1189</v>
      </c>
      <c r="M162" s="538" t="s">
        <v>661</v>
      </c>
      <c r="N162" s="538" t="s">
        <v>1190</v>
      </c>
      <c r="O162" s="538" t="b">
        <v>0</v>
      </c>
      <c r="P162" s="538" t="b">
        <v>1</v>
      </c>
      <c r="Q162" s="538" t="s">
        <v>73</v>
      </c>
      <c r="S162" s="538" t="s">
        <v>73</v>
      </c>
      <c r="U162" s="538" t="s">
        <v>73</v>
      </c>
      <c r="W162" s="538" t="s">
        <v>73</v>
      </c>
      <c r="Y162" s="538" t="s">
        <v>73</v>
      </c>
      <c r="AA162" s="538" t="s">
        <v>73</v>
      </c>
      <c r="AC162" s="538" t="s">
        <v>73</v>
      </c>
      <c r="AE162" s="538" t="s">
        <v>73</v>
      </c>
      <c r="AG162" s="538" t="s">
        <v>73</v>
      </c>
      <c r="AI162" s="538" t="s">
        <v>73</v>
      </c>
      <c r="AK162" s="538" t="s">
        <v>73</v>
      </c>
      <c r="AM162" s="538" t="s">
        <v>73</v>
      </c>
      <c r="AO162" s="538" t="s">
        <v>79</v>
      </c>
      <c r="AP162" s="538" t="s">
        <v>340</v>
      </c>
      <c r="AQ162" s="538" t="s">
        <v>79</v>
      </c>
      <c r="AR162" s="538" t="s">
        <v>340</v>
      </c>
      <c r="AS162" s="538">
        <v>1.604629509E9</v>
      </c>
      <c r="AT162" s="538">
        <v>1.330179266E9</v>
      </c>
      <c r="AU162" s="538">
        <v>125.0</v>
      </c>
      <c r="AV162" s="538" t="s">
        <v>46</v>
      </c>
      <c r="AZ162" s="538">
        <v>1.0</v>
      </c>
      <c r="BA162" s="538">
        <v>1.0</v>
      </c>
      <c r="BB162" s="538">
        <v>1.0</v>
      </c>
      <c r="BE162" s="538">
        <v>0.5</v>
      </c>
      <c r="BF162" s="538">
        <v>0.25</v>
      </c>
      <c r="BG162" s="538">
        <v>0.5</v>
      </c>
      <c r="BJ162" s="546"/>
      <c r="BL162" s="546"/>
    </row>
    <row r="163" ht="22.5" customHeight="1">
      <c r="A163" s="538">
        <v>162.0</v>
      </c>
      <c r="B163" s="538" t="s">
        <v>1187</v>
      </c>
      <c r="C163" s="538" t="s">
        <v>82</v>
      </c>
      <c r="D163" s="538" t="s">
        <v>1164</v>
      </c>
      <c r="E163" s="538" t="s">
        <v>218</v>
      </c>
      <c r="G163" s="538" t="s">
        <v>163</v>
      </c>
      <c r="H163" s="538" t="s">
        <v>250</v>
      </c>
      <c r="I163" s="538" t="s">
        <v>176</v>
      </c>
      <c r="J163" s="538" t="s">
        <v>393</v>
      </c>
      <c r="K163" s="538" t="s">
        <v>1191</v>
      </c>
      <c r="L163" s="538" t="s">
        <v>1192</v>
      </c>
      <c r="M163" s="538" t="s">
        <v>781</v>
      </c>
      <c r="N163" s="538" t="s">
        <v>1193</v>
      </c>
      <c r="O163" s="538" t="b">
        <v>1</v>
      </c>
      <c r="P163" s="538" t="b">
        <v>1</v>
      </c>
      <c r="Q163" s="538" t="s">
        <v>73</v>
      </c>
      <c r="S163" s="538" t="s">
        <v>73</v>
      </c>
      <c r="U163" s="538" t="s">
        <v>73</v>
      </c>
      <c r="W163" s="538" t="s">
        <v>73</v>
      </c>
      <c r="Y163" s="538" t="s">
        <v>73</v>
      </c>
      <c r="AA163" s="538" t="s">
        <v>73</v>
      </c>
      <c r="AC163" s="538" t="s">
        <v>73</v>
      </c>
      <c r="AE163" s="538" t="s">
        <v>73</v>
      </c>
      <c r="AG163" s="538" t="s">
        <v>73</v>
      </c>
      <c r="AI163" s="538" t="s">
        <v>73</v>
      </c>
      <c r="AK163" s="538" t="s">
        <v>73</v>
      </c>
      <c r="AM163" s="538" t="s">
        <v>73</v>
      </c>
      <c r="AO163" s="538" t="s">
        <v>79</v>
      </c>
      <c r="AP163" s="538" t="s">
        <v>218</v>
      </c>
      <c r="AQ163" s="538" t="s">
        <v>79</v>
      </c>
      <c r="AR163" s="538" t="s">
        <v>218</v>
      </c>
      <c r="AS163" s="538">
        <v>3.958845992E9</v>
      </c>
      <c r="AT163" s="538">
        <v>1.330179266E9</v>
      </c>
      <c r="AU163" s="538">
        <v>125.0</v>
      </c>
      <c r="AV163" s="538" t="s">
        <v>46</v>
      </c>
      <c r="AZ163" s="538">
        <v>0.2</v>
      </c>
      <c r="BA163" s="538">
        <v>0.3</v>
      </c>
      <c r="BB163" s="538">
        <v>0.4</v>
      </c>
      <c r="BC163" s="538">
        <v>0.5</v>
      </c>
      <c r="BD163" s="538">
        <v>0.6</v>
      </c>
      <c r="BE163" s="538">
        <v>3.0</v>
      </c>
      <c r="BF163" s="538">
        <v>3.0</v>
      </c>
      <c r="BG163" s="538">
        <v>3.0</v>
      </c>
      <c r="BH163" s="538">
        <v>3.0</v>
      </c>
      <c r="BI163" s="538">
        <v>3.0</v>
      </c>
      <c r="BJ163" s="546"/>
      <c r="BL163" s="546"/>
    </row>
    <row r="164" ht="22.5" customHeight="1">
      <c r="A164" s="538">
        <v>163.0</v>
      </c>
      <c r="B164" s="538" t="s">
        <v>1194</v>
      </c>
      <c r="C164" s="538" t="s">
        <v>84</v>
      </c>
      <c r="D164" s="538" t="s">
        <v>1164</v>
      </c>
      <c r="E164" s="538" t="s">
        <v>292</v>
      </c>
      <c r="F164" s="538" t="s">
        <v>228</v>
      </c>
      <c r="G164" s="538" t="s">
        <v>163</v>
      </c>
      <c r="H164" s="538" t="s">
        <v>250</v>
      </c>
      <c r="I164" s="538" t="s">
        <v>155</v>
      </c>
      <c r="J164" s="538" t="s">
        <v>320</v>
      </c>
      <c r="K164" s="538" t="s">
        <v>1195</v>
      </c>
      <c r="L164" s="538" t="s">
        <v>1196</v>
      </c>
      <c r="M164" s="538" t="s">
        <v>661</v>
      </c>
      <c r="N164" s="538" t="s">
        <v>1197</v>
      </c>
      <c r="O164" s="538" t="b">
        <v>0</v>
      </c>
      <c r="P164" s="538" t="b">
        <v>1</v>
      </c>
      <c r="Q164" s="538" t="s">
        <v>79</v>
      </c>
      <c r="R164" s="538" t="s">
        <v>228</v>
      </c>
      <c r="S164" s="538" t="s">
        <v>79</v>
      </c>
      <c r="T164" s="538" t="s">
        <v>228</v>
      </c>
      <c r="U164" s="538" t="s">
        <v>73</v>
      </c>
      <c r="W164" s="538" t="s">
        <v>73</v>
      </c>
      <c r="Y164" s="538" t="s">
        <v>79</v>
      </c>
      <c r="Z164" s="538" t="s">
        <v>228</v>
      </c>
      <c r="AA164" s="538" t="s">
        <v>73</v>
      </c>
      <c r="AC164" s="538" t="s">
        <v>73</v>
      </c>
      <c r="AE164" s="538" t="s">
        <v>73</v>
      </c>
      <c r="AG164" s="538" t="s">
        <v>79</v>
      </c>
      <c r="AH164" s="538" t="s">
        <v>228</v>
      </c>
      <c r="AI164" s="538" t="s">
        <v>73</v>
      </c>
      <c r="AK164" s="538" t="s">
        <v>79</v>
      </c>
      <c r="AL164" s="538" t="s">
        <v>228</v>
      </c>
      <c r="AM164" s="538" t="s">
        <v>79</v>
      </c>
      <c r="AN164" s="538" t="s">
        <v>228</v>
      </c>
      <c r="AO164" s="538" t="s">
        <v>79</v>
      </c>
      <c r="AP164" s="538" t="s">
        <v>292</v>
      </c>
      <c r="AQ164" s="538" t="s">
        <v>79</v>
      </c>
      <c r="AR164" s="538" t="s">
        <v>292</v>
      </c>
      <c r="AS164" s="538">
        <v>3.587777576E9</v>
      </c>
      <c r="AT164" s="538">
        <v>1.083140166E9</v>
      </c>
      <c r="AU164" s="538">
        <v>127.0</v>
      </c>
      <c r="AV164" s="538" t="s">
        <v>45</v>
      </c>
      <c r="AZ164" s="538">
        <v>1.0</v>
      </c>
      <c r="BA164" s="538">
        <v>1.0</v>
      </c>
      <c r="BB164" s="538">
        <v>1.0</v>
      </c>
      <c r="BE164" s="538">
        <v>0.2</v>
      </c>
      <c r="BF164" s="538">
        <v>0.15</v>
      </c>
      <c r="BG164" s="538">
        <v>0.2</v>
      </c>
      <c r="BJ164" s="546"/>
      <c r="BL164" s="546"/>
    </row>
    <row r="165" ht="22.5" customHeight="1">
      <c r="A165" s="538">
        <v>164.0</v>
      </c>
      <c r="B165" s="538" t="s">
        <v>1194</v>
      </c>
      <c r="C165" s="538" t="s">
        <v>82</v>
      </c>
      <c r="D165" s="538" t="s">
        <v>1164</v>
      </c>
      <c r="E165" s="538" t="s">
        <v>286</v>
      </c>
      <c r="G165" s="538" t="s">
        <v>151</v>
      </c>
      <c r="H165" s="538" t="s">
        <v>250</v>
      </c>
      <c r="I165" s="538" t="s">
        <v>122</v>
      </c>
      <c r="K165" s="538" t="s">
        <v>1198</v>
      </c>
      <c r="L165" s="538" t="s">
        <v>1199</v>
      </c>
      <c r="M165" s="538" t="s">
        <v>673</v>
      </c>
      <c r="N165" s="538" t="s">
        <v>1200</v>
      </c>
      <c r="O165" s="538" t="b">
        <v>0</v>
      </c>
      <c r="P165" s="538" t="b">
        <v>1</v>
      </c>
      <c r="Q165" s="538" t="s">
        <v>79</v>
      </c>
      <c r="R165" s="538" t="s">
        <v>286</v>
      </c>
      <c r="S165" s="538" t="s">
        <v>79</v>
      </c>
      <c r="T165" s="538" t="s">
        <v>286</v>
      </c>
      <c r="U165" s="538" t="s">
        <v>79</v>
      </c>
      <c r="V165" s="538" t="s">
        <v>286</v>
      </c>
      <c r="W165" s="538" t="s">
        <v>79</v>
      </c>
      <c r="X165" s="538" t="s">
        <v>286</v>
      </c>
      <c r="Y165" s="538" t="s">
        <v>79</v>
      </c>
      <c r="Z165" s="538" t="s">
        <v>286</v>
      </c>
      <c r="AA165" s="538" t="s">
        <v>79</v>
      </c>
      <c r="AB165" s="538" t="s">
        <v>286</v>
      </c>
      <c r="AC165" s="538" t="s">
        <v>79</v>
      </c>
      <c r="AD165" s="538" t="s">
        <v>286</v>
      </c>
      <c r="AE165" s="538" t="s">
        <v>79</v>
      </c>
      <c r="AF165" s="538" t="s">
        <v>286</v>
      </c>
      <c r="AG165" s="538" t="s">
        <v>79</v>
      </c>
      <c r="AH165" s="538" t="s">
        <v>286</v>
      </c>
      <c r="AI165" s="538" t="s">
        <v>79</v>
      </c>
      <c r="AJ165" s="538" t="s">
        <v>286</v>
      </c>
      <c r="AK165" s="538" t="s">
        <v>79</v>
      </c>
      <c r="AL165" s="538" t="s">
        <v>286</v>
      </c>
      <c r="AM165" s="538" t="s">
        <v>79</v>
      </c>
      <c r="AN165" s="538" t="s">
        <v>286</v>
      </c>
      <c r="AO165" s="538" t="s">
        <v>79</v>
      </c>
      <c r="AP165" s="538" t="s">
        <v>286</v>
      </c>
      <c r="AQ165" s="538" t="s">
        <v>73</v>
      </c>
      <c r="AS165" s="538">
        <v>2.608766342E9</v>
      </c>
      <c r="AT165" s="538">
        <v>1.083140166E9</v>
      </c>
      <c r="AU165" s="538">
        <v>127.0</v>
      </c>
      <c r="AV165" s="538" t="s">
        <v>45</v>
      </c>
      <c r="AZ165" s="538">
        <v>1.0</v>
      </c>
      <c r="BA165" s="538">
        <v>1.0</v>
      </c>
      <c r="BB165" s="538">
        <v>1.0</v>
      </c>
      <c r="BC165" s="538">
        <v>1.0</v>
      </c>
      <c r="BD165" s="538">
        <v>1.0</v>
      </c>
      <c r="BE165" s="538">
        <v>0.15</v>
      </c>
      <c r="BF165" s="538">
        <v>0.2</v>
      </c>
      <c r="BG165" s="538">
        <v>0.25</v>
      </c>
      <c r="BH165" s="538">
        <v>0.35</v>
      </c>
      <c r="BI165" s="538">
        <v>0.5</v>
      </c>
      <c r="BJ165" s="546"/>
      <c r="BL165" s="546"/>
    </row>
    <row r="166" ht="22.5" customHeight="1">
      <c r="A166" s="538">
        <v>165.0</v>
      </c>
      <c r="B166" s="538" t="s">
        <v>1201</v>
      </c>
      <c r="C166" s="538" t="s">
        <v>84</v>
      </c>
      <c r="D166" s="538" t="s">
        <v>1164</v>
      </c>
      <c r="E166" s="538" t="s">
        <v>292</v>
      </c>
      <c r="F166" s="538" t="s">
        <v>233</v>
      </c>
      <c r="G166" s="538" t="s">
        <v>163</v>
      </c>
      <c r="H166" s="538" t="s">
        <v>250</v>
      </c>
      <c r="I166" s="538" t="s">
        <v>155</v>
      </c>
      <c r="J166" s="538" t="s">
        <v>252</v>
      </c>
      <c r="K166" s="538" t="s">
        <v>1202</v>
      </c>
      <c r="L166" s="538" t="s">
        <v>1203</v>
      </c>
      <c r="M166" s="538" t="s">
        <v>661</v>
      </c>
      <c r="N166" s="538" t="s">
        <v>741</v>
      </c>
      <c r="O166" s="538" t="b">
        <v>0</v>
      </c>
      <c r="P166" s="538" t="b">
        <v>1</v>
      </c>
      <c r="Q166" s="538" t="s">
        <v>79</v>
      </c>
      <c r="R166" s="538" t="s">
        <v>233</v>
      </c>
      <c r="S166" s="538" t="s">
        <v>79</v>
      </c>
      <c r="T166" s="538" t="s">
        <v>233</v>
      </c>
      <c r="U166" s="538" t="s">
        <v>75</v>
      </c>
      <c r="V166" s="538" t="s">
        <v>1183</v>
      </c>
      <c r="W166" s="538" t="s">
        <v>75</v>
      </c>
      <c r="X166" s="538" t="s">
        <v>1183</v>
      </c>
      <c r="Y166" s="538" t="s">
        <v>75</v>
      </c>
      <c r="Z166" s="538" t="s">
        <v>1183</v>
      </c>
      <c r="AA166" s="538" t="s">
        <v>75</v>
      </c>
      <c r="AB166" s="538" t="s">
        <v>1183</v>
      </c>
      <c r="AC166" s="538" t="s">
        <v>75</v>
      </c>
      <c r="AD166" s="538" t="s">
        <v>1183</v>
      </c>
      <c r="AE166" s="538" t="s">
        <v>75</v>
      </c>
      <c r="AF166" s="538" t="s">
        <v>1183</v>
      </c>
      <c r="AG166" s="538" t="s">
        <v>75</v>
      </c>
      <c r="AH166" s="538" t="s">
        <v>1183</v>
      </c>
      <c r="AI166" s="538" t="s">
        <v>79</v>
      </c>
      <c r="AJ166" s="538" t="s">
        <v>233</v>
      </c>
      <c r="AK166" s="538" t="s">
        <v>79</v>
      </c>
      <c r="AL166" s="538" t="s">
        <v>233</v>
      </c>
      <c r="AM166" s="538" t="s">
        <v>79</v>
      </c>
      <c r="AN166" s="538" t="s">
        <v>233</v>
      </c>
      <c r="AO166" s="538" t="s">
        <v>79</v>
      </c>
      <c r="AP166" s="538" t="s">
        <v>292</v>
      </c>
      <c r="AQ166" s="538" t="s">
        <v>79</v>
      </c>
      <c r="AR166" s="538" t="s">
        <v>292</v>
      </c>
      <c r="AS166" s="538">
        <v>1.074437376E9</v>
      </c>
      <c r="AT166" s="538">
        <v>2.29898163E8</v>
      </c>
      <c r="AU166" s="538">
        <v>129.0</v>
      </c>
      <c r="AV166" s="538" t="s">
        <v>46</v>
      </c>
      <c r="AY166" s="538" t="s">
        <v>1183</v>
      </c>
      <c r="AZ166" s="538">
        <v>1.0</v>
      </c>
      <c r="BA166" s="538">
        <v>1.0</v>
      </c>
      <c r="BB166" s="538">
        <v>1.0</v>
      </c>
      <c r="BE166" s="538">
        <v>0.2</v>
      </c>
      <c r="BF166" s="538">
        <v>0.05</v>
      </c>
      <c r="BG166" s="538">
        <v>0.1</v>
      </c>
      <c r="BJ166" s="546"/>
      <c r="BL166" s="546"/>
    </row>
    <row r="167" ht="22.5" customHeight="1">
      <c r="A167" s="538">
        <v>166.0</v>
      </c>
      <c r="B167" s="538" t="s">
        <v>1201</v>
      </c>
      <c r="C167" s="538" t="s">
        <v>82</v>
      </c>
      <c r="D167" s="538" t="s">
        <v>1164</v>
      </c>
      <c r="E167" s="538" t="s">
        <v>223</v>
      </c>
      <c r="F167" s="538" t="s">
        <v>233</v>
      </c>
      <c r="G167" s="538" t="s">
        <v>163</v>
      </c>
      <c r="H167" s="538" t="s">
        <v>222</v>
      </c>
      <c r="I167" s="538" t="s">
        <v>189</v>
      </c>
      <c r="J167" s="538" t="s">
        <v>247</v>
      </c>
      <c r="K167" s="538" t="s">
        <v>1204</v>
      </c>
      <c r="L167" s="538" t="s">
        <v>1205</v>
      </c>
      <c r="M167" s="538" t="s">
        <v>763</v>
      </c>
      <c r="N167" s="538" t="s">
        <v>1206</v>
      </c>
      <c r="O167" s="538" t="b">
        <v>1</v>
      </c>
      <c r="P167" s="538" t="b">
        <v>1</v>
      </c>
      <c r="Q167" s="538" t="s">
        <v>79</v>
      </c>
      <c r="R167" s="538" t="s">
        <v>233</v>
      </c>
      <c r="S167" s="538" t="s">
        <v>79</v>
      </c>
      <c r="T167" s="538" t="s">
        <v>233</v>
      </c>
      <c r="U167" s="538" t="s">
        <v>75</v>
      </c>
      <c r="V167" s="538" t="s">
        <v>1183</v>
      </c>
      <c r="W167" s="538" t="s">
        <v>75</v>
      </c>
      <c r="X167" s="538" t="s">
        <v>1183</v>
      </c>
      <c r="Y167" s="538" t="s">
        <v>75</v>
      </c>
      <c r="Z167" s="538" t="s">
        <v>1183</v>
      </c>
      <c r="AA167" s="538" t="s">
        <v>75</v>
      </c>
      <c r="AB167" s="538" t="s">
        <v>1183</v>
      </c>
      <c r="AC167" s="538" t="s">
        <v>75</v>
      </c>
      <c r="AD167" s="538" t="s">
        <v>1183</v>
      </c>
      <c r="AE167" s="538" t="s">
        <v>75</v>
      </c>
      <c r="AF167" s="538" t="s">
        <v>1183</v>
      </c>
      <c r="AG167" s="538" t="s">
        <v>75</v>
      </c>
      <c r="AH167" s="538" t="s">
        <v>1183</v>
      </c>
      <c r="AI167" s="538" t="s">
        <v>79</v>
      </c>
      <c r="AJ167" s="538" t="s">
        <v>233</v>
      </c>
      <c r="AK167" s="538" t="s">
        <v>79</v>
      </c>
      <c r="AL167" s="538" t="s">
        <v>233</v>
      </c>
      <c r="AM167" s="538" t="s">
        <v>79</v>
      </c>
      <c r="AN167" s="538" t="s">
        <v>233</v>
      </c>
      <c r="AO167" s="538" t="s">
        <v>79</v>
      </c>
      <c r="AP167" s="538" t="s">
        <v>223</v>
      </c>
      <c r="AQ167" s="538" t="s">
        <v>79</v>
      </c>
      <c r="AR167" s="538" t="s">
        <v>223</v>
      </c>
      <c r="AS167" s="538">
        <v>3.792739416E9</v>
      </c>
      <c r="AT167" s="538">
        <v>2.29898163E8</v>
      </c>
      <c r="AU167" s="538">
        <v>129.0</v>
      </c>
      <c r="AV167" s="538" t="s">
        <v>46</v>
      </c>
      <c r="AY167" s="538" t="s">
        <v>1183</v>
      </c>
      <c r="AZ167" s="538">
        <v>0.25</v>
      </c>
      <c r="BA167" s="538">
        <v>0.3</v>
      </c>
      <c r="BB167" s="538">
        <v>0.35</v>
      </c>
      <c r="BC167" s="538">
        <v>0.4</v>
      </c>
      <c r="BD167" s="538">
        <v>0.5</v>
      </c>
      <c r="BE167" s="538">
        <v>0.4</v>
      </c>
      <c r="BF167" s="538">
        <v>0.4</v>
      </c>
      <c r="BG167" s="538">
        <v>0.4</v>
      </c>
      <c r="BH167" s="538">
        <v>0.4</v>
      </c>
      <c r="BI167" s="538">
        <v>0.4</v>
      </c>
      <c r="BJ167" s="546"/>
      <c r="BL167" s="546"/>
    </row>
    <row r="168" ht="22.5" customHeight="1">
      <c r="A168" s="538">
        <v>167.0</v>
      </c>
      <c r="B168" s="538" t="s">
        <v>1207</v>
      </c>
      <c r="C168" s="538" t="s">
        <v>84</v>
      </c>
      <c r="D168" s="538" t="s">
        <v>1164</v>
      </c>
      <c r="E168" s="538" t="s">
        <v>369</v>
      </c>
      <c r="F168" s="538" t="s">
        <v>233</v>
      </c>
      <c r="G168" s="538" t="s">
        <v>163</v>
      </c>
      <c r="H168" s="538" t="s">
        <v>222</v>
      </c>
      <c r="I168" s="538" t="s">
        <v>189</v>
      </c>
      <c r="J168" s="538" t="s">
        <v>252</v>
      </c>
      <c r="K168" s="538" t="s">
        <v>1208</v>
      </c>
      <c r="L168" s="538" t="s">
        <v>1209</v>
      </c>
      <c r="M168" s="538" t="s">
        <v>661</v>
      </c>
      <c r="N168" s="538" t="s">
        <v>1210</v>
      </c>
      <c r="O168" s="538" t="b">
        <v>0</v>
      </c>
      <c r="P168" s="538" t="b">
        <v>1</v>
      </c>
      <c r="Q168" s="538" t="s">
        <v>79</v>
      </c>
      <c r="R168" s="538" t="s">
        <v>233</v>
      </c>
      <c r="S168" s="538" t="s">
        <v>79</v>
      </c>
      <c r="T168" s="538" t="s">
        <v>233</v>
      </c>
      <c r="U168" s="538" t="s">
        <v>75</v>
      </c>
      <c r="V168" s="538" t="s">
        <v>1183</v>
      </c>
      <c r="W168" s="538" t="s">
        <v>75</v>
      </c>
      <c r="X168" s="538" t="s">
        <v>1183</v>
      </c>
      <c r="Y168" s="538" t="s">
        <v>75</v>
      </c>
      <c r="Z168" s="538" t="s">
        <v>1183</v>
      </c>
      <c r="AA168" s="538" t="s">
        <v>75</v>
      </c>
      <c r="AB168" s="538" t="s">
        <v>1183</v>
      </c>
      <c r="AC168" s="538" t="s">
        <v>75</v>
      </c>
      <c r="AD168" s="538" t="s">
        <v>1183</v>
      </c>
      <c r="AE168" s="538" t="s">
        <v>75</v>
      </c>
      <c r="AF168" s="538" t="s">
        <v>1183</v>
      </c>
      <c r="AG168" s="538" t="s">
        <v>75</v>
      </c>
      <c r="AH168" s="538" t="s">
        <v>1183</v>
      </c>
      <c r="AI168" s="538" t="s">
        <v>79</v>
      </c>
      <c r="AJ168" s="538" t="s">
        <v>233</v>
      </c>
      <c r="AK168" s="538" t="s">
        <v>79</v>
      </c>
      <c r="AL168" s="538" t="s">
        <v>233</v>
      </c>
      <c r="AM168" s="538" t="s">
        <v>79</v>
      </c>
      <c r="AN168" s="538" t="s">
        <v>233</v>
      </c>
      <c r="AO168" s="538" t="s">
        <v>79</v>
      </c>
      <c r="AP168" s="538" t="s">
        <v>369</v>
      </c>
      <c r="AQ168" s="538" t="s">
        <v>79</v>
      </c>
      <c r="AR168" s="538" t="s">
        <v>369</v>
      </c>
      <c r="AS168" s="538">
        <v>2.54956305E8</v>
      </c>
      <c r="AT168" s="538">
        <v>3.106264505E9</v>
      </c>
      <c r="AU168" s="538">
        <v>128.0</v>
      </c>
      <c r="AV168" s="538" t="s">
        <v>41</v>
      </c>
      <c r="AY168" s="538" t="s">
        <v>1183</v>
      </c>
      <c r="AZ168" s="538">
        <v>1.0</v>
      </c>
      <c r="BA168" s="538">
        <v>1.0</v>
      </c>
      <c r="BB168" s="538">
        <v>1.0</v>
      </c>
      <c r="BE168" s="538">
        <v>0.04</v>
      </c>
      <c r="BF168" s="538">
        <v>0.01</v>
      </c>
      <c r="BG168" s="538">
        <v>0.02</v>
      </c>
      <c r="BJ168" s="546"/>
      <c r="BL168" s="546"/>
    </row>
    <row r="169" ht="22.5" customHeight="1">
      <c r="A169" s="538">
        <v>168.0</v>
      </c>
      <c r="B169" s="538" t="s">
        <v>1207</v>
      </c>
      <c r="C169" s="538" t="s">
        <v>82</v>
      </c>
      <c r="D169" s="538" t="s">
        <v>1164</v>
      </c>
      <c r="E169" s="538" t="s">
        <v>223</v>
      </c>
      <c r="F169" s="538" t="s">
        <v>233</v>
      </c>
      <c r="G169" s="538" t="s">
        <v>163</v>
      </c>
      <c r="H169" s="538" t="s">
        <v>250</v>
      </c>
      <c r="I169" s="538" t="s">
        <v>122</v>
      </c>
      <c r="J169" s="538" t="s">
        <v>247</v>
      </c>
      <c r="K169" s="538" t="s">
        <v>1211</v>
      </c>
      <c r="L169" s="538" t="s">
        <v>1212</v>
      </c>
      <c r="M169" s="538" t="s">
        <v>1177</v>
      </c>
      <c r="N169" s="538" t="s">
        <v>673</v>
      </c>
      <c r="O169" s="538" t="b">
        <v>1</v>
      </c>
      <c r="P169" s="538" t="b">
        <v>1</v>
      </c>
      <c r="Q169" s="538" t="s">
        <v>79</v>
      </c>
      <c r="R169" s="538" t="s">
        <v>233</v>
      </c>
      <c r="S169" s="538" t="s">
        <v>79</v>
      </c>
      <c r="T169" s="538" t="s">
        <v>233</v>
      </c>
      <c r="U169" s="538" t="s">
        <v>75</v>
      </c>
      <c r="V169" s="538" t="s">
        <v>1183</v>
      </c>
      <c r="W169" s="538" t="s">
        <v>75</v>
      </c>
      <c r="X169" s="538" t="s">
        <v>1183</v>
      </c>
      <c r="Y169" s="538" t="s">
        <v>75</v>
      </c>
      <c r="Z169" s="538" t="s">
        <v>1183</v>
      </c>
      <c r="AA169" s="538" t="s">
        <v>75</v>
      </c>
      <c r="AB169" s="538" t="s">
        <v>1183</v>
      </c>
      <c r="AC169" s="538" t="s">
        <v>75</v>
      </c>
      <c r="AD169" s="538" t="s">
        <v>1183</v>
      </c>
      <c r="AE169" s="538" t="s">
        <v>75</v>
      </c>
      <c r="AF169" s="538" t="s">
        <v>1183</v>
      </c>
      <c r="AG169" s="538" t="s">
        <v>75</v>
      </c>
      <c r="AH169" s="538" t="s">
        <v>1183</v>
      </c>
      <c r="AI169" s="538" t="s">
        <v>79</v>
      </c>
      <c r="AJ169" s="538" t="s">
        <v>233</v>
      </c>
      <c r="AK169" s="538" t="s">
        <v>79</v>
      </c>
      <c r="AL169" s="538" t="s">
        <v>233</v>
      </c>
      <c r="AM169" s="538" t="s">
        <v>79</v>
      </c>
      <c r="AN169" s="538" t="s">
        <v>233</v>
      </c>
      <c r="AO169" s="538" t="s">
        <v>79</v>
      </c>
      <c r="AP169" s="538" t="s">
        <v>223</v>
      </c>
      <c r="AQ169" s="538" t="s">
        <v>79</v>
      </c>
      <c r="AR169" s="538" t="s">
        <v>223</v>
      </c>
      <c r="AS169" s="538">
        <v>7.80595425E8</v>
      </c>
      <c r="AT169" s="538">
        <v>3.106264505E9</v>
      </c>
      <c r="AU169" s="538">
        <v>128.0</v>
      </c>
      <c r="AV169" s="538" t="s">
        <v>41</v>
      </c>
      <c r="AY169" s="538" t="s">
        <v>1183</v>
      </c>
      <c r="AZ169" s="538">
        <v>0.35</v>
      </c>
      <c r="BA169" s="538">
        <v>0.45</v>
      </c>
      <c r="BB169" s="538">
        <v>0.55</v>
      </c>
      <c r="BC169" s="538">
        <v>0.65</v>
      </c>
      <c r="BD169" s="538">
        <v>0.75</v>
      </c>
      <c r="BE169" s="538">
        <v>1.0</v>
      </c>
      <c r="BF169" s="538">
        <v>1.0</v>
      </c>
      <c r="BG169" s="538">
        <v>1.0</v>
      </c>
      <c r="BH169" s="538">
        <v>1.0</v>
      </c>
      <c r="BI169" s="538">
        <v>1.0</v>
      </c>
      <c r="BJ169" s="546"/>
      <c r="BL169" s="546"/>
    </row>
    <row r="170" ht="22.5" customHeight="1">
      <c r="A170" s="538">
        <v>169.0</v>
      </c>
      <c r="B170" s="538" t="s">
        <v>1213</v>
      </c>
      <c r="C170" s="538" t="s">
        <v>84</v>
      </c>
      <c r="D170" s="538" t="s">
        <v>1164</v>
      </c>
      <c r="E170" s="538" t="s">
        <v>369</v>
      </c>
      <c r="F170" s="538" t="s">
        <v>374</v>
      </c>
      <c r="G170" s="538" t="s">
        <v>163</v>
      </c>
      <c r="H170" s="538" t="s">
        <v>250</v>
      </c>
      <c r="I170" s="538" t="s">
        <v>155</v>
      </c>
      <c r="J170" s="538" t="s">
        <v>311</v>
      </c>
      <c r="K170" s="538" t="s">
        <v>1214</v>
      </c>
      <c r="L170" s="538" t="s">
        <v>1215</v>
      </c>
      <c r="M170" s="538" t="s">
        <v>662</v>
      </c>
      <c r="N170" s="538" t="s">
        <v>1216</v>
      </c>
      <c r="O170" s="538" t="b">
        <v>1</v>
      </c>
      <c r="P170" s="538" t="b">
        <v>1</v>
      </c>
      <c r="Q170" s="538" t="s">
        <v>75</v>
      </c>
      <c r="R170" s="538" t="s">
        <v>679</v>
      </c>
      <c r="S170" s="538" t="s">
        <v>75</v>
      </c>
      <c r="T170" s="538" t="s">
        <v>679</v>
      </c>
      <c r="U170" s="538" t="s">
        <v>75</v>
      </c>
      <c r="V170" s="538" t="s">
        <v>679</v>
      </c>
      <c r="W170" s="538" t="s">
        <v>75</v>
      </c>
      <c r="X170" s="538" t="s">
        <v>679</v>
      </c>
      <c r="Y170" s="538" t="s">
        <v>75</v>
      </c>
      <c r="Z170" s="538" t="s">
        <v>679</v>
      </c>
      <c r="AA170" s="538" t="s">
        <v>75</v>
      </c>
      <c r="AB170" s="538" t="s">
        <v>679</v>
      </c>
      <c r="AC170" s="538" t="s">
        <v>75</v>
      </c>
      <c r="AD170" s="538" t="s">
        <v>679</v>
      </c>
      <c r="AE170" s="538" t="s">
        <v>75</v>
      </c>
      <c r="AF170" s="538" t="s">
        <v>679</v>
      </c>
      <c r="AG170" s="538" t="s">
        <v>75</v>
      </c>
      <c r="AH170" s="538" t="s">
        <v>679</v>
      </c>
      <c r="AI170" s="538" t="s">
        <v>75</v>
      </c>
      <c r="AJ170" s="538" t="s">
        <v>679</v>
      </c>
      <c r="AK170" s="538" t="s">
        <v>75</v>
      </c>
      <c r="AL170" s="538" t="s">
        <v>679</v>
      </c>
      <c r="AM170" s="538" t="s">
        <v>75</v>
      </c>
      <c r="AN170" s="538" t="s">
        <v>679</v>
      </c>
      <c r="AO170" s="538" t="s">
        <v>79</v>
      </c>
      <c r="AP170" s="538" t="s">
        <v>369</v>
      </c>
      <c r="AQ170" s="538" t="s">
        <v>79</v>
      </c>
      <c r="AR170" s="538" t="s">
        <v>369</v>
      </c>
      <c r="AS170" s="538">
        <v>2.186472721E9</v>
      </c>
      <c r="AT170" s="538">
        <v>6.77303054E8</v>
      </c>
      <c r="AU170" s="538">
        <v>130.0</v>
      </c>
      <c r="AV170" s="538" t="s">
        <v>47</v>
      </c>
      <c r="AY170" s="538" t="s">
        <v>679</v>
      </c>
      <c r="AZ170" s="538">
        <v>0.4</v>
      </c>
      <c r="BA170" s="538">
        <v>0.1</v>
      </c>
      <c r="BB170" s="538">
        <v>0.2</v>
      </c>
      <c r="BE170" s="538">
        <v>0.18</v>
      </c>
      <c r="BF170" s="538">
        <v>0.0</v>
      </c>
      <c r="BG170" s="538">
        <v>0.0</v>
      </c>
      <c r="BJ170" s="546"/>
      <c r="BL170" s="546"/>
    </row>
    <row r="171" ht="22.5" customHeight="1">
      <c r="A171" s="538">
        <v>170.0</v>
      </c>
      <c r="B171" s="538" t="s">
        <v>1213</v>
      </c>
      <c r="C171" s="538" t="s">
        <v>82</v>
      </c>
      <c r="D171" s="538" t="s">
        <v>1164</v>
      </c>
      <c r="E171" s="538" t="s">
        <v>112</v>
      </c>
      <c r="F171" s="538" t="s">
        <v>374</v>
      </c>
      <c r="G171" s="538" t="s">
        <v>163</v>
      </c>
      <c r="H171" s="538" t="s">
        <v>250</v>
      </c>
      <c r="I171" s="538" t="s">
        <v>122</v>
      </c>
      <c r="J171" s="538" t="s">
        <v>308</v>
      </c>
      <c r="K171" s="538" t="s">
        <v>1217</v>
      </c>
      <c r="L171" s="538" t="s">
        <v>1218</v>
      </c>
      <c r="M171" s="538" t="s">
        <v>781</v>
      </c>
      <c r="N171" s="538" t="s">
        <v>673</v>
      </c>
      <c r="O171" s="538" t="b">
        <v>1</v>
      </c>
      <c r="P171" s="538" t="b">
        <v>1</v>
      </c>
      <c r="Q171" s="538" t="s">
        <v>75</v>
      </c>
      <c r="R171" s="538" t="s">
        <v>679</v>
      </c>
      <c r="S171" s="538" t="s">
        <v>75</v>
      </c>
      <c r="T171" s="538" t="s">
        <v>679</v>
      </c>
      <c r="U171" s="538" t="s">
        <v>75</v>
      </c>
      <c r="V171" s="538" t="s">
        <v>679</v>
      </c>
      <c r="W171" s="538" t="s">
        <v>75</v>
      </c>
      <c r="X171" s="538" t="s">
        <v>679</v>
      </c>
      <c r="Y171" s="538" t="s">
        <v>75</v>
      </c>
      <c r="Z171" s="538" t="s">
        <v>679</v>
      </c>
      <c r="AA171" s="538" t="s">
        <v>75</v>
      </c>
      <c r="AB171" s="538" t="s">
        <v>679</v>
      </c>
      <c r="AC171" s="538" t="s">
        <v>75</v>
      </c>
      <c r="AD171" s="538" t="s">
        <v>679</v>
      </c>
      <c r="AE171" s="538" t="s">
        <v>75</v>
      </c>
      <c r="AF171" s="538" t="s">
        <v>679</v>
      </c>
      <c r="AG171" s="538" t="s">
        <v>75</v>
      </c>
      <c r="AH171" s="538" t="s">
        <v>679</v>
      </c>
      <c r="AI171" s="538" t="s">
        <v>75</v>
      </c>
      <c r="AJ171" s="538" t="s">
        <v>679</v>
      </c>
      <c r="AK171" s="538" t="s">
        <v>75</v>
      </c>
      <c r="AL171" s="538" t="s">
        <v>679</v>
      </c>
      <c r="AM171" s="538" t="s">
        <v>75</v>
      </c>
      <c r="AN171" s="538" t="s">
        <v>679</v>
      </c>
      <c r="AO171" s="538" t="s">
        <v>79</v>
      </c>
      <c r="AP171" s="538" t="s">
        <v>112</v>
      </c>
      <c r="AQ171" s="538" t="s">
        <v>79</v>
      </c>
      <c r="AR171" s="538" t="s">
        <v>112</v>
      </c>
      <c r="AS171" s="538">
        <v>1.43246507E8</v>
      </c>
      <c r="AT171" s="538">
        <v>6.77303054E8</v>
      </c>
      <c r="AU171" s="538">
        <v>130.0</v>
      </c>
      <c r="AV171" s="538" t="s">
        <v>47</v>
      </c>
      <c r="AY171" s="538" t="s">
        <v>679</v>
      </c>
      <c r="AZ171" s="538">
        <v>0.2</v>
      </c>
      <c r="BA171" s="538">
        <v>0.3</v>
      </c>
      <c r="BB171" s="538">
        <v>0.4</v>
      </c>
      <c r="BC171" s="538">
        <v>0.5</v>
      </c>
      <c r="BD171" s="538">
        <v>0.6</v>
      </c>
      <c r="BE171" s="538">
        <v>1.0</v>
      </c>
      <c r="BF171" s="538">
        <v>1.0</v>
      </c>
      <c r="BG171" s="538">
        <v>1.0</v>
      </c>
      <c r="BH171" s="538">
        <v>1.0</v>
      </c>
      <c r="BI171" s="538">
        <v>1.0</v>
      </c>
      <c r="BJ171" s="546"/>
      <c r="BL171" s="546"/>
    </row>
    <row r="172" ht="22.5" customHeight="1">
      <c r="A172" s="538">
        <v>171.0</v>
      </c>
      <c r="B172" s="538" t="s">
        <v>1219</v>
      </c>
      <c r="C172" s="538" t="s">
        <v>84</v>
      </c>
      <c r="D172" s="538" t="s">
        <v>942</v>
      </c>
      <c r="E172" s="538" t="s">
        <v>289</v>
      </c>
      <c r="F172" s="538" t="s">
        <v>248</v>
      </c>
      <c r="G172" s="538" t="s">
        <v>163</v>
      </c>
      <c r="H172" s="538" t="s">
        <v>217</v>
      </c>
      <c r="I172" s="538" t="s">
        <v>189</v>
      </c>
      <c r="K172" s="538" t="s">
        <v>1220</v>
      </c>
      <c r="L172" s="538" t="s">
        <v>1221</v>
      </c>
      <c r="M172" s="538" t="s">
        <v>661</v>
      </c>
      <c r="N172" s="538" t="s">
        <v>853</v>
      </c>
      <c r="O172" s="538" t="b">
        <v>0</v>
      </c>
      <c r="P172" s="538" t="b">
        <v>1</v>
      </c>
      <c r="Q172" s="538" t="s">
        <v>73</v>
      </c>
      <c r="S172" s="538" t="s">
        <v>73</v>
      </c>
      <c r="U172" s="538" t="s">
        <v>79</v>
      </c>
      <c r="V172" s="538" t="s">
        <v>248</v>
      </c>
      <c r="W172" s="538" t="s">
        <v>79</v>
      </c>
      <c r="X172" s="538" t="s">
        <v>248</v>
      </c>
      <c r="Y172" s="538" t="s">
        <v>79</v>
      </c>
      <c r="Z172" s="538" t="s">
        <v>248</v>
      </c>
      <c r="AA172" s="538" t="s">
        <v>79</v>
      </c>
      <c r="AB172" s="538" t="s">
        <v>248</v>
      </c>
      <c r="AC172" s="538" t="s">
        <v>79</v>
      </c>
      <c r="AD172" s="538" t="s">
        <v>248</v>
      </c>
      <c r="AE172" s="538" t="s">
        <v>79</v>
      </c>
      <c r="AF172" s="538" t="s">
        <v>248</v>
      </c>
      <c r="AG172" s="538" t="s">
        <v>79</v>
      </c>
      <c r="AH172" s="538" t="s">
        <v>248</v>
      </c>
      <c r="AI172" s="538" t="s">
        <v>79</v>
      </c>
      <c r="AJ172" s="538" t="s">
        <v>248</v>
      </c>
      <c r="AK172" s="538" t="s">
        <v>79</v>
      </c>
      <c r="AL172" s="538" t="s">
        <v>248</v>
      </c>
      <c r="AM172" s="538" t="s">
        <v>79</v>
      </c>
      <c r="AN172" s="538" t="s">
        <v>248</v>
      </c>
      <c r="AO172" s="538" t="s">
        <v>79</v>
      </c>
      <c r="AP172" s="538" t="s">
        <v>289</v>
      </c>
      <c r="AQ172" s="538" t="s">
        <v>79</v>
      </c>
      <c r="AR172" s="538" t="s">
        <v>289</v>
      </c>
      <c r="AS172" s="538">
        <v>3.721061052E9</v>
      </c>
      <c r="AT172" s="538">
        <v>2.847497836E9</v>
      </c>
      <c r="AU172" s="538">
        <v>76.0</v>
      </c>
      <c r="AV172" s="538" t="s">
        <v>47</v>
      </c>
      <c r="AZ172" s="538">
        <v>1.0</v>
      </c>
      <c r="BA172" s="538">
        <v>1.0</v>
      </c>
      <c r="BB172" s="538">
        <v>1.0</v>
      </c>
      <c r="BE172" s="538">
        <v>0.2</v>
      </c>
      <c r="BF172" s="538">
        <v>0.1</v>
      </c>
      <c r="BG172" s="538">
        <v>0.15</v>
      </c>
      <c r="BJ172" s="546"/>
      <c r="BL172" s="546"/>
    </row>
    <row r="173" ht="22.5" customHeight="1">
      <c r="A173" s="538">
        <v>172.0</v>
      </c>
      <c r="B173" s="538" t="s">
        <v>1219</v>
      </c>
      <c r="C173" s="538" t="s">
        <v>82</v>
      </c>
      <c r="D173" s="538" t="s">
        <v>942</v>
      </c>
      <c r="E173" s="538" t="s">
        <v>340</v>
      </c>
      <c r="F173" s="538" t="s">
        <v>248</v>
      </c>
      <c r="G173" s="538" t="s">
        <v>163</v>
      </c>
      <c r="H173" s="538" t="s">
        <v>213</v>
      </c>
      <c r="I173" s="538" t="s">
        <v>189</v>
      </c>
      <c r="K173" s="538" t="s">
        <v>1222</v>
      </c>
      <c r="L173" s="538" t="s">
        <v>1223</v>
      </c>
      <c r="M173" s="538" t="s">
        <v>673</v>
      </c>
      <c r="N173" s="538" t="s">
        <v>781</v>
      </c>
      <c r="O173" s="538" t="b">
        <v>0</v>
      </c>
      <c r="P173" s="538" t="b">
        <v>1</v>
      </c>
      <c r="Q173" s="538" t="s">
        <v>73</v>
      </c>
      <c r="S173" s="538" t="s">
        <v>73</v>
      </c>
      <c r="U173" s="538" t="s">
        <v>79</v>
      </c>
      <c r="V173" s="538" t="s">
        <v>248</v>
      </c>
      <c r="W173" s="538" t="s">
        <v>79</v>
      </c>
      <c r="X173" s="538" t="s">
        <v>248</v>
      </c>
      <c r="Y173" s="538" t="s">
        <v>79</v>
      </c>
      <c r="Z173" s="538" t="s">
        <v>248</v>
      </c>
      <c r="AA173" s="538" t="s">
        <v>79</v>
      </c>
      <c r="AB173" s="538" t="s">
        <v>248</v>
      </c>
      <c r="AC173" s="538" t="s">
        <v>79</v>
      </c>
      <c r="AD173" s="538" t="s">
        <v>248</v>
      </c>
      <c r="AE173" s="538" t="s">
        <v>79</v>
      </c>
      <c r="AF173" s="538" t="s">
        <v>248</v>
      </c>
      <c r="AG173" s="538" t="s">
        <v>79</v>
      </c>
      <c r="AH173" s="538" t="s">
        <v>248</v>
      </c>
      <c r="AI173" s="538" t="s">
        <v>79</v>
      </c>
      <c r="AJ173" s="538" t="s">
        <v>248</v>
      </c>
      <c r="AK173" s="538" t="s">
        <v>79</v>
      </c>
      <c r="AL173" s="538" t="s">
        <v>248</v>
      </c>
      <c r="AM173" s="538" t="s">
        <v>79</v>
      </c>
      <c r="AN173" s="538" t="s">
        <v>248</v>
      </c>
      <c r="AO173" s="538" t="s">
        <v>79</v>
      </c>
      <c r="AP173" s="538" t="s">
        <v>340</v>
      </c>
      <c r="AQ173" s="538" t="s">
        <v>79</v>
      </c>
      <c r="AR173" s="538" t="s">
        <v>340</v>
      </c>
      <c r="AS173" s="538">
        <v>3.322010576E9</v>
      </c>
      <c r="AT173" s="538">
        <v>2.847497836E9</v>
      </c>
      <c r="AU173" s="538">
        <v>76.0</v>
      </c>
      <c r="AV173" s="538" t="s">
        <v>47</v>
      </c>
      <c r="AZ173" s="538">
        <v>1.0</v>
      </c>
      <c r="BA173" s="538">
        <v>1.0</v>
      </c>
      <c r="BB173" s="538">
        <v>1.0</v>
      </c>
      <c r="BC173" s="538">
        <v>1.0</v>
      </c>
      <c r="BD173" s="538">
        <v>1.0</v>
      </c>
      <c r="BE173" s="538">
        <v>0.2</v>
      </c>
      <c r="BF173" s="538">
        <v>0.3</v>
      </c>
      <c r="BG173" s="538">
        <v>0.4</v>
      </c>
      <c r="BH173" s="538">
        <v>0.5</v>
      </c>
      <c r="BI173" s="538">
        <v>0.6</v>
      </c>
      <c r="BJ173" s="546"/>
      <c r="BL173" s="546"/>
    </row>
    <row r="174" ht="22.5" customHeight="1">
      <c r="A174" s="538">
        <v>173.0</v>
      </c>
      <c r="B174" s="538" t="s">
        <v>1224</v>
      </c>
      <c r="C174" s="538" t="s">
        <v>84</v>
      </c>
      <c r="D174" s="538" t="s">
        <v>942</v>
      </c>
      <c r="E174" s="538" t="s">
        <v>319</v>
      </c>
      <c r="G174" s="538" t="s">
        <v>151</v>
      </c>
      <c r="H174" s="538" t="s">
        <v>250</v>
      </c>
      <c r="I174" s="538" t="s">
        <v>122</v>
      </c>
      <c r="K174" s="538" t="s">
        <v>1225</v>
      </c>
      <c r="L174" s="538" t="s">
        <v>1154</v>
      </c>
      <c r="M174" s="538" t="s">
        <v>661</v>
      </c>
      <c r="N174" s="538" t="s">
        <v>1226</v>
      </c>
      <c r="O174" s="538" t="b">
        <v>0</v>
      </c>
      <c r="P174" s="538" t="b">
        <v>1</v>
      </c>
      <c r="Q174" s="538" t="s">
        <v>79</v>
      </c>
      <c r="R174" s="538" t="s">
        <v>319</v>
      </c>
      <c r="S174" s="538" t="s">
        <v>79</v>
      </c>
      <c r="T174" s="538" t="s">
        <v>319</v>
      </c>
      <c r="U174" s="538" t="s">
        <v>79</v>
      </c>
      <c r="V174" s="538" t="s">
        <v>319</v>
      </c>
      <c r="W174" s="538" t="s">
        <v>79</v>
      </c>
      <c r="X174" s="538" t="s">
        <v>319</v>
      </c>
      <c r="Y174" s="538" t="s">
        <v>79</v>
      </c>
      <c r="Z174" s="538" t="s">
        <v>319</v>
      </c>
      <c r="AA174" s="538" t="s">
        <v>79</v>
      </c>
      <c r="AB174" s="538" t="s">
        <v>319</v>
      </c>
      <c r="AC174" s="538" t="s">
        <v>79</v>
      </c>
      <c r="AD174" s="538" t="s">
        <v>319</v>
      </c>
      <c r="AE174" s="538" t="s">
        <v>79</v>
      </c>
      <c r="AF174" s="538" t="s">
        <v>319</v>
      </c>
      <c r="AG174" s="538" t="s">
        <v>79</v>
      </c>
      <c r="AH174" s="538" t="s">
        <v>319</v>
      </c>
      <c r="AI174" s="538" t="s">
        <v>79</v>
      </c>
      <c r="AJ174" s="538" t="s">
        <v>319</v>
      </c>
      <c r="AK174" s="538" t="s">
        <v>79</v>
      </c>
      <c r="AL174" s="538" t="s">
        <v>319</v>
      </c>
      <c r="AM174" s="538" t="s">
        <v>79</v>
      </c>
      <c r="AN174" s="538" t="s">
        <v>319</v>
      </c>
      <c r="AO174" s="538" t="s">
        <v>79</v>
      </c>
      <c r="AP174" s="538" t="s">
        <v>319</v>
      </c>
      <c r="AQ174" s="538" t="s">
        <v>73</v>
      </c>
      <c r="AS174" s="538">
        <v>2.580371455E9</v>
      </c>
      <c r="AT174" s="538">
        <v>2.601201375E9</v>
      </c>
      <c r="AU174" s="538">
        <v>77.0</v>
      </c>
      <c r="AV174" s="538" t="s">
        <v>45</v>
      </c>
      <c r="AZ174" s="538">
        <v>1.0</v>
      </c>
      <c r="BA174" s="538">
        <v>1.0</v>
      </c>
      <c r="BB174" s="538">
        <v>1.0</v>
      </c>
      <c r="BE174" s="538">
        <v>0.25</v>
      </c>
      <c r="BF174" s="538">
        <v>0.03</v>
      </c>
      <c r="BG174" s="538">
        <v>0.05</v>
      </c>
      <c r="BJ174" s="546"/>
      <c r="BL174" s="546"/>
    </row>
    <row r="175" ht="22.5" customHeight="1">
      <c r="A175" s="538">
        <v>174.0</v>
      </c>
      <c r="B175" s="538" t="s">
        <v>1224</v>
      </c>
      <c r="C175" s="538" t="s">
        <v>82</v>
      </c>
      <c r="D175" s="538" t="s">
        <v>942</v>
      </c>
      <c r="E175" s="538" t="s">
        <v>295</v>
      </c>
      <c r="G175" s="538" t="s">
        <v>151</v>
      </c>
      <c r="H175" s="538" t="s">
        <v>250</v>
      </c>
      <c r="I175" s="538" t="s">
        <v>155</v>
      </c>
      <c r="K175" s="538" t="s">
        <v>1227</v>
      </c>
      <c r="L175" s="538" t="s">
        <v>1228</v>
      </c>
      <c r="M175" s="538" t="s">
        <v>673</v>
      </c>
      <c r="N175" s="538" t="s">
        <v>1229</v>
      </c>
      <c r="O175" s="538" t="b">
        <v>0</v>
      </c>
      <c r="P175" s="538" t="b">
        <v>1</v>
      </c>
      <c r="Q175" s="538" t="s">
        <v>73</v>
      </c>
      <c r="S175" s="538" t="s">
        <v>73</v>
      </c>
      <c r="U175" s="538" t="s">
        <v>73</v>
      </c>
      <c r="W175" s="538" t="s">
        <v>73</v>
      </c>
      <c r="Y175" s="538" t="s">
        <v>73</v>
      </c>
      <c r="AA175" s="538" t="s">
        <v>73</v>
      </c>
      <c r="AC175" s="538" t="s">
        <v>73</v>
      </c>
      <c r="AE175" s="538" t="s">
        <v>73</v>
      </c>
      <c r="AG175" s="538" t="s">
        <v>73</v>
      </c>
      <c r="AI175" s="538" t="s">
        <v>73</v>
      </c>
      <c r="AK175" s="538" t="s">
        <v>73</v>
      </c>
      <c r="AM175" s="538" t="s">
        <v>73</v>
      </c>
      <c r="AO175" s="538" t="s">
        <v>79</v>
      </c>
      <c r="AP175" s="538" t="s">
        <v>295</v>
      </c>
      <c r="AQ175" s="538" t="s">
        <v>79</v>
      </c>
      <c r="AR175" s="538" t="s">
        <v>295</v>
      </c>
      <c r="AS175" s="538">
        <v>1.433248203E9</v>
      </c>
      <c r="AT175" s="538">
        <v>2.601201375E9</v>
      </c>
      <c r="AU175" s="538">
        <v>77.0</v>
      </c>
      <c r="AV175" s="538" t="s">
        <v>45</v>
      </c>
      <c r="AZ175" s="538">
        <v>1.0</v>
      </c>
      <c r="BA175" s="538">
        <v>1.0</v>
      </c>
      <c r="BB175" s="538">
        <v>1.0</v>
      </c>
      <c r="BC175" s="538">
        <v>1.0</v>
      </c>
      <c r="BD175" s="538">
        <v>1.0</v>
      </c>
      <c r="BE175" s="538">
        <v>0.08</v>
      </c>
      <c r="BF175" s="538">
        <v>0.1</v>
      </c>
      <c r="BG175" s="538">
        <v>0.13</v>
      </c>
      <c r="BH175" s="538">
        <v>0.17</v>
      </c>
      <c r="BI175" s="538">
        <v>0.2</v>
      </c>
      <c r="BJ175" s="546"/>
      <c r="BL175" s="546"/>
    </row>
    <row r="176" ht="22.5" customHeight="1">
      <c r="A176" s="538">
        <v>175.0</v>
      </c>
      <c r="B176" s="538" t="s">
        <v>1230</v>
      </c>
      <c r="C176" s="538" t="s">
        <v>84</v>
      </c>
      <c r="D176" s="538" t="s">
        <v>942</v>
      </c>
      <c r="E176" s="538" t="s">
        <v>236</v>
      </c>
      <c r="F176" s="538" t="s">
        <v>1041</v>
      </c>
      <c r="G176" s="538" t="s">
        <v>239</v>
      </c>
      <c r="H176" s="538" t="s">
        <v>222</v>
      </c>
      <c r="I176" s="538" t="s">
        <v>155</v>
      </c>
      <c r="J176" s="538" t="s">
        <v>350</v>
      </c>
      <c r="K176" s="538" t="s">
        <v>1231</v>
      </c>
      <c r="L176" s="538" t="s">
        <v>1232</v>
      </c>
      <c r="M176" s="538" t="s">
        <v>1233</v>
      </c>
      <c r="N176" s="538" t="s">
        <v>705</v>
      </c>
      <c r="O176" s="538" t="b">
        <v>1</v>
      </c>
      <c r="P176" s="538" t="b">
        <v>1</v>
      </c>
      <c r="Q176" s="538" t="s">
        <v>73</v>
      </c>
      <c r="S176" s="538" t="s">
        <v>73</v>
      </c>
      <c r="U176" s="538" t="s">
        <v>73</v>
      </c>
      <c r="W176" s="538" t="s">
        <v>73</v>
      </c>
      <c r="Y176" s="538" t="s">
        <v>73</v>
      </c>
      <c r="AA176" s="538" t="s">
        <v>73</v>
      </c>
      <c r="AC176" s="538" t="s">
        <v>79</v>
      </c>
      <c r="AD176" s="538" t="s">
        <v>377</v>
      </c>
      <c r="AE176" s="538" t="s">
        <v>79</v>
      </c>
      <c r="AF176" s="538" t="s">
        <v>377</v>
      </c>
      <c r="AG176" s="538" t="s">
        <v>79</v>
      </c>
      <c r="AH176" s="538" t="s">
        <v>380</v>
      </c>
      <c r="AI176" s="538" t="s">
        <v>79</v>
      </c>
      <c r="AJ176" s="538" t="s">
        <v>377</v>
      </c>
      <c r="AK176" s="538" t="s">
        <v>73</v>
      </c>
      <c r="AM176" s="538" t="s">
        <v>73</v>
      </c>
      <c r="AO176" s="538" t="s">
        <v>79</v>
      </c>
      <c r="AP176" s="538" t="s">
        <v>236</v>
      </c>
      <c r="AQ176" s="538" t="s">
        <v>79</v>
      </c>
      <c r="AR176" s="538" t="s">
        <v>236</v>
      </c>
      <c r="AS176" s="538">
        <v>3.053788649E9</v>
      </c>
      <c r="AT176" s="538">
        <v>2.517597941E9</v>
      </c>
      <c r="AU176" s="538">
        <v>78.0</v>
      </c>
      <c r="AV176" s="538" t="s">
        <v>45</v>
      </c>
      <c r="AZ176" s="538">
        <v>0.06</v>
      </c>
      <c r="BA176" s="538">
        <v>0.01</v>
      </c>
      <c r="BB176" s="538">
        <v>0.02</v>
      </c>
      <c r="BE176" s="538">
        <v>1.0</v>
      </c>
      <c r="BF176" s="538">
        <v>0.0</v>
      </c>
      <c r="BG176" s="538">
        <v>0.0</v>
      </c>
      <c r="BJ176" s="546"/>
      <c r="BL176" s="546"/>
    </row>
    <row r="177" ht="22.5" customHeight="1">
      <c r="A177" s="538">
        <v>176.0</v>
      </c>
      <c r="B177" s="538" t="s">
        <v>1230</v>
      </c>
      <c r="C177" s="538" t="s">
        <v>82</v>
      </c>
      <c r="D177" s="538" t="s">
        <v>942</v>
      </c>
      <c r="E177" s="538" t="s">
        <v>218</v>
      </c>
      <c r="F177" s="538" t="s">
        <v>959</v>
      </c>
      <c r="G177" s="538" t="s">
        <v>163</v>
      </c>
      <c r="H177" s="538" t="s">
        <v>222</v>
      </c>
      <c r="I177" s="538" t="s">
        <v>189</v>
      </c>
      <c r="K177" s="538" t="s">
        <v>1234</v>
      </c>
      <c r="L177" s="538" t="s">
        <v>1235</v>
      </c>
      <c r="M177" s="538" t="s">
        <v>673</v>
      </c>
      <c r="N177" s="538" t="s">
        <v>1236</v>
      </c>
      <c r="O177" s="538" t="b">
        <v>0</v>
      </c>
      <c r="P177" s="538" t="b">
        <v>1</v>
      </c>
      <c r="Q177" s="538" t="s">
        <v>75</v>
      </c>
      <c r="R177" s="538" t="s">
        <v>279</v>
      </c>
      <c r="S177" s="538" t="s">
        <v>75</v>
      </c>
      <c r="T177" s="538" t="s">
        <v>279</v>
      </c>
      <c r="U177" s="538" t="s">
        <v>79</v>
      </c>
      <c r="V177" s="538" t="s">
        <v>959</v>
      </c>
      <c r="W177" s="538" t="s">
        <v>79</v>
      </c>
      <c r="X177" s="538" t="s">
        <v>959</v>
      </c>
      <c r="Y177" s="538" t="s">
        <v>79</v>
      </c>
      <c r="Z177" s="538" t="s">
        <v>959</v>
      </c>
      <c r="AA177" s="538" t="s">
        <v>79</v>
      </c>
      <c r="AB177" s="538" t="s">
        <v>959</v>
      </c>
      <c r="AC177" s="538" t="s">
        <v>79</v>
      </c>
      <c r="AD177" s="538" t="s">
        <v>959</v>
      </c>
      <c r="AE177" s="538" t="s">
        <v>79</v>
      </c>
      <c r="AF177" s="538" t="s">
        <v>959</v>
      </c>
      <c r="AG177" s="538" t="s">
        <v>79</v>
      </c>
      <c r="AH177" s="538" t="s">
        <v>959</v>
      </c>
      <c r="AI177" s="538" t="s">
        <v>79</v>
      </c>
      <c r="AJ177" s="538" t="s">
        <v>959</v>
      </c>
      <c r="AK177" s="538" t="s">
        <v>79</v>
      </c>
      <c r="AL177" s="538" t="s">
        <v>959</v>
      </c>
      <c r="AM177" s="538" t="s">
        <v>79</v>
      </c>
      <c r="AN177" s="538" t="s">
        <v>959</v>
      </c>
      <c r="AO177" s="538" t="s">
        <v>79</v>
      </c>
      <c r="AP177" s="538" t="s">
        <v>218</v>
      </c>
      <c r="AQ177" s="538" t="s">
        <v>79</v>
      </c>
      <c r="AR177" s="538" t="s">
        <v>218</v>
      </c>
      <c r="AS177" s="538">
        <v>3.174366498E9</v>
      </c>
      <c r="AT177" s="538">
        <v>2.517597941E9</v>
      </c>
      <c r="AU177" s="538">
        <v>78.0</v>
      </c>
      <c r="AV177" s="538" t="s">
        <v>45</v>
      </c>
      <c r="AY177" s="538" t="s">
        <v>279</v>
      </c>
      <c r="AZ177" s="538">
        <v>1.0</v>
      </c>
      <c r="BA177" s="538">
        <v>1.0</v>
      </c>
      <c r="BB177" s="538">
        <v>1.0</v>
      </c>
      <c r="BC177" s="538">
        <v>1.0</v>
      </c>
      <c r="BD177" s="538">
        <v>1.0</v>
      </c>
      <c r="BE177" s="538">
        <v>0.1</v>
      </c>
      <c r="BF177" s="538">
        <v>0.12</v>
      </c>
      <c r="BG177" s="538">
        <v>0.15</v>
      </c>
      <c r="BH177" s="538">
        <v>0.2</v>
      </c>
      <c r="BI177" s="538">
        <v>0.3</v>
      </c>
      <c r="BJ177" s="546"/>
      <c r="BL177" s="546"/>
    </row>
    <row r="178" ht="22.5" customHeight="1">
      <c r="A178" s="538">
        <v>177.0</v>
      </c>
      <c r="B178" s="538" t="s">
        <v>1237</v>
      </c>
      <c r="C178" s="538" t="s">
        <v>84</v>
      </c>
      <c r="D178" s="538" t="s">
        <v>1238</v>
      </c>
      <c r="E178" s="538" t="s">
        <v>340</v>
      </c>
      <c r="G178" s="538" t="s">
        <v>151</v>
      </c>
      <c r="H178" s="538" t="s">
        <v>235</v>
      </c>
      <c r="I178" s="538" t="s">
        <v>122</v>
      </c>
      <c r="K178" s="538" t="s">
        <v>1239</v>
      </c>
      <c r="L178" s="538" t="s">
        <v>1240</v>
      </c>
      <c r="M178" s="538" t="s">
        <v>661</v>
      </c>
      <c r="N178" s="538" t="s">
        <v>1241</v>
      </c>
      <c r="O178" s="538" t="b">
        <v>0</v>
      </c>
      <c r="P178" s="538" t="b">
        <v>1</v>
      </c>
      <c r="Q178" s="538" t="s">
        <v>73</v>
      </c>
      <c r="S178" s="538" t="s">
        <v>73</v>
      </c>
      <c r="U178" s="538" t="s">
        <v>73</v>
      </c>
      <c r="W178" s="538" t="s">
        <v>73</v>
      </c>
      <c r="Y178" s="538" t="s">
        <v>73</v>
      </c>
      <c r="AA178" s="538" t="s">
        <v>73</v>
      </c>
      <c r="AC178" s="538" t="s">
        <v>73</v>
      </c>
      <c r="AE178" s="538" t="s">
        <v>73</v>
      </c>
      <c r="AG178" s="538" t="s">
        <v>73</v>
      </c>
      <c r="AI178" s="538" t="s">
        <v>73</v>
      </c>
      <c r="AK178" s="538" t="s">
        <v>73</v>
      </c>
      <c r="AM178" s="538" t="s">
        <v>73</v>
      </c>
      <c r="AO178" s="538" t="s">
        <v>79</v>
      </c>
      <c r="AP178" s="538" t="s">
        <v>340</v>
      </c>
      <c r="AQ178" s="538" t="s">
        <v>79</v>
      </c>
      <c r="AR178" s="538" t="s">
        <v>340</v>
      </c>
      <c r="AS178" s="538">
        <v>2.369873168E9</v>
      </c>
      <c r="AT178" s="538">
        <v>1.525867544E9</v>
      </c>
      <c r="AU178" s="538">
        <v>83.0</v>
      </c>
      <c r="AV178" s="538" t="s">
        <v>41</v>
      </c>
      <c r="AZ178" s="538">
        <v>1.0</v>
      </c>
      <c r="BA178" s="538">
        <v>1.0</v>
      </c>
      <c r="BB178" s="538">
        <v>1.0</v>
      </c>
      <c r="BE178" s="538">
        <v>0.08</v>
      </c>
      <c r="BF178" s="538">
        <v>0.03</v>
      </c>
      <c r="BG178" s="538">
        <v>0.06</v>
      </c>
      <c r="BJ178" s="546"/>
      <c r="BL178" s="546"/>
    </row>
    <row r="179" ht="22.5" customHeight="1">
      <c r="A179" s="538">
        <v>178.0</v>
      </c>
      <c r="B179" s="538" t="s">
        <v>1237</v>
      </c>
      <c r="C179" s="538" t="s">
        <v>82</v>
      </c>
      <c r="D179" s="538" t="s">
        <v>1238</v>
      </c>
      <c r="E179" s="538" t="s">
        <v>218</v>
      </c>
      <c r="G179" s="538" t="s">
        <v>151</v>
      </c>
      <c r="H179" s="538" t="s">
        <v>250</v>
      </c>
      <c r="I179" s="538" t="s">
        <v>122</v>
      </c>
      <c r="K179" s="538" t="s">
        <v>1242</v>
      </c>
      <c r="L179" s="538" t="s">
        <v>1100</v>
      </c>
      <c r="M179" s="538" t="s">
        <v>673</v>
      </c>
      <c r="N179" s="538" t="s">
        <v>1243</v>
      </c>
      <c r="O179" s="538" t="b">
        <v>0</v>
      </c>
      <c r="P179" s="538" t="b">
        <v>1</v>
      </c>
      <c r="Q179" s="538" t="s">
        <v>73</v>
      </c>
      <c r="S179" s="538" t="s">
        <v>73</v>
      </c>
      <c r="U179" s="538" t="s">
        <v>73</v>
      </c>
      <c r="W179" s="538" t="s">
        <v>73</v>
      </c>
      <c r="Y179" s="538" t="s">
        <v>73</v>
      </c>
      <c r="AA179" s="538" t="s">
        <v>73</v>
      </c>
      <c r="AC179" s="538" t="s">
        <v>73</v>
      </c>
      <c r="AE179" s="538" t="s">
        <v>73</v>
      </c>
      <c r="AG179" s="538" t="s">
        <v>73</v>
      </c>
      <c r="AI179" s="538" t="s">
        <v>73</v>
      </c>
      <c r="AK179" s="538" t="s">
        <v>73</v>
      </c>
      <c r="AM179" s="538" t="s">
        <v>73</v>
      </c>
      <c r="AO179" s="538" t="s">
        <v>79</v>
      </c>
      <c r="AP179" s="538" t="s">
        <v>218</v>
      </c>
      <c r="AQ179" s="538" t="s">
        <v>79</v>
      </c>
      <c r="AR179" s="538" t="s">
        <v>218</v>
      </c>
      <c r="AS179" s="538">
        <v>3.200446473E9</v>
      </c>
      <c r="AT179" s="538">
        <v>1.525867544E9</v>
      </c>
      <c r="AU179" s="538">
        <v>83.0</v>
      </c>
      <c r="AV179" s="538" t="s">
        <v>41</v>
      </c>
      <c r="AZ179" s="538">
        <v>1.0</v>
      </c>
      <c r="BA179" s="538">
        <v>1.0</v>
      </c>
      <c r="BB179" s="538">
        <v>1.0</v>
      </c>
      <c r="BC179" s="538">
        <v>1.0</v>
      </c>
      <c r="BD179" s="538">
        <v>1.0</v>
      </c>
      <c r="BE179" s="538">
        <v>0.05</v>
      </c>
      <c r="BF179" s="538">
        <v>0.08</v>
      </c>
      <c r="BG179" s="538">
        <v>0.12</v>
      </c>
      <c r="BH179" s="538">
        <v>0.15</v>
      </c>
      <c r="BI179" s="538">
        <v>0.2</v>
      </c>
      <c r="BJ179" s="546"/>
      <c r="BL179" s="546"/>
    </row>
    <row r="180" ht="22.5" customHeight="1">
      <c r="A180" s="538">
        <v>179.0</v>
      </c>
      <c r="B180" s="538" t="s">
        <v>1244</v>
      </c>
      <c r="C180" s="538" t="s">
        <v>84</v>
      </c>
      <c r="D180" s="538" t="s">
        <v>1238</v>
      </c>
      <c r="E180" s="538" t="s">
        <v>218</v>
      </c>
      <c r="G180" s="538" t="s">
        <v>151</v>
      </c>
      <c r="H180" s="538" t="s">
        <v>250</v>
      </c>
      <c r="I180" s="538" t="s">
        <v>122</v>
      </c>
      <c r="K180" s="538" t="s">
        <v>1245</v>
      </c>
      <c r="L180" s="538" t="s">
        <v>1246</v>
      </c>
      <c r="M180" s="538" t="s">
        <v>661</v>
      </c>
      <c r="N180" s="538" t="s">
        <v>767</v>
      </c>
      <c r="O180" s="538" t="b">
        <v>0</v>
      </c>
      <c r="P180" s="538" t="b">
        <v>1</v>
      </c>
      <c r="Q180" s="538" t="s">
        <v>73</v>
      </c>
      <c r="S180" s="538" t="s">
        <v>73</v>
      </c>
      <c r="U180" s="538" t="s">
        <v>73</v>
      </c>
      <c r="W180" s="538" t="s">
        <v>73</v>
      </c>
      <c r="Y180" s="538" t="s">
        <v>73</v>
      </c>
      <c r="AA180" s="538" t="s">
        <v>73</v>
      </c>
      <c r="AC180" s="538" t="s">
        <v>73</v>
      </c>
      <c r="AE180" s="538" t="s">
        <v>73</v>
      </c>
      <c r="AG180" s="538" t="s">
        <v>73</v>
      </c>
      <c r="AI180" s="538" t="s">
        <v>73</v>
      </c>
      <c r="AK180" s="538" t="s">
        <v>73</v>
      </c>
      <c r="AM180" s="538" t="s">
        <v>73</v>
      </c>
      <c r="AO180" s="538" t="s">
        <v>79</v>
      </c>
      <c r="AP180" s="538" t="s">
        <v>218</v>
      </c>
      <c r="AQ180" s="538" t="s">
        <v>79</v>
      </c>
      <c r="AR180" s="538" t="s">
        <v>218</v>
      </c>
      <c r="AS180" s="538">
        <v>1.862576044E9</v>
      </c>
      <c r="AT180" s="538">
        <v>1.622062016E9</v>
      </c>
      <c r="AU180" s="538">
        <v>84.0</v>
      </c>
      <c r="AV180" s="538" t="s">
        <v>41</v>
      </c>
      <c r="AZ180" s="538">
        <v>1.0</v>
      </c>
      <c r="BA180" s="538">
        <v>1.0</v>
      </c>
      <c r="BB180" s="538">
        <v>1.0</v>
      </c>
      <c r="BE180" s="538">
        <v>0.05</v>
      </c>
      <c r="BF180" s="538">
        <v>0.02</v>
      </c>
      <c r="BG180" s="538">
        <v>0.05</v>
      </c>
      <c r="BJ180" s="546"/>
      <c r="BL180" s="546"/>
    </row>
    <row r="181" ht="22.5" customHeight="1">
      <c r="A181" s="538">
        <v>180.0</v>
      </c>
      <c r="B181" s="538" t="s">
        <v>1244</v>
      </c>
      <c r="C181" s="538" t="s">
        <v>82</v>
      </c>
      <c r="D181" s="538" t="s">
        <v>1238</v>
      </c>
      <c r="E181" s="538" t="s">
        <v>223</v>
      </c>
      <c r="G181" s="538" t="s">
        <v>151</v>
      </c>
      <c r="H181" s="538" t="s">
        <v>250</v>
      </c>
      <c r="I181" s="538" t="s">
        <v>122</v>
      </c>
      <c r="K181" s="538" t="s">
        <v>1247</v>
      </c>
      <c r="L181" s="538" t="s">
        <v>1248</v>
      </c>
      <c r="M181" s="538" t="s">
        <v>673</v>
      </c>
      <c r="N181" s="538" t="s">
        <v>1243</v>
      </c>
      <c r="O181" s="538" t="b">
        <v>0</v>
      </c>
      <c r="P181" s="538" t="b">
        <v>1</v>
      </c>
      <c r="Q181" s="538" t="s">
        <v>73</v>
      </c>
      <c r="S181" s="538" t="s">
        <v>73</v>
      </c>
      <c r="U181" s="538" t="s">
        <v>73</v>
      </c>
      <c r="W181" s="538" t="s">
        <v>73</v>
      </c>
      <c r="Y181" s="538" t="s">
        <v>73</v>
      </c>
      <c r="AA181" s="538" t="s">
        <v>73</v>
      </c>
      <c r="AC181" s="538" t="s">
        <v>73</v>
      </c>
      <c r="AE181" s="538" t="s">
        <v>73</v>
      </c>
      <c r="AG181" s="538" t="s">
        <v>73</v>
      </c>
      <c r="AI181" s="538" t="s">
        <v>73</v>
      </c>
      <c r="AK181" s="538" t="s">
        <v>73</v>
      </c>
      <c r="AM181" s="538" t="s">
        <v>73</v>
      </c>
      <c r="AO181" s="538" t="s">
        <v>79</v>
      </c>
      <c r="AP181" s="538" t="s">
        <v>223</v>
      </c>
      <c r="AQ181" s="538" t="s">
        <v>79</v>
      </c>
      <c r="AR181" s="538" t="s">
        <v>223</v>
      </c>
      <c r="AS181" s="538">
        <v>2.372470621E9</v>
      </c>
      <c r="AT181" s="538">
        <v>1.622062016E9</v>
      </c>
      <c r="AU181" s="538">
        <v>84.0</v>
      </c>
      <c r="AV181" s="538" t="s">
        <v>41</v>
      </c>
      <c r="AZ181" s="538">
        <v>1.0</v>
      </c>
      <c r="BA181" s="538">
        <v>1.0</v>
      </c>
      <c r="BB181" s="538">
        <v>1.0</v>
      </c>
      <c r="BC181" s="538">
        <v>1.0</v>
      </c>
      <c r="BD181" s="538">
        <v>1.0</v>
      </c>
      <c r="BE181" s="538">
        <v>0.05</v>
      </c>
      <c r="BF181" s="538">
        <v>0.08</v>
      </c>
      <c r="BG181" s="538">
        <v>0.12</v>
      </c>
      <c r="BH181" s="538">
        <v>0.15</v>
      </c>
      <c r="BI181" s="538">
        <v>0.2</v>
      </c>
      <c r="BJ181" s="546"/>
      <c r="BL181" s="546"/>
    </row>
    <row r="182" ht="22.5" customHeight="1">
      <c r="A182" s="538">
        <v>181.0</v>
      </c>
      <c r="B182" s="538" t="s">
        <v>1249</v>
      </c>
      <c r="C182" s="538" t="s">
        <v>84</v>
      </c>
      <c r="D182" s="538" t="s">
        <v>1238</v>
      </c>
      <c r="E182" s="538" t="s">
        <v>349</v>
      </c>
      <c r="G182" s="538" t="s">
        <v>151</v>
      </c>
      <c r="H182" s="538" t="s">
        <v>235</v>
      </c>
      <c r="I182" s="538" t="s">
        <v>122</v>
      </c>
      <c r="K182" s="538" t="s">
        <v>1250</v>
      </c>
      <c r="L182" s="538" t="s">
        <v>1251</v>
      </c>
      <c r="M182" s="538" t="s">
        <v>661</v>
      </c>
      <c r="N182" s="538" t="s">
        <v>685</v>
      </c>
      <c r="O182" s="538" t="b">
        <v>0</v>
      </c>
      <c r="P182" s="538" t="b">
        <v>1</v>
      </c>
      <c r="Q182" s="538" t="s">
        <v>73</v>
      </c>
      <c r="S182" s="538" t="s">
        <v>73</v>
      </c>
      <c r="U182" s="538" t="s">
        <v>73</v>
      </c>
      <c r="W182" s="538" t="s">
        <v>73</v>
      </c>
      <c r="Y182" s="538" t="s">
        <v>73</v>
      </c>
      <c r="AA182" s="538" t="s">
        <v>73</v>
      </c>
      <c r="AC182" s="538" t="s">
        <v>73</v>
      </c>
      <c r="AE182" s="538" t="s">
        <v>73</v>
      </c>
      <c r="AG182" s="538" t="s">
        <v>73</v>
      </c>
      <c r="AI182" s="538" t="s">
        <v>73</v>
      </c>
      <c r="AK182" s="538" t="s">
        <v>73</v>
      </c>
      <c r="AM182" s="538" t="s">
        <v>73</v>
      </c>
      <c r="AO182" s="538" t="s">
        <v>79</v>
      </c>
      <c r="AP182" s="538" t="s">
        <v>349</v>
      </c>
      <c r="AQ182" s="538" t="s">
        <v>79</v>
      </c>
      <c r="AR182" s="538" t="s">
        <v>349</v>
      </c>
      <c r="AS182" s="538">
        <v>7.79039619E8</v>
      </c>
      <c r="AT182" s="538">
        <v>1.853520303E9</v>
      </c>
      <c r="AU182" s="538">
        <v>85.0</v>
      </c>
      <c r="AV182" s="538" t="s">
        <v>41</v>
      </c>
      <c r="AZ182" s="538">
        <v>1.0</v>
      </c>
      <c r="BA182" s="538">
        <v>1.0</v>
      </c>
      <c r="BB182" s="538">
        <v>1.0</v>
      </c>
      <c r="BE182" s="538">
        <v>0.1</v>
      </c>
      <c r="BF182" s="538">
        <v>0.05</v>
      </c>
      <c r="BG182" s="538">
        <v>0.1</v>
      </c>
      <c r="BJ182" s="546"/>
      <c r="BL182" s="546"/>
    </row>
    <row r="183" ht="22.5" customHeight="1">
      <c r="A183" s="538">
        <v>182.0</v>
      </c>
      <c r="B183" s="538" t="s">
        <v>1249</v>
      </c>
      <c r="C183" s="538" t="s">
        <v>82</v>
      </c>
      <c r="D183" s="538" t="s">
        <v>1238</v>
      </c>
      <c r="E183" s="538" t="s">
        <v>289</v>
      </c>
      <c r="G183" s="538" t="s">
        <v>163</v>
      </c>
      <c r="H183" s="538" t="s">
        <v>240</v>
      </c>
      <c r="I183" s="538" t="s">
        <v>122</v>
      </c>
      <c r="K183" s="538" t="s">
        <v>1252</v>
      </c>
      <c r="L183" s="538" t="s">
        <v>1253</v>
      </c>
      <c r="M183" s="538" t="s">
        <v>673</v>
      </c>
      <c r="N183" s="538" t="s">
        <v>1254</v>
      </c>
      <c r="O183" s="538" t="b">
        <v>0</v>
      </c>
      <c r="P183" s="538" t="b">
        <v>1</v>
      </c>
      <c r="Q183" s="538" t="s">
        <v>73</v>
      </c>
      <c r="S183" s="538" t="s">
        <v>73</v>
      </c>
      <c r="U183" s="538" t="s">
        <v>73</v>
      </c>
      <c r="W183" s="538" t="s">
        <v>73</v>
      </c>
      <c r="Y183" s="538" t="s">
        <v>73</v>
      </c>
      <c r="AA183" s="538" t="s">
        <v>73</v>
      </c>
      <c r="AC183" s="538" t="s">
        <v>73</v>
      </c>
      <c r="AE183" s="538" t="s">
        <v>73</v>
      </c>
      <c r="AG183" s="538" t="s">
        <v>73</v>
      </c>
      <c r="AI183" s="538" t="s">
        <v>73</v>
      </c>
      <c r="AK183" s="538" t="s">
        <v>73</v>
      </c>
      <c r="AM183" s="538" t="s">
        <v>73</v>
      </c>
      <c r="AO183" s="538" t="s">
        <v>79</v>
      </c>
      <c r="AP183" s="538" t="s">
        <v>289</v>
      </c>
      <c r="AQ183" s="538" t="s">
        <v>79</v>
      </c>
      <c r="AR183" s="538" t="s">
        <v>289</v>
      </c>
      <c r="AS183" s="538">
        <v>4.225330505E9</v>
      </c>
      <c r="AT183" s="538">
        <v>1.853520303E9</v>
      </c>
      <c r="AU183" s="538">
        <v>85.0</v>
      </c>
      <c r="AV183" s="538" t="s">
        <v>41</v>
      </c>
      <c r="AZ183" s="538">
        <v>1.0</v>
      </c>
      <c r="BA183" s="538">
        <v>1.0</v>
      </c>
      <c r="BB183" s="538">
        <v>1.0</v>
      </c>
      <c r="BC183" s="538">
        <v>1.0</v>
      </c>
      <c r="BD183" s="538">
        <v>1.0</v>
      </c>
      <c r="BE183" s="538">
        <v>0.04</v>
      </c>
      <c r="BF183" s="538">
        <v>0.06</v>
      </c>
      <c r="BG183" s="538">
        <v>0.08</v>
      </c>
      <c r="BH183" s="538">
        <v>0.1</v>
      </c>
      <c r="BI183" s="538">
        <v>0.12</v>
      </c>
      <c r="BJ183" s="546"/>
      <c r="BL183" s="546"/>
    </row>
    <row r="184" ht="22.5" customHeight="1">
      <c r="A184" s="538">
        <v>183.0</v>
      </c>
      <c r="B184" s="538" t="s">
        <v>1255</v>
      </c>
      <c r="C184" s="538" t="s">
        <v>84</v>
      </c>
      <c r="D184" s="538" t="s">
        <v>1238</v>
      </c>
      <c r="E184" s="538" t="s">
        <v>310</v>
      </c>
      <c r="G184" s="538" t="s">
        <v>151</v>
      </c>
      <c r="H184" s="538" t="s">
        <v>250</v>
      </c>
      <c r="I184" s="538" t="s">
        <v>122</v>
      </c>
      <c r="K184" s="538" t="s">
        <v>1256</v>
      </c>
      <c r="L184" s="538" t="s">
        <v>1257</v>
      </c>
      <c r="M184" s="538" t="s">
        <v>661</v>
      </c>
      <c r="N184" s="538" t="s">
        <v>785</v>
      </c>
      <c r="O184" s="538" t="b">
        <v>0</v>
      </c>
      <c r="P184" s="538" t="b">
        <v>1</v>
      </c>
      <c r="Q184" s="538" t="s">
        <v>73</v>
      </c>
      <c r="S184" s="538" t="s">
        <v>73</v>
      </c>
      <c r="U184" s="538" t="s">
        <v>73</v>
      </c>
      <c r="W184" s="538" t="s">
        <v>73</v>
      </c>
      <c r="Y184" s="538" t="s">
        <v>73</v>
      </c>
      <c r="AA184" s="538" t="s">
        <v>73</v>
      </c>
      <c r="AC184" s="538" t="s">
        <v>73</v>
      </c>
      <c r="AE184" s="538" t="s">
        <v>73</v>
      </c>
      <c r="AG184" s="538" t="s">
        <v>73</v>
      </c>
      <c r="AI184" s="538" t="s">
        <v>73</v>
      </c>
      <c r="AK184" s="538" t="s">
        <v>73</v>
      </c>
      <c r="AM184" s="538" t="s">
        <v>73</v>
      </c>
      <c r="AO184" s="538" t="s">
        <v>79</v>
      </c>
      <c r="AP184" s="538" t="s">
        <v>310</v>
      </c>
      <c r="AQ184" s="538" t="s">
        <v>79</v>
      </c>
      <c r="AR184" s="538" t="s">
        <v>310</v>
      </c>
      <c r="AS184" s="538">
        <v>3.029156666E9</v>
      </c>
      <c r="AT184" s="538">
        <v>4.150311506E9</v>
      </c>
      <c r="AU184" s="538">
        <v>86.0</v>
      </c>
      <c r="AV184" s="538" t="s">
        <v>41</v>
      </c>
      <c r="AZ184" s="538">
        <v>1.0</v>
      </c>
      <c r="BA184" s="538">
        <v>1.0</v>
      </c>
      <c r="BB184" s="538">
        <v>1.0</v>
      </c>
      <c r="BE184" s="538">
        <v>0.1</v>
      </c>
      <c r="BF184" s="538">
        <v>0.02</v>
      </c>
      <c r="BG184" s="538">
        <v>0.05</v>
      </c>
      <c r="BJ184" s="546"/>
      <c r="BL184" s="546"/>
    </row>
    <row r="185" ht="22.5" customHeight="1">
      <c r="A185" s="538">
        <v>184.0</v>
      </c>
      <c r="B185" s="538" t="s">
        <v>1255</v>
      </c>
      <c r="C185" s="538" t="s">
        <v>82</v>
      </c>
      <c r="D185" s="538" t="s">
        <v>1238</v>
      </c>
      <c r="E185" s="538" t="s">
        <v>398</v>
      </c>
      <c r="G185" s="538" t="s">
        <v>151</v>
      </c>
      <c r="H185" s="538" t="s">
        <v>250</v>
      </c>
      <c r="I185" s="538" t="s">
        <v>155</v>
      </c>
      <c r="K185" s="538" t="s">
        <v>1258</v>
      </c>
      <c r="L185" s="538" t="s">
        <v>1259</v>
      </c>
      <c r="M185" s="538" t="s">
        <v>673</v>
      </c>
      <c r="N185" s="538" t="s">
        <v>1260</v>
      </c>
      <c r="O185" s="538" t="b">
        <v>0</v>
      </c>
      <c r="P185" s="538" t="b">
        <v>0</v>
      </c>
      <c r="Q185" s="538" t="s">
        <v>79</v>
      </c>
      <c r="R185" s="538" t="s">
        <v>398</v>
      </c>
      <c r="S185" s="538" t="s">
        <v>79</v>
      </c>
      <c r="T185" s="538" t="s">
        <v>398</v>
      </c>
      <c r="U185" s="538" t="s">
        <v>79</v>
      </c>
      <c r="V185" s="538" t="s">
        <v>398</v>
      </c>
      <c r="W185" s="538" t="s">
        <v>79</v>
      </c>
      <c r="X185" s="538" t="s">
        <v>398</v>
      </c>
      <c r="Y185" s="538" t="s">
        <v>79</v>
      </c>
      <c r="Z185" s="538" t="s">
        <v>398</v>
      </c>
      <c r="AA185" s="538" t="s">
        <v>79</v>
      </c>
      <c r="AB185" s="538" t="s">
        <v>398</v>
      </c>
      <c r="AC185" s="538" t="s">
        <v>79</v>
      </c>
      <c r="AD185" s="538" t="s">
        <v>398</v>
      </c>
      <c r="AE185" s="538" t="s">
        <v>79</v>
      </c>
      <c r="AF185" s="538" t="s">
        <v>398</v>
      </c>
      <c r="AG185" s="538" t="s">
        <v>79</v>
      </c>
      <c r="AH185" s="538" t="s">
        <v>398</v>
      </c>
      <c r="AI185" s="538" t="s">
        <v>79</v>
      </c>
      <c r="AJ185" s="538" t="s">
        <v>398</v>
      </c>
      <c r="AK185" s="538" t="s">
        <v>79</v>
      </c>
      <c r="AL185" s="538" t="s">
        <v>398</v>
      </c>
      <c r="AM185" s="538" t="s">
        <v>79</v>
      </c>
      <c r="AN185" s="538" t="s">
        <v>398</v>
      </c>
      <c r="AO185" s="538" t="s">
        <v>79</v>
      </c>
      <c r="AP185" s="538" t="s">
        <v>398</v>
      </c>
      <c r="AQ185" s="538" t="s">
        <v>73</v>
      </c>
      <c r="AS185" s="538">
        <v>2.254319436E9</v>
      </c>
      <c r="AT185" s="538">
        <v>4.150311506E9</v>
      </c>
      <c r="AU185" s="538">
        <v>86.0</v>
      </c>
      <c r="AV185" s="538" t="s">
        <v>41</v>
      </c>
      <c r="AZ185" s="538">
        <v>1.0</v>
      </c>
      <c r="BA185" s="538">
        <v>1.0</v>
      </c>
      <c r="BB185" s="538">
        <v>1.0</v>
      </c>
      <c r="BC185" s="538">
        <v>1.0</v>
      </c>
      <c r="BD185" s="538">
        <v>1.0</v>
      </c>
      <c r="BE185" s="538">
        <v>1.0</v>
      </c>
      <c r="BF185" s="538">
        <v>2.0</v>
      </c>
      <c r="BG185" s="538">
        <v>3.0</v>
      </c>
      <c r="BH185" s="538">
        <v>4.0</v>
      </c>
      <c r="BI185" s="538">
        <v>5.0</v>
      </c>
      <c r="BJ185" s="546"/>
      <c r="BL185" s="546"/>
    </row>
    <row r="186" ht="22.5" customHeight="1">
      <c r="A186" s="538">
        <v>185.0</v>
      </c>
      <c r="B186" s="538" t="s">
        <v>1261</v>
      </c>
      <c r="C186" s="538" t="s">
        <v>84</v>
      </c>
      <c r="D186" s="538" t="s">
        <v>1238</v>
      </c>
      <c r="E186" s="538" t="s">
        <v>218</v>
      </c>
      <c r="F186" s="538" t="s">
        <v>1041</v>
      </c>
      <c r="G186" s="538" t="s">
        <v>163</v>
      </c>
      <c r="H186" s="538" t="s">
        <v>222</v>
      </c>
      <c r="I186" s="538" t="s">
        <v>189</v>
      </c>
      <c r="K186" s="538" t="s">
        <v>1262</v>
      </c>
      <c r="L186" s="538" t="s">
        <v>1263</v>
      </c>
      <c r="M186" s="538" t="s">
        <v>661</v>
      </c>
      <c r="N186" s="538" t="s">
        <v>785</v>
      </c>
      <c r="O186" s="538" t="b">
        <v>0</v>
      </c>
      <c r="P186" s="538" t="b">
        <v>1</v>
      </c>
      <c r="Q186" s="538" t="s">
        <v>73</v>
      </c>
      <c r="S186" s="538" t="s">
        <v>73</v>
      </c>
      <c r="U186" s="538" t="s">
        <v>73</v>
      </c>
      <c r="W186" s="538" t="s">
        <v>73</v>
      </c>
      <c r="Y186" s="538" t="s">
        <v>73</v>
      </c>
      <c r="AA186" s="538" t="s">
        <v>73</v>
      </c>
      <c r="AC186" s="538" t="s">
        <v>79</v>
      </c>
      <c r="AD186" s="538" t="s">
        <v>377</v>
      </c>
      <c r="AE186" s="538" t="s">
        <v>79</v>
      </c>
      <c r="AF186" s="538" t="s">
        <v>377</v>
      </c>
      <c r="AG186" s="538" t="s">
        <v>79</v>
      </c>
      <c r="AH186" s="538" t="s">
        <v>380</v>
      </c>
      <c r="AI186" s="538" t="s">
        <v>79</v>
      </c>
      <c r="AJ186" s="538" t="s">
        <v>377</v>
      </c>
      <c r="AK186" s="538" t="s">
        <v>73</v>
      </c>
      <c r="AM186" s="538" t="s">
        <v>73</v>
      </c>
      <c r="AO186" s="538" t="s">
        <v>79</v>
      </c>
      <c r="AP186" s="538" t="s">
        <v>218</v>
      </c>
      <c r="AQ186" s="538" t="s">
        <v>79</v>
      </c>
      <c r="AR186" s="538" t="s">
        <v>218</v>
      </c>
      <c r="AS186" s="538">
        <v>7.34855586E8</v>
      </c>
      <c r="AT186" s="538">
        <v>1.94631754E8</v>
      </c>
      <c r="AU186" s="538">
        <v>87.0</v>
      </c>
      <c r="AV186" s="538" t="s">
        <v>41</v>
      </c>
      <c r="AZ186" s="538">
        <v>1.0</v>
      </c>
      <c r="BA186" s="538">
        <v>1.0</v>
      </c>
      <c r="BB186" s="538">
        <v>1.0</v>
      </c>
      <c r="BE186" s="538">
        <v>0.1</v>
      </c>
      <c r="BF186" s="538">
        <v>0.02</v>
      </c>
      <c r="BG186" s="538">
        <v>0.05</v>
      </c>
      <c r="BJ186" s="546"/>
      <c r="BL186" s="546"/>
    </row>
    <row r="187" ht="22.5" customHeight="1">
      <c r="A187" s="538">
        <v>186.0</v>
      </c>
      <c r="B187" s="538" t="s">
        <v>1261</v>
      </c>
      <c r="C187" s="538" t="s">
        <v>82</v>
      </c>
      <c r="D187" s="538" t="s">
        <v>1238</v>
      </c>
      <c r="E187" s="538" t="s">
        <v>363</v>
      </c>
      <c r="G187" s="538" t="s">
        <v>151</v>
      </c>
      <c r="H187" s="538" t="s">
        <v>250</v>
      </c>
      <c r="I187" s="538" t="s">
        <v>122</v>
      </c>
      <c r="K187" s="538" t="s">
        <v>1264</v>
      </c>
      <c r="L187" s="538" t="s">
        <v>1265</v>
      </c>
      <c r="M187" s="538" t="s">
        <v>673</v>
      </c>
      <c r="N187" s="538" t="s">
        <v>1266</v>
      </c>
      <c r="O187" s="538" t="b">
        <v>0</v>
      </c>
      <c r="P187" s="538" t="b">
        <v>1</v>
      </c>
      <c r="Q187" s="538" t="s">
        <v>73</v>
      </c>
      <c r="S187" s="538" t="s">
        <v>73</v>
      </c>
      <c r="U187" s="538" t="s">
        <v>73</v>
      </c>
      <c r="W187" s="538" t="s">
        <v>73</v>
      </c>
      <c r="Y187" s="538" t="s">
        <v>73</v>
      </c>
      <c r="AA187" s="538" t="s">
        <v>73</v>
      </c>
      <c r="AC187" s="538" t="s">
        <v>73</v>
      </c>
      <c r="AE187" s="538" t="s">
        <v>73</v>
      </c>
      <c r="AG187" s="538" t="s">
        <v>73</v>
      </c>
      <c r="AI187" s="538" t="s">
        <v>73</v>
      </c>
      <c r="AK187" s="538" t="s">
        <v>73</v>
      </c>
      <c r="AM187" s="538" t="s">
        <v>73</v>
      </c>
      <c r="AO187" s="538" t="s">
        <v>79</v>
      </c>
      <c r="AP187" s="538" t="s">
        <v>363</v>
      </c>
      <c r="AQ187" s="538" t="s">
        <v>79</v>
      </c>
      <c r="AR187" s="538" t="s">
        <v>363</v>
      </c>
      <c r="AS187" s="538">
        <v>2.570807487E9</v>
      </c>
      <c r="AT187" s="538">
        <v>1.94631754E8</v>
      </c>
      <c r="AU187" s="538">
        <v>87.0</v>
      </c>
      <c r="AV187" s="538" t="s">
        <v>41</v>
      </c>
      <c r="AZ187" s="538">
        <v>1.0</v>
      </c>
      <c r="BA187" s="538">
        <v>1.0</v>
      </c>
      <c r="BB187" s="538">
        <v>1.0</v>
      </c>
      <c r="BC187" s="538">
        <v>1.0</v>
      </c>
      <c r="BD187" s="538">
        <v>1.0</v>
      </c>
      <c r="BE187" s="538">
        <v>0.05</v>
      </c>
      <c r="BF187" s="538">
        <v>0.07</v>
      </c>
      <c r="BG187" s="538">
        <v>0.09</v>
      </c>
      <c r="BH187" s="538">
        <v>0.11</v>
      </c>
      <c r="BI187" s="538">
        <v>0.14</v>
      </c>
      <c r="BJ187" s="546"/>
      <c r="BL187" s="546"/>
    </row>
    <row r="188" ht="22.5" customHeight="1">
      <c r="A188" s="538">
        <v>187.0</v>
      </c>
      <c r="B188" s="538" t="s">
        <v>1267</v>
      </c>
      <c r="C188" s="538" t="s">
        <v>84</v>
      </c>
      <c r="D188" s="538" t="s">
        <v>1238</v>
      </c>
      <c r="E188" s="538" t="s">
        <v>218</v>
      </c>
      <c r="G188" s="538" t="s">
        <v>163</v>
      </c>
      <c r="H188" s="538" t="s">
        <v>250</v>
      </c>
      <c r="I188" s="538" t="s">
        <v>122</v>
      </c>
      <c r="J188" s="538" t="s">
        <v>320</v>
      </c>
      <c r="K188" s="538" t="s">
        <v>1268</v>
      </c>
      <c r="L188" s="538" t="s">
        <v>1269</v>
      </c>
      <c r="M188" s="538" t="s">
        <v>661</v>
      </c>
      <c r="N188" s="538" t="s">
        <v>1270</v>
      </c>
      <c r="O188" s="538" t="b">
        <v>0</v>
      </c>
      <c r="P188" s="538" t="b">
        <v>1</v>
      </c>
      <c r="Q188" s="538" t="s">
        <v>73</v>
      </c>
      <c r="S188" s="538" t="s">
        <v>73</v>
      </c>
      <c r="U188" s="538" t="s">
        <v>73</v>
      </c>
      <c r="W188" s="538" t="s">
        <v>73</v>
      </c>
      <c r="Y188" s="538" t="s">
        <v>73</v>
      </c>
      <c r="AA188" s="538" t="s">
        <v>73</v>
      </c>
      <c r="AC188" s="538" t="s">
        <v>73</v>
      </c>
      <c r="AE188" s="538" t="s">
        <v>73</v>
      </c>
      <c r="AG188" s="538" t="s">
        <v>73</v>
      </c>
      <c r="AI188" s="538" t="s">
        <v>73</v>
      </c>
      <c r="AK188" s="538" t="s">
        <v>73</v>
      </c>
      <c r="AM188" s="538" t="s">
        <v>73</v>
      </c>
      <c r="AO188" s="538" t="s">
        <v>79</v>
      </c>
      <c r="AP188" s="538" t="s">
        <v>218</v>
      </c>
      <c r="AQ188" s="538" t="s">
        <v>79</v>
      </c>
      <c r="AR188" s="538" t="s">
        <v>218</v>
      </c>
      <c r="AS188" s="538">
        <v>1.782601905E9</v>
      </c>
      <c r="AT188" s="538">
        <v>4.066988596E9</v>
      </c>
      <c r="AU188" s="538">
        <v>88.0</v>
      </c>
      <c r="AV188" s="538" t="s">
        <v>41</v>
      </c>
      <c r="AZ188" s="538">
        <v>1.0</v>
      </c>
      <c r="BA188" s="538">
        <v>1.0</v>
      </c>
      <c r="BB188" s="538">
        <v>1.0</v>
      </c>
      <c r="BE188" s="538">
        <v>0.05</v>
      </c>
      <c r="BF188" s="538">
        <v>0.05</v>
      </c>
      <c r="BG188" s="538">
        <v>0.1</v>
      </c>
      <c r="BJ188" s="546"/>
      <c r="BL188" s="546"/>
    </row>
    <row r="189" ht="22.5" customHeight="1">
      <c r="A189" s="538">
        <v>188.0</v>
      </c>
      <c r="B189" s="538" t="s">
        <v>1267</v>
      </c>
      <c r="C189" s="538" t="s">
        <v>82</v>
      </c>
      <c r="D189" s="538" t="s">
        <v>1238</v>
      </c>
      <c r="E189" s="538" t="s">
        <v>343</v>
      </c>
      <c r="G189" s="538" t="s">
        <v>151</v>
      </c>
      <c r="H189" s="538" t="s">
        <v>235</v>
      </c>
      <c r="I189" s="538" t="s">
        <v>122</v>
      </c>
      <c r="K189" s="538" t="s">
        <v>1271</v>
      </c>
      <c r="L189" s="538" t="s">
        <v>1272</v>
      </c>
      <c r="M189" s="538" t="s">
        <v>673</v>
      </c>
      <c r="N189" s="538" t="s">
        <v>1273</v>
      </c>
      <c r="O189" s="538" t="b">
        <v>0</v>
      </c>
      <c r="P189" s="538" t="b">
        <v>1</v>
      </c>
      <c r="Q189" s="538" t="s">
        <v>73</v>
      </c>
      <c r="S189" s="538" t="s">
        <v>73</v>
      </c>
      <c r="U189" s="538" t="s">
        <v>73</v>
      </c>
      <c r="W189" s="538" t="s">
        <v>73</v>
      </c>
      <c r="Y189" s="538" t="s">
        <v>73</v>
      </c>
      <c r="AA189" s="538" t="s">
        <v>73</v>
      </c>
      <c r="AC189" s="538" t="s">
        <v>73</v>
      </c>
      <c r="AE189" s="538" t="s">
        <v>73</v>
      </c>
      <c r="AG189" s="538" t="s">
        <v>73</v>
      </c>
      <c r="AI189" s="538" t="s">
        <v>73</v>
      </c>
      <c r="AK189" s="538" t="s">
        <v>73</v>
      </c>
      <c r="AM189" s="538" t="s">
        <v>73</v>
      </c>
      <c r="AO189" s="538" t="s">
        <v>79</v>
      </c>
      <c r="AP189" s="538" t="s">
        <v>343</v>
      </c>
      <c r="AQ189" s="538" t="s">
        <v>79</v>
      </c>
      <c r="AR189" s="538" t="s">
        <v>343</v>
      </c>
      <c r="AS189" s="538">
        <v>1.980387696E9</v>
      </c>
      <c r="AT189" s="538">
        <v>4.066988596E9</v>
      </c>
      <c r="AU189" s="538">
        <v>88.0</v>
      </c>
      <c r="AV189" s="538" t="s">
        <v>41</v>
      </c>
      <c r="AZ189" s="538">
        <v>1.0</v>
      </c>
      <c r="BA189" s="538">
        <v>1.0</v>
      </c>
      <c r="BB189" s="538">
        <v>1.0</v>
      </c>
      <c r="BC189" s="538">
        <v>1.0</v>
      </c>
      <c r="BD189" s="538">
        <v>1.0</v>
      </c>
      <c r="BE189" s="538">
        <v>0.05</v>
      </c>
      <c r="BF189" s="538">
        <v>0.08</v>
      </c>
      <c r="BG189" s="538">
        <v>0.1</v>
      </c>
      <c r="BH189" s="538">
        <v>0.12</v>
      </c>
      <c r="BI189" s="538">
        <v>0.15</v>
      </c>
      <c r="BJ189" s="546"/>
      <c r="BL189" s="546"/>
    </row>
    <row r="190" ht="22.5" customHeight="1">
      <c r="A190" s="538">
        <v>189.0</v>
      </c>
      <c r="B190" s="538" t="s">
        <v>1274</v>
      </c>
      <c r="C190" s="538" t="s">
        <v>84</v>
      </c>
      <c r="D190" s="538" t="s">
        <v>1274</v>
      </c>
      <c r="E190" s="538" t="s">
        <v>277</v>
      </c>
      <c r="F190" s="538" t="s">
        <v>330</v>
      </c>
      <c r="G190" s="538" t="s">
        <v>151</v>
      </c>
      <c r="H190" s="538" t="s">
        <v>250</v>
      </c>
      <c r="I190" s="538" t="s">
        <v>122</v>
      </c>
      <c r="K190" s="538" t="s">
        <v>1275</v>
      </c>
      <c r="L190" s="538" t="s">
        <v>1276</v>
      </c>
      <c r="M190" s="538" t="s">
        <v>661</v>
      </c>
      <c r="N190" s="538" t="s">
        <v>705</v>
      </c>
      <c r="O190" s="538" t="b">
        <v>0</v>
      </c>
      <c r="P190" s="538" t="b">
        <v>1</v>
      </c>
      <c r="Q190" s="538" t="s">
        <v>79</v>
      </c>
      <c r="R190" s="538" t="s">
        <v>277</v>
      </c>
      <c r="S190" s="538" t="s">
        <v>79</v>
      </c>
      <c r="T190" s="538" t="s">
        <v>277</v>
      </c>
      <c r="U190" s="538" t="s">
        <v>75</v>
      </c>
      <c r="V190" s="538" t="s">
        <v>1277</v>
      </c>
      <c r="W190" s="538" t="s">
        <v>79</v>
      </c>
      <c r="X190" s="538" t="s">
        <v>277</v>
      </c>
      <c r="Y190" s="538" t="s">
        <v>79</v>
      </c>
      <c r="Z190" s="538" t="s">
        <v>277</v>
      </c>
      <c r="AA190" s="538" t="s">
        <v>79</v>
      </c>
      <c r="AB190" s="538" t="s">
        <v>277</v>
      </c>
      <c r="AC190" s="538" t="s">
        <v>75</v>
      </c>
      <c r="AD190" s="538" t="s">
        <v>1277</v>
      </c>
      <c r="AE190" s="538" t="s">
        <v>75</v>
      </c>
      <c r="AF190" s="538" t="s">
        <v>1277</v>
      </c>
      <c r="AG190" s="538" t="s">
        <v>79</v>
      </c>
      <c r="AH190" s="538" t="s">
        <v>277</v>
      </c>
      <c r="AI190" s="538" t="s">
        <v>75</v>
      </c>
      <c r="AJ190" s="538" t="s">
        <v>1277</v>
      </c>
      <c r="AK190" s="538" t="s">
        <v>75</v>
      </c>
      <c r="AL190" s="538" t="s">
        <v>1277</v>
      </c>
      <c r="AM190" s="538" t="s">
        <v>75</v>
      </c>
      <c r="AN190" s="538" t="s">
        <v>1277</v>
      </c>
      <c r="AO190" s="538" t="s">
        <v>73</v>
      </c>
      <c r="AQ190" s="538" t="s">
        <v>79</v>
      </c>
      <c r="AR190" s="538" t="s">
        <v>277</v>
      </c>
      <c r="AS190" s="538">
        <v>3.40693577E9</v>
      </c>
      <c r="AT190" s="538">
        <v>3.479870516E9</v>
      </c>
      <c r="AU190" s="538">
        <v>94.0</v>
      </c>
      <c r="AV190" s="538" t="s">
        <v>47</v>
      </c>
      <c r="AY190" s="538" t="s">
        <v>1278</v>
      </c>
      <c r="AZ190" s="538">
        <v>1.0</v>
      </c>
      <c r="BA190" s="538">
        <v>1.0</v>
      </c>
      <c r="BB190" s="538">
        <v>1.0</v>
      </c>
      <c r="BE190" s="538">
        <v>1.0</v>
      </c>
      <c r="BF190" s="538">
        <v>0.0</v>
      </c>
      <c r="BG190" s="538">
        <v>0.0</v>
      </c>
      <c r="BJ190" s="546"/>
      <c r="BL190" s="546"/>
    </row>
    <row r="191" ht="22.5" customHeight="1">
      <c r="A191" s="538">
        <v>190.0</v>
      </c>
      <c r="B191" s="538" t="s">
        <v>1274</v>
      </c>
      <c r="C191" s="538" t="s">
        <v>82</v>
      </c>
      <c r="D191" s="538" t="s">
        <v>1274</v>
      </c>
      <c r="E191" s="538" t="s">
        <v>112</v>
      </c>
      <c r="F191" s="538" t="s">
        <v>1279</v>
      </c>
      <c r="G191" s="538" t="s">
        <v>163</v>
      </c>
      <c r="H191" s="538" t="s">
        <v>250</v>
      </c>
      <c r="I191" s="538" t="s">
        <v>155</v>
      </c>
      <c r="J191" s="538" t="s">
        <v>263</v>
      </c>
      <c r="K191" s="538" t="s">
        <v>1280</v>
      </c>
      <c r="L191" s="538" t="s">
        <v>1281</v>
      </c>
      <c r="M191" s="538" t="s">
        <v>673</v>
      </c>
      <c r="N191" s="538" t="s">
        <v>1260</v>
      </c>
      <c r="O191" s="538" t="b">
        <v>0</v>
      </c>
      <c r="P191" s="538" t="b">
        <v>0</v>
      </c>
      <c r="Q191" s="538" t="s">
        <v>79</v>
      </c>
      <c r="R191" s="538" t="s">
        <v>1279</v>
      </c>
      <c r="S191" s="538" t="s">
        <v>79</v>
      </c>
      <c r="T191" s="538" t="s">
        <v>1279</v>
      </c>
      <c r="U191" s="538" t="s">
        <v>75</v>
      </c>
      <c r="V191" s="538" t="s">
        <v>1279</v>
      </c>
      <c r="W191" s="538" t="s">
        <v>75</v>
      </c>
      <c r="X191" s="538" t="s">
        <v>1279</v>
      </c>
      <c r="Y191" s="538" t="s">
        <v>75</v>
      </c>
      <c r="Z191" s="538" t="s">
        <v>1279</v>
      </c>
      <c r="AA191" s="538" t="s">
        <v>75</v>
      </c>
      <c r="AB191" s="538" t="s">
        <v>1279</v>
      </c>
      <c r="AC191" s="538" t="s">
        <v>75</v>
      </c>
      <c r="AD191" s="538" t="s">
        <v>1279</v>
      </c>
      <c r="AE191" s="538" t="s">
        <v>75</v>
      </c>
      <c r="AF191" s="538" t="s">
        <v>1279</v>
      </c>
      <c r="AG191" s="538" t="s">
        <v>75</v>
      </c>
      <c r="AH191" s="538" t="s">
        <v>1279</v>
      </c>
      <c r="AI191" s="538" t="s">
        <v>79</v>
      </c>
      <c r="AJ191" s="538" t="s">
        <v>1279</v>
      </c>
      <c r="AK191" s="538" t="s">
        <v>79</v>
      </c>
      <c r="AL191" s="538" t="s">
        <v>1279</v>
      </c>
      <c r="AM191" s="538" t="s">
        <v>79</v>
      </c>
      <c r="AN191" s="538" t="s">
        <v>1279</v>
      </c>
      <c r="AO191" s="538" t="s">
        <v>79</v>
      </c>
      <c r="AP191" s="538" t="s">
        <v>112</v>
      </c>
      <c r="AQ191" s="538" t="s">
        <v>79</v>
      </c>
      <c r="AR191" s="538" t="s">
        <v>112</v>
      </c>
      <c r="AS191" s="538">
        <v>5.65052704E8</v>
      </c>
      <c r="AT191" s="538">
        <v>3.479870516E9</v>
      </c>
      <c r="AU191" s="538">
        <v>94.0</v>
      </c>
      <c r="AV191" s="538" t="s">
        <v>47</v>
      </c>
      <c r="AY191" s="538" t="s">
        <v>1279</v>
      </c>
      <c r="AZ191" s="538">
        <v>1.0</v>
      </c>
      <c r="BA191" s="538">
        <v>1.0</v>
      </c>
      <c r="BB191" s="538">
        <v>1.0</v>
      </c>
      <c r="BC191" s="538">
        <v>1.0</v>
      </c>
      <c r="BD191" s="538">
        <v>1.0</v>
      </c>
      <c r="BE191" s="538">
        <v>1.0</v>
      </c>
      <c r="BF191" s="538">
        <v>2.0</v>
      </c>
      <c r="BG191" s="538">
        <v>3.0</v>
      </c>
      <c r="BH191" s="538">
        <v>4.0</v>
      </c>
      <c r="BI191" s="538">
        <v>5.0</v>
      </c>
      <c r="BJ191" s="546"/>
      <c r="BL191" s="546"/>
    </row>
    <row r="192" ht="22.5" customHeight="1">
      <c r="A192" s="538">
        <v>191.0</v>
      </c>
      <c r="B192" s="538" t="s">
        <v>1282</v>
      </c>
      <c r="C192" s="538" t="s">
        <v>84</v>
      </c>
      <c r="D192" s="538" t="s">
        <v>1283</v>
      </c>
      <c r="E192" s="538" t="s">
        <v>369</v>
      </c>
      <c r="G192" s="538" t="s">
        <v>163</v>
      </c>
      <c r="H192" s="538" t="s">
        <v>250</v>
      </c>
      <c r="I192" s="538" t="s">
        <v>155</v>
      </c>
      <c r="K192" s="538" t="s">
        <v>1284</v>
      </c>
      <c r="L192" s="538" t="s">
        <v>1285</v>
      </c>
      <c r="M192" s="538" t="s">
        <v>661</v>
      </c>
      <c r="N192" s="538" t="s">
        <v>1286</v>
      </c>
      <c r="O192" s="538" t="b">
        <v>0</v>
      </c>
      <c r="P192" s="538" t="b">
        <v>1</v>
      </c>
      <c r="Q192" s="538" t="s">
        <v>73</v>
      </c>
      <c r="S192" s="538" t="s">
        <v>73</v>
      </c>
      <c r="U192" s="538" t="s">
        <v>73</v>
      </c>
      <c r="W192" s="538" t="s">
        <v>73</v>
      </c>
      <c r="Y192" s="538" t="s">
        <v>73</v>
      </c>
      <c r="AA192" s="538" t="s">
        <v>73</v>
      </c>
      <c r="AC192" s="538" t="s">
        <v>73</v>
      </c>
      <c r="AE192" s="538" t="s">
        <v>73</v>
      </c>
      <c r="AG192" s="538" t="s">
        <v>73</v>
      </c>
      <c r="AI192" s="538" t="s">
        <v>73</v>
      </c>
      <c r="AK192" s="538" t="s">
        <v>73</v>
      </c>
      <c r="AM192" s="538" t="s">
        <v>73</v>
      </c>
      <c r="AO192" s="538" t="s">
        <v>79</v>
      </c>
      <c r="AP192" s="538" t="s">
        <v>369</v>
      </c>
      <c r="AQ192" s="538" t="s">
        <v>79</v>
      </c>
      <c r="AR192" s="538" t="s">
        <v>369</v>
      </c>
      <c r="AS192" s="538">
        <v>2.29656832E9</v>
      </c>
      <c r="AT192" s="538">
        <v>9.89647182E8</v>
      </c>
      <c r="AU192" s="538">
        <v>110.0</v>
      </c>
      <c r="AV192" s="538" t="s">
        <v>46</v>
      </c>
      <c r="AZ192" s="538">
        <v>1.0</v>
      </c>
      <c r="BA192" s="538">
        <v>1.0</v>
      </c>
      <c r="BB192" s="538">
        <v>1.0</v>
      </c>
      <c r="BE192" s="538">
        <v>0.05</v>
      </c>
      <c r="BF192" s="538">
        <v>0.01</v>
      </c>
      <c r="BG192" s="538">
        <v>0.02</v>
      </c>
      <c r="BJ192" s="546"/>
      <c r="BL192" s="546"/>
    </row>
    <row r="193" ht="22.5" customHeight="1">
      <c r="A193" s="538">
        <v>192.0</v>
      </c>
      <c r="B193" s="538" t="s">
        <v>1282</v>
      </c>
      <c r="C193" s="538" t="s">
        <v>82</v>
      </c>
      <c r="D193" s="538" t="s">
        <v>1283</v>
      </c>
      <c r="E193" s="538" t="s">
        <v>268</v>
      </c>
      <c r="G193" s="538" t="s">
        <v>151</v>
      </c>
      <c r="H193" s="538" t="s">
        <v>250</v>
      </c>
      <c r="I193" s="538" t="s">
        <v>122</v>
      </c>
      <c r="K193" s="538" t="s">
        <v>1287</v>
      </c>
      <c r="L193" s="538" t="s">
        <v>1288</v>
      </c>
      <c r="M193" s="538" t="s">
        <v>673</v>
      </c>
      <c r="N193" s="538" t="s">
        <v>723</v>
      </c>
      <c r="O193" s="538" t="b">
        <v>0</v>
      </c>
      <c r="P193" s="538" t="b">
        <v>1</v>
      </c>
      <c r="Q193" s="538" t="s">
        <v>79</v>
      </c>
      <c r="R193" s="538" t="s">
        <v>268</v>
      </c>
      <c r="S193" s="538" t="s">
        <v>79</v>
      </c>
      <c r="T193" s="538" t="s">
        <v>268</v>
      </c>
      <c r="U193" s="538" t="s">
        <v>79</v>
      </c>
      <c r="V193" s="538" t="s">
        <v>268</v>
      </c>
      <c r="W193" s="538" t="s">
        <v>79</v>
      </c>
      <c r="X193" s="538" t="s">
        <v>268</v>
      </c>
      <c r="Y193" s="538" t="s">
        <v>79</v>
      </c>
      <c r="Z193" s="538" t="s">
        <v>268</v>
      </c>
      <c r="AA193" s="538" t="s">
        <v>79</v>
      </c>
      <c r="AB193" s="538" t="s">
        <v>268</v>
      </c>
      <c r="AC193" s="538" t="s">
        <v>79</v>
      </c>
      <c r="AD193" s="538" t="s">
        <v>268</v>
      </c>
      <c r="AE193" s="538" t="s">
        <v>79</v>
      </c>
      <c r="AF193" s="538" t="s">
        <v>268</v>
      </c>
      <c r="AG193" s="538" t="s">
        <v>79</v>
      </c>
      <c r="AH193" s="538" t="s">
        <v>268</v>
      </c>
      <c r="AI193" s="538" t="s">
        <v>79</v>
      </c>
      <c r="AJ193" s="538" t="s">
        <v>268</v>
      </c>
      <c r="AK193" s="538" t="s">
        <v>79</v>
      </c>
      <c r="AL193" s="538" t="s">
        <v>268</v>
      </c>
      <c r="AM193" s="538" t="s">
        <v>79</v>
      </c>
      <c r="AN193" s="538" t="s">
        <v>268</v>
      </c>
      <c r="AO193" s="538" t="s">
        <v>79</v>
      </c>
      <c r="AP193" s="538" t="s">
        <v>268</v>
      </c>
      <c r="AQ193" s="538" t="s">
        <v>73</v>
      </c>
      <c r="AS193" s="538">
        <v>4.130092864E9</v>
      </c>
      <c r="AT193" s="538">
        <v>9.89647182E8</v>
      </c>
      <c r="AU193" s="538">
        <v>110.0</v>
      </c>
      <c r="AV193" s="538" t="s">
        <v>46</v>
      </c>
      <c r="AZ193" s="538">
        <v>1.0</v>
      </c>
      <c r="BA193" s="538">
        <v>1.0</v>
      </c>
      <c r="BB193" s="538">
        <v>1.0</v>
      </c>
      <c r="BC193" s="538">
        <v>1.0</v>
      </c>
      <c r="BD193" s="538">
        <v>1.0</v>
      </c>
      <c r="BE193" s="538">
        <v>0.3</v>
      </c>
      <c r="BF193" s="538">
        <v>0.35</v>
      </c>
      <c r="BG193" s="538">
        <v>0.4</v>
      </c>
      <c r="BH193" s="538">
        <v>0.45</v>
      </c>
      <c r="BI193" s="538">
        <v>0.5</v>
      </c>
      <c r="BJ193" s="546"/>
      <c r="BL193" s="546"/>
    </row>
    <row r="194" ht="22.5" customHeight="1">
      <c r="A194" s="538">
        <v>193.0</v>
      </c>
      <c r="B194" s="538" t="s">
        <v>1289</v>
      </c>
      <c r="C194" s="538" t="s">
        <v>84</v>
      </c>
      <c r="D194" s="538" t="s">
        <v>1283</v>
      </c>
      <c r="E194" s="538" t="s">
        <v>265</v>
      </c>
      <c r="G194" s="538" t="s">
        <v>151</v>
      </c>
      <c r="H194" s="538" t="s">
        <v>250</v>
      </c>
      <c r="I194" s="538" t="s">
        <v>122</v>
      </c>
      <c r="K194" s="538" t="s">
        <v>1290</v>
      </c>
      <c r="L194" s="538" t="s">
        <v>812</v>
      </c>
      <c r="M194" s="538" t="s">
        <v>661</v>
      </c>
      <c r="N194" s="538" t="s">
        <v>734</v>
      </c>
      <c r="O194" s="538" t="b">
        <v>0</v>
      </c>
      <c r="P194" s="538" t="b">
        <v>1</v>
      </c>
      <c r="Q194" s="538" t="s">
        <v>79</v>
      </c>
      <c r="R194" s="538" t="s">
        <v>265</v>
      </c>
      <c r="S194" s="538" t="s">
        <v>79</v>
      </c>
      <c r="T194" s="538" t="s">
        <v>265</v>
      </c>
      <c r="U194" s="538" t="s">
        <v>79</v>
      </c>
      <c r="V194" s="538" t="s">
        <v>265</v>
      </c>
      <c r="W194" s="538" t="s">
        <v>79</v>
      </c>
      <c r="X194" s="538" t="s">
        <v>265</v>
      </c>
      <c r="Y194" s="538" t="s">
        <v>79</v>
      </c>
      <c r="Z194" s="538" t="s">
        <v>265</v>
      </c>
      <c r="AA194" s="538" t="s">
        <v>79</v>
      </c>
      <c r="AB194" s="538" t="s">
        <v>265</v>
      </c>
      <c r="AC194" s="538" t="s">
        <v>79</v>
      </c>
      <c r="AD194" s="538" t="s">
        <v>265</v>
      </c>
      <c r="AE194" s="538" t="s">
        <v>79</v>
      </c>
      <c r="AF194" s="538" t="s">
        <v>265</v>
      </c>
      <c r="AG194" s="538" t="s">
        <v>79</v>
      </c>
      <c r="AH194" s="538" t="s">
        <v>265</v>
      </c>
      <c r="AI194" s="538" t="s">
        <v>79</v>
      </c>
      <c r="AJ194" s="538" t="s">
        <v>265</v>
      </c>
      <c r="AK194" s="538" t="s">
        <v>79</v>
      </c>
      <c r="AL194" s="538" t="s">
        <v>265</v>
      </c>
      <c r="AM194" s="538" t="s">
        <v>79</v>
      </c>
      <c r="AN194" s="538" t="s">
        <v>265</v>
      </c>
      <c r="AO194" s="538" t="s">
        <v>79</v>
      </c>
      <c r="AP194" s="538" t="s">
        <v>265</v>
      </c>
      <c r="AQ194" s="538" t="s">
        <v>73</v>
      </c>
      <c r="AS194" s="538">
        <v>1.012264418E9</v>
      </c>
      <c r="AT194" s="538">
        <v>1.18103052E8</v>
      </c>
      <c r="AU194" s="538">
        <v>157.0</v>
      </c>
      <c r="AV194" s="538" t="s">
        <v>46</v>
      </c>
      <c r="AZ194" s="538">
        <v>1.0</v>
      </c>
      <c r="BA194" s="538">
        <v>1.0</v>
      </c>
      <c r="BB194" s="538">
        <v>1.0</v>
      </c>
      <c r="BE194" s="538">
        <v>0.2</v>
      </c>
      <c r="BF194" s="538">
        <v>0.05</v>
      </c>
      <c r="BG194" s="538">
        <v>0.15</v>
      </c>
      <c r="BJ194" s="546"/>
      <c r="BL194" s="546"/>
    </row>
    <row r="195" ht="22.5" customHeight="1">
      <c r="A195" s="538">
        <v>194.0</v>
      </c>
      <c r="B195" s="538" t="s">
        <v>1289</v>
      </c>
      <c r="C195" s="538" t="s">
        <v>82</v>
      </c>
      <c r="D195" s="538" t="s">
        <v>1283</v>
      </c>
      <c r="E195" s="538" t="s">
        <v>331</v>
      </c>
      <c r="G195" s="538" t="s">
        <v>151</v>
      </c>
      <c r="H195" s="538" t="s">
        <v>250</v>
      </c>
      <c r="I195" s="538" t="s">
        <v>122</v>
      </c>
      <c r="J195" s="538" t="s">
        <v>406</v>
      </c>
      <c r="K195" s="538" t="s">
        <v>1291</v>
      </c>
      <c r="L195" s="538" t="s">
        <v>1292</v>
      </c>
      <c r="M195" s="538" t="s">
        <v>673</v>
      </c>
      <c r="N195" s="538" t="s">
        <v>1293</v>
      </c>
      <c r="O195" s="538" t="b">
        <v>0</v>
      </c>
      <c r="P195" s="538" t="b">
        <v>1</v>
      </c>
      <c r="Q195" s="538" t="s">
        <v>79</v>
      </c>
      <c r="R195" s="538" t="s">
        <v>331</v>
      </c>
      <c r="S195" s="538" t="s">
        <v>79</v>
      </c>
      <c r="T195" s="538" t="s">
        <v>331</v>
      </c>
      <c r="U195" s="538" t="s">
        <v>79</v>
      </c>
      <c r="V195" s="538" t="s">
        <v>331</v>
      </c>
      <c r="W195" s="538" t="s">
        <v>79</v>
      </c>
      <c r="X195" s="538" t="s">
        <v>331</v>
      </c>
      <c r="Y195" s="538" t="s">
        <v>79</v>
      </c>
      <c r="Z195" s="538" t="s">
        <v>331</v>
      </c>
      <c r="AA195" s="538" t="s">
        <v>79</v>
      </c>
      <c r="AB195" s="538" t="s">
        <v>331</v>
      </c>
      <c r="AC195" s="538" t="s">
        <v>79</v>
      </c>
      <c r="AD195" s="538" t="s">
        <v>331</v>
      </c>
      <c r="AE195" s="538" t="s">
        <v>79</v>
      </c>
      <c r="AF195" s="538" t="s">
        <v>331</v>
      </c>
      <c r="AG195" s="538" t="s">
        <v>79</v>
      </c>
      <c r="AH195" s="538" t="s">
        <v>331</v>
      </c>
      <c r="AI195" s="538" t="s">
        <v>79</v>
      </c>
      <c r="AJ195" s="538" t="s">
        <v>331</v>
      </c>
      <c r="AK195" s="538" t="s">
        <v>79</v>
      </c>
      <c r="AL195" s="538" t="s">
        <v>331</v>
      </c>
      <c r="AM195" s="538" t="s">
        <v>79</v>
      </c>
      <c r="AN195" s="538" t="s">
        <v>331</v>
      </c>
      <c r="AO195" s="538" t="s">
        <v>79</v>
      </c>
      <c r="AP195" s="538" t="s">
        <v>331</v>
      </c>
      <c r="AQ195" s="538" t="s">
        <v>73</v>
      </c>
      <c r="AS195" s="538">
        <v>3.972571863E9</v>
      </c>
      <c r="AT195" s="538">
        <v>1.18103052E8</v>
      </c>
      <c r="AU195" s="538">
        <v>157.0</v>
      </c>
      <c r="AV195" s="538" t="s">
        <v>46</v>
      </c>
      <c r="AZ195" s="538">
        <v>1.0</v>
      </c>
      <c r="BA195" s="538">
        <v>1.0</v>
      </c>
      <c r="BB195" s="538">
        <v>1.0</v>
      </c>
      <c r="BC195" s="538">
        <v>1.0</v>
      </c>
      <c r="BD195" s="538">
        <v>1.0</v>
      </c>
      <c r="BE195" s="538">
        <v>0.5</v>
      </c>
      <c r="BF195" s="538">
        <v>0.55</v>
      </c>
      <c r="BG195" s="538">
        <v>0.6</v>
      </c>
      <c r="BH195" s="538">
        <v>0.65</v>
      </c>
      <c r="BI195" s="538">
        <v>0.75</v>
      </c>
      <c r="BJ195" s="546"/>
      <c r="BL195" s="546"/>
    </row>
    <row r="196" ht="22.5" customHeight="1">
      <c r="A196" s="538">
        <v>195.0</v>
      </c>
      <c r="B196" s="538" t="s">
        <v>1294</v>
      </c>
      <c r="C196" s="538" t="s">
        <v>84</v>
      </c>
      <c r="D196" s="538" t="s">
        <v>1283</v>
      </c>
      <c r="E196" s="538" t="s">
        <v>331</v>
      </c>
      <c r="G196" s="538" t="s">
        <v>151</v>
      </c>
      <c r="H196" s="538" t="s">
        <v>250</v>
      </c>
      <c r="I196" s="538" t="s">
        <v>122</v>
      </c>
      <c r="J196" s="538" t="s">
        <v>419</v>
      </c>
      <c r="K196" s="538" t="s">
        <v>1295</v>
      </c>
      <c r="L196" s="538" t="s">
        <v>1296</v>
      </c>
      <c r="M196" s="538" t="s">
        <v>661</v>
      </c>
      <c r="N196" s="538" t="s">
        <v>1297</v>
      </c>
      <c r="O196" s="538" t="b">
        <v>0</v>
      </c>
      <c r="P196" s="538" t="b">
        <v>1</v>
      </c>
      <c r="Q196" s="538" t="s">
        <v>79</v>
      </c>
      <c r="R196" s="538" t="s">
        <v>331</v>
      </c>
      <c r="S196" s="538" t="s">
        <v>79</v>
      </c>
      <c r="T196" s="538" t="s">
        <v>331</v>
      </c>
      <c r="U196" s="538" t="s">
        <v>79</v>
      </c>
      <c r="V196" s="538" t="s">
        <v>331</v>
      </c>
      <c r="W196" s="538" t="s">
        <v>79</v>
      </c>
      <c r="X196" s="538" t="s">
        <v>331</v>
      </c>
      <c r="Y196" s="538" t="s">
        <v>79</v>
      </c>
      <c r="Z196" s="538" t="s">
        <v>331</v>
      </c>
      <c r="AA196" s="538" t="s">
        <v>79</v>
      </c>
      <c r="AB196" s="538" t="s">
        <v>331</v>
      </c>
      <c r="AC196" s="538" t="s">
        <v>79</v>
      </c>
      <c r="AD196" s="538" t="s">
        <v>331</v>
      </c>
      <c r="AE196" s="538" t="s">
        <v>79</v>
      </c>
      <c r="AF196" s="538" t="s">
        <v>331</v>
      </c>
      <c r="AG196" s="538" t="s">
        <v>79</v>
      </c>
      <c r="AH196" s="538" t="s">
        <v>331</v>
      </c>
      <c r="AI196" s="538" t="s">
        <v>79</v>
      </c>
      <c r="AJ196" s="538" t="s">
        <v>331</v>
      </c>
      <c r="AK196" s="538" t="s">
        <v>79</v>
      </c>
      <c r="AL196" s="538" t="s">
        <v>331</v>
      </c>
      <c r="AM196" s="538" t="s">
        <v>79</v>
      </c>
      <c r="AN196" s="538" t="s">
        <v>331</v>
      </c>
      <c r="AO196" s="538" t="s">
        <v>79</v>
      </c>
      <c r="AP196" s="538" t="s">
        <v>331</v>
      </c>
      <c r="AQ196" s="538" t="s">
        <v>73</v>
      </c>
      <c r="AS196" s="538">
        <v>1.222862242E9</v>
      </c>
      <c r="AT196" s="538">
        <v>1.395454844E9</v>
      </c>
      <c r="AU196" s="538">
        <v>179.0</v>
      </c>
      <c r="AV196" s="538" t="s">
        <v>47</v>
      </c>
      <c r="AZ196" s="538">
        <v>1.0</v>
      </c>
      <c r="BA196" s="538">
        <v>1.0</v>
      </c>
      <c r="BB196" s="538">
        <v>1.0</v>
      </c>
      <c r="BE196" s="538">
        <v>0.6</v>
      </c>
      <c r="BF196" s="538">
        <v>0.3</v>
      </c>
      <c r="BG196" s="538">
        <v>0.45</v>
      </c>
      <c r="BJ196" s="546"/>
      <c r="BL196" s="546"/>
    </row>
    <row r="197" ht="22.5" customHeight="1">
      <c r="A197" s="538">
        <v>196.0</v>
      </c>
      <c r="B197" s="538" t="s">
        <v>1294</v>
      </c>
      <c r="C197" s="538" t="s">
        <v>82</v>
      </c>
      <c r="D197" s="538" t="s">
        <v>1283</v>
      </c>
      <c r="E197" s="538" t="s">
        <v>268</v>
      </c>
      <c r="G197" s="538" t="s">
        <v>151</v>
      </c>
      <c r="H197" s="538" t="s">
        <v>250</v>
      </c>
      <c r="I197" s="538" t="s">
        <v>122</v>
      </c>
      <c r="K197" s="538" t="s">
        <v>1298</v>
      </c>
      <c r="L197" s="538" t="s">
        <v>1299</v>
      </c>
      <c r="M197" s="538" t="s">
        <v>673</v>
      </c>
      <c r="N197" s="538" t="s">
        <v>1300</v>
      </c>
      <c r="O197" s="538" t="b">
        <v>0</v>
      </c>
      <c r="P197" s="538" t="b">
        <v>1</v>
      </c>
      <c r="Q197" s="538" t="s">
        <v>79</v>
      </c>
      <c r="R197" s="538" t="s">
        <v>268</v>
      </c>
      <c r="S197" s="538" t="s">
        <v>79</v>
      </c>
      <c r="T197" s="538" t="s">
        <v>268</v>
      </c>
      <c r="U197" s="538" t="s">
        <v>79</v>
      </c>
      <c r="V197" s="538" t="s">
        <v>268</v>
      </c>
      <c r="W197" s="538" t="s">
        <v>79</v>
      </c>
      <c r="X197" s="538" t="s">
        <v>268</v>
      </c>
      <c r="Y197" s="538" t="s">
        <v>79</v>
      </c>
      <c r="Z197" s="538" t="s">
        <v>268</v>
      </c>
      <c r="AA197" s="538" t="s">
        <v>79</v>
      </c>
      <c r="AB197" s="538" t="s">
        <v>268</v>
      </c>
      <c r="AC197" s="538" t="s">
        <v>79</v>
      </c>
      <c r="AD197" s="538" t="s">
        <v>268</v>
      </c>
      <c r="AE197" s="538" t="s">
        <v>79</v>
      </c>
      <c r="AF197" s="538" t="s">
        <v>268</v>
      </c>
      <c r="AG197" s="538" t="s">
        <v>79</v>
      </c>
      <c r="AH197" s="538" t="s">
        <v>268</v>
      </c>
      <c r="AI197" s="538" t="s">
        <v>79</v>
      </c>
      <c r="AJ197" s="538" t="s">
        <v>268</v>
      </c>
      <c r="AK197" s="538" t="s">
        <v>79</v>
      </c>
      <c r="AL197" s="538" t="s">
        <v>268</v>
      </c>
      <c r="AM197" s="538" t="s">
        <v>79</v>
      </c>
      <c r="AN197" s="538" t="s">
        <v>268</v>
      </c>
      <c r="AO197" s="538" t="s">
        <v>79</v>
      </c>
      <c r="AP197" s="538" t="s">
        <v>268</v>
      </c>
      <c r="AQ197" s="538" t="s">
        <v>73</v>
      </c>
      <c r="AS197" s="538">
        <v>2.422039622E9</v>
      </c>
      <c r="AT197" s="538">
        <v>1.395454844E9</v>
      </c>
      <c r="AU197" s="538">
        <v>179.0</v>
      </c>
      <c r="AV197" s="538" t="s">
        <v>47</v>
      </c>
      <c r="AZ197" s="538">
        <v>1.0</v>
      </c>
      <c r="BA197" s="538">
        <v>1.0</v>
      </c>
      <c r="BB197" s="538">
        <v>1.0</v>
      </c>
      <c r="BC197" s="538">
        <v>1.0</v>
      </c>
      <c r="BD197" s="538">
        <v>1.0</v>
      </c>
      <c r="BE197" s="538">
        <v>3.0</v>
      </c>
      <c r="BF197" s="538">
        <v>3.5</v>
      </c>
      <c r="BG197" s="538">
        <v>4.0</v>
      </c>
      <c r="BH197" s="538">
        <v>4.5</v>
      </c>
      <c r="BI197" s="538">
        <v>5.0</v>
      </c>
      <c r="BJ197" s="546"/>
      <c r="BL197" s="546"/>
    </row>
    <row r="198" ht="22.5" customHeight="1">
      <c r="A198" s="538">
        <v>197.0</v>
      </c>
      <c r="B198" s="538" t="s">
        <v>1301</v>
      </c>
      <c r="C198" s="538" t="s">
        <v>84</v>
      </c>
      <c r="D198" s="538" t="s">
        <v>1283</v>
      </c>
      <c r="E198" s="538" t="s">
        <v>331</v>
      </c>
      <c r="G198" s="538" t="s">
        <v>151</v>
      </c>
      <c r="H198" s="538" t="s">
        <v>250</v>
      </c>
      <c r="I198" s="538" t="s">
        <v>122</v>
      </c>
      <c r="J198" s="538" t="s">
        <v>409</v>
      </c>
      <c r="K198" s="538" t="s">
        <v>1302</v>
      </c>
      <c r="L198" s="538" t="s">
        <v>1303</v>
      </c>
      <c r="M198" s="538" t="s">
        <v>661</v>
      </c>
      <c r="N198" s="538" t="s">
        <v>1297</v>
      </c>
      <c r="O198" s="538" t="b">
        <v>0</v>
      </c>
      <c r="P198" s="538" t="b">
        <v>1</v>
      </c>
      <c r="Q198" s="538" t="s">
        <v>79</v>
      </c>
      <c r="R198" s="538" t="s">
        <v>331</v>
      </c>
      <c r="S198" s="538" t="s">
        <v>79</v>
      </c>
      <c r="T198" s="538" t="s">
        <v>331</v>
      </c>
      <c r="U198" s="538" t="s">
        <v>79</v>
      </c>
      <c r="V198" s="538" t="s">
        <v>331</v>
      </c>
      <c r="W198" s="538" t="s">
        <v>79</v>
      </c>
      <c r="X198" s="538" t="s">
        <v>331</v>
      </c>
      <c r="Y198" s="538" t="s">
        <v>79</v>
      </c>
      <c r="Z198" s="538" t="s">
        <v>331</v>
      </c>
      <c r="AA198" s="538" t="s">
        <v>79</v>
      </c>
      <c r="AB198" s="538" t="s">
        <v>331</v>
      </c>
      <c r="AC198" s="538" t="s">
        <v>79</v>
      </c>
      <c r="AD198" s="538" t="s">
        <v>331</v>
      </c>
      <c r="AE198" s="538" t="s">
        <v>79</v>
      </c>
      <c r="AF198" s="538" t="s">
        <v>331</v>
      </c>
      <c r="AG198" s="538" t="s">
        <v>79</v>
      </c>
      <c r="AH198" s="538" t="s">
        <v>331</v>
      </c>
      <c r="AI198" s="538" t="s">
        <v>79</v>
      </c>
      <c r="AJ198" s="538" t="s">
        <v>331</v>
      </c>
      <c r="AK198" s="538" t="s">
        <v>79</v>
      </c>
      <c r="AL198" s="538" t="s">
        <v>331</v>
      </c>
      <c r="AM198" s="538" t="s">
        <v>79</v>
      </c>
      <c r="AN198" s="538" t="s">
        <v>331</v>
      </c>
      <c r="AO198" s="538" t="s">
        <v>79</v>
      </c>
      <c r="AP198" s="538" t="s">
        <v>331</v>
      </c>
      <c r="AQ198" s="538" t="s">
        <v>73</v>
      </c>
      <c r="AS198" s="538">
        <v>1.641795234E9</v>
      </c>
      <c r="AT198" s="538">
        <v>3.490516652E9</v>
      </c>
      <c r="AU198" s="538">
        <v>180.0</v>
      </c>
      <c r="AV198" s="538" t="s">
        <v>47</v>
      </c>
      <c r="AZ198" s="538">
        <v>1.0</v>
      </c>
      <c r="BA198" s="538">
        <v>1.0</v>
      </c>
      <c r="BB198" s="538">
        <v>1.0</v>
      </c>
      <c r="BE198" s="538">
        <v>0.6</v>
      </c>
      <c r="BF198" s="538">
        <v>0.3</v>
      </c>
      <c r="BG198" s="538">
        <v>0.45</v>
      </c>
      <c r="BJ198" s="546"/>
      <c r="BL198" s="546"/>
    </row>
    <row r="199" ht="22.5" customHeight="1">
      <c r="A199" s="538">
        <v>198.0</v>
      </c>
      <c r="B199" s="538" t="s">
        <v>1301</v>
      </c>
      <c r="C199" s="538" t="s">
        <v>82</v>
      </c>
      <c r="D199" s="538" t="s">
        <v>1283</v>
      </c>
      <c r="E199" s="538" t="s">
        <v>265</v>
      </c>
      <c r="G199" s="538" t="s">
        <v>151</v>
      </c>
      <c r="H199" s="538" t="s">
        <v>250</v>
      </c>
      <c r="I199" s="538" t="s">
        <v>122</v>
      </c>
      <c r="K199" s="538" t="s">
        <v>1304</v>
      </c>
      <c r="L199" s="538" t="s">
        <v>1305</v>
      </c>
      <c r="M199" s="538" t="s">
        <v>673</v>
      </c>
      <c r="N199" s="538" t="s">
        <v>1306</v>
      </c>
      <c r="O199" s="538" t="b">
        <v>0</v>
      </c>
      <c r="P199" s="538" t="b">
        <v>1</v>
      </c>
      <c r="Q199" s="538" t="s">
        <v>79</v>
      </c>
      <c r="R199" s="538" t="s">
        <v>265</v>
      </c>
      <c r="S199" s="538" t="s">
        <v>79</v>
      </c>
      <c r="T199" s="538" t="s">
        <v>265</v>
      </c>
      <c r="U199" s="538" t="s">
        <v>79</v>
      </c>
      <c r="V199" s="538" t="s">
        <v>265</v>
      </c>
      <c r="W199" s="538" t="s">
        <v>79</v>
      </c>
      <c r="X199" s="538" t="s">
        <v>265</v>
      </c>
      <c r="Y199" s="538" t="s">
        <v>79</v>
      </c>
      <c r="Z199" s="538" t="s">
        <v>265</v>
      </c>
      <c r="AA199" s="538" t="s">
        <v>79</v>
      </c>
      <c r="AB199" s="538" t="s">
        <v>265</v>
      </c>
      <c r="AC199" s="538" t="s">
        <v>79</v>
      </c>
      <c r="AD199" s="538" t="s">
        <v>265</v>
      </c>
      <c r="AE199" s="538" t="s">
        <v>79</v>
      </c>
      <c r="AF199" s="538" t="s">
        <v>265</v>
      </c>
      <c r="AG199" s="538" t="s">
        <v>79</v>
      </c>
      <c r="AH199" s="538" t="s">
        <v>265</v>
      </c>
      <c r="AI199" s="538" t="s">
        <v>79</v>
      </c>
      <c r="AJ199" s="538" t="s">
        <v>265</v>
      </c>
      <c r="AK199" s="538" t="s">
        <v>79</v>
      </c>
      <c r="AL199" s="538" t="s">
        <v>265</v>
      </c>
      <c r="AM199" s="538" t="s">
        <v>79</v>
      </c>
      <c r="AN199" s="538" t="s">
        <v>265</v>
      </c>
      <c r="AO199" s="538" t="s">
        <v>79</v>
      </c>
      <c r="AP199" s="538" t="s">
        <v>265</v>
      </c>
      <c r="AQ199" s="538" t="s">
        <v>73</v>
      </c>
      <c r="AS199" s="538">
        <v>1.89386619E8</v>
      </c>
      <c r="AT199" s="538">
        <v>3.490516652E9</v>
      </c>
      <c r="AU199" s="538">
        <v>180.0</v>
      </c>
      <c r="AV199" s="538" t="s">
        <v>47</v>
      </c>
      <c r="AZ199" s="538">
        <v>1.0</v>
      </c>
      <c r="BA199" s="538">
        <v>1.0</v>
      </c>
      <c r="BB199" s="538">
        <v>1.0</v>
      </c>
      <c r="BC199" s="538">
        <v>1.0</v>
      </c>
      <c r="BD199" s="538">
        <v>1.0</v>
      </c>
      <c r="BE199" s="538">
        <v>0.4</v>
      </c>
      <c r="BF199" s="538">
        <v>0.45</v>
      </c>
      <c r="BG199" s="538">
        <v>0.5</v>
      </c>
      <c r="BH199" s="538">
        <v>0.55</v>
      </c>
      <c r="BI199" s="538">
        <v>0.6</v>
      </c>
      <c r="BJ199" s="546"/>
      <c r="BL199" s="546"/>
    </row>
    <row r="200" ht="22.5" customHeight="1">
      <c r="A200" s="538">
        <v>199.0</v>
      </c>
      <c r="B200" s="538" t="s">
        <v>1307</v>
      </c>
      <c r="C200" s="538" t="s">
        <v>84</v>
      </c>
      <c r="D200" s="538" t="s">
        <v>1283</v>
      </c>
      <c r="E200" s="538" t="s">
        <v>223</v>
      </c>
      <c r="G200" s="538" t="s">
        <v>239</v>
      </c>
      <c r="H200" s="538" t="s">
        <v>250</v>
      </c>
      <c r="I200" s="538" t="s">
        <v>176</v>
      </c>
      <c r="J200" s="538" t="s">
        <v>329</v>
      </c>
      <c r="K200" s="538" t="s">
        <v>1308</v>
      </c>
      <c r="L200" s="538" t="s">
        <v>1309</v>
      </c>
      <c r="M200" s="538" t="s">
        <v>661</v>
      </c>
      <c r="N200" s="538" t="s">
        <v>1310</v>
      </c>
      <c r="O200" s="538" t="b">
        <v>0</v>
      </c>
      <c r="P200" s="538" t="b">
        <v>1</v>
      </c>
      <c r="Q200" s="538" t="s">
        <v>73</v>
      </c>
      <c r="S200" s="538" t="s">
        <v>73</v>
      </c>
      <c r="U200" s="538" t="s">
        <v>73</v>
      </c>
      <c r="W200" s="538" t="s">
        <v>73</v>
      </c>
      <c r="Y200" s="538" t="s">
        <v>73</v>
      </c>
      <c r="AA200" s="538" t="s">
        <v>73</v>
      </c>
      <c r="AC200" s="538" t="s">
        <v>73</v>
      </c>
      <c r="AE200" s="538" t="s">
        <v>73</v>
      </c>
      <c r="AG200" s="538" t="s">
        <v>73</v>
      </c>
      <c r="AI200" s="538" t="s">
        <v>73</v>
      </c>
      <c r="AK200" s="538" t="s">
        <v>73</v>
      </c>
      <c r="AM200" s="538" t="s">
        <v>73</v>
      </c>
      <c r="AO200" s="538" t="s">
        <v>79</v>
      </c>
      <c r="AP200" s="538" t="s">
        <v>223</v>
      </c>
      <c r="AQ200" s="538" t="s">
        <v>79</v>
      </c>
      <c r="AR200" s="538" t="s">
        <v>223</v>
      </c>
      <c r="AS200" s="538">
        <v>1.107085046E9</v>
      </c>
      <c r="AT200" s="538">
        <v>3.583932904E9</v>
      </c>
      <c r="AU200" s="538">
        <v>111.0</v>
      </c>
      <c r="AV200" s="538" t="s">
        <v>47</v>
      </c>
      <c r="AZ200" s="538">
        <v>1.0</v>
      </c>
      <c r="BA200" s="538">
        <v>1.0</v>
      </c>
      <c r="BB200" s="538">
        <v>1.0</v>
      </c>
      <c r="BE200" s="538">
        <v>2.0</v>
      </c>
      <c r="BF200" s="538">
        <v>2.0</v>
      </c>
      <c r="BG200" s="538">
        <v>4.0</v>
      </c>
      <c r="BJ200" s="546"/>
      <c r="BL200" s="546"/>
    </row>
    <row r="201" ht="22.5" customHeight="1">
      <c r="A201" s="538">
        <v>200.0</v>
      </c>
      <c r="B201" s="538" t="s">
        <v>1307</v>
      </c>
      <c r="C201" s="538" t="s">
        <v>82</v>
      </c>
      <c r="D201" s="538" t="s">
        <v>1283</v>
      </c>
      <c r="E201" s="538" t="s">
        <v>277</v>
      </c>
      <c r="G201" s="538" t="s">
        <v>151</v>
      </c>
      <c r="H201" s="538" t="s">
        <v>250</v>
      </c>
      <c r="I201" s="538" t="s">
        <v>122</v>
      </c>
      <c r="K201" s="538" t="s">
        <v>1311</v>
      </c>
      <c r="L201" s="538" t="s">
        <v>1312</v>
      </c>
      <c r="M201" s="538" t="s">
        <v>673</v>
      </c>
      <c r="N201" s="538" t="s">
        <v>1071</v>
      </c>
      <c r="O201" s="538" t="b">
        <v>0</v>
      </c>
      <c r="P201" s="538" t="b">
        <v>1</v>
      </c>
      <c r="Q201" s="538" t="s">
        <v>79</v>
      </c>
      <c r="R201" s="538" t="s">
        <v>277</v>
      </c>
      <c r="S201" s="538" t="s">
        <v>79</v>
      </c>
      <c r="T201" s="538" t="s">
        <v>277</v>
      </c>
      <c r="U201" s="538" t="s">
        <v>73</v>
      </c>
      <c r="W201" s="538" t="s">
        <v>79</v>
      </c>
      <c r="X201" s="538" t="s">
        <v>277</v>
      </c>
      <c r="Y201" s="538" t="s">
        <v>79</v>
      </c>
      <c r="Z201" s="538" t="s">
        <v>277</v>
      </c>
      <c r="AA201" s="538" t="s">
        <v>79</v>
      </c>
      <c r="AB201" s="538" t="s">
        <v>277</v>
      </c>
      <c r="AC201" s="538" t="s">
        <v>73</v>
      </c>
      <c r="AE201" s="538" t="s">
        <v>73</v>
      </c>
      <c r="AG201" s="538" t="s">
        <v>79</v>
      </c>
      <c r="AH201" s="538" t="s">
        <v>277</v>
      </c>
      <c r="AI201" s="538" t="s">
        <v>73</v>
      </c>
      <c r="AK201" s="538" t="s">
        <v>73</v>
      </c>
      <c r="AM201" s="538" t="s">
        <v>73</v>
      </c>
      <c r="AO201" s="538" t="s">
        <v>73</v>
      </c>
      <c r="AQ201" s="538" t="s">
        <v>79</v>
      </c>
      <c r="AR201" s="538" t="s">
        <v>277</v>
      </c>
      <c r="AS201" s="538">
        <v>4.049923936E9</v>
      </c>
      <c r="AT201" s="538">
        <v>3.583932904E9</v>
      </c>
      <c r="AU201" s="538">
        <v>111.0</v>
      </c>
      <c r="AV201" s="538" t="s">
        <v>47</v>
      </c>
      <c r="AZ201" s="538">
        <v>1.0</v>
      </c>
      <c r="BA201" s="538">
        <v>1.0</v>
      </c>
      <c r="BB201" s="538">
        <v>1.0</v>
      </c>
      <c r="BC201" s="538">
        <v>1.0</v>
      </c>
      <c r="BD201" s="538">
        <v>1.0</v>
      </c>
      <c r="BE201" s="538">
        <v>0.2</v>
      </c>
      <c r="BF201" s="538">
        <v>0.4</v>
      </c>
      <c r="BG201" s="538">
        <v>0.6</v>
      </c>
      <c r="BH201" s="538">
        <v>0.8</v>
      </c>
      <c r="BI201" s="538">
        <v>1.0</v>
      </c>
      <c r="BJ201" s="546"/>
      <c r="BL201" s="546"/>
    </row>
    <row r="202" ht="22.5" customHeight="1">
      <c r="A202" s="538">
        <v>201.0</v>
      </c>
      <c r="B202" s="538" t="s">
        <v>1313</v>
      </c>
      <c r="C202" s="538" t="s">
        <v>84</v>
      </c>
      <c r="D202" s="538" t="s">
        <v>1283</v>
      </c>
      <c r="E202" s="538" t="s">
        <v>366</v>
      </c>
      <c r="G202" s="538" t="s">
        <v>221</v>
      </c>
      <c r="H202" s="538" t="s">
        <v>222</v>
      </c>
      <c r="I202" s="538" t="s">
        <v>183</v>
      </c>
      <c r="J202" s="538" t="s">
        <v>395</v>
      </c>
      <c r="K202" s="538" t="s">
        <v>1314</v>
      </c>
      <c r="L202" s="538" t="s">
        <v>1315</v>
      </c>
      <c r="M202" s="538" t="s">
        <v>661</v>
      </c>
      <c r="N202" s="538" t="s">
        <v>1316</v>
      </c>
      <c r="O202" s="538" t="b">
        <v>0</v>
      </c>
      <c r="P202" s="538" t="b">
        <v>1</v>
      </c>
      <c r="Q202" s="538" t="s">
        <v>73</v>
      </c>
      <c r="S202" s="538" t="s">
        <v>73</v>
      </c>
      <c r="U202" s="538" t="s">
        <v>73</v>
      </c>
      <c r="W202" s="538" t="s">
        <v>73</v>
      </c>
      <c r="Y202" s="538" t="s">
        <v>73</v>
      </c>
      <c r="AA202" s="538" t="s">
        <v>73</v>
      </c>
      <c r="AC202" s="538" t="s">
        <v>73</v>
      </c>
      <c r="AE202" s="538" t="s">
        <v>73</v>
      </c>
      <c r="AG202" s="538" t="s">
        <v>73</v>
      </c>
      <c r="AI202" s="538" t="s">
        <v>73</v>
      </c>
      <c r="AK202" s="538" t="s">
        <v>73</v>
      </c>
      <c r="AM202" s="538" t="s">
        <v>73</v>
      </c>
      <c r="AO202" s="538" t="s">
        <v>79</v>
      </c>
      <c r="AP202" s="538" t="s">
        <v>366</v>
      </c>
      <c r="AQ202" s="538" t="s">
        <v>79</v>
      </c>
      <c r="AR202" s="538" t="s">
        <v>366</v>
      </c>
      <c r="AS202" s="538">
        <v>1.15416486E8</v>
      </c>
      <c r="AT202" s="538">
        <v>3.62760002E9</v>
      </c>
      <c r="AU202" s="538">
        <v>116.0</v>
      </c>
      <c r="AV202" s="538" t="s">
        <v>47</v>
      </c>
      <c r="AZ202" s="538">
        <v>1.0</v>
      </c>
      <c r="BA202" s="538">
        <v>1.0</v>
      </c>
      <c r="BB202" s="538">
        <v>1.0</v>
      </c>
      <c r="BE202" s="538">
        <v>0.2</v>
      </c>
      <c r="BF202" s="538">
        <v>0.1</v>
      </c>
      <c r="BG202" s="538">
        <v>0.4</v>
      </c>
      <c r="BJ202" s="546"/>
      <c r="BL202" s="546"/>
    </row>
    <row r="203" ht="22.5" customHeight="1">
      <c r="A203" s="538">
        <v>202.0</v>
      </c>
      <c r="B203" s="538" t="s">
        <v>1313</v>
      </c>
      <c r="C203" s="538" t="s">
        <v>82</v>
      </c>
      <c r="D203" s="538" t="s">
        <v>1283</v>
      </c>
      <c r="E203" s="538" t="s">
        <v>231</v>
      </c>
      <c r="F203" s="538" t="s">
        <v>365</v>
      </c>
      <c r="G203" s="538" t="s">
        <v>221</v>
      </c>
      <c r="H203" s="538" t="s">
        <v>250</v>
      </c>
      <c r="I203" s="538" t="s">
        <v>176</v>
      </c>
      <c r="J203" s="538" t="s">
        <v>393</v>
      </c>
      <c r="K203" s="538" t="s">
        <v>1317</v>
      </c>
      <c r="L203" s="538" t="s">
        <v>1318</v>
      </c>
      <c r="M203" s="538" t="s">
        <v>673</v>
      </c>
      <c r="N203" s="538" t="s">
        <v>1319</v>
      </c>
      <c r="O203" s="538" t="b">
        <v>0</v>
      </c>
      <c r="P203" s="538" t="b">
        <v>1</v>
      </c>
      <c r="Q203" s="538" t="s">
        <v>79</v>
      </c>
      <c r="R203" s="538" t="s">
        <v>365</v>
      </c>
      <c r="S203" s="538" t="s">
        <v>79</v>
      </c>
      <c r="T203" s="538" t="s">
        <v>365</v>
      </c>
      <c r="U203" s="538" t="s">
        <v>79</v>
      </c>
      <c r="V203" s="538" t="s">
        <v>365</v>
      </c>
      <c r="W203" s="538" t="s">
        <v>79</v>
      </c>
      <c r="X203" s="538" t="s">
        <v>365</v>
      </c>
      <c r="Y203" s="538" t="s">
        <v>79</v>
      </c>
      <c r="Z203" s="538" t="s">
        <v>365</v>
      </c>
      <c r="AA203" s="538" t="s">
        <v>79</v>
      </c>
      <c r="AB203" s="538" t="s">
        <v>365</v>
      </c>
      <c r="AC203" s="538" t="s">
        <v>73</v>
      </c>
      <c r="AE203" s="538" t="s">
        <v>73</v>
      </c>
      <c r="AG203" s="538" t="s">
        <v>79</v>
      </c>
      <c r="AH203" s="538" t="s">
        <v>365</v>
      </c>
      <c r="AI203" s="538" t="s">
        <v>79</v>
      </c>
      <c r="AJ203" s="538" t="s">
        <v>365</v>
      </c>
      <c r="AK203" s="538" t="s">
        <v>79</v>
      </c>
      <c r="AL203" s="538" t="s">
        <v>365</v>
      </c>
      <c r="AM203" s="538" t="s">
        <v>79</v>
      </c>
      <c r="AN203" s="538" t="s">
        <v>365</v>
      </c>
      <c r="AO203" s="538" t="s">
        <v>79</v>
      </c>
      <c r="AP203" s="538" t="s">
        <v>231</v>
      </c>
      <c r="AQ203" s="538" t="s">
        <v>79</v>
      </c>
      <c r="AR203" s="538" t="s">
        <v>231</v>
      </c>
      <c r="AS203" s="538">
        <v>3.353791415E9</v>
      </c>
      <c r="AT203" s="538">
        <v>3.62760002E9</v>
      </c>
      <c r="AU203" s="538">
        <v>116.0</v>
      </c>
      <c r="AV203" s="538" t="s">
        <v>47</v>
      </c>
      <c r="AZ203" s="538">
        <v>1.0</v>
      </c>
      <c r="BA203" s="538">
        <v>1.0</v>
      </c>
      <c r="BB203" s="538">
        <v>1.0</v>
      </c>
      <c r="BC203" s="538">
        <v>1.0</v>
      </c>
      <c r="BD203" s="538">
        <v>1.0</v>
      </c>
      <c r="BE203" s="538">
        <v>0.05</v>
      </c>
      <c r="BF203" s="538">
        <v>0.1</v>
      </c>
      <c r="BG203" s="538">
        <v>0.2</v>
      </c>
      <c r="BH203" s="538">
        <v>0.3</v>
      </c>
      <c r="BI203" s="538">
        <v>0.4</v>
      </c>
      <c r="BJ203" s="546"/>
      <c r="BL203" s="546"/>
    </row>
    <row r="204" ht="22.5" customHeight="1">
      <c r="A204" s="538">
        <v>203.0</v>
      </c>
      <c r="B204" s="538" t="s">
        <v>1320</v>
      </c>
      <c r="C204" s="538" t="s">
        <v>84</v>
      </c>
      <c r="D204" s="538" t="s">
        <v>1283</v>
      </c>
      <c r="E204" s="538" t="s">
        <v>112</v>
      </c>
      <c r="F204" s="538" t="s">
        <v>1321</v>
      </c>
      <c r="G204" s="538" t="s">
        <v>163</v>
      </c>
      <c r="H204" s="538" t="s">
        <v>250</v>
      </c>
      <c r="I204" s="538" t="s">
        <v>155</v>
      </c>
      <c r="J204" s="538" t="s">
        <v>266</v>
      </c>
      <c r="K204" s="538" t="s">
        <v>1322</v>
      </c>
      <c r="L204" s="538" t="s">
        <v>1323</v>
      </c>
      <c r="M204" s="538" t="s">
        <v>1324</v>
      </c>
      <c r="N204" s="538" t="s">
        <v>1325</v>
      </c>
      <c r="O204" s="538" t="b">
        <v>1</v>
      </c>
      <c r="P204" s="538" t="b">
        <v>1</v>
      </c>
      <c r="Q204" s="538" t="s">
        <v>79</v>
      </c>
      <c r="R204" s="538" t="s">
        <v>233</v>
      </c>
      <c r="S204" s="538" t="s">
        <v>79</v>
      </c>
      <c r="T204" s="538" t="s">
        <v>233</v>
      </c>
      <c r="U204" s="538" t="s">
        <v>75</v>
      </c>
      <c r="V204" s="538" t="s">
        <v>1326</v>
      </c>
      <c r="W204" s="538" t="s">
        <v>75</v>
      </c>
      <c r="X204" s="538" t="s">
        <v>1326</v>
      </c>
      <c r="Y204" s="538" t="s">
        <v>75</v>
      </c>
      <c r="Z204" s="538" t="s">
        <v>1326</v>
      </c>
      <c r="AA204" s="538" t="s">
        <v>75</v>
      </c>
      <c r="AB204" s="538" t="s">
        <v>1326</v>
      </c>
      <c r="AC204" s="538" t="s">
        <v>79</v>
      </c>
      <c r="AD204" s="538" t="s">
        <v>377</v>
      </c>
      <c r="AE204" s="538" t="s">
        <v>79</v>
      </c>
      <c r="AF204" s="538" t="s">
        <v>377</v>
      </c>
      <c r="AG204" s="538" t="s">
        <v>75</v>
      </c>
      <c r="AH204" s="538" t="s">
        <v>1326</v>
      </c>
      <c r="AI204" s="538" t="s">
        <v>79</v>
      </c>
      <c r="AJ204" s="538" t="s">
        <v>377</v>
      </c>
      <c r="AK204" s="538" t="s">
        <v>79</v>
      </c>
      <c r="AL204" s="538" t="s">
        <v>233</v>
      </c>
      <c r="AM204" s="538" t="s">
        <v>79</v>
      </c>
      <c r="AN204" s="538" t="s">
        <v>233</v>
      </c>
      <c r="AO204" s="538" t="s">
        <v>79</v>
      </c>
      <c r="AP204" s="538" t="s">
        <v>112</v>
      </c>
      <c r="AQ204" s="538" t="s">
        <v>79</v>
      </c>
      <c r="AR204" s="538" t="s">
        <v>112</v>
      </c>
      <c r="AS204" s="538">
        <v>3.774124358E9</v>
      </c>
      <c r="AT204" s="538">
        <v>3.304441016E9</v>
      </c>
      <c r="AU204" s="538">
        <v>114.0</v>
      </c>
      <c r="AV204" s="538" t="s">
        <v>46</v>
      </c>
      <c r="AY204" s="538" t="s">
        <v>1326</v>
      </c>
      <c r="AZ204" s="538">
        <v>0.2</v>
      </c>
      <c r="BA204" s="538">
        <v>0.15</v>
      </c>
      <c r="BB204" s="538">
        <v>0.35</v>
      </c>
      <c r="BE204" s="538">
        <v>2.0</v>
      </c>
      <c r="BF204" s="538">
        <v>0.0</v>
      </c>
      <c r="BG204" s="538">
        <v>0.0</v>
      </c>
      <c r="BJ204" s="546"/>
      <c r="BL204" s="546"/>
    </row>
    <row r="205" ht="22.5" customHeight="1">
      <c r="A205" s="538">
        <v>204.0</v>
      </c>
      <c r="B205" s="538" t="s">
        <v>1320</v>
      </c>
      <c r="C205" s="538" t="s">
        <v>82</v>
      </c>
      <c r="D205" s="538" t="s">
        <v>1283</v>
      </c>
      <c r="E205" s="538" t="s">
        <v>349</v>
      </c>
      <c r="G205" s="538" t="s">
        <v>151</v>
      </c>
      <c r="H205" s="538" t="s">
        <v>182</v>
      </c>
      <c r="I205" s="538" t="s">
        <v>122</v>
      </c>
      <c r="K205" s="538" t="s">
        <v>1327</v>
      </c>
      <c r="L205" s="538" t="s">
        <v>1328</v>
      </c>
      <c r="M205" s="538" t="s">
        <v>673</v>
      </c>
      <c r="N205" s="538" t="s">
        <v>1053</v>
      </c>
      <c r="O205" s="538" t="b">
        <v>0</v>
      </c>
      <c r="P205" s="538" t="b">
        <v>1</v>
      </c>
      <c r="Q205" s="538" t="s">
        <v>73</v>
      </c>
      <c r="S205" s="538" t="s">
        <v>73</v>
      </c>
      <c r="U205" s="538" t="s">
        <v>73</v>
      </c>
      <c r="W205" s="538" t="s">
        <v>73</v>
      </c>
      <c r="Y205" s="538" t="s">
        <v>73</v>
      </c>
      <c r="AA205" s="538" t="s">
        <v>73</v>
      </c>
      <c r="AC205" s="538" t="s">
        <v>73</v>
      </c>
      <c r="AE205" s="538" t="s">
        <v>73</v>
      </c>
      <c r="AG205" s="538" t="s">
        <v>73</v>
      </c>
      <c r="AI205" s="538" t="s">
        <v>73</v>
      </c>
      <c r="AK205" s="538" t="s">
        <v>73</v>
      </c>
      <c r="AM205" s="538" t="s">
        <v>73</v>
      </c>
      <c r="AO205" s="538" t="s">
        <v>79</v>
      </c>
      <c r="AP205" s="538" t="s">
        <v>349</v>
      </c>
      <c r="AQ205" s="538" t="s">
        <v>79</v>
      </c>
      <c r="AR205" s="538" t="s">
        <v>349</v>
      </c>
      <c r="AS205" s="538">
        <v>1.955519035E9</v>
      </c>
      <c r="AT205" s="538">
        <v>3.304441016E9</v>
      </c>
      <c r="AU205" s="538">
        <v>114.0</v>
      </c>
      <c r="AV205" s="538" t="s">
        <v>46</v>
      </c>
      <c r="AZ205" s="538">
        <v>1.0</v>
      </c>
      <c r="BA205" s="538">
        <v>1.0</v>
      </c>
      <c r="BB205" s="538">
        <v>1.0</v>
      </c>
      <c r="BC205" s="538">
        <v>1.0</v>
      </c>
      <c r="BD205" s="538">
        <v>1.0</v>
      </c>
      <c r="BE205" s="538">
        <v>0.6</v>
      </c>
      <c r="BF205" s="538">
        <v>0.7</v>
      </c>
      <c r="BG205" s="538">
        <v>0.8</v>
      </c>
      <c r="BH205" s="538">
        <v>0.9</v>
      </c>
      <c r="BI205" s="538">
        <v>1.0</v>
      </c>
      <c r="BJ205" s="546"/>
      <c r="BL205" s="546"/>
    </row>
    <row r="206" ht="22.5" customHeight="1">
      <c r="A206" s="538">
        <v>205.0</v>
      </c>
      <c r="B206" s="538" t="s">
        <v>1329</v>
      </c>
      <c r="C206" s="538" t="s">
        <v>84</v>
      </c>
      <c r="D206" s="538" t="s">
        <v>1283</v>
      </c>
      <c r="E206" s="538" t="s">
        <v>292</v>
      </c>
      <c r="F206" s="538" t="s">
        <v>233</v>
      </c>
      <c r="G206" s="538" t="s">
        <v>163</v>
      </c>
      <c r="H206" s="538" t="s">
        <v>250</v>
      </c>
      <c r="I206" s="538" t="s">
        <v>155</v>
      </c>
      <c r="J206" s="538" t="s">
        <v>266</v>
      </c>
      <c r="K206" s="538" t="s">
        <v>1330</v>
      </c>
      <c r="L206" s="538" t="s">
        <v>1331</v>
      </c>
      <c r="M206" s="538" t="s">
        <v>661</v>
      </c>
      <c r="N206" s="538" t="s">
        <v>1332</v>
      </c>
      <c r="O206" s="538" t="b">
        <v>0</v>
      </c>
      <c r="P206" s="538" t="b">
        <v>1</v>
      </c>
      <c r="Q206" s="538" t="s">
        <v>79</v>
      </c>
      <c r="R206" s="538" t="s">
        <v>233</v>
      </c>
      <c r="S206" s="538" t="s">
        <v>79</v>
      </c>
      <c r="T206" s="538" t="s">
        <v>233</v>
      </c>
      <c r="U206" s="538" t="s">
        <v>75</v>
      </c>
      <c r="V206" s="538" t="s">
        <v>1326</v>
      </c>
      <c r="W206" s="538" t="s">
        <v>75</v>
      </c>
      <c r="X206" s="538" t="s">
        <v>1326</v>
      </c>
      <c r="Y206" s="538" t="s">
        <v>75</v>
      </c>
      <c r="Z206" s="538" t="s">
        <v>1326</v>
      </c>
      <c r="AA206" s="538" t="s">
        <v>75</v>
      </c>
      <c r="AB206" s="538" t="s">
        <v>1326</v>
      </c>
      <c r="AC206" s="538" t="s">
        <v>75</v>
      </c>
      <c r="AD206" s="538" t="s">
        <v>1326</v>
      </c>
      <c r="AE206" s="538" t="s">
        <v>75</v>
      </c>
      <c r="AF206" s="538" t="s">
        <v>1326</v>
      </c>
      <c r="AG206" s="538" t="s">
        <v>75</v>
      </c>
      <c r="AH206" s="538" t="s">
        <v>1326</v>
      </c>
      <c r="AI206" s="538" t="s">
        <v>79</v>
      </c>
      <c r="AJ206" s="538" t="s">
        <v>233</v>
      </c>
      <c r="AK206" s="538" t="s">
        <v>79</v>
      </c>
      <c r="AL206" s="538" t="s">
        <v>233</v>
      </c>
      <c r="AM206" s="538" t="s">
        <v>79</v>
      </c>
      <c r="AN206" s="538" t="s">
        <v>233</v>
      </c>
      <c r="AO206" s="538" t="s">
        <v>79</v>
      </c>
      <c r="AP206" s="538" t="s">
        <v>292</v>
      </c>
      <c r="AQ206" s="538" t="s">
        <v>79</v>
      </c>
      <c r="AR206" s="538" t="s">
        <v>292</v>
      </c>
      <c r="AS206" s="538">
        <v>3.537186442E9</v>
      </c>
      <c r="AT206" s="538">
        <v>1.131760724E9</v>
      </c>
      <c r="AU206" s="538">
        <v>112.0</v>
      </c>
      <c r="AV206" s="538" t="s">
        <v>45</v>
      </c>
      <c r="AY206" s="538" t="s">
        <v>1326</v>
      </c>
      <c r="AZ206" s="538">
        <v>1.0</v>
      </c>
      <c r="BA206" s="538">
        <v>1.0</v>
      </c>
      <c r="BB206" s="538">
        <v>1.0</v>
      </c>
      <c r="BE206" s="538">
        <v>0.1</v>
      </c>
      <c r="BF206" s="538">
        <v>0.05</v>
      </c>
      <c r="BG206" s="538">
        <v>0.2</v>
      </c>
      <c r="BJ206" s="546"/>
      <c r="BL206" s="546"/>
    </row>
    <row r="207" ht="22.5" customHeight="1">
      <c r="A207" s="538">
        <v>206.0</v>
      </c>
      <c r="B207" s="538" t="s">
        <v>1329</v>
      </c>
      <c r="C207" s="538" t="s">
        <v>82</v>
      </c>
      <c r="D207" s="538" t="s">
        <v>1283</v>
      </c>
      <c r="E207" s="538" t="s">
        <v>343</v>
      </c>
      <c r="G207" s="538" t="s">
        <v>151</v>
      </c>
      <c r="H207" s="538" t="s">
        <v>182</v>
      </c>
      <c r="I207" s="538" t="s">
        <v>122</v>
      </c>
      <c r="K207" s="538" t="s">
        <v>1333</v>
      </c>
      <c r="L207" s="538" t="s">
        <v>1334</v>
      </c>
      <c r="M207" s="538" t="s">
        <v>673</v>
      </c>
      <c r="N207" s="538" t="s">
        <v>1335</v>
      </c>
      <c r="O207" s="538" t="b">
        <v>0</v>
      </c>
      <c r="P207" s="538" t="b">
        <v>1</v>
      </c>
      <c r="Q207" s="538" t="s">
        <v>73</v>
      </c>
      <c r="S207" s="538" t="s">
        <v>73</v>
      </c>
      <c r="U207" s="538" t="s">
        <v>73</v>
      </c>
      <c r="W207" s="538" t="s">
        <v>73</v>
      </c>
      <c r="Y207" s="538" t="s">
        <v>73</v>
      </c>
      <c r="AA207" s="538" t="s">
        <v>73</v>
      </c>
      <c r="AC207" s="538" t="s">
        <v>73</v>
      </c>
      <c r="AE207" s="538" t="s">
        <v>73</v>
      </c>
      <c r="AG207" s="538" t="s">
        <v>73</v>
      </c>
      <c r="AI207" s="538" t="s">
        <v>73</v>
      </c>
      <c r="AK207" s="538" t="s">
        <v>73</v>
      </c>
      <c r="AM207" s="538" t="s">
        <v>73</v>
      </c>
      <c r="AO207" s="538" t="s">
        <v>79</v>
      </c>
      <c r="AP207" s="538" t="s">
        <v>343</v>
      </c>
      <c r="AQ207" s="538" t="s">
        <v>79</v>
      </c>
      <c r="AR207" s="538" t="s">
        <v>343</v>
      </c>
      <c r="AS207" s="538">
        <v>3.979049942E9</v>
      </c>
      <c r="AT207" s="538">
        <v>1.131760724E9</v>
      </c>
      <c r="AU207" s="538">
        <v>112.0</v>
      </c>
      <c r="AV207" s="538" t="s">
        <v>45</v>
      </c>
      <c r="AZ207" s="538">
        <v>1.0</v>
      </c>
      <c r="BA207" s="538">
        <v>1.0</v>
      </c>
      <c r="BB207" s="538">
        <v>1.0</v>
      </c>
      <c r="BC207" s="538">
        <v>1.0</v>
      </c>
      <c r="BD207" s="538">
        <v>1.0</v>
      </c>
      <c r="BE207" s="538">
        <v>0.45</v>
      </c>
      <c r="BF207" s="538">
        <v>0.55</v>
      </c>
      <c r="BG207" s="538">
        <v>0.65</v>
      </c>
      <c r="BH207" s="538">
        <v>0.75</v>
      </c>
      <c r="BI207" s="538">
        <v>0.85</v>
      </c>
      <c r="BJ207" s="546"/>
      <c r="BL207" s="546"/>
    </row>
    <row r="208" ht="22.5" customHeight="1">
      <c r="A208" s="538">
        <v>207.0</v>
      </c>
      <c r="B208" s="538" t="s">
        <v>1336</v>
      </c>
      <c r="C208" s="538" t="s">
        <v>84</v>
      </c>
      <c r="D208" s="538" t="s">
        <v>1283</v>
      </c>
      <c r="E208" s="538" t="s">
        <v>292</v>
      </c>
      <c r="F208" s="538" t="s">
        <v>233</v>
      </c>
      <c r="G208" s="538" t="s">
        <v>163</v>
      </c>
      <c r="H208" s="538" t="s">
        <v>222</v>
      </c>
      <c r="I208" s="538" t="s">
        <v>201</v>
      </c>
      <c r="J208" s="538" t="s">
        <v>266</v>
      </c>
      <c r="K208" s="538" t="s">
        <v>1337</v>
      </c>
      <c r="L208" s="538" t="s">
        <v>1338</v>
      </c>
      <c r="M208" s="538" t="s">
        <v>661</v>
      </c>
      <c r="N208" s="538" t="s">
        <v>685</v>
      </c>
      <c r="O208" s="538" t="b">
        <v>0</v>
      </c>
      <c r="P208" s="538" t="b">
        <v>1</v>
      </c>
      <c r="Q208" s="538" t="s">
        <v>79</v>
      </c>
      <c r="R208" s="538" t="s">
        <v>233</v>
      </c>
      <c r="S208" s="538" t="s">
        <v>79</v>
      </c>
      <c r="T208" s="538" t="s">
        <v>233</v>
      </c>
      <c r="U208" s="538" t="s">
        <v>75</v>
      </c>
      <c r="V208" s="538" t="s">
        <v>1326</v>
      </c>
      <c r="W208" s="538" t="s">
        <v>75</v>
      </c>
      <c r="X208" s="538" t="s">
        <v>1326</v>
      </c>
      <c r="Y208" s="538" t="s">
        <v>75</v>
      </c>
      <c r="Z208" s="538" t="s">
        <v>1326</v>
      </c>
      <c r="AA208" s="538" t="s">
        <v>75</v>
      </c>
      <c r="AB208" s="538" t="s">
        <v>1326</v>
      </c>
      <c r="AC208" s="538" t="s">
        <v>75</v>
      </c>
      <c r="AD208" s="538" t="s">
        <v>1326</v>
      </c>
      <c r="AE208" s="538" t="s">
        <v>75</v>
      </c>
      <c r="AF208" s="538" t="s">
        <v>1326</v>
      </c>
      <c r="AG208" s="538" t="s">
        <v>75</v>
      </c>
      <c r="AH208" s="538" t="s">
        <v>1326</v>
      </c>
      <c r="AI208" s="538" t="s">
        <v>79</v>
      </c>
      <c r="AJ208" s="538" t="s">
        <v>233</v>
      </c>
      <c r="AK208" s="538" t="s">
        <v>79</v>
      </c>
      <c r="AL208" s="538" t="s">
        <v>233</v>
      </c>
      <c r="AM208" s="538" t="s">
        <v>79</v>
      </c>
      <c r="AN208" s="538" t="s">
        <v>233</v>
      </c>
      <c r="AO208" s="538" t="s">
        <v>79</v>
      </c>
      <c r="AP208" s="538" t="s">
        <v>292</v>
      </c>
      <c r="AQ208" s="538" t="s">
        <v>79</v>
      </c>
      <c r="AR208" s="538" t="s">
        <v>292</v>
      </c>
      <c r="AS208" s="538">
        <v>9.66801625E8</v>
      </c>
      <c r="AT208" s="538">
        <v>1.859906553E9</v>
      </c>
      <c r="AU208" s="538">
        <v>113.0</v>
      </c>
      <c r="AV208" s="538" t="s">
        <v>45</v>
      </c>
      <c r="AY208" s="538" t="s">
        <v>1326</v>
      </c>
      <c r="AZ208" s="538">
        <v>1.0</v>
      </c>
      <c r="BA208" s="538">
        <v>1.0</v>
      </c>
      <c r="BB208" s="538">
        <v>1.0</v>
      </c>
      <c r="BE208" s="538">
        <v>0.1</v>
      </c>
      <c r="BF208" s="538">
        <v>0.05</v>
      </c>
      <c r="BG208" s="538">
        <v>0.1</v>
      </c>
      <c r="BJ208" s="546"/>
      <c r="BL208" s="546"/>
    </row>
    <row r="209" ht="22.5" customHeight="1">
      <c r="A209" s="538">
        <v>208.0</v>
      </c>
      <c r="B209" s="538" t="s">
        <v>1336</v>
      </c>
      <c r="C209" s="538" t="s">
        <v>82</v>
      </c>
      <c r="D209" s="538" t="s">
        <v>1283</v>
      </c>
      <c r="E209" s="538" t="s">
        <v>346</v>
      </c>
      <c r="G209" s="538" t="s">
        <v>151</v>
      </c>
      <c r="H209" s="538" t="s">
        <v>182</v>
      </c>
      <c r="I209" s="538" t="s">
        <v>122</v>
      </c>
      <c r="K209" s="538" t="s">
        <v>1339</v>
      </c>
      <c r="L209" s="538" t="s">
        <v>1340</v>
      </c>
      <c r="M209" s="538" t="s">
        <v>673</v>
      </c>
      <c r="N209" s="538" t="s">
        <v>1335</v>
      </c>
      <c r="O209" s="538" t="b">
        <v>0</v>
      </c>
      <c r="P209" s="538" t="b">
        <v>1</v>
      </c>
      <c r="Q209" s="538" t="s">
        <v>73</v>
      </c>
      <c r="S209" s="538" t="s">
        <v>73</v>
      </c>
      <c r="U209" s="538" t="s">
        <v>73</v>
      </c>
      <c r="W209" s="538" t="s">
        <v>73</v>
      </c>
      <c r="Y209" s="538" t="s">
        <v>73</v>
      </c>
      <c r="AA209" s="538" t="s">
        <v>73</v>
      </c>
      <c r="AC209" s="538" t="s">
        <v>73</v>
      </c>
      <c r="AE209" s="538" t="s">
        <v>73</v>
      </c>
      <c r="AG209" s="538" t="s">
        <v>73</v>
      </c>
      <c r="AI209" s="538" t="s">
        <v>73</v>
      </c>
      <c r="AK209" s="538" t="s">
        <v>73</v>
      </c>
      <c r="AM209" s="538" t="s">
        <v>73</v>
      </c>
      <c r="AO209" s="538" t="s">
        <v>79</v>
      </c>
      <c r="AP209" s="538" t="s">
        <v>346</v>
      </c>
      <c r="AQ209" s="538" t="s">
        <v>79</v>
      </c>
      <c r="AR209" s="538" t="s">
        <v>346</v>
      </c>
      <c r="AS209" s="538">
        <v>1.49413627E8</v>
      </c>
      <c r="AT209" s="538">
        <v>1.859906553E9</v>
      </c>
      <c r="AU209" s="538">
        <v>113.0</v>
      </c>
      <c r="AV209" s="538" t="s">
        <v>45</v>
      </c>
      <c r="AZ209" s="538">
        <v>1.0</v>
      </c>
      <c r="BA209" s="538">
        <v>1.0</v>
      </c>
      <c r="BB209" s="538">
        <v>1.0</v>
      </c>
      <c r="BC209" s="538">
        <v>1.0</v>
      </c>
      <c r="BD209" s="538">
        <v>1.0</v>
      </c>
      <c r="BE209" s="538">
        <v>0.45</v>
      </c>
      <c r="BF209" s="538">
        <v>0.55</v>
      </c>
      <c r="BG209" s="538">
        <v>0.65</v>
      </c>
      <c r="BH209" s="538">
        <v>0.75</v>
      </c>
      <c r="BI209" s="538">
        <v>0.85</v>
      </c>
      <c r="BJ209" s="546"/>
      <c r="BL209" s="546"/>
    </row>
    <row r="210" ht="22.5" customHeight="1">
      <c r="A210" s="538">
        <v>209.0</v>
      </c>
      <c r="B210" s="538" t="s">
        <v>1341</v>
      </c>
      <c r="C210" s="538" t="s">
        <v>84</v>
      </c>
      <c r="D210" s="538" t="s">
        <v>1283</v>
      </c>
      <c r="E210" s="538" t="s">
        <v>331</v>
      </c>
      <c r="G210" s="538" t="s">
        <v>151</v>
      </c>
      <c r="H210" s="538" t="s">
        <v>250</v>
      </c>
      <c r="I210" s="538" t="s">
        <v>122</v>
      </c>
      <c r="J210" s="538" t="s">
        <v>413</v>
      </c>
      <c r="K210" s="538" t="s">
        <v>1342</v>
      </c>
      <c r="L210" s="538" t="s">
        <v>1343</v>
      </c>
      <c r="M210" s="538" t="s">
        <v>661</v>
      </c>
      <c r="N210" s="538" t="s">
        <v>1344</v>
      </c>
      <c r="O210" s="538" t="b">
        <v>0</v>
      </c>
      <c r="P210" s="538" t="b">
        <v>1</v>
      </c>
      <c r="Q210" s="538" t="s">
        <v>79</v>
      </c>
      <c r="R210" s="538" t="s">
        <v>331</v>
      </c>
      <c r="S210" s="538" t="s">
        <v>79</v>
      </c>
      <c r="T210" s="538" t="s">
        <v>331</v>
      </c>
      <c r="U210" s="538" t="s">
        <v>79</v>
      </c>
      <c r="V210" s="538" t="s">
        <v>331</v>
      </c>
      <c r="W210" s="538" t="s">
        <v>79</v>
      </c>
      <c r="X210" s="538" t="s">
        <v>331</v>
      </c>
      <c r="Y210" s="538" t="s">
        <v>79</v>
      </c>
      <c r="Z210" s="538" t="s">
        <v>331</v>
      </c>
      <c r="AA210" s="538" t="s">
        <v>79</v>
      </c>
      <c r="AB210" s="538" t="s">
        <v>331</v>
      </c>
      <c r="AC210" s="538" t="s">
        <v>79</v>
      </c>
      <c r="AD210" s="538" t="s">
        <v>331</v>
      </c>
      <c r="AE210" s="538" t="s">
        <v>79</v>
      </c>
      <c r="AF210" s="538" t="s">
        <v>331</v>
      </c>
      <c r="AG210" s="538" t="s">
        <v>79</v>
      </c>
      <c r="AH210" s="538" t="s">
        <v>331</v>
      </c>
      <c r="AI210" s="538" t="s">
        <v>79</v>
      </c>
      <c r="AJ210" s="538" t="s">
        <v>331</v>
      </c>
      <c r="AK210" s="538" t="s">
        <v>79</v>
      </c>
      <c r="AL210" s="538" t="s">
        <v>331</v>
      </c>
      <c r="AM210" s="538" t="s">
        <v>79</v>
      </c>
      <c r="AN210" s="538" t="s">
        <v>331</v>
      </c>
      <c r="AO210" s="538" t="s">
        <v>79</v>
      </c>
      <c r="AP210" s="538" t="s">
        <v>331</v>
      </c>
      <c r="AQ210" s="538" t="s">
        <v>73</v>
      </c>
      <c r="AS210" s="538">
        <v>2.859510273E9</v>
      </c>
      <c r="AT210" s="538">
        <v>3.70544309E8</v>
      </c>
      <c r="AU210" s="538">
        <v>115.0</v>
      </c>
      <c r="AV210" s="538" t="s">
        <v>47</v>
      </c>
      <c r="AZ210" s="538">
        <v>1.0</v>
      </c>
      <c r="BA210" s="538">
        <v>1.0</v>
      </c>
      <c r="BB210" s="538">
        <v>1.0</v>
      </c>
      <c r="BE210" s="538">
        <v>0.5</v>
      </c>
      <c r="BF210" s="538">
        <v>0.25</v>
      </c>
      <c r="BG210" s="538">
        <v>0.75</v>
      </c>
      <c r="BJ210" s="546"/>
      <c r="BL210" s="546"/>
    </row>
    <row r="211" ht="22.5" customHeight="1">
      <c r="A211" s="538">
        <v>210.0</v>
      </c>
      <c r="B211" s="538" t="s">
        <v>1341</v>
      </c>
      <c r="C211" s="538" t="s">
        <v>82</v>
      </c>
      <c r="D211" s="538" t="s">
        <v>1283</v>
      </c>
      <c r="E211" s="538" t="s">
        <v>331</v>
      </c>
      <c r="G211" s="538" t="s">
        <v>151</v>
      </c>
      <c r="H211" s="538" t="s">
        <v>250</v>
      </c>
      <c r="I211" s="538" t="s">
        <v>122</v>
      </c>
      <c r="J211" s="538" t="s">
        <v>412</v>
      </c>
      <c r="K211" s="538" t="s">
        <v>1345</v>
      </c>
      <c r="L211" s="538" t="s">
        <v>1346</v>
      </c>
      <c r="M211" s="538" t="s">
        <v>673</v>
      </c>
      <c r="N211" s="538" t="s">
        <v>1347</v>
      </c>
      <c r="O211" s="538" t="b">
        <v>0</v>
      </c>
      <c r="P211" s="538" t="b">
        <v>1</v>
      </c>
      <c r="Q211" s="538" t="s">
        <v>79</v>
      </c>
      <c r="R211" s="538" t="s">
        <v>331</v>
      </c>
      <c r="S211" s="538" t="s">
        <v>79</v>
      </c>
      <c r="T211" s="538" t="s">
        <v>331</v>
      </c>
      <c r="U211" s="538" t="s">
        <v>79</v>
      </c>
      <c r="V211" s="538" t="s">
        <v>331</v>
      </c>
      <c r="W211" s="538" t="s">
        <v>79</v>
      </c>
      <c r="X211" s="538" t="s">
        <v>331</v>
      </c>
      <c r="Y211" s="538" t="s">
        <v>79</v>
      </c>
      <c r="Z211" s="538" t="s">
        <v>331</v>
      </c>
      <c r="AA211" s="538" t="s">
        <v>79</v>
      </c>
      <c r="AB211" s="538" t="s">
        <v>331</v>
      </c>
      <c r="AC211" s="538" t="s">
        <v>79</v>
      </c>
      <c r="AD211" s="538" t="s">
        <v>331</v>
      </c>
      <c r="AE211" s="538" t="s">
        <v>79</v>
      </c>
      <c r="AF211" s="538" t="s">
        <v>331</v>
      </c>
      <c r="AG211" s="538" t="s">
        <v>79</v>
      </c>
      <c r="AH211" s="538" t="s">
        <v>331</v>
      </c>
      <c r="AI211" s="538" t="s">
        <v>79</v>
      </c>
      <c r="AJ211" s="538" t="s">
        <v>331</v>
      </c>
      <c r="AK211" s="538" t="s">
        <v>79</v>
      </c>
      <c r="AL211" s="538" t="s">
        <v>331</v>
      </c>
      <c r="AM211" s="538" t="s">
        <v>79</v>
      </c>
      <c r="AN211" s="538" t="s">
        <v>331</v>
      </c>
      <c r="AO211" s="538" t="s">
        <v>79</v>
      </c>
      <c r="AP211" s="538" t="s">
        <v>331</v>
      </c>
      <c r="AQ211" s="538" t="s">
        <v>73</v>
      </c>
      <c r="AS211" s="538">
        <v>3.585546924E9</v>
      </c>
      <c r="AT211" s="538">
        <v>3.70544309E8</v>
      </c>
      <c r="AU211" s="538">
        <v>115.0</v>
      </c>
      <c r="AV211" s="538" t="s">
        <v>47</v>
      </c>
      <c r="AZ211" s="538">
        <v>1.0</v>
      </c>
      <c r="BA211" s="538">
        <v>1.0</v>
      </c>
      <c r="BB211" s="538">
        <v>1.0</v>
      </c>
      <c r="BC211" s="538">
        <v>1.0</v>
      </c>
      <c r="BD211" s="538">
        <v>1.0</v>
      </c>
      <c r="BE211" s="538">
        <v>0.8</v>
      </c>
      <c r="BF211" s="538">
        <v>1.0</v>
      </c>
      <c r="BG211" s="538">
        <v>1.2</v>
      </c>
      <c r="BH211" s="538">
        <v>1.4</v>
      </c>
      <c r="BI211" s="538">
        <v>1.6</v>
      </c>
      <c r="BJ211" s="546"/>
      <c r="BK211" s="547"/>
      <c r="BL211" s="546"/>
    </row>
    <row r="212" ht="22.5" customHeight="1">
      <c r="A212" s="538">
        <v>211.0</v>
      </c>
      <c r="B212" s="538" t="s">
        <v>1348</v>
      </c>
      <c r="C212" s="538" t="s">
        <v>84</v>
      </c>
      <c r="D212" s="538" t="s">
        <v>1349</v>
      </c>
      <c r="E212" s="538" t="s">
        <v>343</v>
      </c>
      <c r="G212" s="538" t="s">
        <v>151</v>
      </c>
      <c r="H212" s="538" t="s">
        <v>182</v>
      </c>
      <c r="I212" s="538" t="s">
        <v>155</v>
      </c>
      <c r="K212" s="538" t="s">
        <v>1350</v>
      </c>
      <c r="L212" s="538" t="s">
        <v>1351</v>
      </c>
      <c r="M212" s="538" t="s">
        <v>661</v>
      </c>
      <c r="N212" s="538" t="s">
        <v>1352</v>
      </c>
      <c r="O212" s="538" t="b">
        <v>0</v>
      </c>
      <c r="P212" s="538" t="b">
        <v>0</v>
      </c>
      <c r="Q212" s="538" t="s">
        <v>73</v>
      </c>
      <c r="S212" s="538" t="s">
        <v>73</v>
      </c>
      <c r="U212" s="538" t="s">
        <v>73</v>
      </c>
      <c r="W212" s="538" t="s">
        <v>73</v>
      </c>
      <c r="Y212" s="538" t="s">
        <v>73</v>
      </c>
      <c r="AA212" s="538" t="s">
        <v>73</v>
      </c>
      <c r="AC212" s="538" t="s">
        <v>73</v>
      </c>
      <c r="AE212" s="538" t="s">
        <v>73</v>
      </c>
      <c r="AG212" s="538" t="s">
        <v>73</v>
      </c>
      <c r="AI212" s="538" t="s">
        <v>73</v>
      </c>
      <c r="AK212" s="538" t="s">
        <v>73</v>
      </c>
      <c r="AM212" s="538" t="s">
        <v>73</v>
      </c>
      <c r="AO212" s="538" t="s">
        <v>79</v>
      </c>
      <c r="AP212" s="538" t="s">
        <v>343</v>
      </c>
      <c r="AQ212" s="538" t="s">
        <v>79</v>
      </c>
      <c r="AR212" s="538" t="s">
        <v>343</v>
      </c>
      <c r="AS212" s="538">
        <v>5.68584807E8</v>
      </c>
      <c r="AT212" s="538">
        <v>3.245467973E9</v>
      </c>
      <c r="AU212" s="538">
        <v>141.0</v>
      </c>
      <c r="AV212" s="538" t="s">
        <v>45</v>
      </c>
      <c r="AZ212" s="538">
        <v>1.0</v>
      </c>
      <c r="BA212" s="538">
        <v>1.0</v>
      </c>
      <c r="BB212" s="538">
        <v>1.0</v>
      </c>
      <c r="BE212" s="538">
        <v>15.0</v>
      </c>
      <c r="BF212" s="538">
        <v>2.0</v>
      </c>
      <c r="BG212" s="538">
        <v>5.0</v>
      </c>
      <c r="BJ212" s="546"/>
      <c r="BL212" s="546"/>
    </row>
    <row r="213" ht="22.5" customHeight="1">
      <c r="A213" s="538">
        <v>212.0</v>
      </c>
      <c r="B213" s="538" t="s">
        <v>1348</v>
      </c>
      <c r="C213" s="538" t="s">
        <v>82</v>
      </c>
      <c r="D213" s="538" t="s">
        <v>1349</v>
      </c>
      <c r="E213" s="538" t="s">
        <v>218</v>
      </c>
      <c r="G213" s="538" t="s">
        <v>151</v>
      </c>
      <c r="H213" s="538" t="s">
        <v>250</v>
      </c>
      <c r="I213" s="538" t="s">
        <v>122</v>
      </c>
      <c r="K213" s="538" t="s">
        <v>1353</v>
      </c>
      <c r="L213" s="538" t="s">
        <v>1246</v>
      </c>
      <c r="M213" s="538" t="s">
        <v>673</v>
      </c>
      <c r="N213" s="538" t="s">
        <v>1354</v>
      </c>
      <c r="O213" s="538" t="b">
        <v>0</v>
      </c>
      <c r="P213" s="538" t="b">
        <v>1</v>
      </c>
      <c r="Q213" s="538" t="s">
        <v>73</v>
      </c>
      <c r="S213" s="538" t="s">
        <v>73</v>
      </c>
      <c r="U213" s="538" t="s">
        <v>73</v>
      </c>
      <c r="W213" s="538" t="s">
        <v>73</v>
      </c>
      <c r="Y213" s="538" t="s">
        <v>73</v>
      </c>
      <c r="AA213" s="538" t="s">
        <v>73</v>
      </c>
      <c r="AC213" s="538" t="s">
        <v>73</v>
      </c>
      <c r="AE213" s="538" t="s">
        <v>73</v>
      </c>
      <c r="AG213" s="538" t="s">
        <v>73</v>
      </c>
      <c r="AI213" s="538" t="s">
        <v>73</v>
      </c>
      <c r="AK213" s="538" t="s">
        <v>73</v>
      </c>
      <c r="AM213" s="538" t="s">
        <v>73</v>
      </c>
      <c r="AO213" s="538" t="s">
        <v>79</v>
      </c>
      <c r="AP213" s="538" t="s">
        <v>218</v>
      </c>
      <c r="AQ213" s="538" t="s">
        <v>79</v>
      </c>
      <c r="AR213" s="538" t="s">
        <v>218</v>
      </c>
      <c r="AS213" s="538">
        <v>4.94500487E8</v>
      </c>
      <c r="AT213" s="538">
        <v>3.245467973E9</v>
      </c>
      <c r="AU213" s="538">
        <v>141.0</v>
      </c>
      <c r="AV213" s="538" t="s">
        <v>45</v>
      </c>
      <c r="AZ213" s="538">
        <v>1.0</v>
      </c>
      <c r="BA213" s="538">
        <v>1.0</v>
      </c>
      <c r="BB213" s="538">
        <v>1.0</v>
      </c>
      <c r="BC213" s="538">
        <v>1.0</v>
      </c>
      <c r="BD213" s="538">
        <v>1.0</v>
      </c>
      <c r="BE213" s="538">
        <v>0.07</v>
      </c>
      <c r="BF213" s="538">
        <v>0.11</v>
      </c>
      <c r="BG213" s="538">
        <v>0.16</v>
      </c>
      <c r="BH213" s="538">
        <v>0.2</v>
      </c>
      <c r="BI213" s="538">
        <v>0.25</v>
      </c>
      <c r="BJ213" s="546"/>
      <c r="BL213" s="546"/>
    </row>
    <row r="214" ht="22.5" customHeight="1">
      <c r="A214" s="538">
        <v>213.0</v>
      </c>
      <c r="B214" s="538" t="s">
        <v>1355</v>
      </c>
      <c r="C214" s="538" t="s">
        <v>84</v>
      </c>
      <c r="D214" s="538" t="s">
        <v>1349</v>
      </c>
      <c r="E214" s="538" t="s">
        <v>346</v>
      </c>
      <c r="G214" s="538" t="s">
        <v>151</v>
      </c>
      <c r="H214" s="538" t="s">
        <v>182</v>
      </c>
      <c r="I214" s="538" t="s">
        <v>155</v>
      </c>
      <c r="K214" s="538" t="s">
        <v>1356</v>
      </c>
      <c r="L214" s="538" t="s">
        <v>1357</v>
      </c>
      <c r="M214" s="538" t="s">
        <v>661</v>
      </c>
      <c r="N214" s="538" t="s">
        <v>1358</v>
      </c>
      <c r="O214" s="538" t="b">
        <v>0</v>
      </c>
      <c r="P214" s="538" t="b">
        <v>0</v>
      </c>
      <c r="Q214" s="538" t="s">
        <v>73</v>
      </c>
      <c r="S214" s="538" t="s">
        <v>73</v>
      </c>
      <c r="U214" s="538" t="s">
        <v>73</v>
      </c>
      <c r="W214" s="538" t="s">
        <v>73</v>
      </c>
      <c r="Y214" s="538" t="s">
        <v>73</v>
      </c>
      <c r="AA214" s="538" t="s">
        <v>73</v>
      </c>
      <c r="AC214" s="538" t="s">
        <v>73</v>
      </c>
      <c r="AE214" s="538" t="s">
        <v>73</v>
      </c>
      <c r="AG214" s="538" t="s">
        <v>73</v>
      </c>
      <c r="AI214" s="538" t="s">
        <v>73</v>
      </c>
      <c r="AK214" s="538" t="s">
        <v>73</v>
      </c>
      <c r="AM214" s="538" t="s">
        <v>73</v>
      </c>
      <c r="AO214" s="538" t="s">
        <v>79</v>
      </c>
      <c r="AP214" s="538" t="s">
        <v>346</v>
      </c>
      <c r="AQ214" s="538" t="s">
        <v>79</v>
      </c>
      <c r="AR214" s="538" t="s">
        <v>346</v>
      </c>
      <c r="AS214" s="538">
        <v>7.14063495E8</v>
      </c>
      <c r="AT214" s="538">
        <v>3.534264929E9</v>
      </c>
      <c r="AU214" s="538">
        <v>142.0</v>
      </c>
      <c r="AV214" s="538" t="s">
        <v>41</v>
      </c>
      <c r="AZ214" s="538">
        <v>1.0</v>
      </c>
      <c r="BA214" s="538">
        <v>1.0</v>
      </c>
      <c r="BB214" s="538">
        <v>1.0</v>
      </c>
      <c r="BE214" s="538">
        <v>10.0</v>
      </c>
      <c r="BF214" s="538">
        <v>2.0</v>
      </c>
      <c r="BG214" s="538">
        <v>5.0</v>
      </c>
      <c r="BJ214" s="546"/>
      <c r="BL214" s="546"/>
    </row>
    <row r="215" ht="22.5" customHeight="1">
      <c r="A215" s="538">
        <v>214.0</v>
      </c>
      <c r="B215" s="538" t="s">
        <v>1355</v>
      </c>
      <c r="C215" s="538" t="s">
        <v>82</v>
      </c>
      <c r="D215" s="538" t="s">
        <v>1349</v>
      </c>
      <c r="E215" s="538" t="s">
        <v>310</v>
      </c>
      <c r="G215" s="538" t="s">
        <v>151</v>
      </c>
      <c r="H215" s="538" t="s">
        <v>250</v>
      </c>
      <c r="I215" s="538" t="s">
        <v>122</v>
      </c>
      <c r="K215" s="538" t="s">
        <v>1359</v>
      </c>
      <c r="L215" s="538" t="s">
        <v>1257</v>
      </c>
      <c r="M215" s="538" t="s">
        <v>673</v>
      </c>
      <c r="N215" s="538" t="s">
        <v>1360</v>
      </c>
      <c r="O215" s="538" t="b">
        <v>0</v>
      </c>
      <c r="P215" s="538" t="b">
        <v>1</v>
      </c>
      <c r="Q215" s="538" t="s">
        <v>73</v>
      </c>
      <c r="S215" s="538" t="s">
        <v>73</v>
      </c>
      <c r="U215" s="538" t="s">
        <v>73</v>
      </c>
      <c r="W215" s="538" t="s">
        <v>73</v>
      </c>
      <c r="Y215" s="538" t="s">
        <v>73</v>
      </c>
      <c r="AA215" s="538" t="s">
        <v>73</v>
      </c>
      <c r="AC215" s="538" t="s">
        <v>73</v>
      </c>
      <c r="AE215" s="538" t="s">
        <v>73</v>
      </c>
      <c r="AG215" s="538" t="s">
        <v>73</v>
      </c>
      <c r="AI215" s="538" t="s">
        <v>73</v>
      </c>
      <c r="AK215" s="538" t="s">
        <v>73</v>
      </c>
      <c r="AM215" s="538" t="s">
        <v>73</v>
      </c>
      <c r="AO215" s="538" t="s">
        <v>79</v>
      </c>
      <c r="AP215" s="538" t="s">
        <v>310</v>
      </c>
      <c r="AQ215" s="538" t="s">
        <v>79</v>
      </c>
      <c r="AR215" s="538" t="s">
        <v>310</v>
      </c>
      <c r="AS215" s="538">
        <v>1.714820297E9</v>
      </c>
      <c r="AT215" s="538">
        <v>3.534264929E9</v>
      </c>
      <c r="AU215" s="538">
        <v>142.0</v>
      </c>
      <c r="AV215" s="538" t="s">
        <v>41</v>
      </c>
      <c r="AZ215" s="538">
        <v>1.0</v>
      </c>
      <c r="BA215" s="538">
        <v>1.0</v>
      </c>
      <c r="BB215" s="538">
        <v>1.0</v>
      </c>
      <c r="BC215" s="538">
        <v>1.0</v>
      </c>
      <c r="BD215" s="538">
        <v>1.0</v>
      </c>
      <c r="BE215" s="538">
        <v>0.05</v>
      </c>
      <c r="BF215" s="538">
        <v>0.07</v>
      </c>
      <c r="BG215" s="538">
        <v>0.1</v>
      </c>
      <c r="BH215" s="538">
        <v>0.12</v>
      </c>
      <c r="BI215" s="538">
        <v>0.15</v>
      </c>
      <c r="BJ215" s="546"/>
      <c r="BL215" s="546"/>
    </row>
    <row r="216" ht="22.5" customHeight="1">
      <c r="A216" s="538">
        <v>215.0</v>
      </c>
      <c r="B216" s="538" t="s">
        <v>1361</v>
      </c>
      <c r="C216" s="538" t="s">
        <v>84</v>
      </c>
      <c r="D216" s="538" t="s">
        <v>1349</v>
      </c>
      <c r="E216" s="538" t="s">
        <v>349</v>
      </c>
      <c r="G216" s="538" t="s">
        <v>151</v>
      </c>
      <c r="H216" s="538" t="s">
        <v>182</v>
      </c>
      <c r="I216" s="538" t="s">
        <v>155</v>
      </c>
      <c r="K216" s="538" t="s">
        <v>1362</v>
      </c>
      <c r="L216" s="538" t="s">
        <v>1363</v>
      </c>
      <c r="M216" s="538" t="s">
        <v>661</v>
      </c>
      <c r="N216" s="538" t="s">
        <v>1358</v>
      </c>
      <c r="O216" s="538" t="b">
        <v>0</v>
      </c>
      <c r="P216" s="538" t="b">
        <v>0</v>
      </c>
      <c r="Q216" s="538" t="s">
        <v>73</v>
      </c>
      <c r="S216" s="538" t="s">
        <v>73</v>
      </c>
      <c r="U216" s="538" t="s">
        <v>73</v>
      </c>
      <c r="W216" s="538" t="s">
        <v>73</v>
      </c>
      <c r="Y216" s="538" t="s">
        <v>73</v>
      </c>
      <c r="AA216" s="538" t="s">
        <v>73</v>
      </c>
      <c r="AC216" s="538" t="s">
        <v>73</v>
      </c>
      <c r="AE216" s="538" t="s">
        <v>73</v>
      </c>
      <c r="AG216" s="538" t="s">
        <v>73</v>
      </c>
      <c r="AI216" s="538" t="s">
        <v>73</v>
      </c>
      <c r="AK216" s="538" t="s">
        <v>73</v>
      </c>
      <c r="AM216" s="538" t="s">
        <v>73</v>
      </c>
      <c r="AO216" s="538" t="s">
        <v>79</v>
      </c>
      <c r="AP216" s="538" t="s">
        <v>349</v>
      </c>
      <c r="AQ216" s="538" t="s">
        <v>79</v>
      </c>
      <c r="AR216" s="538" t="s">
        <v>349</v>
      </c>
      <c r="AS216" s="538">
        <v>2.081533684E9</v>
      </c>
      <c r="AT216" s="538">
        <v>8.68427019E8</v>
      </c>
      <c r="AU216" s="538">
        <v>143.0</v>
      </c>
      <c r="AV216" s="538" t="s">
        <v>41</v>
      </c>
      <c r="AZ216" s="538">
        <v>1.0</v>
      </c>
      <c r="BA216" s="538">
        <v>1.0</v>
      </c>
      <c r="BB216" s="538">
        <v>1.0</v>
      </c>
      <c r="BE216" s="538">
        <v>10.0</v>
      </c>
      <c r="BF216" s="538">
        <v>2.0</v>
      </c>
      <c r="BG216" s="538">
        <v>5.0</v>
      </c>
      <c r="BJ216" s="546"/>
      <c r="BL216" s="546"/>
    </row>
    <row r="217" ht="22.5" customHeight="1">
      <c r="A217" s="538">
        <v>216.0</v>
      </c>
      <c r="B217" s="538" t="s">
        <v>1361</v>
      </c>
      <c r="C217" s="538" t="s">
        <v>82</v>
      </c>
      <c r="D217" s="538" t="s">
        <v>1349</v>
      </c>
      <c r="E217" s="538" t="s">
        <v>400</v>
      </c>
      <c r="G217" s="538" t="s">
        <v>151</v>
      </c>
      <c r="H217" s="538" t="s">
        <v>250</v>
      </c>
      <c r="I217" s="538" t="s">
        <v>122</v>
      </c>
      <c r="K217" s="538" t="s">
        <v>1364</v>
      </c>
      <c r="L217" s="538" t="s">
        <v>1365</v>
      </c>
      <c r="M217" s="538" t="s">
        <v>673</v>
      </c>
      <c r="N217" s="538" t="s">
        <v>1366</v>
      </c>
      <c r="O217" s="538" t="b">
        <v>0</v>
      </c>
      <c r="P217" s="538" t="b">
        <v>1</v>
      </c>
      <c r="Q217" s="538" t="s">
        <v>79</v>
      </c>
      <c r="R217" s="538" t="s">
        <v>400</v>
      </c>
      <c r="S217" s="538" t="s">
        <v>79</v>
      </c>
      <c r="T217" s="538" t="s">
        <v>400</v>
      </c>
      <c r="U217" s="538" t="s">
        <v>79</v>
      </c>
      <c r="V217" s="538" t="s">
        <v>400</v>
      </c>
      <c r="W217" s="538" t="s">
        <v>79</v>
      </c>
      <c r="X217" s="538" t="s">
        <v>400</v>
      </c>
      <c r="Y217" s="538" t="s">
        <v>79</v>
      </c>
      <c r="Z217" s="538" t="s">
        <v>400</v>
      </c>
      <c r="AA217" s="538" t="s">
        <v>79</v>
      </c>
      <c r="AB217" s="538" t="s">
        <v>400</v>
      </c>
      <c r="AC217" s="538" t="s">
        <v>79</v>
      </c>
      <c r="AD217" s="538" t="s">
        <v>400</v>
      </c>
      <c r="AE217" s="538" t="s">
        <v>79</v>
      </c>
      <c r="AF217" s="538" t="s">
        <v>400</v>
      </c>
      <c r="AG217" s="538" t="s">
        <v>79</v>
      </c>
      <c r="AH217" s="538" t="s">
        <v>400</v>
      </c>
      <c r="AI217" s="538" t="s">
        <v>79</v>
      </c>
      <c r="AJ217" s="538" t="s">
        <v>400</v>
      </c>
      <c r="AK217" s="538" t="s">
        <v>79</v>
      </c>
      <c r="AL217" s="538" t="s">
        <v>400</v>
      </c>
      <c r="AM217" s="538" t="s">
        <v>79</v>
      </c>
      <c r="AN217" s="538" t="s">
        <v>400</v>
      </c>
      <c r="AO217" s="538" t="s">
        <v>79</v>
      </c>
      <c r="AP217" s="538" t="s">
        <v>400</v>
      </c>
      <c r="AQ217" s="538" t="s">
        <v>73</v>
      </c>
      <c r="AS217" s="538">
        <v>1.703022152E9</v>
      </c>
      <c r="AT217" s="538">
        <v>8.68427019E8</v>
      </c>
      <c r="AU217" s="538">
        <v>143.0</v>
      </c>
      <c r="AV217" s="538" t="s">
        <v>41</v>
      </c>
      <c r="AZ217" s="538">
        <v>1.0</v>
      </c>
      <c r="BA217" s="538">
        <v>1.0</v>
      </c>
      <c r="BB217" s="538">
        <v>1.0</v>
      </c>
      <c r="BC217" s="538">
        <v>1.0</v>
      </c>
      <c r="BD217" s="538">
        <v>1.0</v>
      </c>
      <c r="BE217" s="538">
        <v>0.3</v>
      </c>
      <c r="BF217" s="538">
        <v>0.34</v>
      </c>
      <c r="BG217" s="538">
        <v>0.38</v>
      </c>
      <c r="BH217" s="538">
        <v>0.42</v>
      </c>
      <c r="BI217" s="538">
        <v>0.45</v>
      </c>
      <c r="BJ217" s="546"/>
      <c r="BL217" s="546"/>
    </row>
    <row r="218" ht="22.5" customHeight="1">
      <c r="A218" s="538">
        <v>217.0</v>
      </c>
      <c r="B218" s="538" t="s">
        <v>1367</v>
      </c>
      <c r="C218" s="538" t="s">
        <v>84</v>
      </c>
      <c r="D218" s="538" t="s">
        <v>1368</v>
      </c>
      <c r="E218" s="538" t="s">
        <v>319</v>
      </c>
      <c r="G218" s="538" t="s">
        <v>151</v>
      </c>
      <c r="H218" s="538" t="s">
        <v>250</v>
      </c>
      <c r="I218" s="538" t="s">
        <v>155</v>
      </c>
      <c r="K218" s="538" t="s">
        <v>1369</v>
      </c>
      <c r="L218" s="538" t="s">
        <v>1154</v>
      </c>
      <c r="M218" s="538" t="s">
        <v>661</v>
      </c>
      <c r="N218" s="538" t="s">
        <v>1370</v>
      </c>
      <c r="O218" s="538" t="b">
        <v>0</v>
      </c>
      <c r="P218" s="538" t="b">
        <v>0</v>
      </c>
      <c r="Q218" s="538" t="s">
        <v>79</v>
      </c>
      <c r="R218" s="538" t="s">
        <v>319</v>
      </c>
      <c r="S218" s="538" t="s">
        <v>79</v>
      </c>
      <c r="T218" s="538" t="s">
        <v>319</v>
      </c>
      <c r="U218" s="538" t="s">
        <v>79</v>
      </c>
      <c r="V218" s="538" t="s">
        <v>319</v>
      </c>
      <c r="W218" s="538" t="s">
        <v>79</v>
      </c>
      <c r="X218" s="538" t="s">
        <v>319</v>
      </c>
      <c r="Y218" s="538" t="s">
        <v>79</v>
      </c>
      <c r="Z218" s="538" t="s">
        <v>319</v>
      </c>
      <c r="AA218" s="538" t="s">
        <v>79</v>
      </c>
      <c r="AB218" s="538" t="s">
        <v>319</v>
      </c>
      <c r="AC218" s="538" t="s">
        <v>79</v>
      </c>
      <c r="AD218" s="538" t="s">
        <v>319</v>
      </c>
      <c r="AE218" s="538" t="s">
        <v>79</v>
      </c>
      <c r="AF218" s="538" t="s">
        <v>319</v>
      </c>
      <c r="AG218" s="538" t="s">
        <v>79</v>
      </c>
      <c r="AH218" s="538" t="s">
        <v>319</v>
      </c>
      <c r="AI218" s="538" t="s">
        <v>79</v>
      </c>
      <c r="AJ218" s="538" t="s">
        <v>319</v>
      </c>
      <c r="AK218" s="538" t="s">
        <v>79</v>
      </c>
      <c r="AL218" s="538" t="s">
        <v>319</v>
      </c>
      <c r="AM218" s="538" t="s">
        <v>79</v>
      </c>
      <c r="AN218" s="538" t="s">
        <v>319</v>
      </c>
      <c r="AO218" s="538" t="s">
        <v>79</v>
      </c>
      <c r="AP218" s="538" t="s">
        <v>319</v>
      </c>
      <c r="AQ218" s="538" t="s">
        <v>73</v>
      </c>
      <c r="AS218" s="538">
        <v>3.309231106E9</v>
      </c>
      <c r="AT218" s="538">
        <v>3.999633781E9</v>
      </c>
      <c r="AU218" s="538">
        <v>131.0</v>
      </c>
      <c r="AV218" s="538" t="s">
        <v>47</v>
      </c>
      <c r="AZ218" s="538">
        <v>1.0</v>
      </c>
      <c r="BA218" s="538">
        <v>1.0</v>
      </c>
      <c r="BB218" s="538">
        <v>1.0</v>
      </c>
      <c r="BE218" s="538">
        <v>15.0</v>
      </c>
      <c r="BF218" s="538">
        <v>5.0</v>
      </c>
      <c r="BG218" s="538">
        <v>10.0</v>
      </c>
      <c r="BJ218" s="546"/>
      <c r="BL218" s="546"/>
    </row>
    <row r="219" ht="22.5" customHeight="1">
      <c r="A219" s="538">
        <v>218.0</v>
      </c>
      <c r="B219" s="538" t="s">
        <v>1367</v>
      </c>
      <c r="C219" s="538" t="s">
        <v>82</v>
      </c>
      <c r="D219" s="538" t="s">
        <v>1368</v>
      </c>
      <c r="E219" s="538" t="s">
        <v>366</v>
      </c>
      <c r="F219" s="538" t="s">
        <v>248</v>
      </c>
      <c r="G219" s="538" t="s">
        <v>230</v>
      </c>
      <c r="H219" s="538" t="s">
        <v>222</v>
      </c>
      <c r="I219" s="538" t="s">
        <v>183</v>
      </c>
      <c r="J219" s="538" t="s">
        <v>393</v>
      </c>
      <c r="K219" s="538" t="s">
        <v>1371</v>
      </c>
      <c r="L219" s="538" t="s">
        <v>1372</v>
      </c>
      <c r="M219" s="538" t="s">
        <v>673</v>
      </c>
      <c r="N219" s="538" t="s">
        <v>1373</v>
      </c>
      <c r="O219" s="538" t="b">
        <v>0</v>
      </c>
      <c r="P219" s="538" t="b">
        <v>1</v>
      </c>
      <c r="Q219" s="538" t="s">
        <v>73</v>
      </c>
      <c r="S219" s="538" t="s">
        <v>73</v>
      </c>
      <c r="U219" s="538" t="s">
        <v>79</v>
      </c>
      <c r="V219" s="538" t="s">
        <v>248</v>
      </c>
      <c r="W219" s="538" t="s">
        <v>79</v>
      </c>
      <c r="X219" s="538" t="s">
        <v>248</v>
      </c>
      <c r="Y219" s="538" t="s">
        <v>79</v>
      </c>
      <c r="Z219" s="538" t="s">
        <v>248</v>
      </c>
      <c r="AA219" s="538" t="s">
        <v>79</v>
      </c>
      <c r="AB219" s="538" t="s">
        <v>248</v>
      </c>
      <c r="AC219" s="538" t="s">
        <v>79</v>
      </c>
      <c r="AD219" s="538" t="s">
        <v>248</v>
      </c>
      <c r="AE219" s="538" t="s">
        <v>79</v>
      </c>
      <c r="AF219" s="538" t="s">
        <v>248</v>
      </c>
      <c r="AG219" s="538" t="s">
        <v>79</v>
      </c>
      <c r="AH219" s="538" t="s">
        <v>248</v>
      </c>
      <c r="AI219" s="538" t="s">
        <v>79</v>
      </c>
      <c r="AJ219" s="538" t="s">
        <v>248</v>
      </c>
      <c r="AK219" s="538" t="s">
        <v>79</v>
      </c>
      <c r="AL219" s="538" t="s">
        <v>248</v>
      </c>
      <c r="AM219" s="538" t="s">
        <v>79</v>
      </c>
      <c r="AN219" s="538" t="s">
        <v>248</v>
      </c>
      <c r="AO219" s="538" t="s">
        <v>79</v>
      </c>
      <c r="AP219" s="538" t="s">
        <v>366</v>
      </c>
      <c r="AQ219" s="538" t="s">
        <v>79</v>
      </c>
      <c r="AR219" s="538" t="s">
        <v>366</v>
      </c>
      <c r="AS219" s="538">
        <v>2.958606151E9</v>
      </c>
      <c r="AT219" s="538">
        <v>3.999633781E9</v>
      </c>
      <c r="AU219" s="538">
        <v>131.0</v>
      </c>
      <c r="AV219" s="538" t="s">
        <v>47</v>
      </c>
      <c r="AZ219" s="538">
        <v>1.0</v>
      </c>
      <c r="BA219" s="538">
        <v>1.0</v>
      </c>
      <c r="BB219" s="538">
        <v>1.0</v>
      </c>
      <c r="BC219" s="538">
        <v>1.0</v>
      </c>
      <c r="BD219" s="538">
        <v>1.0</v>
      </c>
      <c r="BE219" s="538">
        <v>0.3</v>
      </c>
      <c r="BF219" s="538">
        <v>0.55</v>
      </c>
      <c r="BG219" s="538">
        <v>0.85</v>
      </c>
      <c r="BH219" s="538">
        <v>3.0</v>
      </c>
      <c r="BI219" s="538">
        <v>4.5</v>
      </c>
      <c r="BJ219" s="546"/>
      <c r="BK219" s="547"/>
      <c r="BL219" s="546"/>
    </row>
    <row r="220" ht="22.5" customHeight="1">
      <c r="A220" s="538">
        <v>219.0</v>
      </c>
      <c r="B220" s="538" t="s">
        <v>1374</v>
      </c>
      <c r="C220" s="538" t="s">
        <v>84</v>
      </c>
      <c r="D220" s="538" t="s">
        <v>1368</v>
      </c>
      <c r="E220" s="538" t="s">
        <v>292</v>
      </c>
      <c r="F220" s="538" t="s">
        <v>248</v>
      </c>
      <c r="G220" s="538" t="s">
        <v>216</v>
      </c>
      <c r="H220" s="538" t="s">
        <v>222</v>
      </c>
      <c r="I220" s="538" t="s">
        <v>201</v>
      </c>
      <c r="K220" s="538" t="s">
        <v>1375</v>
      </c>
      <c r="L220" s="538" t="s">
        <v>1376</v>
      </c>
      <c r="M220" s="538" t="s">
        <v>661</v>
      </c>
      <c r="N220" s="538" t="s">
        <v>685</v>
      </c>
      <c r="O220" s="538" t="b">
        <v>0</v>
      </c>
      <c r="P220" s="538" t="b">
        <v>1</v>
      </c>
      <c r="Q220" s="538" t="s">
        <v>73</v>
      </c>
      <c r="S220" s="538" t="s">
        <v>73</v>
      </c>
      <c r="U220" s="538" t="s">
        <v>79</v>
      </c>
      <c r="V220" s="538" t="s">
        <v>248</v>
      </c>
      <c r="W220" s="538" t="s">
        <v>79</v>
      </c>
      <c r="X220" s="538" t="s">
        <v>248</v>
      </c>
      <c r="Y220" s="538" t="s">
        <v>79</v>
      </c>
      <c r="Z220" s="538" t="s">
        <v>248</v>
      </c>
      <c r="AA220" s="538" t="s">
        <v>79</v>
      </c>
      <c r="AB220" s="538" t="s">
        <v>248</v>
      </c>
      <c r="AC220" s="538" t="s">
        <v>79</v>
      </c>
      <c r="AD220" s="538" t="s">
        <v>248</v>
      </c>
      <c r="AE220" s="538" t="s">
        <v>79</v>
      </c>
      <c r="AF220" s="538" t="s">
        <v>248</v>
      </c>
      <c r="AG220" s="538" t="s">
        <v>79</v>
      </c>
      <c r="AH220" s="538" t="s">
        <v>248</v>
      </c>
      <c r="AI220" s="538" t="s">
        <v>79</v>
      </c>
      <c r="AJ220" s="538" t="s">
        <v>248</v>
      </c>
      <c r="AK220" s="538" t="s">
        <v>79</v>
      </c>
      <c r="AL220" s="538" t="s">
        <v>248</v>
      </c>
      <c r="AM220" s="538" t="s">
        <v>79</v>
      </c>
      <c r="AN220" s="538" t="s">
        <v>248</v>
      </c>
      <c r="AO220" s="538" t="s">
        <v>79</v>
      </c>
      <c r="AP220" s="538" t="s">
        <v>292</v>
      </c>
      <c r="AQ220" s="538" t="s">
        <v>79</v>
      </c>
      <c r="AR220" s="538" t="s">
        <v>292</v>
      </c>
      <c r="AS220" s="538">
        <v>9.65390436E8</v>
      </c>
      <c r="AT220" s="538">
        <v>5.6060748E7</v>
      </c>
      <c r="AU220" s="538">
        <v>132.0</v>
      </c>
      <c r="AV220" s="538" t="s">
        <v>46</v>
      </c>
      <c r="AZ220" s="538">
        <v>1.0</v>
      </c>
      <c r="BA220" s="538">
        <v>1.0</v>
      </c>
      <c r="BB220" s="538">
        <v>1.0</v>
      </c>
      <c r="BE220" s="538">
        <v>0.1</v>
      </c>
      <c r="BF220" s="538">
        <v>0.05</v>
      </c>
      <c r="BG220" s="538">
        <v>0.1</v>
      </c>
      <c r="BJ220" s="546"/>
      <c r="BL220" s="546"/>
    </row>
    <row r="221" ht="22.5" customHeight="1">
      <c r="A221" s="538">
        <v>220.0</v>
      </c>
      <c r="B221" s="538" t="s">
        <v>1374</v>
      </c>
      <c r="C221" s="538" t="s">
        <v>82</v>
      </c>
      <c r="D221" s="538" t="s">
        <v>1368</v>
      </c>
      <c r="E221" s="538" t="s">
        <v>218</v>
      </c>
      <c r="F221" s="538" t="s">
        <v>248</v>
      </c>
      <c r="G221" s="538" t="s">
        <v>163</v>
      </c>
      <c r="H221" s="538" t="s">
        <v>222</v>
      </c>
      <c r="I221" s="538" t="s">
        <v>189</v>
      </c>
      <c r="K221" s="538" t="s">
        <v>1377</v>
      </c>
      <c r="L221" s="538" t="s">
        <v>1378</v>
      </c>
      <c r="M221" s="538" t="s">
        <v>673</v>
      </c>
      <c r="N221" s="538" t="s">
        <v>940</v>
      </c>
      <c r="O221" s="538" t="b">
        <v>0</v>
      </c>
      <c r="P221" s="538" t="b">
        <v>1</v>
      </c>
      <c r="Q221" s="538" t="s">
        <v>73</v>
      </c>
      <c r="S221" s="538" t="s">
        <v>73</v>
      </c>
      <c r="U221" s="538" t="s">
        <v>79</v>
      </c>
      <c r="V221" s="538" t="s">
        <v>248</v>
      </c>
      <c r="W221" s="538" t="s">
        <v>79</v>
      </c>
      <c r="X221" s="538" t="s">
        <v>248</v>
      </c>
      <c r="Y221" s="538" t="s">
        <v>79</v>
      </c>
      <c r="Z221" s="538" t="s">
        <v>248</v>
      </c>
      <c r="AA221" s="538" t="s">
        <v>79</v>
      </c>
      <c r="AB221" s="538" t="s">
        <v>248</v>
      </c>
      <c r="AC221" s="538" t="s">
        <v>79</v>
      </c>
      <c r="AD221" s="538" t="s">
        <v>248</v>
      </c>
      <c r="AE221" s="538" t="s">
        <v>79</v>
      </c>
      <c r="AF221" s="538" t="s">
        <v>248</v>
      </c>
      <c r="AG221" s="538" t="s">
        <v>79</v>
      </c>
      <c r="AH221" s="538" t="s">
        <v>248</v>
      </c>
      <c r="AI221" s="538" t="s">
        <v>79</v>
      </c>
      <c r="AJ221" s="538" t="s">
        <v>248</v>
      </c>
      <c r="AK221" s="538" t="s">
        <v>79</v>
      </c>
      <c r="AL221" s="538" t="s">
        <v>248</v>
      </c>
      <c r="AM221" s="538" t="s">
        <v>79</v>
      </c>
      <c r="AN221" s="538" t="s">
        <v>248</v>
      </c>
      <c r="AO221" s="538" t="s">
        <v>79</v>
      </c>
      <c r="AP221" s="538" t="s">
        <v>218</v>
      </c>
      <c r="AQ221" s="538" t="s">
        <v>79</v>
      </c>
      <c r="AR221" s="538" t="s">
        <v>218</v>
      </c>
      <c r="AS221" s="538">
        <v>2.273274943E9</v>
      </c>
      <c r="AT221" s="538">
        <v>5.6060748E7</v>
      </c>
      <c r="AU221" s="538">
        <v>132.0</v>
      </c>
      <c r="AV221" s="538" t="s">
        <v>46</v>
      </c>
      <c r="AZ221" s="538">
        <v>1.0</v>
      </c>
      <c r="BA221" s="538">
        <v>1.0</v>
      </c>
      <c r="BB221" s="538">
        <v>1.0</v>
      </c>
      <c r="BC221" s="538">
        <v>1.0</v>
      </c>
      <c r="BD221" s="538">
        <v>1.0</v>
      </c>
      <c r="BE221" s="538">
        <v>0.3</v>
      </c>
      <c r="BF221" s="538">
        <v>0.4</v>
      </c>
      <c r="BG221" s="538">
        <v>0.5</v>
      </c>
      <c r="BH221" s="538">
        <v>0.6</v>
      </c>
      <c r="BI221" s="538">
        <v>0.7</v>
      </c>
      <c r="BJ221" s="546"/>
      <c r="BL221" s="546"/>
    </row>
    <row r="222" ht="22.5" customHeight="1">
      <c r="A222" s="538">
        <v>221.0</v>
      </c>
      <c r="B222" s="538" t="s">
        <v>1379</v>
      </c>
      <c r="C222" s="538" t="s">
        <v>84</v>
      </c>
      <c r="D222" s="538" t="s">
        <v>1368</v>
      </c>
      <c r="E222" s="538" t="s">
        <v>328</v>
      </c>
      <c r="F222" s="538" t="s">
        <v>327</v>
      </c>
      <c r="G222" s="538" t="s">
        <v>151</v>
      </c>
      <c r="H222" s="538" t="s">
        <v>250</v>
      </c>
      <c r="I222" s="538" t="s">
        <v>122</v>
      </c>
      <c r="K222" s="538" t="s">
        <v>1380</v>
      </c>
      <c r="L222" s="538" t="s">
        <v>1381</v>
      </c>
      <c r="M222" s="538" t="s">
        <v>661</v>
      </c>
      <c r="N222" s="538" t="s">
        <v>1382</v>
      </c>
      <c r="O222" s="538" t="b">
        <v>0</v>
      </c>
      <c r="P222" s="538" t="b">
        <v>1</v>
      </c>
      <c r="Q222" s="538" t="s">
        <v>79</v>
      </c>
      <c r="R222" s="538" t="s">
        <v>328</v>
      </c>
      <c r="S222" s="538" t="s">
        <v>79</v>
      </c>
      <c r="T222" s="538" t="s">
        <v>328</v>
      </c>
      <c r="U222" s="538" t="s">
        <v>79</v>
      </c>
      <c r="V222" s="538" t="s">
        <v>328</v>
      </c>
      <c r="W222" s="538" t="s">
        <v>79</v>
      </c>
      <c r="X222" s="538" t="s">
        <v>328</v>
      </c>
      <c r="Y222" s="538" t="s">
        <v>79</v>
      </c>
      <c r="Z222" s="538" t="s">
        <v>328</v>
      </c>
      <c r="AA222" s="538" t="s">
        <v>79</v>
      </c>
      <c r="AB222" s="538" t="s">
        <v>328</v>
      </c>
      <c r="AC222" s="538" t="s">
        <v>79</v>
      </c>
      <c r="AD222" s="538" t="s">
        <v>328</v>
      </c>
      <c r="AE222" s="538" t="s">
        <v>79</v>
      </c>
      <c r="AF222" s="538" t="s">
        <v>328</v>
      </c>
      <c r="AG222" s="538" t="s">
        <v>79</v>
      </c>
      <c r="AH222" s="538" t="s">
        <v>328</v>
      </c>
      <c r="AI222" s="538" t="s">
        <v>79</v>
      </c>
      <c r="AJ222" s="538" t="s">
        <v>328</v>
      </c>
      <c r="AK222" s="538" t="s">
        <v>79</v>
      </c>
      <c r="AL222" s="538" t="s">
        <v>328</v>
      </c>
      <c r="AM222" s="538" t="s">
        <v>79</v>
      </c>
      <c r="AN222" s="538" t="s">
        <v>328</v>
      </c>
      <c r="AO222" s="538" t="s">
        <v>79</v>
      </c>
      <c r="AP222" s="538" t="s">
        <v>328</v>
      </c>
      <c r="AQ222" s="538" t="s">
        <v>73</v>
      </c>
      <c r="AS222" s="538">
        <v>1.584210106E9</v>
      </c>
      <c r="AT222" s="538">
        <v>2.030703558E9</v>
      </c>
      <c r="AU222" s="538">
        <v>133.0</v>
      </c>
      <c r="AV222" s="538" t="s">
        <v>46</v>
      </c>
      <c r="AZ222" s="538">
        <v>1.0</v>
      </c>
      <c r="BA222" s="538">
        <v>1.0</v>
      </c>
      <c r="BB222" s="538">
        <v>1.0</v>
      </c>
      <c r="BE222" s="538">
        <v>0.2</v>
      </c>
      <c r="BF222" s="538">
        <v>0.02</v>
      </c>
      <c r="BG222" s="538">
        <v>0.03</v>
      </c>
      <c r="BJ222" s="546"/>
      <c r="BL222" s="546"/>
    </row>
    <row r="223" ht="22.5" customHeight="1">
      <c r="A223" s="538">
        <v>222.0</v>
      </c>
      <c r="B223" s="538" t="s">
        <v>1379</v>
      </c>
      <c r="C223" s="538" t="s">
        <v>82</v>
      </c>
      <c r="D223" s="538" t="s">
        <v>1368</v>
      </c>
      <c r="E223" s="538" t="s">
        <v>254</v>
      </c>
      <c r="F223" s="538" t="s">
        <v>964</v>
      </c>
      <c r="G223" s="538" t="s">
        <v>163</v>
      </c>
      <c r="H223" s="538" t="s">
        <v>222</v>
      </c>
      <c r="I223" s="538" t="s">
        <v>189</v>
      </c>
      <c r="K223" s="538" t="s">
        <v>1383</v>
      </c>
      <c r="L223" s="538" t="s">
        <v>1384</v>
      </c>
      <c r="M223" s="538" t="s">
        <v>673</v>
      </c>
      <c r="N223" s="538" t="s">
        <v>1385</v>
      </c>
      <c r="O223" s="538" t="b">
        <v>0</v>
      </c>
      <c r="P223" s="538" t="b">
        <v>1</v>
      </c>
      <c r="Q223" s="538" t="s">
        <v>73</v>
      </c>
      <c r="S223" s="538" t="s">
        <v>73</v>
      </c>
      <c r="U223" s="538" t="s">
        <v>79</v>
      </c>
      <c r="V223" s="538" t="s">
        <v>964</v>
      </c>
      <c r="W223" s="538" t="s">
        <v>79</v>
      </c>
      <c r="X223" s="538" t="s">
        <v>964</v>
      </c>
      <c r="Y223" s="538" t="s">
        <v>79</v>
      </c>
      <c r="Z223" s="538" t="s">
        <v>964</v>
      </c>
      <c r="AA223" s="538" t="s">
        <v>79</v>
      </c>
      <c r="AB223" s="538" t="s">
        <v>964</v>
      </c>
      <c r="AC223" s="538" t="s">
        <v>79</v>
      </c>
      <c r="AD223" s="538" t="s">
        <v>964</v>
      </c>
      <c r="AE223" s="538" t="s">
        <v>79</v>
      </c>
      <c r="AF223" s="538" t="s">
        <v>964</v>
      </c>
      <c r="AG223" s="538" t="s">
        <v>79</v>
      </c>
      <c r="AH223" s="538" t="s">
        <v>964</v>
      </c>
      <c r="AI223" s="538" t="s">
        <v>79</v>
      </c>
      <c r="AJ223" s="538" t="s">
        <v>964</v>
      </c>
      <c r="AK223" s="538" t="s">
        <v>79</v>
      </c>
      <c r="AL223" s="538" t="s">
        <v>964</v>
      </c>
      <c r="AM223" s="538" t="s">
        <v>79</v>
      </c>
      <c r="AN223" s="538" t="s">
        <v>964</v>
      </c>
      <c r="AO223" s="538" t="s">
        <v>79</v>
      </c>
      <c r="AP223" s="538" t="s">
        <v>254</v>
      </c>
      <c r="AQ223" s="538" t="s">
        <v>79</v>
      </c>
      <c r="AR223" s="538" t="s">
        <v>254</v>
      </c>
      <c r="AS223" s="538">
        <v>8.62911683E8</v>
      </c>
      <c r="AT223" s="538">
        <v>2.030703558E9</v>
      </c>
      <c r="AU223" s="538">
        <v>133.0</v>
      </c>
      <c r="AV223" s="538" t="s">
        <v>46</v>
      </c>
      <c r="AZ223" s="538">
        <v>1.0</v>
      </c>
      <c r="BA223" s="538">
        <v>1.0</v>
      </c>
      <c r="BB223" s="538">
        <v>1.0</v>
      </c>
      <c r="BC223" s="538">
        <v>1.0</v>
      </c>
      <c r="BD223" s="538">
        <v>1.0</v>
      </c>
      <c r="BE223" s="538">
        <v>0.4</v>
      </c>
      <c r="BF223" s="538">
        <v>0.8</v>
      </c>
      <c r="BG223" s="538">
        <v>1.2</v>
      </c>
      <c r="BH223" s="538">
        <v>1.6</v>
      </c>
      <c r="BI223" s="538">
        <v>2.0</v>
      </c>
      <c r="BJ223" s="546"/>
      <c r="BL223" s="546"/>
    </row>
    <row r="224" ht="22.5" customHeight="1">
      <c r="A224" s="538">
        <v>223.0</v>
      </c>
      <c r="B224" s="538" t="s">
        <v>1386</v>
      </c>
      <c r="C224" s="538" t="s">
        <v>84</v>
      </c>
      <c r="D224" s="538" t="s">
        <v>1368</v>
      </c>
      <c r="E224" s="538" t="s">
        <v>343</v>
      </c>
      <c r="F224" s="538" t="s">
        <v>360</v>
      </c>
      <c r="G224" s="538" t="s">
        <v>239</v>
      </c>
      <c r="H224" s="538" t="s">
        <v>174</v>
      </c>
      <c r="I224" s="538" t="s">
        <v>189</v>
      </c>
      <c r="J224" s="538" t="s">
        <v>320</v>
      </c>
      <c r="K224" s="538" t="s">
        <v>1387</v>
      </c>
      <c r="L224" s="538" t="s">
        <v>1388</v>
      </c>
      <c r="M224" s="538" t="s">
        <v>661</v>
      </c>
      <c r="N224" s="538" t="s">
        <v>1389</v>
      </c>
      <c r="O224" s="538" t="b">
        <v>0</v>
      </c>
      <c r="P224" s="538" t="b">
        <v>1</v>
      </c>
      <c r="Q224" s="538" t="s">
        <v>75</v>
      </c>
      <c r="R224" s="538" t="s">
        <v>360</v>
      </c>
      <c r="S224" s="538" t="s">
        <v>75</v>
      </c>
      <c r="T224" s="538" t="s">
        <v>360</v>
      </c>
      <c r="U224" s="538" t="s">
        <v>75</v>
      </c>
      <c r="V224" s="538" t="s">
        <v>360</v>
      </c>
      <c r="W224" s="538" t="s">
        <v>75</v>
      </c>
      <c r="X224" s="538" t="s">
        <v>360</v>
      </c>
      <c r="Y224" s="538" t="s">
        <v>75</v>
      </c>
      <c r="Z224" s="538" t="s">
        <v>360</v>
      </c>
      <c r="AA224" s="538" t="s">
        <v>75</v>
      </c>
      <c r="AB224" s="538" t="s">
        <v>360</v>
      </c>
      <c r="AC224" s="538" t="s">
        <v>75</v>
      </c>
      <c r="AD224" s="538" t="s">
        <v>360</v>
      </c>
      <c r="AE224" s="538" t="s">
        <v>75</v>
      </c>
      <c r="AF224" s="538" t="s">
        <v>360</v>
      </c>
      <c r="AG224" s="538" t="s">
        <v>75</v>
      </c>
      <c r="AH224" s="538" t="s">
        <v>360</v>
      </c>
      <c r="AI224" s="538" t="s">
        <v>75</v>
      </c>
      <c r="AJ224" s="538" t="s">
        <v>360</v>
      </c>
      <c r="AK224" s="538" t="s">
        <v>75</v>
      </c>
      <c r="AL224" s="538" t="s">
        <v>360</v>
      </c>
      <c r="AM224" s="538" t="s">
        <v>75</v>
      </c>
      <c r="AN224" s="538" t="s">
        <v>360</v>
      </c>
      <c r="AO224" s="538" t="s">
        <v>79</v>
      </c>
      <c r="AP224" s="538" t="s">
        <v>343</v>
      </c>
      <c r="AQ224" s="538" t="s">
        <v>79</v>
      </c>
      <c r="AR224" s="538" t="s">
        <v>343</v>
      </c>
      <c r="AS224" s="538">
        <v>3.904063321E9</v>
      </c>
      <c r="AT224" s="538">
        <v>1.580157615E9</v>
      </c>
      <c r="AU224" s="538">
        <v>138.0</v>
      </c>
      <c r="AV224" s="538" t="s">
        <v>47</v>
      </c>
      <c r="AX224" s="538" t="s">
        <v>760</v>
      </c>
      <c r="AY224" s="538" t="s">
        <v>360</v>
      </c>
      <c r="AZ224" s="538">
        <v>1.0</v>
      </c>
      <c r="BA224" s="538">
        <v>1.0</v>
      </c>
      <c r="BB224" s="538">
        <v>1.0</v>
      </c>
      <c r="BE224" s="538">
        <v>1.0</v>
      </c>
      <c r="BF224" s="538">
        <v>0.15</v>
      </c>
      <c r="BG224" s="538">
        <v>0.25</v>
      </c>
      <c r="BJ224" s="546"/>
      <c r="BL224" s="546"/>
    </row>
    <row r="225" ht="22.5" customHeight="1">
      <c r="A225" s="538">
        <v>224.0</v>
      </c>
      <c r="B225" s="538" t="s">
        <v>1386</v>
      </c>
      <c r="C225" s="538" t="s">
        <v>82</v>
      </c>
      <c r="D225" s="538" t="s">
        <v>1368</v>
      </c>
      <c r="E225" s="538" t="s">
        <v>214</v>
      </c>
      <c r="G225" s="538" t="s">
        <v>239</v>
      </c>
      <c r="H225" s="538" t="s">
        <v>222</v>
      </c>
      <c r="I225" s="538" t="s">
        <v>197</v>
      </c>
      <c r="J225" s="538" t="s">
        <v>356</v>
      </c>
      <c r="K225" s="538" t="s">
        <v>1390</v>
      </c>
      <c r="L225" s="538" t="s">
        <v>1391</v>
      </c>
      <c r="M225" s="538" t="s">
        <v>666</v>
      </c>
      <c r="N225" s="538" t="s">
        <v>666</v>
      </c>
      <c r="O225" s="538" t="b">
        <v>1</v>
      </c>
      <c r="P225" s="538" t="b">
        <v>1</v>
      </c>
      <c r="Q225" s="538" t="s">
        <v>73</v>
      </c>
      <c r="S225" s="538" t="s">
        <v>73</v>
      </c>
      <c r="U225" s="538" t="s">
        <v>73</v>
      </c>
      <c r="W225" s="538" t="s">
        <v>73</v>
      </c>
      <c r="Y225" s="538" t="s">
        <v>73</v>
      </c>
      <c r="AA225" s="538" t="s">
        <v>73</v>
      </c>
      <c r="AC225" s="538" t="s">
        <v>73</v>
      </c>
      <c r="AE225" s="538" t="s">
        <v>73</v>
      </c>
      <c r="AG225" s="538" t="s">
        <v>73</v>
      </c>
      <c r="AI225" s="538" t="s">
        <v>73</v>
      </c>
      <c r="AK225" s="538" t="s">
        <v>73</v>
      </c>
      <c r="AM225" s="538" t="s">
        <v>73</v>
      </c>
      <c r="AO225" s="538" t="s">
        <v>79</v>
      </c>
      <c r="AP225" s="538" t="s">
        <v>214</v>
      </c>
      <c r="AQ225" s="538" t="s">
        <v>79</v>
      </c>
      <c r="AR225" s="538" t="s">
        <v>214</v>
      </c>
      <c r="AS225" s="538">
        <v>2.490699031E9</v>
      </c>
      <c r="AT225" s="538">
        <v>1.580157615E9</v>
      </c>
      <c r="AU225" s="538">
        <v>138.0</v>
      </c>
      <c r="AV225" s="538" t="s">
        <v>47</v>
      </c>
      <c r="AZ225" s="538">
        <v>0.5</v>
      </c>
      <c r="BA225" s="538">
        <v>0.6</v>
      </c>
      <c r="BB225" s="538">
        <v>0.7</v>
      </c>
      <c r="BC225" s="538">
        <v>0.75</v>
      </c>
      <c r="BD225" s="538">
        <v>0.8</v>
      </c>
      <c r="BE225" s="538">
        <v>0.5</v>
      </c>
      <c r="BF225" s="538">
        <v>0.6</v>
      </c>
      <c r="BG225" s="538">
        <v>0.7</v>
      </c>
      <c r="BH225" s="538">
        <v>0.75</v>
      </c>
      <c r="BI225" s="538">
        <v>0.8</v>
      </c>
      <c r="BJ225" s="546"/>
      <c r="BL225" s="546"/>
    </row>
    <row r="226" ht="22.5" customHeight="1">
      <c r="A226" s="538">
        <v>225.0</v>
      </c>
      <c r="B226" s="538" t="s">
        <v>1392</v>
      </c>
      <c r="C226" s="538" t="s">
        <v>84</v>
      </c>
      <c r="D226" s="538" t="s">
        <v>1368</v>
      </c>
      <c r="E226" s="538" t="s">
        <v>366</v>
      </c>
      <c r="F226" s="538" t="s">
        <v>964</v>
      </c>
      <c r="G226" s="538" t="s">
        <v>163</v>
      </c>
      <c r="H226" s="538" t="s">
        <v>222</v>
      </c>
      <c r="I226" s="538" t="s">
        <v>189</v>
      </c>
      <c r="K226" s="538" t="s">
        <v>1393</v>
      </c>
      <c r="L226" s="538" t="s">
        <v>1394</v>
      </c>
      <c r="M226" s="538" t="s">
        <v>661</v>
      </c>
      <c r="N226" s="538" t="s">
        <v>685</v>
      </c>
      <c r="O226" s="538" t="b">
        <v>0</v>
      </c>
      <c r="P226" s="538" t="b">
        <v>1</v>
      </c>
      <c r="Q226" s="538" t="s">
        <v>73</v>
      </c>
      <c r="S226" s="538" t="s">
        <v>73</v>
      </c>
      <c r="U226" s="538" t="s">
        <v>79</v>
      </c>
      <c r="V226" s="538" t="s">
        <v>964</v>
      </c>
      <c r="W226" s="538" t="s">
        <v>79</v>
      </c>
      <c r="X226" s="538" t="s">
        <v>964</v>
      </c>
      <c r="Y226" s="538" t="s">
        <v>79</v>
      </c>
      <c r="Z226" s="538" t="s">
        <v>964</v>
      </c>
      <c r="AA226" s="538" t="s">
        <v>79</v>
      </c>
      <c r="AB226" s="538" t="s">
        <v>964</v>
      </c>
      <c r="AC226" s="538" t="s">
        <v>79</v>
      </c>
      <c r="AD226" s="538" t="s">
        <v>964</v>
      </c>
      <c r="AE226" s="538" t="s">
        <v>79</v>
      </c>
      <c r="AF226" s="538" t="s">
        <v>964</v>
      </c>
      <c r="AG226" s="538" t="s">
        <v>79</v>
      </c>
      <c r="AH226" s="538" t="s">
        <v>964</v>
      </c>
      <c r="AI226" s="538" t="s">
        <v>79</v>
      </c>
      <c r="AJ226" s="538" t="s">
        <v>964</v>
      </c>
      <c r="AK226" s="538" t="s">
        <v>79</v>
      </c>
      <c r="AL226" s="538" t="s">
        <v>964</v>
      </c>
      <c r="AM226" s="538" t="s">
        <v>79</v>
      </c>
      <c r="AN226" s="538" t="s">
        <v>964</v>
      </c>
      <c r="AO226" s="538" t="s">
        <v>79</v>
      </c>
      <c r="AP226" s="538" t="s">
        <v>366</v>
      </c>
      <c r="AQ226" s="538" t="s">
        <v>79</v>
      </c>
      <c r="AR226" s="538" t="s">
        <v>366</v>
      </c>
      <c r="AS226" s="538">
        <v>1.999787012E9</v>
      </c>
      <c r="AT226" s="538">
        <v>1.800794103E9</v>
      </c>
      <c r="AU226" s="538">
        <v>134.0</v>
      </c>
      <c r="AV226" s="538" t="s">
        <v>45</v>
      </c>
      <c r="AZ226" s="538">
        <v>1.0</v>
      </c>
      <c r="BA226" s="538">
        <v>1.0</v>
      </c>
      <c r="BB226" s="538">
        <v>1.0</v>
      </c>
      <c r="BE226" s="538">
        <v>0.1</v>
      </c>
      <c r="BF226" s="538">
        <v>0.05</v>
      </c>
      <c r="BG226" s="538">
        <v>0.1</v>
      </c>
      <c r="BJ226" s="546"/>
      <c r="BL226" s="546"/>
    </row>
    <row r="227" ht="22.5" customHeight="1">
      <c r="A227" s="538">
        <v>226.0</v>
      </c>
      <c r="B227" s="538" t="s">
        <v>1392</v>
      </c>
      <c r="C227" s="538" t="s">
        <v>82</v>
      </c>
      <c r="D227" s="538" t="s">
        <v>1368</v>
      </c>
      <c r="E227" s="538" t="s">
        <v>343</v>
      </c>
      <c r="G227" s="538" t="s">
        <v>118</v>
      </c>
      <c r="H227" s="538" t="s">
        <v>213</v>
      </c>
      <c r="I227" s="538" t="s">
        <v>189</v>
      </c>
      <c r="K227" s="538" t="s">
        <v>1395</v>
      </c>
      <c r="L227" s="538" t="s">
        <v>1396</v>
      </c>
      <c r="M227" s="538" t="s">
        <v>723</v>
      </c>
      <c r="N227" s="538" t="s">
        <v>1397</v>
      </c>
      <c r="O227" s="538" t="b">
        <v>1</v>
      </c>
      <c r="P227" s="538" t="b">
        <v>1</v>
      </c>
      <c r="Q227" s="538" t="s">
        <v>73</v>
      </c>
      <c r="S227" s="538" t="s">
        <v>73</v>
      </c>
      <c r="U227" s="538" t="s">
        <v>73</v>
      </c>
      <c r="W227" s="538" t="s">
        <v>73</v>
      </c>
      <c r="Y227" s="538" t="s">
        <v>73</v>
      </c>
      <c r="AA227" s="538" t="s">
        <v>73</v>
      </c>
      <c r="AC227" s="538" t="s">
        <v>73</v>
      </c>
      <c r="AE227" s="538" t="s">
        <v>73</v>
      </c>
      <c r="AG227" s="538" t="s">
        <v>73</v>
      </c>
      <c r="AI227" s="538" t="s">
        <v>73</v>
      </c>
      <c r="AK227" s="538" t="s">
        <v>73</v>
      </c>
      <c r="AM227" s="538" t="s">
        <v>73</v>
      </c>
      <c r="AO227" s="538" t="s">
        <v>79</v>
      </c>
      <c r="AP227" s="538" t="s">
        <v>343</v>
      </c>
      <c r="AQ227" s="538" t="s">
        <v>79</v>
      </c>
      <c r="AR227" s="538" t="s">
        <v>343</v>
      </c>
      <c r="AS227" s="538">
        <v>1.776666269E9</v>
      </c>
      <c r="AT227" s="538">
        <v>1.800794103E9</v>
      </c>
      <c r="AU227" s="538">
        <v>134.0</v>
      </c>
      <c r="AV227" s="538" t="s">
        <v>45</v>
      </c>
      <c r="AZ227" s="538">
        <v>0.3</v>
      </c>
      <c r="BA227" s="538">
        <v>0.35</v>
      </c>
      <c r="BB227" s="538">
        <v>0.4</v>
      </c>
      <c r="BC227" s="538">
        <v>0.45</v>
      </c>
      <c r="BD227" s="538">
        <v>0.5</v>
      </c>
      <c r="BE227" s="538">
        <v>0.15</v>
      </c>
      <c r="BF227" s="538">
        <v>0.15</v>
      </c>
      <c r="BG227" s="538">
        <v>0.15</v>
      </c>
      <c r="BH227" s="538">
        <v>0.15</v>
      </c>
      <c r="BI227" s="538">
        <v>0.15</v>
      </c>
      <c r="BJ227" s="546"/>
      <c r="BL227" s="546"/>
    </row>
    <row r="228" ht="22.5" customHeight="1">
      <c r="A228" s="538">
        <v>227.0</v>
      </c>
      <c r="B228" s="538" t="s">
        <v>1398</v>
      </c>
      <c r="C228" s="538" t="s">
        <v>84</v>
      </c>
      <c r="D228" s="538" t="s">
        <v>1368</v>
      </c>
      <c r="E228" s="538" t="s">
        <v>343</v>
      </c>
      <c r="F228" s="538" t="s">
        <v>830</v>
      </c>
      <c r="G228" s="538" t="s">
        <v>163</v>
      </c>
      <c r="H228" s="538" t="s">
        <v>182</v>
      </c>
      <c r="I228" s="538" t="s">
        <v>122</v>
      </c>
      <c r="J228" s="538" t="s">
        <v>215</v>
      </c>
      <c r="K228" s="538" t="s">
        <v>1399</v>
      </c>
      <c r="L228" s="538" t="s">
        <v>1400</v>
      </c>
      <c r="M228" s="538" t="s">
        <v>661</v>
      </c>
      <c r="N228" s="538" t="s">
        <v>1401</v>
      </c>
      <c r="O228" s="538" t="b">
        <v>0</v>
      </c>
      <c r="P228" s="538" t="b">
        <v>1</v>
      </c>
      <c r="Q228" s="538" t="s">
        <v>75</v>
      </c>
      <c r="R228" s="538" t="s">
        <v>1402</v>
      </c>
      <c r="S228" s="538" t="s">
        <v>79</v>
      </c>
      <c r="T228" s="538" t="s">
        <v>834</v>
      </c>
      <c r="U228" s="538" t="s">
        <v>79</v>
      </c>
      <c r="V228" s="538" t="s">
        <v>830</v>
      </c>
      <c r="W228" s="538" t="s">
        <v>79</v>
      </c>
      <c r="X228" s="538" t="s">
        <v>830</v>
      </c>
      <c r="Y228" s="538" t="s">
        <v>79</v>
      </c>
      <c r="Z228" s="538" t="s">
        <v>830</v>
      </c>
      <c r="AA228" s="538" t="s">
        <v>79</v>
      </c>
      <c r="AB228" s="538" t="s">
        <v>830</v>
      </c>
      <c r="AC228" s="538" t="s">
        <v>79</v>
      </c>
      <c r="AD228" s="538" t="s">
        <v>830</v>
      </c>
      <c r="AE228" s="538" t="s">
        <v>79</v>
      </c>
      <c r="AF228" s="538" t="s">
        <v>830</v>
      </c>
      <c r="AG228" s="538" t="s">
        <v>79</v>
      </c>
      <c r="AH228" s="538" t="s">
        <v>830</v>
      </c>
      <c r="AI228" s="538" t="s">
        <v>79</v>
      </c>
      <c r="AJ228" s="538" t="s">
        <v>830</v>
      </c>
      <c r="AK228" s="538" t="s">
        <v>79</v>
      </c>
      <c r="AL228" s="538" t="s">
        <v>830</v>
      </c>
      <c r="AM228" s="538" t="s">
        <v>79</v>
      </c>
      <c r="AN228" s="538" t="s">
        <v>830</v>
      </c>
      <c r="AO228" s="538" t="s">
        <v>79</v>
      </c>
      <c r="AP228" s="538" t="s">
        <v>343</v>
      </c>
      <c r="AQ228" s="538" t="s">
        <v>79</v>
      </c>
      <c r="AR228" s="538" t="s">
        <v>343</v>
      </c>
      <c r="AS228" s="538">
        <v>1.48521835E9</v>
      </c>
      <c r="AT228" s="538">
        <v>3.769449499E9</v>
      </c>
      <c r="AU228" s="538">
        <v>135.0</v>
      </c>
      <c r="AV228" s="538" t="s">
        <v>46</v>
      </c>
      <c r="AY228" s="538" t="s">
        <v>1402</v>
      </c>
      <c r="AZ228" s="538">
        <v>1.0</v>
      </c>
      <c r="BA228" s="538">
        <v>1.0</v>
      </c>
      <c r="BB228" s="538">
        <v>1.0</v>
      </c>
      <c r="BE228" s="538">
        <v>0.6</v>
      </c>
      <c r="BF228" s="538">
        <v>0.15</v>
      </c>
      <c r="BG228" s="538">
        <v>0.3</v>
      </c>
      <c r="BJ228" s="546"/>
      <c r="BL228" s="546"/>
    </row>
    <row r="229" ht="22.5" customHeight="1">
      <c r="A229" s="538">
        <v>228.0</v>
      </c>
      <c r="B229" s="538" t="s">
        <v>1398</v>
      </c>
      <c r="C229" s="538" t="s">
        <v>82</v>
      </c>
      <c r="D229" s="538" t="s">
        <v>1368</v>
      </c>
      <c r="E229" s="538" t="s">
        <v>218</v>
      </c>
      <c r="F229" s="538" t="s">
        <v>360</v>
      </c>
      <c r="G229" s="538" t="s">
        <v>239</v>
      </c>
      <c r="H229" s="538" t="s">
        <v>250</v>
      </c>
      <c r="I229" s="538" t="s">
        <v>176</v>
      </c>
      <c r="J229" s="538" t="s">
        <v>393</v>
      </c>
      <c r="K229" s="538" t="s">
        <v>1403</v>
      </c>
      <c r="L229" s="538" t="s">
        <v>1404</v>
      </c>
      <c r="M229" s="538" t="s">
        <v>673</v>
      </c>
      <c r="N229" s="538" t="s">
        <v>1405</v>
      </c>
      <c r="O229" s="538" t="b">
        <v>0</v>
      </c>
      <c r="P229" s="538" t="b">
        <v>1</v>
      </c>
      <c r="Q229" s="538" t="s">
        <v>75</v>
      </c>
      <c r="R229" s="538" t="s">
        <v>360</v>
      </c>
      <c r="S229" s="538" t="s">
        <v>75</v>
      </c>
      <c r="T229" s="538" t="s">
        <v>360</v>
      </c>
      <c r="U229" s="538" t="s">
        <v>75</v>
      </c>
      <c r="V229" s="538" t="s">
        <v>360</v>
      </c>
      <c r="W229" s="538" t="s">
        <v>75</v>
      </c>
      <c r="X229" s="538" t="s">
        <v>360</v>
      </c>
      <c r="Y229" s="538" t="s">
        <v>75</v>
      </c>
      <c r="Z229" s="538" t="s">
        <v>360</v>
      </c>
      <c r="AA229" s="538" t="s">
        <v>75</v>
      </c>
      <c r="AB229" s="538" t="s">
        <v>360</v>
      </c>
      <c r="AC229" s="538" t="s">
        <v>75</v>
      </c>
      <c r="AD229" s="538" t="s">
        <v>360</v>
      </c>
      <c r="AE229" s="538" t="s">
        <v>75</v>
      </c>
      <c r="AF229" s="538" t="s">
        <v>360</v>
      </c>
      <c r="AG229" s="538" t="s">
        <v>75</v>
      </c>
      <c r="AH229" s="538" t="s">
        <v>360</v>
      </c>
      <c r="AI229" s="538" t="s">
        <v>75</v>
      </c>
      <c r="AJ229" s="538" t="s">
        <v>360</v>
      </c>
      <c r="AK229" s="538" t="s">
        <v>75</v>
      </c>
      <c r="AL229" s="538" t="s">
        <v>360</v>
      </c>
      <c r="AM229" s="538" t="s">
        <v>75</v>
      </c>
      <c r="AN229" s="538" t="s">
        <v>360</v>
      </c>
      <c r="AO229" s="538" t="s">
        <v>79</v>
      </c>
      <c r="AP229" s="538" t="s">
        <v>218</v>
      </c>
      <c r="AQ229" s="538" t="s">
        <v>79</v>
      </c>
      <c r="AR229" s="538" t="s">
        <v>218</v>
      </c>
      <c r="AS229" s="538">
        <v>2.478131502E9</v>
      </c>
      <c r="AT229" s="538">
        <v>3.769449499E9</v>
      </c>
      <c r="AU229" s="538">
        <v>135.0</v>
      </c>
      <c r="AV229" s="538" t="s">
        <v>46</v>
      </c>
      <c r="AX229" s="538" t="s">
        <v>760</v>
      </c>
      <c r="AY229" s="538" t="s">
        <v>360</v>
      </c>
      <c r="AZ229" s="538">
        <v>1.0</v>
      </c>
      <c r="BA229" s="538">
        <v>1.0</v>
      </c>
      <c r="BB229" s="538">
        <v>1.0</v>
      </c>
      <c r="BC229" s="538">
        <v>1.0</v>
      </c>
      <c r="BD229" s="538">
        <v>1.0</v>
      </c>
      <c r="BE229" s="538">
        <v>0.5</v>
      </c>
      <c r="BF229" s="538">
        <v>0.6</v>
      </c>
      <c r="BG229" s="538">
        <v>0.7</v>
      </c>
      <c r="BH229" s="538">
        <v>0.8</v>
      </c>
      <c r="BI229" s="538">
        <v>1.0</v>
      </c>
      <c r="BJ229" s="546"/>
      <c r="BL229" s="546"/>
    </row>
    <row r="230" ht="22.5" customHeight="1">
      <c r="A230" s="538">
        <v>229.0</v>
      </c>
      <c r="B230" s="538" t="s">
        <v>1406</v>
      </c>
      <c r="C230" s="538" t="s">
        <v>84</v>
      </c>
      <c r="D230" s="538" t="s">
        <v>1368</v>
      </c>
      <c r="E230" s="538" t="s">
        <v>378</v>
      </c>
      <c r="F230" s="538" t="s">
        <v>830</v>
      </c>
      <c r="G230" s="538" t="s">
        <v>163</v>
      </c>
      <c r="H230" s="538" t="s">
        <v>250</v>
      </c>
      <c r="I230" s="538" t="s">
        <v>176</v>
      </c>
      <c r="J230" s="538" t="s">
        <v>227</v>
      </c>
      <c r="K230" s="538" t="s">
        <v>1407</v>
      </c>
      <c r="L230" s="538" t="s">
        <v>1408</v>
      </c>
      <c r="M230" s="538" t="s">
        <v>661</v>
      </c>
      <c r="N230" s="538" t="s">
        <v>1190</v>
      </c>
      <c r="O230" s="538" t="b">
        <v>0</v>
      </c>
      <c r="P230" s="538" t="b">
        <v>1</v>
      </c>
      <c r="Q230" s="538" t="s">
        <v>75</v>
      </c>
      <c r="R230" s="538" t="s">
        <v>1402</v>
      </c>
      <c r="S230" s="538" t="s">
        <v>79</v>
      </c>
      <c r="T230" s="538" t="s">
        <v>834</v>
      </c>
      <c r="U230" s="538" t="s">
        <v>79</v>
      </c>
      <c r="V230" s="538" t="s">
        <v>830</v>
      </c>
      <c r="W230" s="538" t="s">
        <v>79</v>
      </c>
      <c r="X230" s="538" t="s">
        <v>830</v>
      </c>
      <c r="Y230" s="538" t="s">
        <v>79</v>
      </c>
      <c r="Z230" s="538" t="s">
        <v>830</v>
      </c>
      <c r="AA230" s="538" t="s">
        <v>79</v>
      </c>
      <c r="AB230" s="538" t="s">
        <v>830</v>
      </c>
      <c r="AC230" s="538" t="s">
        <v>79</v>
      </c>
      <c r="AD230" s="538" t="s">
        <v>830</v>
      </c>
      <c r="AE230" s="538" t="s">
        <v>79</v>
      </c>
      <c r="AF230" s="538" t="s">
        <v>830</v>
      </c>
      <c r="AG230" s="538" t="s">
        <v>79</v>
      </c>
      <c r="AH230" s="538" t="s">
        <v>830</v>
      </c>
      <c r="AI230" s="538" t="s">
        <v>79</v>
      </c>
      <c r="AJ230" s="538" t="s">
        <v>830</v>
      </c>
      <c r="AK230" s="538" t="s">
        <v>79</v>
      </c>
      <c r="AL230" s="538" t="s">
        <v>830</v>
      </c>
      <c r="AM230" s="538" t="s">
        <v>79</v>
      </c>
      <c r="AN230" s="538" t="s">
        <v>830</v>
      </c>
      <c r="AO230" s="538" t="s">
        <v>79</v>
      </c>
      <c r="AP230" s="538" t="s">
        <v>378</v>
      </c>
      <c r="AQ230" s="538" t="s">
        <v>79</v>
      </c>
      <c r="AR230" s="538" t="s">
        <v>378</v>
      </c>
      <c r="AS230" s="538">
        <v>3.511725168E9</v>
      </c>
      <c r="AT230" s="538">
        <v>4.40622131E8</v>
      </c>
      <c r="AU230" s="538">
        <v>137.0</v>
      </c>
      <c r="AV230" s="538" t="s">
        <v>45</v>
      </c>
      <c r="AY230" s="538" t="s">
        <v>1402</v>
      </c>
      <c r="AZ230" s="538">
        <v>1.0</v>
      </c>
      <c r="BA230" s="538">
        <v>1.0</v>
      </c>
      <c r="BB230" s="538">
        <v>1.0</v>
      </c>
      <c r="BE230" s="538">
        <v>0.5</v>
      </c>
      <c r="BF230" s="538">
        <v>0.25</v>
      </c>
      <c r="BG230" s="538">
        <v>0.5</v>
      </c>
      <c r="BJ230" s="546"/>
      <c r="BL230" s="546"/>
    </row>
    <row r="231" ht="22.5" customHeight="1">
      <c r="A231" s="538">
        <v>230.0</v>
      </c>
      <c r="B231" s="538" t="s">
        <v>1406</v>
      </c>
      <c r="C231" s="538" t="s">
        <v>82</v>
      </c>
      <c r="D231" s="538" t="s">
        <v>1368</v>
      </c>
      <c r="E231" s="538" t="s">
        <v>328</v>
      </c>
      <c r="F231" s="538" t="s">
        <v>327</v>
      </c>
      <c r="G231" s="538" t="s">
        <v>151</v>
      </c>
      <c r="H231" s="538" t="s">
        <v>250</v>
      </c>
      <c r="I231" s="538" t="s">
        <v>122</v>
      </c>
      <c r="K231" s="538" t="s">
        <v>1409</v>
      </c>
      <c r="L231" s="538" t="s">
        <v>1381</v>
      </c>
      <c r="M231" s="538" t="s">
        <v>673</v>
      </c>
      <c r="N231" s="538" t="s">
        <v>745</v>
      </c>
      <c r="O231" s="538" t="b">
        <v>0</v>
      </c>
      <c r="P231" s="538" t="b">
        <v>1</v>
      </c>
      <c r="Q231" s="538" t="s">
        <v>79</v>
      </c>
      <c r="R231" s="538" t="s">
        <v>328</v>
      </c>
      <c r="S231" s="538" t="s">
        <v>79</v>
      </c>
      <c r="T231" s="538" t="s">
        <v>328</v>
      </c>
      <c r="U231" s="538" t="s">
        <v>79</v>
      </c>
      <c r="V231" s="538" t="s">
        <v>328</v>
      </c>
      <c r="W231" s="538" t="s">
        <v>79</v>
      </c>
      <c r="X231" s="538" t="s">
        <v>328</v>
      </c>
      <c r="Y231" s="538" t="s">
        <v>79</v>
      </c>
      <c r="Z231" s="538" t="s">
        <v>328</v>
      </c>
      <c r="AA231" s="538" t="s">
        <v>79</v>
      </c>
      <c r="AB231" s="538" t="s">
        <v>328</v>
      </c>
      <c r="AC231" s="538" t="s">
        <v>79</v>
      </c>
      <c r="AD231" s="538" t="s">
        <v>328</v>
      </c>
      <c r="AE231" s="538" t="s">
        <v>79</v>
      </c>
      <c r="AF231" s="538" t="s">
        <v>328</v>
      </c>
      <c r="AG231" s="538" t="s">
        <v>79</v>
      </c>
      <c r="AH231" s="538" t="s">
        <v>328</v>
      </c>
      <c r="AI231" s="538" t="s">
        <v>79</v>
      </c>
      <c r="AJ231" s="538" t="s">
        <v>328</v>
      </c>
      <c r="AK231" s="538" t="s">
        <v>79</v>
      </c>
      <c r="AL231" s="538" t="s">
        <v>328</v>
      </c>
      <c r="AM231" s="538" t="s">
        <v>79</v>
      </c>
      <c r="AN231" s="538" t="s">
        <v>328</v>
      </c>
      <c r="AO231" s="538" t="s">
        <v>79</v>
      </c>
      <c r="AP231" s="538" t="s">
        <v>328</v>
      </c>
      <c r="AQ231" s="538" t="s">
        <v>73</v>
      </c>
      <c r="AS231" s="538">
        <v>2.499304252E9</v>
      </c>
      <c r="AT231" s="538">
        <v>4.40622131E8</v>
      </c>
      <c r="AU231" s="538">
        <v>137.0</v>
      </c>
      <c r="AV231" s="538" t="s">
        <v>45</v>
      </c>
      <c r="AZ231" s="538">
        <v>1.0</v>
      </c>
      <c r="BA231" s="538">
        <v>1.0</v>
      </c>
      <c r="BB231" s="538">
        <v>1.0</v>
      </c>
      <c r="BC231" s="538">
        <v>1.0</v>
      </c>
      <c r="BD231" s="538">
        <v>1.0</v>
      </c>
      <c r="BE231" s="538">
        <v>0.05</v>
      </c>
      <c r="BF231" s="538">
        <v>0.1</v>
      </c>
      <c r="BG231" s="538">
        <v>0.15</v>
      </c>
      <c r="BH231" s="538">
        <v>0.2</v>
      </c>
      <c r="BI231" s="538">
        <v>0.25</v>
      </c>
      <c r="BJ231" s="546"/>
      <c r="BL231" s="546"/>
    </row>
    <row r="232" ht="22.5" customHeight="1">
      <c r="A232" s="538">
        <v>231.0</v>
      </c>
      <c r="B232" s="538" t="s">
        <v>1410</v>
      </c>
      <c r="C232" s="538" t="s">
        <v>84</v>
      </c>
      <c r="D232" s="538" t="s">
        <v>1368</v>
      </c>
      <c r="E232" s="538" t="s">
        <v>331</v>
      </c>
      <c r="G232" s="538" t="s">
        <v>151</v>
      </c>
      <c r="H232" s="538" t="s">
        <v>250</v>
      </c>
      <c r="I232" s="538" t="s">
        <v>122</v>
      </c>
      <c r="J232" s="538" t="s">
        <v>415</v>
      </c>
      <c r="K232" s="538" t="s">
        <v>1411</v>
      </c>
      <c r="L232" s="538" t="s">
        <v>1070</v>
      </c>
      <c r="M232" s="538" t="s">
        <v>661</v>
      </c>
      <c r="N232" s="538" t="s">
        <v>662</v>
      </c>
      <c r="O232" s="538" t="b">
        <v>0</v>
      </c>
      <c r="P232" s="538" t="b">
        <v>1</v>
      </c>
      <c r="Q232" s="538" t="s">
        <v>79</v>
      </c>
      <c r="R232" s="538" t="s">
        <v>331</v>
      </c>
      <c r="S232" s="538" t="s">
        <v>79</v>
      </c>
      <c r="T232" s="538" t="s">
        <v>331</v>
      </c>
      <c r="U232" s="538" t="s">
        <v>79</v>
      </c>
      <c r="V232" s="538" t="s">
        <v>331</v>
      </c>
      <c r="W232" s="538" t="s">
        <v>79</v>
      </c>
      <c r="X232" s="538" t="s">
        <v>331</v>
      </c>
      <c r="Y232" s="538" t="s">
        <v>79</v>
      </c>
      <c r="Z232" s="538" t="s">
        <v>331</v>
      </c>
      <c r="AA232" s="538" t="s">
        <v>79</v>
      </c>
      <c r="AB232" s="538" t="s">
        <v>331</v>
      </c>
      <c r="AC232" s="538" t="s">
        <v>79</v>
      </c>
      <c r="AD232" s="538" t="s">
        <v>331</v>
      </c>
      <c r="AE232" s="538" t="s">
        <v>79</v>
      </c>
      <c r="AF232" s="538" t="s">
        <v>331</v>
      </c>
      <c r="AG232" s="538" t="s">
        <v>79</v>
      </c>
      <c r="AH232" s="538" t="s">
        <v>331</v>
      </c>
      <c r="AI232" s="538" t="s">
        <v>79</v>
      </c>
      <c r="AJ232" s="538" t="s">
        <v>331</v>
      </c>
      <c r="AK232" s="538" t="s">
        <v>79</v>
      </c>
      <c r="AL232" s="538" t="s">
        <v>331</v>
      </c>
      <c r="AM232" s="538" t="s">
        <v>79</v>
      </c>
      <c r="AN232" s="538" t="s">
        <v>331</v>
      </c>
      <c r="AO232" s="538" t="s">
        <v>79</v>
      </c>
      <c r="AP232" s="538" t="s">
        <v>331</v>
      </c>
      <c r="AQ232" s="538" t="s">
        <v>73</v>
      </c>
      <c r="AS232" s="538">
        <v>3.029331443E9</v>
      </c>
      <c r="AT232" s="538">
        <v>7.43931698E8</v>
      </c>
      <c r="AU232" s="538">
        <v>136.0</v>
      </c>
      <c r="AV232" s="538" t="s">
        <v>45</v>
      </c>
      <c r="AZ232" s="538">
        <v>1.0</v>
      </c>
      <c r="BA232" s="538">
        <v>1.0</v>
      </c>
      <c r="BB232" s="538">
        <v>1.0</v>
      </c>
      <c r="BE232" s="538">
        <v>0.4</v>
      </c>
      <c r="BF232" s="538">
        <v>0.1</v>
      </c>
      <c r="BG232" s="538">
        <v>0.2</v>
      </c>
      <c r="BJ232" s="546"/>
      <c r="BL232" s="546"/>
    </row>
    <row r="233" ht="22.5" customHeight="1">
      <c r="A233" s="538">
        <v>232.0</v>
      </c>
      <c r="B233" s="538" t="s">
        <v>1410</v>
      </c>
      <c r="C233" s="538" t="s">
        <v>82</v>
      </c>
      <c r="D233" s="538" t="s">
        <v>1368</v>
      </c>
      <c r="E233" s="538" t="s">
        <v>214</v>
      </c>
      <c r="F233" s="538" t="s">
        <v>830</v>
      </c>
      <c r="G233" s="538" t="s">
        <v>239</v>
      </c>
      <c r="H233" s="538" t="s">
        <v>222</v>
      </c>
      <c r="I233" s="538" t="s">
        <v>122</v>
      </c>
      <c r="J233" s="538" t="s">
        <v>219</v>
      </c>
      <c r="K233" s="538" t="s">
        <v>1412</v>
      </c>
      <c r="L233" s="538" t="s">
        <v>1413</v>
      </c>
      <c r="M233" s="538" t="s">
        <v>1414</v>
      </c>
      <c r="N233" s="538" t="s">
        <v>1414</v>
      </c>
      <c r="O233" s="538" t="b">
        <v>0</v>
      </c>
      <c r="P233" s="538" t="b">
        <v>1</v>
      </c>
      <c r="Q233" s="538" t="s">
        <v>75</v>
      </c>
      <c r="R233" s="538" t="s">
        <v>1402</v>
      </c>
      <c r="S233" s="538" t="s">
        <v>79</v>
      </c>
      <c r="T233" s="538" t="s">
        <v>834</v>
      </c>
      <c r="U233" s="538" t="s">
        <v>79</v>
      </c>
      <c r="V233" s="538" t="s">
        <v>830</v>
      </c>
      <c r="W233" s="538" t="s">
        <v>79</v>
      </c>
      <c r="X233" s="538" t="s">
        <v>830</v>
      </c>
      <c r="Y233" s="538" t="s">
        <v>79</v>
      </c>
      <c r="Z233" s="538" t="s">
        <v>830</v>
      </c>
      <c r="AA233" s="538" t="s">
        <v>79</v>
      </c>
      <c r="AB233" s="538" t="s">
        <v>830</v>
      </c>
      <c r="AC233" s="538" t="s">
        <v>79</v>
      </c>
      <c r="AD233" s="538" t="s">
        <v>830</v>
      </c>
      <c r="AE233" s="538" t="s">
        <v>79</v>
      </c>
      <c r="AF233" s="538" t="s">
        <v>830</v>
      </c>
      <c r="AG233" s="538" t="s">
        <v>79</v>
      </c>
      <c r="AH233" s="538" t="s">
        <v>830</v>
      </c>
      <c r="AI233" s="538" t="s">
        <v>79</v>
      </c>
      <c r="AJ233" s="538" t="s">
        <v>830</v>
      </c>
      <c r="AK233" s="538" t="s">
        <v>79</v>
      </c>
      <c r="AL233" s="538" t="s">
        <v>830</v>
      </c>
      <c r="AM233" s="538" t="s">
        <v>79</v>
      </c>
      <c r="AN233" s="538" t="s">
        <v>830</v>
      </c>
      <c r="AO233" s="538" t="s">
        <v>79</v>
      </c>
      <c r="AP233" s="538" t="s">
        <v>214</v>
      </c>
      <c r="AQ233" s="538" t="s">
        <v>79</v>
      </c>
      <c r="AR233" s="538" t="s">
        <v>214</v>
      </c>
      <c r="AS233" s="538">
        <v>2.35386558E8</v>
      </c>
      <c r="AT233" s="538">
        <v>7.43931698E8</v>
      </c>
      <c r="AU233" s="538">
        <v>136.0</v>
      </c>
      <c r="AV233" s="538" t="s">
        <v>45</v>
      </c>
      <c r="AY233" s="538" t="s">
        <v>1402</v>
      </c>
      <c r="AZ233" s="538">
        <v>0.6</v>
      </c>
      <c r="BA233" s="538">
        <v>0.7</v>
      </c>
      <c r="BB233" s="538">
        <v>0.8</v>
      </c>
      <c r="BC233" s="538">
        <v>0.9</v>
      </c>
      <c r="BD233" s="538">
        <v>0.95</v>
      </c>
      <c r="BE233" s="538">
        <v>0.6</v>
      </c>
      <c r="BF233" s="538">
        <v>0.7</v>
      </c>
      <c r="BG233" s="538">
        <v>0.8</v>
      </c>
      <c r="BH233" s="538">
        <v>0.9</v>
      </c>
      <c r="BI233" s="538">
        <v>0.95</v>
      </c>
      <c r="BJ233" s="546"/>
      <c r="BL233" s="546"/>
    </row>
    <row r="234" ht="22.5" customHeight="1">
      <c r="A234" s="538">
        <v>233.0</v>
      </c>
      <c r="B234" s="538" t="s">
        <v>1415</v>
      </c>
      <c r="C234" s="538" t="s">
        <v>84</v>
      </c>
      <c r="D234" s="538" t="s">
        <v>1416</v>
      </c>
      <c r="E234" s="538" t="s">
        <v>346</v>
      </c>
      <c r="F234" s="538" t="s">
        <v>1417</v>
      </c>
      <c r="G234" s="538" t="s">
        <v>239</v>
      </c>
      <c r="H234" s="538" t="s">
        <v>174</v>
      </c>
      <c r="I234" s="538" t="s">
        <v>189</v>
      </c>
      <c r="J234" s="538" t="s">
        <v>293</v>
      </c>
      <c r="K234" s="538" t="s">
        <v>1418</v>
      </c>
      <c r="L234" s="538" t="s">
        <v>1419</v>
      </c>
      <c r="M234" s="538" t="s">
        <v>661</v>
      </c>
      <c r="N234" s="538" t="s">
        <v>1389</v>
      </c>
      <c r="O234" s="538" t="b">
        <v>0</v>
      </c>
      <c r="P234" s="538" t="b">
        <v>1</v>
      </c>
      <c r="Q234" s="538" t="s">
        <v>75</v>
      </c>
      <c r="R234" s="538" t="s">
        <v>1420</v>
      </c>
      <c r="S234" s="538" t="s">
        <v>79</v>
      </c>
      <c r="T234" s="538" t="s">
        <v>161</v>
      </c>
      <c r="U234" s="538" t="s">
        <v>79</v>
      </c>
      <c r="V234" s="538" t="s">
        <v>1417</v>
      </c>
      <c r="W234" s="538" t="s">
        <v>79</v>
      </c>
      <c r="X234" s="538" t="s">
        <v>1417</v>
      </c>
      <c r="Y234" s="538" t="s">
        <v>79</v>
      </c>
      <c r="Z234" s="538" t="s">
        <v>1417</v>
      </c>
      <c r="AA234" s="538" t="s">
        <v>79</v>
      </c>
      <c r="AB234" s="538" t="s">
        <v>1417</v>
      </c>
      <c r="AC234" s="538" t="s">
        <v>79</v>
      </c>
      <c r="AD234" s="538" t="s">
        <v>1417</v>
      </c>
      <c r="AE234" s="538" t="s">
        <v>79</v>
      </c>
      <c r="AF234" s="538" t="s">
        <v>1417</v>
      </c>
      <c r="AG234" s="538" t="s">
        <v>79</v>
      </c>
      <c r="AH234" s="538" t="s">
        <v>1417</v>
      </c>
      <c r="AI234" s="538" t="s">
        <v>79</v>
      </c>
      <c r="AJ234" s="538" t="s">
        <v>1417</v>
      </c>
      <c r="AK234" s="538" t="s">
        <v>79</v>
      </c>
      <c r="AL234" s="538" t="s">
        <v>1417</v>
      </c>
      <c r="AM234" s="538" t="s">
        <v>79</v>
      </c>
      <c r="AN234" s="538" t="s">
        <v>1417</v>
      </c>
      <c r="AO234" s="538" t="s">
        <v>79</v>
      </c>
      <c r="AP234" s="538" t="s">
        <v>346</v>
      </c>
      <c r="AQ234" s="538" t="s">
        <v>79</v>
      </c>
      <c r="AR234" s="538" t="s">
        <v>346</v>
      </c>
      <c r="AS234" s="538">
        <v>4.172773477E9</v>
      </c>
      <c r="AT234" s="538">
        <v>2.449957978E9</v>
      </c>
      <c r="AU234" s="538">
        <v>140.0</v>
      </c>
      <c r="AV234" s="538" t="s">
        <v>46</v>
      </c>
      <c r="AY234" s="538" t="s">
        <v>1420</v>
      </c>
      <c r="AZ234" s="538">
        <v>1.0</v>
      </c>
      <c r="BA234" s="538">
        <v>1.0</v>
      </c>
      <c r="BB234" s="538">
        <v>1.0</v>
      </c>
      <c r="BE234" s="538">
        <v>1.0</v>
      </c>
      <c r="BF234" s="538">
        <v>0.15</v>
      </c>
      <c r="BG234" s="538">
        <v>0.25</v>
      </c>
      <c r="BJ234" s="546"/>
      <c r="BL234" s="546"/>
    </row>
    <row r="235" ht="22.5" customHeight="1">
      <c r="A235" s="538">
        <v>234.0</v>
      </c>
      <c r="B235" s="538" t="s">
        <v>1415</v>
      </c>
      <c r="C235" s="538" t="s">
        <v>82</v>
      </c>
      <c r="D235" s="538" t="s">
        <v>1416</v>
      </c>
      <c r="E235" s="538" t="s">
        <v>112</v>
      </c>
      <c r="F235" s="538" t="s">
        <v>1421</v>
      </c>
      <c r="G235" s="538" t="s">
        <v>239</v>
      </c>
      <c r="H235" s="538" t="s">
        <v>250</v>
      </c>
      <c r="I235" s="538" t="s">
        <v>155</v>
      </c>
      <c r="J235" s="538" t="s">
        <v>215</v>
      </c>
      <c r="K235" s="538" t="s">
        <v>1422</v>
      </c>
      <c r="L235" s="538" t="s">
        <v>1423</v>
      </c>
      <c r="M235" s="538" t="s">
        <v>673</v>
      </c>
      <c r="N235" s="538" t="s">
        <v>1424</v>
      </c>
      <c r="O235" s="538" t="b">
        <v>0</v>
      </c>
      <c r="P235" s="538" t="b">
        <v>1</v>
      </c>
      <c r="Q235" s="538" t="s">
        <v>75</v>
      </c>
      <c r="R235" s="538" t="s">
        <v>1402</v>
      </c>
      <c r="S235" s="538" t="s">
        <v>79</v>
      </c>
      <c r="T235" s="538" t="s">
        <v>834</v>
      </c>
      <c r="U235" s="538" t="s">
        <v>79</v>
      </c>
      <c r="V235" s="538" t="s">
        <v>1421</v>
      </c>
      <c r="W235" s="538" t="s">
        <v>79</v>
      </c>
      <c r="X235" s="538" t="s">
        <v>1421</v>
      </c>
      <c r="Y235" s="538" t="s">
        <v>79</v>
      </c>
      <c r="Z235" s="538" t="s">
        <v>1421</v>
      </c>
      <c r="AA235" s="538" t="s">
        <v>79</v>
      </c>
      <c r="AB235" s="538" t="s">
        <v>1421</v>
      </c>
      <c r="AC235" s="538" t="s">
        <v>79</v>
      </c>
      <c r="AD235" s="538" t="s">
        <v>1421</v>
      </c>
      <c r="AE235" s="538" t="s">
        <v>79</v>
      </c>
      <c r="AF235" s="538" t="s">
        <v>1421</v>
      </c>
      <c r="AG235" s="538" t="s">
        <v>79</v>
      </c>
      <c r="AH235" s="538" t="s">
        <v>1421</v>
      </c>
      <c r="AI235" s="538" t="s">
        <v>79</v>
      </c>
      <c r="AJ235" s="538" t="s">
        <v>1421</v>
      </c>
      <c r="AK235" s="538" t="s">
        <v>79</v>
      </c>
      <c r="AL235" s="538" t="s">
        <v>1421</v>
      </c>
      <c r="AM235" s="538" t="s">
        <v>79</v>
      </c>
      <c r="AN235" s="538" t="s">
        <v>1421</v>
      </c>
      <c r="AO235" s="538" t="s">
        <v>79</v>
      </c>
      <c r="AP235" s="538" t="s">
        <v>112</v>
      </c>
      <c r="AQ235" s="538" t="s">
        <v>79</v>
      </c>
      <c r="AR235" s="538" t="s">
        <v>112</v>
      </c>
      <c r="AS235" s="538">
        <v>2.557888665E9</v>
      </c>
      <c r="AT235" s="538">
        <v>2.449957978E9</v>
      </c>
      <c r="AU235" s="538">
        <v>140.0</v>
      </c>
      <c r="AV235" s="538" t="s">
        <v>46</v>
      </c>
      <c r="AY235" s="538" t="s">
        <v>1402</v>
      </c>
      <c r="AZ235" s="538">
        <v>1.0</v>
      </c>
      <c r="BA235" s="538">
        <v>1.0</v>
      </c>
      <c r="BB235" s="538">
        <v>1.0</v>
      </c>
      <c r="BC235" s="538">
        <v>1.0</v>
      </c>
      <c r="BD235" s="538">
        <v>1.0</v>
      </c>
      <c r="BE235" s="538">
        <v>0.17</v>
      </c>
      <c r="BF235" s="538">
        <v>0.25</v>
      </c>
      <c r="BG235" s="538">
        <v>0.34</v>
      </c>
      <c r="BH235" s="538">
        <v>0.4</v>
      </c>
      <c r="BI235" s="538">
        <v>0.5</v>
      </c>
      <c r="BJ235" s="546"/>
      <c r="BL235" s="546"/>
    </row>
    <row r="236" ht="22.5" customHeight="1">
      <c r="A236" s="538">
        <v>235.0</v>
      </c>
      <c r="B236" s="538" t="s">
        <v>1425</v>
      </c>
      <c r="C236" s="538" t="s">
        <v>84</v>
      </c>
      <c r="D236" s="538" t="s">
        <v>1416</v>
      </c>
      <c r="E236" s="538" t="s">
        <v>231</v>
      </c>
      <c r="F236" s="538" t="s">
        <v>1426</v>
      </c>
      <c r="G236" s="538" t="s">
        <v>239</v>
      </c>
      <c r="H236" s="538" t="s">
        <v>250</v>
      </c>
      <c r="I236" s="538" t="s">
        <v>176</v>
      </c>
      <c r="J236" s="538" t="s">
        <v>224</v>
      </c>
      <c r="K236" s="538" t="s">
        <v>1427</v>
      </c>
      <c r="L236" s="538" t="s">
        <v>1428</v>
      </c>
      <c r="M236" s="538" t="s">
        <v>661</v>
      </c>
      <c r="N236" s="538" t="s">
        <v>1130</v>
      </c>
      <c r="O236" s="538" t="b">
        <v>0</v>
      </c>
      <c r="P236" s="538" t="b">
        <v>1</v>
      </c>
      <c r="Q236" s="538" t="s">
        <v>75</v>
      </c>
      <c r="R236" s="538" t="s">
        <v>1429</v>
      </c>
      <c r="S236" s="538" t="s">
        <v>79</v>
      </c>
      <c r="T236" s="538" t="s">
        <v>1429</v>
      </c>
      <c r="U236" s="538" t="s">
        <v>79</v>
      </c>
      <c r="V236" s="538" t="s">
        <v>1426</v>
      </c>
      <c r="W236" s="538" t="s">
        <v>79</v>
      </c>
      <c r="X236" s="538" t="s">
        <v>1426</v>
      </c>
      <c r="Y236" s="538" t="s">
        <v>79</v>
      </c>
      <c r="Z236" s="538" t="s">
        <v>1426</v>
      </c>
      <c r="AA236" s="538" t="s">
        <v>79</v>
      </c>
      <c r="AB236" s="538" t="s">
        <v>1426</v>
      </c>
      <c r="AC236" s="538" t="s">
        <v>79</v>
      </c>
      <c r="AD236" s="538" t="s">
        <v>1426</v>
      </c>
      <c r="AE236" s="538" t="s">
        <v>79</v>
      </c>
      <c r="AF236" s="538" t="s">
        <v>1426</v>
      </c>
      <c r="AG236" s="538" t="s">
        <v>79</v>
      </c>
      <c r="AH236" s="538" t="s">
        <v>1426</v>
      </c>
      <c r="AI236" s="538" t="s">
        <v>79</v>
      </c>
      <c r="AJ236" s="538" t="s">
        <v>1426</v>
      </c>
      <c r="AK236" s="538" t="s">
        <v>79</v>
      </c>
      <c r="AL236" s="538" t="s">
        <v>1426</v>
      </c>
      <c r="AM236" s="538" t="s">
        <v>79</v>
      </c>
      <c r="AN236" s="538" t="s">
        <v>1426</v>
      </c>
      <c r="AO236" s="538" t="s">
        <v>79</v>
      </c>
      <c r="AP236" s="538" t="s">
        <v>231</v>
      </c>
      <c r="AQ236" s="538" t="s">
        <v>79</v>
      </c>
      <c r="AR236" s="538" t="s">
        <v>231</v>
      </c>
      <c r="AS236" s="538">
        <v>2.059684707E9</v>
      </c>
      <c r="AT236" s="538">
        <v>1.958876935E9</v>
      </c>
      <c r="AU236" s="538">
        <v>144.0</v>
      </c>
      <c r="AV236" s="538" t="s">
        <v>46</v>
      </c>
      <c r="AX236" s="538" t="s">
        <v>437</v>
      </c>
      <c r="AY236" s="538" t="s">
        <v>1429</v>
      </c>
      <c r="AZ236" s="538">
        <v>1.0</v>
      </c>
      <c r="BA236" s="538">
        <v>1.0</v>
      </c>
      <c r="BB236" s="538">
        <v>1.0</v>
      </c>
      <c r="BE236" s="538">
        <v>0.5</v>
      </c>
      <c r="BF236" s="538">
        <v>0.15</v>
      </c>
      <c r="BG236" s="538">
        <v>0.25</v>
      </c>
      <c r="BJ236" s="546"/>
      <c r="BL236" s="546"/>
    </row>
    <row r="237" ht="22.5" customHeight="1">
      <c r="A237" s="538">
        <v>236.0</v>
      </c>
      <c r="B237" s="538" t="s">
        <v>1425</v>
      </c>
      <c r="C237" s="538" t="s">
        <v>82</v>
      </c>
      <c r="D237" s="538" t="s">
        <v>1416</v>
      </c>
      <c r="E237" s="538" t="s">
        <v>223</v>
      </c>
      <c r="F237" s="538" t="s">
        <v>127</v>
      </c>
      <c r="G237" s="538" t="s">
        <v>239</v>
      </c>
      <c r="H237" s="538" t="s">
        <v>250</v>
      </c>
      <c r="I237" s="538" t="s">
        <v>176</v>
      </c>
      <c r="J237" s="538" t="s">
        <v>397</v>
      </c>
      <c r="K237" s="538" t="s">
        <v>1430</v>
      </c>
      <c r="L237" s="538" t="s">
        <v>1431</v>
      </c>
      <c r="M237" s="538" t="s">
        <v>673</v>
      </c>
      <c r="N237" s="538" t="s">
        <v>1405</v>
      </c>
      <c r="O237" s="538" t="b">
        <v>0</v>
      </c>
      <c r="P237" s="538" t="b">
        <v>1</v>
      </c>
      <c r="Q237" s="538" t="s">
        <v>75</v>
      </c>
      <c r="R237" s="538" t="s">
        <v>127</v>
      </c>
      <c r="S237" s="538" t="s">
        <v>75</v>
      </c>
      <c r="T237" s="538" t="s">
        <v>127</v>
      </c>
      <c r="U237" s="538" t="s">
        <v>75</v>
      </c>
      <c r="V237" s="538" t="s">
        <v>127</v>
      </c>
      <c r="W237" s="538" t="s">
        <v>75</v>
      </c>
      <c r="X237" s="538" t="s">
        <v>127</v>
      </c>
      <c r="Y237" s="538" t="s">
        <v>75</v>
      </c>
      <c r="Z237" s="538" t="s">
        <v>127</v>
      </c>
      <c r="AA237" s="538" t="s">
        <v>75</v>
      </c>
      <c r="AB237" s="538" t="s">
        <v>127</v>
      </c>
      <c r="AC237" s="538" t="s">
        <v>75</v>
      </c>
      <c r="AD237" s="538" t="s">
        <v>127</v>
      </c>
      <c r="AE237" s="538" t="s">
        <v>75</v>
      </c>
      <c r="AF237" s="538" t="s">
        <v>127</v>
      </c>
      <c r="AG237" s="538" t="s">
        <v>75</v>
      </c>
      <c r="AH237" s="538" t="s">
        <v>127</v>
      </c>
      <c r="AI237" s="538" t="s">
        <v>75</v>
      </c>
      <c r="AJ237" s="538" t="s">
        <v>127</v>
      </c>
      <c r="AK237" s="538" t="s">
        <v>75</v>
      </c>
      <c r="AL237" s="538" t="s">
        <v>127</v>
      </c>
      <c r="AM237" s="538" t="s">
        <v>75</v>
      </c>
      <c r="AN237" s="538" t="s">
        <v>127</v>
      </c>
      <c r="AO237" s="538" t="s">
        <v>79</v>
      </c>
      <c r="AP237" s="538" t="s">
        <v>223</v>
      </c>
      <c r="AQ237" s="538" t="s">
        <v>79</v>
      </c>
      <c r="AR237" s="538" t="s">
        <v>223</v>
      </c>
      <c r="AS237" s="538">
        <v>1.561819154E9</v>
      </c>
      <c r="AT237" s="538">
        <v>1.958876935E9</v>
      </c>
      <c r="AU237" s="538">
        <v>144.0</v>
      </c>
      <c r="AV237" s="538" t="s">
        <v>46</v>
      </c>
      <c r="AX237" s="538" t="s">
        <v>437</v>
      </c>
      <c r="AY237" s="538" t="s">
        <v>127</v>
      </c>
      <c r="AZ237" s="538">
        <v>1.0</v>
      </c>
      <c r="BA237" s="538">
        <v>1.0</v>
      </c>
      <c r="BB237" s="538">
        <v>1.0</v>
      </c>
      <c r="BC237" s="538">
        <v>1.0</v>
      </c>
      <c r="BD237" s="538">
        <v>1.0</v>
      </c>
      <c r="BE237" s="538">
        <v>0.5</v>
      </c>
      <c r="BF237" s="538">
        <v>0.6</v>
      </c>
      <c r="BG237" s="538">
        <v>0.7</v>
      </c>
      <c r="BH237" s="538">
        <v>0.8</v>
      </c>
      <c r="BI237" s="538">
        <v>1.0</v>
      </c>
      <c r="BJ237" s="546"/>
      <c r="BL237" s="546"/>
    </row>
    <row r="238" ht="22.5" customHeight="1">
      <c r="A238" s="538">
        <v>237.0</v>
      </c>
      <c r="B238" s="538" t="s">
        <v>1432</v>
      </c>
      <c r="C238" s="538" t="s">
        <v>84</v>
      </c>
      <c r="D238" s="538" t="s">
        <v>1416</v>
      </c>
      <c r="E238" s="538" t="s">
        <v>218</v>
      </c>
      <c r="F238" s="538" t="s">
        <v>1433</v>
      </c>
      <c r="G238" s="538" t="s">
        <v>239</v>
      </c>
      <c r="H238" s="538" t="s">
        <v>222</v>
      </c>
      <c r="I238" s="538" t="s">
        <v>189</v>
      </c>
      <c r="J238" s="538" t="s">
        <v>320</v>
      </c>
      <c r="K238" s="538" t="s">
        <v>1434</v>
      </c>
      <c r="L238" s="538" t="s">
        <v>1435</v>
      </c>
      <c r="M238" s="538" t="s">
        <v>661</v>
      </c>
      <c r="N238" s="538" t="s">
        <v>1436</v>
      </c>
      <c r="O238" s="538" t="b">
        <v>0</v>
      </c>
      <c r="P238" s="538" t="b">
        <v>1</v>
      </c>
      <c r="Q238" s="538" t="s">
        <v>75</v>
      </c>
      <c r="R238" s="538" t="s">
        <v>127</v>
      </c>
      <c r="S238" s="538" t="s">
        <v>75</v>
      </c>
      <c r="T238" s="538" t="s">
        <v>127</v>
      </c>
      <c r="U238" s="538" t="s">
        <v>79</v>
      </c>
      <c r="V238" s="538" t="s">
        <v>1433</v>
      </c>
      <c r="W238" s="538" t="s">
        <v>79</v>
      </c>
      <c r="X238" s="538" t="s">
        <v>1433</v>
      </c>
      <c r="Y238" s="538" t="s">
        <v>79</v>
      </c>
      <c r="Z238" s="538" t="s">
        <v>1433</v>
      </c>
      <c r="AA238" s="538" t="s">
        <v>79</v>
      </c>
      <c r="AB238" s="538" t="s">
        <v>1433</v>
      </c>
      <c r="AC238" s="538" t="s">
        <v>79</v>
      </c>
      <c r="AD238" s="538" t="s">
        <v>1433</v>
      </c>
      <c r="AE238" s="538" t="s">
        <v>79</v>
      </c>
      <c r="AF238" s="538" t="s">
        <v>1433</v>
      </c>
      <c r="AG238" s="538" t="s">
        <v>79</v>
      </c>
      <c r="AH238" s="538" t="s">
        <v>1433</v>
      </c>
      <c r="AI238" s="538" t="s">
        <v>79</v>
      </c>
      <c r="AJ238" s="538" t="s">
        <v>1433</v>
      </c>
      <c r="AK238" s="538" t="s">
        <v>79</v>
      </c>
      <c r="AL238" s="538" t="s">
        <v>1433</v>
      </c>
      <c r="AM238" s="538" t="s">
        <v>79</v>
      </c>
      <c r="AN238" s="538" t="s">
        <v>1433</v>
      </c>
      <c r="AO238" s="538" t="s">
        <v>79</v>
      </c>
      <c r="AP238" s="538" t="s">
        <v>218</v>
      </c>
      <c r="AQ238" s="538" t="s">
        <v>79</v>
      </c>
      <c r="AR238" s="538" t="s">
        <v>218</v>
      </c>
      <c r="AS238" s="538">
        <v>5.98057792E8</v>
      </c>
      <c r="AT238" s="538">
        <v>4.110037371E9</v>
      </c>
      <c r="AU238" s="538">
        <v>139.0</v>
      </c>
      <c r="AV238" s="538" t="s">
        <v>47</v>
      </c>
      <c r="AX238" s="538" t="s">
        <v>437</v>
      </c>
      <c r="AY238" s="538" t="s">
        <v>127</v>
      </c>
      <c r="AZ238" s="538">
        <v>1.0</v>
      </c>
      <c r="BA238" s="538">
        <v>1.0</v>
      </c>
      <c r="BB238" s="538">
        <v>1.0</v>
      </c>
      <c r="BE238" s="538">
        <v>1.0</v>
      </c>
      <c r="BF238" s="538">
        <v>0.25</v>
      </c>
      <c r="BG238" s="538">
        <v>0.5</v>
      </c>
      <c r="BJ238" s="546"/>
      <c r="BL238" s="546"/>
    </row>
    <row r="239" ht="22.5" customHeight="1">
      <c r="A239" s="538">
        <v>238.0</v>
      </c>
      <c r="B239" s="538" t="s">
        <v>1432</v>
      </c>
      <c r="C239" s="538" t="s">
        <v>82</v>
      </c>
      <c r="D239" s="538" t="s">
        <v>1416</v>
      </c>
      <c r="E239" s="538" t="s">
        <v>214</v>
      </c>
      <c r="G239" s="538" t="s">
        <v>239</v>
      </c>
      <c r="H239" s="538" t="s">
        <v>222</v>
      </c>
      <c r="I239" s="538" t="s">
        <v>197</v>
      </c>
      <c r="J239" s="538" t="s">
        <v>359</v>
      </c>
      <c r="K239" s="538" t="s">
        <v>1437</v>
      </c>
      <c r="L239" s="538" t="s">
        <v>1438</v>
      </c>
      <c r="M239" s="538" t="s">
        <v>666</v>
      </c>
      <c r="N239" s="538" t="s">
        <v>666</v>
      </c>
      <c r="O239" s="538" t="b">
        <v>1</v>
      </c>
      <c r="P239" s="538" t="b">
        <v>1</v>
      </c>
      <c r="Q239" s="538" t="s">
        <v>73</v>
      </c>
      <c r="S239" s="538" t="s">
        <v>73</v>
      </c>
      <c r="U239" s="538" t="s">
        <v>73</v>
      </c>
      <c r="W239" s="538" t="s">
        <v>73</v>
      </c>
      <c r="Y239" s="538" t="s">
        <v>73</v>
      </c>
      <c r="AA239" s="538" t="s">
        <v>73</v>
      </c>
      <c r="AC239" s="538" t="s">
        <v>73</v>
      </c>
      <c r="AE239" s="538" t="s">
        <v>73</v>
      </c>
      <c r="AG239" s="538" t="s">
        <v>73</v>
      </c>
      <c r="AI239" s="538" t="s">
        <v>73</v>
      </c>
      <c r="AK239" s="538" t="s">
        <v>73</v>
      </c>
      <c r="AM239" s="538" t="s">
        <v>73</v>
      </c>
      <c r="AO239" s="538" t="s">
        <v>79</v>
      </c>
      <c r="AP239" s="538" t="s">
        <v>214</v>
      </c>
      <c r="AQ239" s="538" t="s">
        <v>79</v>
      </c>
      <c r="AR239" s="538" t="s">
        <v>214</v>
      </c>
      <c r="AS239" s="538">
        <v>3.344613248E9</v>
      </c>
      <c r="AT239" s="538">
        <v>4.110037371E9</v>
      </c>
      <c r="AU239" s="538">
        <v>139.0</v>
      </c>
      <c r="AV239" s="538" t="s">
        <v>47</v>
      </c>
      <c r="AZ239" s="538">
        <v>0.5</v>
      </c>
      <c r="BA239" s="538">
        <v>0.6</v>
      </c>
      <c r="BB239" s="538">
        <v>0.7</v>
      </c>
      <c r="BC239" s="538">
        <v>0.75</v>
      </c>
      <c r="BD239" s="538">
        <v>0.8</v>
      </c>
      <c r="BE239" s="538">
        <v>0.5</v>
      </c>
      <c r="BF239" s="538">
        <v>0.6</v>
      </c>
      <c r="BG239" s="538">
        <v>0.7</v>
      </c>
      <c r="BH239" s="538">
        <v>0.75</v>
      </c>
      <c r="BI239" s="538">
        <v>0.8</v>
      </c>
      <c r="BJ239" s="546"/>
      <c r="BL239" s="546"/>
    </row>
    <row r="240" ht="22.5" customHeight="1">
      <c r="A240" s="538">
        <v>239.0</v>
      </c>
      <c r="B240" s="538" t="s">
        <v>1439</v>
      </c>
      <c r="C240" s="538" t="s">
        <v>84</v>
      </c>
      <c r="D240" s="538" t="s">
        <v>1440</v>
      </c>
      <c r="E240" s="538" t="s">
        <v>218</v>
      </c>
      <c r="F240" s="538" t="s">
        <v>1441</v>
      </c>
      <c r="G240" s="538" t="s">
        <v>239</v>
      </c>
      <c r="H240" s="538" t="s">
        <v>250</v>
      </c>
      <c r="I240" s="538" t="s">
        <v>176</v>
      </c>
      <c r="J240" s="538" t="s">
        <v>395</v>
      </c>
      <c r="K240" s="538" t="s">
        <v>1442</v>
      </c>
      <c r="L240" s="538" t="s">
        <v>1443</v>
      </c>
      <c r="M240" s="538" t="s">
        <v>661</v>
      </c>
      <c r="N240" s="538" t="s">
        <v>1190</v>
      </c>
      <c r="O240" s="538" t="b">
        <v>0</v>
      </c>
      <c r="P240" s="538" t="b">
        <v>1</v>
      </c>
      <c r="Q240" s="538" t="s">
        <v>75</v>
      </c>
      <c r="R240" s="538" t="s">
        <v>692</v>
      </c>
      <c r="S240" s="538" t="s">
        <v>75</v>
      </c>
      <c r="T240" s="538" t="s">
        <v>692</v>
      </c>
      <c r="U240" s="538" t="s">
        <v>79</v>
      </c>
      <c r="V240" s="538" t="s">
        <v>1441</v>
      </c>
      <c r="W240" s="538" t="s">
        <v>79</v>
      </c>
      <c r="X240" s="538" t="s">
        <v>1441</v>
      </c>
      <c r="Y240" s="538" t="s">
        <v>79</v>
      </c>
      <c r="Z240" s="538" t="s">
        <v>1441</v>
      </c>
      <c r="AA240" s="538" t="s">
        <v>79</v>
      </c>
      <c r="AB240" s="538" t="s">
        <v>1441</v>
      </c>
      <c r="AC240" s="538" t="s">
        <v>79</v>
      </c>
      <c r="AD240" s="538" t="s">
        <v>1441</v>
      </c>
      <c r="AE240" s="538" t="s">
        <v>79</v>
      </c>
      <c r="AF240" s="538" t="s">
        <v>1441</v>
      </c>
      <c r="AG240" s="538" t="s">
        <v>79</v>
      </c>
      <c r="AH240" s="538" t="s">
        <v>1441</v>
      </c>
      <c r="AI240" s="538" t="s">
        <v>79</v>
      </c>
      <c r="AJ240" s="538" t="s">
        <v>1441</v>
      </c>
      <c r="AK240" s="538" t="s">
        <v>79</v>
      </c>
      <c r="AL240" s="538" t="s">
        <v>1441</v>
      </c>
      <c r="AM240" s="538" t="s">
        <v>79</v>
      </c>
      <c r="AN240" s="538" t="s">
        <v>1441</v>
      </c>
      <c r="AO240" s="538" t="s">
        <v>79</v>
      </c>
      <c r="AP240" s="538" t="s">
        <v>218</v>
      </c>
      <c r="AQ240" s="538" t="s">
        <v>79</v>
      </c>
      <c r="AR240" s="538" t="s">
        <v>218</v>
      </c>
      <c r="AS240" s="538">
        <v>3.524108217E9</v>
      </c>
      <c r="AT240" s="538">
        <v>1.07451388E8</v>
      </c>
      <c r="AU240" s="538">
        <v>150.0</v>
      </c>
      <c r="AV240" s="538" t="s">
        <v>47</v>
      </c>
      <c r="AW240" s="538" t="s">
        <v>663</v>
      </c>
      <c r="AY240" s="538" t="s">
        <v>692</v>
      </c>
      <c r="AZ240" s="538">
        <v>1.0</v>
      </c>
      <c r="BA240" s="538">
        <v>1.0</v>
      </c>
      <c r="BB240" s="538">
        <v>1.0</v>
      </c>
      <c r="BE240" s="538">
        <v>0.5</v>
      </c>
      <c r="BF240" s="538">
        <v>0.25</v>
      </c>
      <c r="BG240" s="538">
        <v>0.5</v>
      </c>
      <c r="BJ240" s="546"/>
      <c r="BL240" s="546"/>
    </row>
    <row r="241" ht="22.5" customHeight="1">
      <c r="A241" s="538">
        <v>240.0</v>
      </c>
      <c r="B241" s="538" t="s">
        <v>1439</v>
      </c>
      <c r="C241" s="538" t="s">
        <v>82</v>
      </c>
      <c r="D241" s="538" t="s">
        <v>1440</v>
      </c>
      <c r="E241" s="538" t="s">
        <v>214</v>
      </c>
      <c r="F241" s="538" t="s">
        <v>270</v>
      </c>
      <c r="G241" s="538" t="s">
        <v>239</v>
      </c>
      <c r="H241" s="538" t="s">
        <v>250</v>
      </c>
      <c r="I241" s="538" t="s">
        <v>197</v>
      </c>
      <c r="J241" s="538" t="s">
        <v>332</v>
      </c>
      <c r="K241" s="538" t="s">
        <v>1444</v>
      </c>
      <c r="L241" s="538" t="s">
        <v>1445</v>
      </c>
      <c r="M241" s="538" t="s">
        <v>1446</v>
      </c>
      <c r="N241" s="538" t="s">
        <v>1446</v>
      </c>
      <c r="O241" s="538" t="b">
        <v>1</v>
      </c>
      <c r="P241" s="538" t="b">
        <v>1</v>
      </c>
      <c r="Q241" s="538" t="s">
        <v>75</v>
      </c>
      <c r="R241" s="538" t="s">
        <v>270</v>
      </c>
      <c r="S241" s="538" t="s">
        <v>75</v>
      </c>
      <c r="T241" s="538" t="s">
        <v>270</v>
      </c>
      <c r="U241" s="538" t="s">
        <v>75</v>
      </c>
      <c r="V241" s="538" t="s">
        <v>270</v>
      </c>
      <c r="W241" s="538" t="s">
        <v>75</v>
      </c>
      <c r="X241" s="538" t="s">
        <v>270</v>
      </c>
      <c r="Y241" s="538" t="s">
        <v>75</v>
      </c>
      <c r="Z241" s="538" t="s">
        <v>270</v>
      </c>
      <c r="AA241" s="538" t="s">
        <v>75</v>
      </c>
      <c r="AB241" s="538" t="s">
        <v>270</v>
      </c>
      <c r="AC241" s="538" t="s">
        <v>75</v>
      </c>
      <c r="AD241" s="538" t="s">
        <v>270</v>
      </c>
      <c r="AE241" s="538" t="s">
        <v>75</v>
      </c>
      <c r="AF241" s="538" t="s">
        <v>270</v>
      </c>
      <c r="AG241" s="538" t="s">
        <v>75</v>
      </c>
      <c r="AH241" s="538" t="s">
        <v>270</v>
      </c>
      <c r="AI241" s="538" t="s">
        <v>75</v>
      </c>
      <c r="AJ241" s="538" t="s">
        <v>270</v>
      </c>
      <c r="AK241" s="538" t="s">
        <v>75</v>
      </c>
      <c r="AL241" s="538" t="s">
        <v>270</v>
      </c>
      <c r="AM241" s="538" t="s">
        <v>75</v>
      </c>
      <c r="AN241" s="538" t="s">
        <v>270</v>
      </c>
      <c r="AO241" s="538" t="s">
        <v>79</v>
      </c>
      <c r="AP241" s="538" t="s">
        <v>214</v>
      </c>
      <c r="AQ241" s="538" t="s">
        <v>79</v>
      </c>
      <c r="AR241" s="538" t="s">
        <v>214</v>
      </c>
      <c r="AS241" s="538">
        <v>1.602353343E9</v>
      </c>
      <c r="AT241" s="538">
        <v>1.07451388E8</v>
      </c>
      <c r="AU241" s="538">
        <v>150.0</v>
      </c>
      <c r="AV241" s="538" t="s">
        <v>47</v>
      </c>
      <c r="AY241" s="538" t="s">
        <v>270</v>
      </c>
      <c r="AZ241" s="538">
        <v>0.75</v>
      </c>
      <c r="BA241" s="538">
        <v>0.8</v>
      </c>
      <c r="BB241" s="538">
        <v>0.85</v>
      </c>
      <c r="BC241" s="538">
        <v>0.9</v>
      </c>
      <c r="BD241" s="538">
        <v>0.95</v>
      </c>
      <c r="BE241" s="538">
        <v>0.75</v>
      </c>
      <c r="BF241" s="538">
        <v>0.8</v>
      </c>
      <c r="BG241" s="538">
        <v>0.85</v>
      </c>
      <c r="BH241" s="538">
        <v>0.9</v>
      </c>
      <c r="BI241" s="538">
        <v>0.95</v>
      </c>
      <c r="BJ241" s="546"/>
      <c r="BL241" s="546"/>
    </row>
    <row r="242" ht="22.5" customHeight="1">
      <c r="A242" s="538">
        <v>241.0</v>
      </c>
      <c r="B242" s="538" t="s">
        <v>1447</v>
      </c>
      <c r="C242" s="538" t="s">
        <v>84</v>
      </c>
      <c r="D242" s="538" t="s">
        <v>1440</v>
      </c>
      <c r="E242" s="538" t="s">
        <v>366</v>
      </c>
      <c r="F242" s="538" t="s">
        <v>306</v>
      </c>
      <c r="G242" s="538" t="s">
        <v>239</v>
      </c>
      <c r="H242" s="538" t="s">
        <v>165</v>
      </c>
      <c r="I242" s="538" t="s">
        <v>176</v>
      </c>
      <c r="J242" s="538" t="s">
        <v>395</v>
      </c>
      <c r="K242" s="538" t="s">
        <v>1448</v>
      </c>
      <c r="L242" s="538" t="s">
        <v>1449</v>
      </c>
      <c r="M242" s="538" t="s">
        <v>661</v>
      </c>
      <c r="N242" s="538" t="s">
        <v>1450</v>
      </c>
      <c r="O242" s="538" t="b">
        <v>0</v>
      </c>
      <c r="P242" s="538" t="b">
        <v>1</v>
      </c>
      <c r="Q242" s="538" t="s">
        <v>73</v>
      </c>
      <c r="S242" s="538" t="s">
        <v>73</v>
      </c>
      <c r="U242" s="538" t="s">
        <v>79</v>
      </c>
      <c r="V242" s="538" t="s">
        <v>306</v>
      </c>
      <c r="W242" s="538" t="s">
        <v>79</v>
      </c>
      <c r="X242" s="538" t="s">
        <v>306</v>
      </c>
      <c r="Y242" s="538" t="s">
        <v>79</v>
      </c>
      <c r="Z242" s="538" t="s">
        <v>306</v>
      </c>
      <c r="AA242" s="538" t="s">
        <v>79</v>
      </c>
      <c r="AB242" s="538" t="s">
        <v>306</v>
      </c>
      <c r="AC242" s="538" t="s">
        <v>79</v>
      </c>
      <c r="AD242" s="538" t="s">
        <v>306</v>
      </c>
      <c r="AE242" s="538" t="s">
        <v>79</v>
      </c>
      <c r="AF242" s="538" t="s">
        <v>306</v>
      </c>
      <c r="AG242" s="538" t="s">
        <v>79</v>
      </c>
      <c r="AH242" s="538" t="s">
        <v>306</v>
      </c>
      <c r="AI242" s="538" t="s">
        <v>79</v>
      </c>
      <c r="AJ242" s="538" t="s">
        <v>306</v>
      </c>
      <c r="AK242" s="538" t="s">
        <v>79</v>
      </c>
      <c r="AL242" s="538" t="s">
        <v>306</v>
      </c>
      <c r="AM242" s="538" t="s">
        <v>79</v>
      </c>
      <c r="AN242" s="538" t="s">
        <v>306</v>
      </c>
      <c r="AO242" s="538" t="s">
        <v>79</v>
      </c>
      <c r="AP242" s="538" t="s">
        <v>366</v>
      </c>
      <c r="AQ242" s="538" t="s">
        <v>79</v>
      </c>
      <c r="AR242" s="538" t="s">
        <v>366</v>
      </c>
      <c r="AS242" s="538">
        <v>2.015269686E9</v>
      </c>
      <c r="AT242" s="538">
        <v>2.757127113E9</v>
      </c>
      <c r="AU242" s="538">
        <v>151.0</v>
      </c>
      <c r="AV242" s="538" t="s">
        <v>47</v>
      </c>
      <c r="AZ242" s="538">
        <v>1.0</v>
      </c>
      <c r="BA242" s="538">
        <v>1.0</v>
      </c>
      <c r="BB242" s="538">
        <v>1.0</v>
      </c>
      <c r="BE242" s="538">
        <v>1.0</v>
      </c>
      <c r="BF242" s="538">
        <v>0.5</v>
      </c>
      <c r="BG242" s="538">
        <v>1.0</v>
      </c>
      <c r="BJ242" s="546"/>
      <c r="BL242" s="546"/>
    </row>
    <row r="243" ht="22.5" customHeight="1">
      <c r="A243" s="538">
        <v>242.0</v>
      </c>
      <c r="B243" s="538" t="s">
        <v>1447</v>
      </c>
      <c r="C243" s="538" t="s">
        <v>82</v>
      </c>
      <c r="D243" s="538" t="s">
        <v>1440</v>
      </c>
      <c r="E243" s="538" t="s">
        <v>295</v>
      </c>
      <c r="F243" s="538" t="s">
        <v>1451</v>
      </c>
      <c r="G243" s="538" t="s">
        <v>239</v>
      </c>
      <c r="H243" s="538" t="s">
        <v>222</v>
      </c>
      <c r="I243" s="538" t="s">
        <v>201</v>
      </c>
      <c r="J243" s="538" t="s">
        <v>320</v>
      </c>
      <c r="K243" s="538" t="s">
        <v>1452</v>
      </c>
      <c r="L243" s="538" t="s">
        <v>1453</v>
      </c>
      <c r="M243" s="538" t="s">
        <v>673</v>
      </c>
      <c r="N243" s="538" t="s">
        <v>1454</v>
      </c>
      <c r="O243" s="538" t="b">
        <v>0</v>
      </c>
      <c r="P243" s="538" t="b">
        <v>1</v>
      </c>
      <c r="Q243" s="538" t="s">
        <v>75</v>
      </c>
      <c r="R243" s="538" t="s">
        <v>318</v>
      </c>
      <c r="S243" s="538" t="s">
        <v>75</v>
      </c>
      <c r="T243" s="538" t="s">
        <v>318</v>
      </c>
      <c r="U243" s="538" t="s">
        <v>79</v>
      </c>
      <c r="V243" s="538" t="s">
        <v>1451</v>
      </c>
      <c r="W243" s="538" t="s">
        <v>79</v>
      </c>
      <c r="X243" s="538" t="s">
        <v>1451</v>
      </c>
      <c r="Y243" s="538" t="s">
        <v>79</v>
      </c>
      <c r="Z243" s="538" t="s">
        <v>1451</v>
      </c>
      <c r="AA243" s="538" t="s">
        <v>79</v>
      </c>
      <c r="AB243" s="538" t="s">
        <v>1451</v>
      </c>
      <c r="AC243" s="538" t="s">
        <v>79</v>
      </c>
      <c r="AD243" s="538" t="s">
        <v>1451</v>
      </c>
      <c r="AE243" s="538" t="s">
        <v>79</v>
      </c>
      <c r="AF243" s="538" t="s">
        <v>1451</v>
      </c>
      <c r="AG243" s="538" t="s">
        <v>79</v>
      </c>
      <c r="AH243" s="538" t="s">
        <v>1451</v>
      </c>
      <c r="AI243" s="538" t="s">
        <v>79</v>
      </c>
      <c r="AJ243" s="538" t="s">
        <v>1451</v>
      </c>
      <c r="AK243" s="538" t="s">
        <v>79</v>
      </c>
      <c r="AL243" s="538" t="s">
        <v>1451</v>
      </c>
      <c r="AM243" s="538" t="s">
        <v>79</v>
      </c>
      <c r="AN243" s="538" t="s">
        <v>1451</v>
      </c>
      <c r="AO243" s="538" t="s">
        <v>79</v>
      </c>
      <c r="AP243" s="538" t="s">
        <v>295</v>
      </c>
      <c r="AQ243" s="538" t="s">
        <v>79</v>
      </c>
      <c r="AR243" s="538" t="s">
        <v>295</v>
      </c>
      <c r="AS243" s="538">
        <v>2.57826584E9</v>
      </c>
      <c r="AT243" s="538">
        <v>2.757127113E9</v>
      </c>
      <c r="AU243" s="538">
        <v>151.0</v>
      </c>
      <c r="AV243" s="538" t="s">
        <v>47</v>
      </c>
      <c r="AW243" s="538" t="s">
        <v>663</v>
      </c>
      <c r="AY243" s="538" t="s">
        <v>318</v>
      </c>
      <c r="AZ243" s="538">
        <v>1.0</v>
      </c>
      <c r="BA243" s="538">
        <v>1.0</v>
      </c>
      <c r="BB243" s="538">
        <v>1.0</v>
      </c>
      <c r="BC243" s="538">
        <v>1.0</v>
      </c>
      <c r="BD243" s="538">
        <v>1.0</v>
      </c>
      <c r="BE243" s="538">
        <v>0.5</v>
      </c>
      <c r="BF243" s="538">
        <v>0.75</v>
      </c>
      <c r="BG243" s="538">
        <v>1.0</v>
      </c>
      <c r="BH243" s="538">
        <v>1.25</v>
      </c>
      <c r="BI243" s="538">
        <v>1.5</v>
      </c>
      <c r="BJ243" s="546"/>
      <c r="BK243" s="547"/>
      <c r="BL243" s="546"/>
    </row>
    <row r="244" ht="22.5" customHeight="1">
      <c r="A244" s="538">
        <v>243.0</v>
      </c>
      <c r="B244" s="538" t="s">
        <v>1455</v>
      </c>
      <c r="C244" s="538" t="s">
        <v>84</v>
      </c>
      <c r="D244" s="538" t="s">
        <v>1440</v>
      </c>
      <c r="E244" s="538" t="s">
        <v>292</v>
      </c>
      <c r="F244" s="538" t="s">
        <v>1451</v>
      </c>
      <c r="G244" s="538" t="s">
        <v>239</v>
      </c>
      <c r="H244" s="538" t="s">
        <v>222</v>
      </c>
      <c r="I244" s="538" t="s">
        <v>201</v>
      </c>
      <c r="J244" s="538" t="s">
        <v>320</v>
      </c>
      <c r="K244" s="538" t="s">
        <v>1456</v>
      </c>
      <c r="L244" s="538" t="s">
        <v>1457</v>
      </c>
      <c r="M244" s="538" t="s">
        <v>661</v>
      </c>
      <c r="N244" s="538" t="s">
        <v>1458</v>
      </c>
      <c r="O244" s="538" t="b">
        <v>0</v>
      </c>
      <c r="P244" s="538" t="b">
        <v>1</v>
      </c>
      <c r="Q244" s="538" t="s">
        <v>75</v>
      </c>
      <c r="R244" s="538" t="s">
        <v>318</v>
      </c>
      <c r="S244" s="538" t="s">
        <v>75</v>
      </c>
      <c r="T244" s="538" t="s">
        <v>318</v>
      </c>
      <c r="U244" s="538" t="s">
        <v>79</v>
      </c>
      <c r="V244" s="538" t="s">
        <v>1451</v>
      </c>
      <c r="W244" s="538" t="s">
        <v>79</v>
      </c>
      <c r="X244" s="538" t="s">
        <v>1451</v>
      </c>
      <c r="Y244" s="538" t="s">
        <v>79</v>
      </c>
      <c r="Z244" s="538" t="s">
        <v>1451</v>
      </c>
      <c r="AA244" s="538" t="s">
        <v>79</v>
      </c>
      <c r="AB244" s="538" t="s">
        <v>1451</v>
      </c>
      <c r="AC244" s="538" t="s">
        <v>79</v>
      </c>
      <c r="AD244" s="538" t="s">
        <v>1451</v>
      </c>
      <c r="AE244" s="538" t="s">
        <v>79</v>
      </c>
      <c r="AF244" s="538" t="s">
        <v>1451</v>
      </c>
      <c r="AG244" s="538" t="s">
        <v>79</v>
      </c>
      <c r="AH244" s="538" t="s">
        <v>1451</v>
      </c>
      <c r="AI244" s="538" t="s">
        <v>79</v>
      </c>
      <c r="AJ244" s="538" t="s">
        <v>1451</v>
      </c>
      <c r="AK244" s="538" t="s">
        <v>79</v>
      </c>
      <c r="AL244" s="538" t="s">
        <v>1451</v>
      </c>
      <c r="AM244" s="538" t="s">
        <v>79</v>
      </c>
      <c r="AN244" s="538" t="s">
        <v>1451</v>
      </c>
      <c r="AO244" s="538" t="s">
        <v>79</v>
      </c>
      <c r="AP244" s="538" t="s">
        <v>292</v>
      </c>
      <c r="AQ244" s="538" t="s">
        <v>79</v>
      </c>
      <c r="AR244" s="538" t="s">
        <v>292</v>
      </c>
      <c r="AS244" s="538">
        <v>1.796469058E9</v>
      </c>
      <c r="AT244" s="538">
        <v>1.75212688E9</v>
      </c>
      <c r="AU244" s="538">
        <v>152.0</v>
      </c>
      <c r="AV244" s="538" t="s">
        <v>46</v>
      </c>
      <c r="AW244" s="538" t="s">
        <v>663</v>
      </c>
      <c r="AY244" s="538" t="s">
        <v>318</v>
      </c>
      <c r="AZ244" s="538">
        <v>1.0</v>
      </c>
      <c r="BA244" s="538">
        <v>1.0</v>
      </c>
      <c r="BB244" s="538">
        <v>1.0</v>
      </c>
      <c r="BE244" s="538">
        <v>0.1</v>
      </c>
      <c r="BF244" s="538">
        <v>0.25</v>
      </c>
      <c r="BG244" s="538">
        <v>1.0</v>
      </c>
      <c r="BJ244" s="546"/>
      <c r="BL244" s="546"/>
    </row>
    <row r="245" ht="22.5" customHeight="1">
      <c r="A245" s="538">
        <v>244.0</v>
      </c>
      <c r="B245" s="538" t="s">
        <v>1455</v>
      </c>
      <c r="C245" s="538" t="s">
        <v>82</v>
      </c>
      <c r="D245" s="538" t="s">
        <v>1440</v>
      </c>
      <c r="E245" s="538" t="s">
        <v>369</v>
      </c>
      <c r="F245" s="538" t="s">
        <v>1451</v>
      </c>
      <c r="G245" s="538" t="s">
        <v>239</v>
      </c>
      <c r="H245" s="538" t="s">
        <v>222</v>
      </c>
      <c r="I245" s="538" t="s">
        <v>201</v>
      </c>
      <c r="J245" s="538" t="s">
        <v>320</v>
      </c>
      <c r="K245" s="538" t="s">
        <v>1459</v>
      </c>
      <c r="L245" s="538" t="s">
        <v>1460</v>
      </c>
      <c r="M245" s="538" t="s">
        <v>673</v>
      </c>
      <c r="N245" s="538" t="s">
        <v>1461</v>
      </c>
      <c r="O245" s="538" t="b">
        <v>0</v>
      </c>
      <c r="P245" s="538" t="b">
        <v>1</v>
      </c>
      <c r="Q245" s="538" t="s">
        <v>75</v>
      </c>
      <c r="R245" s="538" t="s">
        <v>318</v>
      </c>
      <c r="S245" s="538" t="s">
        <v>75</v>
      </c>
      <c r="T245" s="538" t="s">
        <v>318</v>
      </c>
      <c r="U245" s="538" t="s">
        <v>79</v>
      </c>
      <c r="V245" s="538" t="s">
        <v>1451</v>
      </c>
      <c r="W245" s="538" t="s">
        <v>79</v>
      </c>
      <c r="X245" s="538" t="s">
        <v>1451</v>
      </c>
      <c r="Y245" s="538" t="s">
        <v>79</v>
      </c>
      <c r="Z245" s="538" t="s">
        <v>1451</v>
      </c>
      <c r="AA245" s="538" t="s">
        <v>79</v>
      </c>
      <c r="AB245" s="538" t="s">
        <v>1451</v>
      </c>
      <c r="AC245" s="538" t="s">
        <v>79</v>
      </c>
      <c r="AD245" s="538" t="s">
        <v>1451</v>
      </c>
      <c r="AE245" s="538" t="s">
        <v>79</v>
      </c>
      <c r="AF245" s="538" t="s">
        <v>1451</v>
      </c>
      <c r="AG245" s="538" t="s">
        <v>79</v>
      </c>
      <c r="AH245" s="538" t="s">
        <v>1451</v>
      </c>
      <c r="AI245" s="538" t="s">
        <v>79</v>
      </c>
      <c r="AJ245" s="538" t="s">
        <v>1451</v>
      </c>
      <c r="AK245" s="538" t="s">
        <v>79</v>
      </c>
      <c r="AL245" s="538" t="s">
        <v>1451</v>
      </c>
      <c r="AM245" s="538" t="s">
        <v>79</v>
      </c>
      <c r="AN245" s="538" t="s">
        <v>1451</v>
      </c>
      <c r="AO245" s="538" t="s">
        <v>79</v>
      </c>
      <c r="AP245" s="538" t="s">
        <v>369</v>
      </c>
      <c r="AQ245" s="538" t="s">
        <v>79</v>
      </c>
      <c r="AR245" s="538" t="s">
        <v>369</v>
      </c>
      <c r="AS245" s="538">
        <v>2.247949691E9</v>
      </c>
      <c r="AT245" s="538">
        <v>1.75212688E9</v>
      </c>
      <c r="AU245" s="538">
        <v>152.0</v>
      </c>
      <c r="AV245" s="538" t="s">
        <v>46</v>
      </c>
      <c r="AW245" s="538" t="s">
        <v>663</v>
      </c>
      <c r="AY245" s="538" t="s">
        <v>318</v>
      </c>
      <c r="AZ245" s="538">
        <v>1.0</v>
      </c>
      <c r="BA245" s="538">
        <v>1.0</v>
      </c>
      <c r="BB245" s="538">
        <v>1.0</v>
      </c>
      <c r="BC245" s="538">
        <v>1.0</v>
      </c>
      <c r="BD245" s="538">
        <v>1.0</v>
      </c>
      <c r="BE245" s="538">
        <v>0.08</v>
      </c>
      <c r="BF245" s="538">
        <v>0.1</v>
      </c>
      <c r="BG245" s="538">
        <v>0.12</v>
      </c>
      <c r="BH245" s="538">
        <v>0.16</v>
      </c>
      <c r="BI245" s="538">
        <v>0.2</v>
      </c>
      <c r="BJ245" s="546"/>
      <c r="BL245" s="546"/>
    </row>
    <row r="246" ht="22.5" customHeight="1">
      <c r="A246" s="538">
        <v>245.0</v>
      </c>
      <c r="B246" s="538" t="s">
        <v>1462</v>
      </c>
      <c r="C246" s="538" t="s">
        <v>84</v>
      </c>
      <c r="D246" s="538" t="s">
        <v>1440</v>
      </c>
      <c r="E246" s="538" t="s">
        <v>223</v>
      </c>
      <c r="F246" s="538" t="s">
        <v>306</v>
      </c>
      <c r="G246" s="538" t="s">
        <v>163</v>
      </c>
      <c r="H246" s="538" t="s">
        <v>250</v>
      </c>
      <c r="I246" s="538" t="s">
        <v>176</v>
      </c>
      <c r="J246" s="538" t="s">
        <v>397</v>
      </c>
      <c r="K246" s="538" t="s">
        <v>1463</v>
      </c>
      <c r="L246" s="538" t="s">
        <v>1464</v>
      </c>
      <c r="M246" s="538" t="s">
        <v>661</v>
      </c>
      <c r="N246" s="538" t="s">
        <v>1465</v>
      </c>
      <c r="O246" s="538" t="b">
        <v>0</v>
      </c>
      <c r="P246" s="538" t="b">
        <v>1</v>
      </c>
      <c r="Q246" s="538" t="s">
        <v>73</v>
      </c>
      <c r="S246" s="538" t="s">
        <v>73</v>
      </c>
      <c r="U246" s="538" t="s">
        <v>79</v>
      </c>
      <c r="V246" s="538" t="s">
        <v>306</v>
      </c>
      <c r="W246" s="538" t="s">
        <v>79</v>
      </c>
      <c r="X246" s="538" t="s">
        <v>306</v>
      </c>
      <c r="Y246" s="538" t="s">
        <v>79</v>
      </c>
      <c r="Z246" s="538" t="s">
        <v>306</v>
      </c>
      <c r="AA246" s="538" t="s">
        <v>79</v>
      </c>
      <c r="AB246" s="538" t="s">
        <v>306</v>
      </c>
      <c r="AC246" s="538" t="s">
        <v>79</v>
      </c>
      <c r="AD246" s="538" t="s">
        <v>306</v>
      </c>
      <c r="AE246" s="538" t="s">
        <v>79</v>
      </c>
      <c r="AF246" s="538" t="s">
        <v>306</v>
      </c>
      <c r="AG246" s="538" t="s">
        <v>79</v>
      </c>
      <c r="AH246" s="538" t="s">
        <v>306</v>
      </c>
      <c r="AI246" s="538" t="s">
        <v>79</v>
      </c>
      <c r="AJ246" s="538" t="s">
        <v>306</v>
      </c>
      <c r="AK246" s="538" t="s">
        <v>79</v>
      </c>
      <c r="AL246" s="538" t="s">
        <v>306</v>
      </c>
      <c r="AM246" s="538" t="s">
        <v>79</v>
      </c>
      <c r="AN246" s="538" t="s">
        <v>306</v>
      </c>
      <c r="AO246" s="538" t="s">
        <v>79</v>
      </c>
      <c r="AP246" s="538" t="s">
        <v>223</v>
      </c>
      <c r="AQ246" s="538" t="s">
        <v>79</v>
      </c>
      <c r="AR246" s="538" t="s">
        <v>223</v>
      </c>
      <c r="AS246" s="538">
        <v>1.411083962E9</v>
      </c>
      <c r="AT246" s="538">
        <v>4.23029416E8</v>
      </c>
      <c r="AU246" s="538">
        <v>153.0</v>
      </c>
      <c r="AV246" s="538" t="s">
        <v>46</v>
      </c>
      <c r="AZ246" s="538">
        <v>1.0</v>
      </c>
      <c r="BA246" s="538">
        <v>1.0</v>
      </c>
      <c r="BB246" s="538">
        <v>1.0</v>
      </c>
      <c r="BE246" s="538">
        <v>3.0</v>
      </c>
      <c r="BF246" s="538">
        <v>0.5</v>
      </c>
      <c r="BG246" s="538">
        <v>1.0</v>
      </c>
      <c r="BJ246" s="546"/>
      <c r="BL246" s="546"/>
    </row>
    <row r="247" ht="22.5" customHeight="1">
      <c r="A247" s="538">
        <v>246.0</v>
      </c>
      <c r="B247" s="538" t="s">
        <v>1462</v>
      </c>
      <c r="C247" s="538" t="s">
        <v>82</v>
      </c>
      <c r="D247" s="538" t="s">
        <v>1440</v>
      </c>
      <c r="E247" s="538" t="s">
        <v>340</v>
      </c>
      <c r="F247" s="538" t="s">
        <v>309</v>
      </c>
      <c r="G247" s="538" t="s">
        <v>151</v>
      </c>
      <c r="H247" s="538" t="s">
        <v>182</v>
      </c>
      <c r="I247" s="538" t="s">
        <v>122</v>
      </c>
      <c r="K247" s="538" t="s">
        <v>1466</v>
      </c>
      <c r="L247" s="538" t="s">
        <v>1467</v>
      </c>
      <c r="M247" s="538" t="s">
        <v>673</v>
      </c>
      <c r="N247" s="538" t="s">
        <v>1071</v>
      </c>
      <c r="O247" s="538" t="b">
        <v>0</v>
      </c>
      <c r="P247" s="538" t="b">
        <v>1</v>
      </c>
      <c r="Q247" s="538" t="s">
        <v>75</v>
      </c>
      <c r="R247" s="538" t="s">
        <v>309</v>
      </c>
      <c r="S247" s="538" t="s">
        <v>75</v>
      </c>
      <c r="T247" s="538" t="s">
        <v>309</v>
      </c>
      <c r="U247" s="538" t="s">
        <v>75</v>
      </c>
      <c r="V247" s="538" t="s">
        <v>309</v>
      </c>
      <c r="W247" s="538" t="s">
        <v>75</v>
      </c>
      <c r="X247" s="538" t="s">
        <v>309</v>
      </c>
      <c r="Y247" s="538" t="s">
        <v>75</v>
      </c>
      <c r="Z247" s="538" t="s">
        <v>309</v>
      </c>
      <c r="AA247" s="538" t="s">
        <v>75</v>
      </c>
      <c r="AB247" s="538" t="s">
        <v>309</v>
      </c>
      <c r="AC247" s="538" t="s">
        <v>75</v>
      </c>
      <c r="AD247" s="538" t="s">
        <v>309</v>
      </c>
      <c r="AE247" s="538" t="s">
        <v>75</v>
      </c>
      <c r="AF247" s="538" t="s">
        <v>309</v>
      </c>
      <c r="AG247" s="538" t="s">
        <v>75</v>
      </c>
      <c r="AH247" s="538" t="s">
        <v>309</v>
      </c>
      <c r="AI247" s="538" t="s">
        <v>75</v>
      </c>
      <c r="AJ247" s="538" t="s">
        <v>309</v>
      </c>
      <c r="AK247" s="538" t="s">
        <v>75</v>
      </c>
      <c r="AL247" s="538" t="s">
        <v>309</v>
      </c>
      <c r="AM247" s="538" t="s">
        <v>75</v>
      </c>
      <c r="AN247" s="538" t="s">
        <v>309</v>
      </c>
      <c r="AO247" s="538" t="s">
        <v>79</v>
      </c>
      <c r="AP247" s="538" t="s">
        <v>340</v>
      </c>
      <c r="AQ247" s="538" t="s">
        <v>79</v>
      </c>
      <c r="AR247" s="538" t="s">
        <v>340</v>
      </c>
      <c r="AS247" s="538">
        <v>1.471902954E9</v>
      </c>
      <c r="AT247" s="538">
        <v>4.23029416E8</v>
      </c>
      <c r="AU247" s="538">
        <v>153.0</v>
      </c>
      <c r="AV247" s="538" t="s">
        <v>46</v>
      </c>
      <c r="AY247" s="538" t="s">
        <v>309</v>
      </c>
      <c r="AZ247" s="538">
        <v>1.0</v>
      </c>
      <c r="BA247" s="538">
        <v>1.0</v>
      </c>
      <c r="BB247" s="538">
        <v>1.0</v>
      </c>
      <c r="BC247" s="538">
        <v>1.0</v>
      </c>
      <c r="BD247" s="538">
        <v>1.0</v>
      </c>
      <c r="BE247" s="538">
        <v>0.2</v>
      </c>
      <c r="BF247" s="538">
        <v>0.4</v>
      </c>
      <c r="BG247" s="538">
        <v>0.6</v>
      </c>
      <c r="BH247" s="538">
        <v>0.8</v>
      </c>
      <c r="BI247" s="538">
        <v>1.0</v>
      </c>
      <c r="BJ247" s="546"/>
      <c r="BL247" s="546"/>
    </row>
    <row r="248" ht="22.5" customHeight="1">
      <c r="A248" s="538">
        <v>247.0</v>
      </c>
      <c r="B248" s="538" t="s">
        <v>1468</v>
      </c>
      <c r="C248" s="538" t="s">
        <v>84</v>
      </c>
      <c r="D248" s="538" t="s">
        <v>1440</v>
      </c>
      <c r="E248" s="538" t="s">
        <v>214</v>
      </c>
      <c r="G248" s="538" t="s">
        <v>239</v>
      </c>
      <c r="H248" s="538" t="s">
        <v>250</v>
      </c>
      <c r="I248" s="538" t="s">
        <v>197</v>
      </c>
      <c r="J248" s="538" t="s">
        <v>347</v>
      </c>
      <c r="K248" s="538" t="s">
        <v>1469</v>
      </c>
      <c r="L248" s="538" t="s">
        <v>1470</v>
      </c>
      <c r="M248" s="538" t="s">
        <v>1471</v>
      </c>
      <c r="N248" s="538" t="s">
        <v>1472</v>
      </c>
      <c r="O248" s="538" t="b">
        <v>1</v>
      </c>
      <c r="P248" s="538" t="b">
        <v>1</v>
      </c>
      <c r="Q248" s="538" t="s">
        <v>73</v>
      </c>
      <c r="S248" s="538" t="s">
        <v>73</v>
      </c>
      <c r="U248" s="538" t="s">
        <v>73</v>
      </c>
      <c r="W248" s="538" t="s">
        <v>73</v>
      </c>
      <c r="Y248" s="538" t="s">
        <v>73</v>
      </c>
      <c r="AA248" s="538" t="s">
        <v>73</v>
      </c>
      <c r="AC248" s="538" t="s">
        <v>73</v>
      </c>
      <c r="AE248" s="538" t="s">
        <v>73</v>
      </c>
      <c r="AG248" s="538" t="s">
        <v>73</v>
      </c>
      <c r="AI248" s="538" t="s">
        <v>73</v>
      </c>
      <c r="AK248" s="538" t="s">
        <v>73</v>
      </c>
      <c r="AM248" s="538" t="s">
        <v>73</v>
      </c>
      <c r="AO248" s="538" t="s">
        <v>79</v>
      </c>
      <c r="AP248" s="538" t="s">
        <v>214</v>
      </c>
      <c r="AQ248" s="538" t="s">
        <v>79</v>
      </c>
      <c r="AR248" s="538" t="s">
        <v>214</v>
      </c>
      <c r="AS248" s="538">
        <v>2.61387865E8</v>
      </c>
      <c r="AT248" s="538">
        <v>1.670351312E9</v>
      </c>
      <c r="AU248" s="538">
        <v>154.0</v>
      </c>
      <c r="AV248" s="538" t="s">
        <v>46</v>
      </c>
      <c r="AZ248" s="538">
        <v>0.55</v>
      </c>
      <c r="BA248" s="538">
        <v>0.05</v>
      </c>
      <c r="BB248" s="538">
        <v>0.1</v>
      </c>
      <c r="BE248" s="538">
        <v>0.0</v>
      </c>
      <c r="BF248" s="538">
        <v>0.0</v>
      </c>
      <c r="BG248" s="538">
        <v>0.0</v>
      </c>
      <c r="BJ248" s="546"/>
      <c r="BL248" s="546"/>
    </row>
    <row r="249" ht="22.5" customHeight="1">
      <c r="A249" s="538">
        <v>248.0</v>
      </c>
      <c r="B249" s="538" t="s">
        <v>1468</v>
      </c>
      <c r="C249" s="538" t="s">
        <v>82</v>
      </c>
      <c r="D249" s="538" t="s">
        <v>1440</v>
      </c>
      <c r="E249" s="538" t="s">
        <v>292</v>
      </c>
      <c r="F249" s="538" t="s">
        <v>1473</v>
      </c>
      <c r="G249" s="538" t="s">
        <v>239</v>
      </c>
      <c r="H249" s="538" t="s">
        <v>250</v>
      </c>
      <c r="I249" s="538" t="s">
        <v>155</v>
      </c>
      <c r="J249" s="538" t="s">
        <v>320</v>
      </c>
      <c r="K249" s="538" t="s">
        <v>1474</v>
      </c>
      <c r="L249" s="538" t="s">
        <v>1475</v>
      </c>
      <c r="M249" s="538" t="s">
        <v>673</v>
      </c>
      <c r="N249" s="538" t="s">
        <v>1476</v>
      </c>
      <c r="O249" s="538" t="b">
        <v>0</v>
      </c>
      <c r="P249" s="538" t="b">
        <v>1</v>
      </c>
      <c r="Q249" s="538" t="s">
        <v>75</v>
      </c>
      <c r="R249" s="538" t="s">
        <v>1473</v>
      </c>
      <c r="S249" s="538" t="s">
        <v>75</v>
      </c>
      <c r="T249" s="538" t="s">
        <v>1473</v>
      </c>
      <c r="U249" s="538" t="s">
        <v>75</v>
      </c>
      <c r="V249" s="538" t="s">
        <v>1473</v>
      </c>
      <c r="W249" s="538" t="s">
        <v>75</v>
      </c>
      <c r="X249" s="538" t="s">
        <v>1473</v>
      </c>
      <c r="Y249" s="538" t="s">
        <v>75</v>
      </c>
      <c r="Z249" s="538" t="s">
        <v>1473</v>
      </c>
      <c r="AA249" s="538" t="s">
        <v>75</v>
      </c>
      <c r="AB249" s="538" t="s">
        <v>1473</v>
      </c>
      <c r="AC249" s="538" t="s">
        <v>75</v>
      </c>
      <c r="AD249" s="538" t="s">
        <v>1473</v>
      </c>
      <c r="AE249" s="538" t="s">
        <v>75</v>
      </c>
      <c r="AF249" s="538" t="s">
        <v>1473</v>
      </c>
      <c r="AG249" s="538" t="s">
        <v>75</v>
      </c>
      <c r="AH249" s="538" t="s">
        <v>1473</v>
      </c>
      <c r="AI249" s="538" t="s">
        <v>75</v>
      </c>
      <c r="AJ249" s="538" t="s">
        <v>1473</v>
      </c>
      <c r="AK249" s="538" t="s">
        <v>75</v>
      </c>
      <c r="AL249" s="538" t="s">
        <v>1473</v>
      </c>
      <c r="AM249" s="538" t="s">
        <v>75</v>
      </c>
      <c r="AN249" s="538" t="s">
        <v>1473</v>
      </c>
      <c r="AO249" s="538" t="s">
        <v>79</v>
      </c>
      <c r="AP249" s="538" t="s">
        <v>292</v>
      </c>
      <c r="AQ249" s="538" t="s">
        <v>79</v>
      </c>
      <c r="AR249" s="538" t="s">
        <v>292</v>
      </c>
      <c r="AS249" s="538">
        <v>3.831328818E9</v>
      </c>
      <c r="AT249" s="538">
        <v>1.670351312E9</v>
      </c>
      <c r="AU249" s="538">
        <v>154.0</v>
      </c>
      <c r="AV249" s="538" t="s">
        <v>46</v>
      </c>
      <c r="AW249" s="538" t="s">
        <v>663</v>
      </c>
      <c r="AY249" s="538" t="s">
        <v>1473</v>
      </c>
      <c r="AZ249" s="538">
        <v>1.0</v>
      </c>
      <c r="BA249" s="538">
        <v>1.0</v>
      </c>
      <c r="BB249" s="538">
        <v>1.0</v>
      </c>
      <c r="BC249" s="538">
        <v>1.0</v>
      </c>
      <c r="BD249" s="538">
        <v>1.0</v>
      </c>
      <c r="BE249" s="538">
        <v>0.06</v>
      </c>
      <c r="BF249" s="538">
        <v>0.08</v>
      </c>
      <c r="BG249" s="538">
        <v>0.1</v>
      </c>
      <c r="BH249" s="538">
        <v>0.12</v>
      </c>
      <c r="BI249" s="538">
        <v>0.15</v>
      </c>
      <c r="BJ249" s="546"/>
      <c r="BL249" s="546"/>
    </row>
    <row r="250" ht="22.5" customHeight="1">
      <c r="A250" s="538">
        <v>249.0</v>
      </c>
      <c r="B250" s="538" t="s">
        <v>1477</v>
      </c>
      <c r="C250" s="538" t="s">
        <v>84</v>
      </c>
      <c r="D250" s="538" t="s">
        <v>1440</v>
      </c>
      <c r="E250" s="538" t="s">
        <v>398</v>
      </c>
      <c r="F250" s="538" t="s">
        <v>309</v>
      </c>
      <c r="G250" s="538" t="s">
        <v>151</v>
      </c>
      <c r="H250" s="538" t="s">
        <v>250</v>
      </c>
      <c r="I250" s="538" t="s">
        <v>155</v>
      </c>
      <c r="K250" s="538" t="s">
        <v>1478</v>
      </c>
      <c r="L250" s="538" t="s">
        <v>1479</v>
      </c>
      <c r="M250" s="538" t="s">
        <v>661</v>
      </c>
      <c r="N250" s="538" t="s">
        <v>1480</v>
      </c>
      <c r="O250" s="538" t="b">
        <v>0</v>
      </c>
      <c r="P250" s="538" t="b">
        <v>0</v>
      </c>
      <c r="Q250" s="538" t="s">
        <v>79</v>
      </c>
      <c r="R250" s="538" t="s">
        <v>398</v>
      </c>
      <c r="S250" s="538" t="s">
        <v>79</v>
      </c>
      <c r="T250" s="538" t="s">
        <v>398</v>
      </c>
      <c r="U250" s="538" t="s">
        <v>79</v>
      </c>
      <c r="V250" s="538" t="s">
        <v>398</v>
      </c>
      <c r="W250" s="538" t="s">
        <v>79</v>
      </c>
      <c r="X250" s="538" t="s">
        <v>398</v>
      </c>
      <c r="Y250" s="538" t="s">
        <v>79</v>
      </c>
      <c r="Z250" s="538" t="s">
        <v>398</v>
      </c>
      <c r="AA250" s="538" t="s">
        <v>79</v>
      </c>
      <c r="AB250" s="538" t="s">
        <v>398</v>
      </c>
      <c r="AC250" s="538" t="s">
        <v>79</v>
      </c>
      <c r="AD250" s="538" t="s">
        <v>398</v>
      </c>
      <c r="AE250" s="538" t="s">
        <v>79</v>
      </c>
      <c r="AF250" s="538" t="s">
        <v>398</v>
      </c>
      <c r="AG250" s="538" t="s">
        <v>79</v>
      </c>
      <c r="AH250" s="538" t="s">
        <v>398</v>
      </c>
      <c r="AI250" s="538" t="s">
        <v>79</v>
      </c>
      <c r="AJ250" s="538" t="s">
        <v>398</v>
      </c>
      <c r="AK250" s="538" t="s">
        <v>79</v>
      </c>
      <c r="AL250" s="538" t="s">
        <v>398</v>
      </c>
      <c r="AM250" s="538" t="s">
        <v>79</v>
      </c>
      <c r="AN250" s="538" t="s">
        <v>398</v>
      </c>
      <c r="AO250" s="538" t="s">
        <v>79</v>
      </c>
      <c r="AP250" s="538" t="s">
        <v>398</v>
      </c>
      <c r="AQ250" s="538" t="s">
        <v>73</v>
      </c>
      <c r="AS250" s="538">
        <v>8.95293227E8</v>
      </c>
      <c r="AT250" s="538">
        <v>3.579242146E9</v>
      </c>
      <c r="AU250" s="538">
        <v>155.0</v>
      </c>
      <c r="AV250" s="538" t="s">
        <v>46</v>
      </c>
      <c r="AZ250" s="538">
        <v>1.0</v>
      </c>
      <c r="BA250" s="538">
        <v>1.0</v>
      </c>
      <c r="BB250" s="538">
        <v>1.0</v>
      </c>
      <c r="BE250" s="538">
        <v>4.0</v>
      </c>
      <c r="BF250" s="538">
        <v>2.0</v>
      </c>
      <c r="BG250" s="538">
        <v>3.0</v>
      </c>
      <c r="BJ250" s="546"/>
      <c r="BL250" s="546"/>
    </row>
    <row r="251" ht="22.5" customHeight="1">
      <c r="A251" s="538">
        <v>250.0</v>
      </c>
      <c r="B251" s="538" t="s">
        <v>1477</v>
      </c>
      <c r="C251" s="538" t="s">
        <v>82</v>
      </c>
      <c r="D251" s="538" t="s">
        <v>1440</v>
      </c>
      <c r="E251" s="538" t="s">
        <v>358</v>
      </c>
      <c r="G251" s="538" t="s">
        <v>151</v>
      </c>
      <c r="H251" s="538" t="s">
        <v>250</v>
      </c>
      <c r="I251" s="538" t="s">
        <v>122</v>
      </c>
      <c r="K251" s="538" t="s">
        <v>1481</v>
      </c>
      <c r="L251" s="538" t="s">
        <v>1482</v>
      </c>
      <c r="M251" s="538" t="s">
        <v>673</v>
      </c>
      <c r="N251" s="538" t="s">
        <v>866</v>
      </c>
      <c r="O251" s="538" t="b">
        <v>0</v>
      </c>
      <c r="P251" s="538" t="b">
        <v>1</v>
      </c>
      <c r="Q251" s="538" t="s">
        <v>79</v>
      </c>
      <c r="R251" s="538" t="s">
        <v>358</v>
      </c>
      <c r="S251" s="538" t="s">
        <v>79</v>
      </c>
      <c r="T251" s="538" t="s">
        <v>358</v>
      </c>
      <c r="U251" s="538" t="s">
        <v>79</v>
      </c>
      <c r="V251" s="538" t="s">
        <v>358</v>
      </c>
      <c r="W251" s="538" t="s">
        <v>79</v>
      </c>
      <c r="X251" s="538" t="s">
        <v>358</v>
      </c>
      <c r="Y251" s="538" t="s">
        <v>79</v>
      </c>
      <c r="Z251" s="538" t="s">
        <v>358</v>
      </c>
      <c r="AA251" s="538" t="s">
        <v>79</v>
      </c>
      <c r="AB251" s="538" t="s">
        <v>358</v>
      </c>
      <c r="AC251" s="538" t="s">
        <v>79</v>
      </c>
      <c r="AD251" s="538" t="s">
        <v>358</v>
      </c>
      <c r="AE251" s="538" t="s">
        <v>79</v>
      </c>
      <c r="AF251" s="538" t="s">
        <v>358</v>
      </c>
      <c r="AG251" s="538" t="s">
        <v>79</v>
      </c>
      <c r="AH251" s="538" t="s">
        <v>358</v>
      </c>
      <c r="AI251" s="538" t="s">
        <v>79</v>
      </c>
      <c r="AJ251" s="538" t="s">
        <v>358</v>
      </c>
      <c r="AK251" s="538" t="s">
        <v>79</v>
      </c>
      <c r="AL251" s="538" t="s">
        <v>358</v>
      </c>
      <c r="AM251" s="538" t="s">
        <v>79</v>
      </c>
      <c r="AN251" s="538" t="s">
        <v>358</v>
      </c>
      <c r="AO251" s="538" t="s">
        <v>79</v>
      </c>
      <c r="AP251" s="538" t="s">
        <v>358</v>
      </c>
      <c r="AQ251" s="538" t="s">
        <v>73</v>
      </c>
      <c r="AS251" s="538">
        <v>1.072929447E9</v>
      </c>
      <c r="AT251" s="538">
        <v>3.579242146E9</v>
      </c>
      <c r="AU251" s="538">
        <v>155.0</v>
      </c>
      <c r="AV251" s="538" t="s">
        <v>46</v>
      </c>
      <c r="AZ251" s="538">
        <v>1.0</v>
      </c>
      <c r="BA251" s="538">
        <v>1.0</v>
      </c>
      <c r="BB251" s="538">
        <v>1.0</v>
      </c>
      <c r="BC251" s="538">
        <v>1.0</v>
      </c>
      <c r="BD251" s="538">
        <v>1.0</v>
      </c>
      <c r="BE251" s="538">
        <v>0.1</v>
      </c>
      <c r="BF251" s="538">
        <v>0.2</v>
      </c>
      <c r="BG251" s="538">
        <v>0.3</v>
      </c>
      <c r="BH251" s="538">
        <v>0.4</v>
      </c>
      <c r="BI251" s="538">
        <v>0.5</v>
      </c>
      <c r="BJ251" s="546"/>
      <c r="BL251" s="546"/>
    </row>
    <row r="252" ht="22.5" customHeight="1">
      <c r="A252" s="538">
        <v>251.0</v>
      </c>
      <c r="B252" s="538" t="s">
        <v>1483</v>
      </c>
      <c r="C252" s="538" t="s">
        <v>84</v>
      </c>
      <c r="D252" s="538" t="s">
        <v>1440</v>
      </c>
      <c r="E252" s="538" t="s">
        <v>319</v>
      </c>
      <c r="F252" s="538" t="s">
        <v>309</v>
      </c>
      <c r="G252" s="538" t="s">
        <v>151</v>
      </c>
      <c r="H252" s="538" t="s">
        <v>250</v>
      </c>
      <c r="I252" s="538" t="s">
        <v>155</v>
      </c>
      <c r="K252" s="538" t="s">
        <v>1484</v>
      </c>
      <c r="L252" s="538" t="s">
        <v>1485</v>
      </c>
      <c r="M252" s="538" t="s">
        <v>661</v>
      </c>
      <c r="N252" s="538" t="s">
        <v>1486</v>
      </c>
      <c r="O252" s="538" t="b">
        <v>0</v>
      </c>
      <c r="P252" s="538" t="b">
        <v>0</v>
      </c>
      <c r="Q252" s="538" t="s">
        <v>79</v>
      </c>
      <c r="R252" s="538" t="s">
        <v>319</v>
      </c>
      <c r="S252" s="538" t="s">
        <v>79</v>
      </c>
      <c r="T252" s="538" t="s">
        <v>319</v>
      </c>
      <c r="U252" s="538" t="s">
        <v>79</v>
      </c>
      <c r="V252" s="538" t="s">
        <v>319</v>
      </c>
      <c r="W252" s="538" t="s">
        <v>79</v>
      </c>
      <c r="X252" s="538" t="s">
        <v>319</v>
      </c>
      <c r="Y252" s="538" t="s">
        <v>79</v>
      </c>
      <c r="Z252" s="538" t="s">
        <v>319</v>
      </c>
      <c r="AA252" s="538" t="s">
        <v>79</v>
      </c>
      <c r="AB252" s="538" t="s">
        <v>319</v>
      </c>
      <c r="AC252" s="538" t="s">
        <v>79</v>
      </c>
      <c r="AD252" s="538" t="s">
        <v>319</v>
      </c>
      <c r="AE252" s="538" t="s">
        <v>79</v>
      </c>
      <c r="AF252" s="538" t="s">
        <v>319</v>
      </c>
      <c r="AG252" s="538" t="s">
        <v>79</v>
      </c>
      <c r="AH252" s="538" t="s">
        <v>319</v>
      </c>
      <c r="AI252" s="538" t="s">
        <v>79</v>
      </c>
      <c r="AJ252" s="538" t="s">
        <v>319</v>
      </c>
      <c r="AK252" s="538" t="s">
        <v>79</v>
      </c>
      <c r="AL252" s="538" t="s">
        <v>319</v>
      </c>
      <c r="AM252" s="538" t="s">
        <v>79</v>
      </c>
      <c r="AN252" s="538" t="s">
        <v>319</v>
      </c>
      <c r="AO252" s="538" t="s">
        <v>79</v>
      </c>
      <c r="AP252" s="538" t="s">
        <v>319</v>
      </c>
      <c r="AQ252" s="538" t="s">
        <v>73</v>
      </c>
      <c r="AS252" s="538">
        <v>1.058182319E9</v>
      </c>
      <c r="AT252" s="538">
        <v>3.382562951E9</v>
      </c>
      <c r="AU252" s="538">
        <v>156.0</v>
      </c>
      <c r="AV252" s="538" t="s">
        <v>46</v>
      </c>
      <c r="AZ252" s="538">
        <v>1.0</v>
      </c>
      <c r="BA252" s="538">
        <v>1.0</v>
      </c>
      <c r="BB252" s="538">
        <v>1.0</v>
      </c>
      <c r="BE252" s="538">
        <v>10.0</v>
      </c>
      <c r="BF252" s="538">
        <v>5.0</v>
      </c>
      <c r="BG252" s="538">
        <v>10.0</v>
      </c>
      <c r="BJ252" s="546"/>
      <c r="BL252" s="546"/>
    </row>
    <row r="253" ht="22.5" customHeight="1">
      <c r="A253" s="538">
        <v>252.0</v>
      </c>
      <c r="B253" s="538" t="s">
        <v>1483</v>
      </c>
      <c r="C253" s="538" t="s">
        <v>82</v>
      </c>
      <c r="D253" s="538" t="s">
        <v>1440</v>
      </c>
      <c r="E253" s="538" t="s">
        <v>218</v>
      </c>
      <c r="F253" s="538" t="s">
        <v>1487</v>
      </c>
      <c r="G253" s="538" t="s">
        <v>163</v>
      </c>
      <c r="H253" s="538" t="s">
        <v>222</v>
      </c>
      <c r="I253" s="538" t="s">
        <v>189</v>
      </c>
      <c r="J253" s="538" t="s">
        <v>211</v>
      </c>
      <c r="K253" s="538" t="s">
        <v>1488</v>
      </c>
      <c r="L253" s="538" t="s">
        <v>1489</v>
      </c>
      <c r="M253" s="538" t="s">
        <v>673</v>
      </c>
      <c r="N253" s="538" t="s">
        <v>1490</v>
      </c>
      <c r="O253" s="538" t="b">
        <v>0</v>
      </c>
      <c r="P253" s="538" t="b">
        <v>1</v>
      </c>
      <c r="Q253" s="538" t="s">
        <v>75</v>
      </c>
      <c r="R253" s="538" t="s">
        <v>1491</v>
      </c>
      <c r="S253" s="538" t="s">
        <v>79</v>
      </c>
      <c r="T253" s="538" t="s">
        <v>149</v>
      </c>
      <c r="U253" s="538" t="s">
        <v>79</v>
      </c>
      <c r="V253" s="538" t="s">
        <v>1487</v>
      </c>
      <c r="W253" s="538" t="s">
        <v>79</v>
      </c>
      <c r="X253" s="538" t="s">
        <v>1487</v>
      </c>
      <c r="Y253" s="538" t="s">
        <v>79</v>
      </c>
      <c r="Z253" s="538" t="s">
        <v>1487</v>
      </c>
      <c r="AA253" s="538" t="s">
        <v>79</v>
      </c>
      <c r="AB253" s="538" t="s">
        <v>1487</v>
      </c>
      <c r="AC253" s="538" t="s">
        <v>79</v>
      </c>
      <c r="AD253" s="538" t="s">
        <v>1487</v>
      </c>
      <c r="AE253" s="538" t="s">
        <v>79</v>
      </c>
      <c r="AF253" s="538" t="s">
        <v>1487</v>
      </c>
      <c r="AG253" s="538" t="s">
        <v>79</v>
      </c>
      <c r="AH253" s="538" t="s">
        <v>1487</v>
      </c>
      <c r="AI253" s="538" t="s">
        <v>79</v>
      </c>
      <c r="AJ253" s="538" t="s">
        <v>1487</v>
      </c>
      <c r="AK253" s="538" t="s">
        <v>79</v>
      </c>
      <c r="AL253" s="538" t="s">
        <v>1487</v>
      </c>
      <c r="AM253" s="538" t="s">
        <v>79</v>
      </c>
      <c r="AN253" s="538" t="s">
        <v>1487</v>
      </c>
      <c r="AO253" s="538" t="s">
        <v>79</v>
      </c>
      <c r="AP253" s="538" t="s">
        <v>218</v>
      </c>
      <c r="AQ253" s="538" t="s">
        <v>79</v>
      </c>
      <c r="AR253" s="538" t="s">
        <v>218</v>
      </c>
      <c r="AS253" s="538">
        <v>3.1900316E9</v>
      </c>
      <c r="AT253" s="538">
        <v>3.382562951E9</v>
      </c>
      <c r="AU253" s="538">
        <v>156.0</v>
      </c>
      <c r="AV253" s="538" t="s">
        <v>46</v>
      </c>
      <c r="AY253" s="538" t="s">
        <v>1491</v>
      </c>
      <c r="AZ253" s="538">
        <v>1.0</v>
      </c>
      <c r="BA253" s="538">
        <v>1.0</v>
      </c>
      <c r="BB253" s="538">
        <v>1.0</v>
      </c>
      <c r="BC253" s="538">
        <v>1.0</v>
      </c>
      <c r="BD253" s="538">
        <v>1.0</v>
      </c>
      <c r="BE253" s="538">
        <v>0.3</v>
      </c>
      <c r="BF253" s="538">
        <v>0.5</v>
      </c>
      <c r="BG253" s="538">
        <v>0.75</v>
      </c>
      <c r="BH253" s="538">
        <v>1.0</v>
      </c>
      <c r="BI253" s="538">
        <v>1.5</v>
      </c>
      <c r="BJ253" s="546"/>
      <c r="BK253" s="547"/>
      <c r="BL253" s="546"/>
    </row>
    <row r="254" ht="22.5" customHeight="1">
      <c r="A254" s="538">
        <v>253.0</v>
      </c>
      <c r="B254" s="538" t="s">
        <v>1492</v>
      </c>
      <c r="C254" s="538" t="s">
        <v>84</v>
      </c>
      <c r="D254" s="538" t="s">
        <v>1493</v>
      </c>
      <c r="E254" s="538" t="s">
        <v>340</v>
      </c>
      <c r="G254" s="538" t="s">
        <v>151</v>
      </c>
      <c r="H254" s="538" t="s">
        <v>235</v>
      </c>
      <c r="I254" s="538" t="s">
        <v>122</v>
      </c>
      <c r="K254" s="538" t="s">
        <v>1494</v>
      </c>
      <c r="L254" s="538" t="s">
        <v>1240</v>
      </c>
      <c r="M254" s="538" t="s">
        <v>661</v>
      </c>
      <c r="N254" s="538" t="s">
        <v>1241</v>
      </c>
      <c r="O254" s="538" t="b">
        <v>0</v>
      </c>
      <c r="P254" s="538" t="b">
        <v>1</v>
      </c>
      <c r="Q254" s="538" t="s">
        <v>73</v>
      </c>
      <c r="S254" s="538" t="s">
        <v>73</v>
      </c>
      <c r="U254" s="538" t="s">
        <v>73</v>
      </c>
      <c r="W254" s="538" t="s">
        <v>73</v>
      </c>
      <c r="Y254" s="538" t="s">
        <v>73</v>
      </c>
      <c r="AA254" s="538" t="s">
        <v>73</v>
      </c>
      <c r="AC254" s="538" t="s">
        <v>73</v>
      </c>
      <c r="AE254" s="538" t="s">
        <v>73</v>
      </c>
      <c r="AG254" s="538" t="s">
        <v>73</v>
      </c>
      <c r="AI254" s="538" t="s">
        <v>73</v>
      </c>
      <c r="AK254" s="538" t="s">
        <v>73</v>
      </c>
      <c r="AM254" s="538" t="s">
        <v>73</v>
      </c>
      <c r="AO254" s="538" t="s">
        <v>79</v>
      </c>
      <c r="AP254" s="538" t="s">
        <v>340</v>
      </c>
      <c r="AQ254" s="538" t="s">
        <v>79</v>
      </c>
      <c r="AR254" s="538" t="s">
        <v>340</v>
      </c>
      <c r="AS254" s="538">
        <v>8.34551032E8</v>
      </c>
      <c r="AT254" s="538">
        <v>1.84159747E9</v>
      </c>
      <c r="AU254" s="538">
        <v>160.0</v>
      </c>
      <c r="AV254" s="538" t="s">
        <v>41</v>
      </c>
      <c r="AZ254" s="538">
        <v>1.0</v>
      </c>
      <c r="BA254" s="538">
        <v>1.0</v>
      </c>
      <c r="BB254" s="538">
        <v>1.0</v>
      </c>
      <c r="BE254" s="538">
        <v>0.08</v>
      </c>
      <c r="BF254" s="538">
        <v>0.03</v>
      </c>
      <c r="BG254" s="538">
        <v>0.06</v>
      </c>
      <c r="BJ254" s="546"/>
      <c r="BL254" s="546"/>
    </row>
    <row r="255" ht="22.5" customHeight="1">
      <c r="A255" s="538">
        <v>254.0</v>
      </c>
      <c r="B255" s="538" t="s">
        <v>1492</v>
      </c>
      <c r="C255" s="538" t="s">
        <v>82</v>
      </c>
      <c r="D255" s="538" t="s">
        <v>1493</v>
      </c>
      <c r="E255" s="538" t="s">
        <v>218</v>
      </c>
      <c r="G255" s="538" t="s">
        <v>151</v>
      </c>
      <c r="H255" s="538" t="s">
        <v>250</v>
      </c>
      <c r="I255" s="538" t="s">
        <v>122</v>
      </c>
      <c r="K255" s="538" t="s">
        <v>1495</v>
      </c>
      <c r="L255" s="538" t="s">
        <v>1100</v>
      </c>
      <c r="M255" s="538" t="s">
        <v>673</v>
      </c>
      <c r="N255" s="538" t="s">
        <v>1243</v>
      </c>
      <c r="O255" s="538" t="b">
        <v>0</v>
      </c>
      <c r="P255" s="538" t="b">
        <v>1</v>
      </c>
      <c r="Q255" s="538" t="s">
        <v>73</v>
      </c>
      <c r="S255" s="538" t="s">
        <v>73</v>
      </c>
      <c r="U255" s="538" t="s">
        <v>73</v>
      </c>
      <c r="W255" s="538" t="s">
        <v>73</v>
      </c>
      <c r="Y255" s="538" t="s">
        <v>73</v>
      </c>
      <c r="AA255" s="538" t="s">
        <v>73</v>
      </c>
      <c r="AC255" s="538" t="s">
        <v>73</v>
      </c>
      <c r="AE255" s="538" t="s">
        <v>73</v>
      </c>
      <c r="AG255" s="538" t="s">
        <v>73</v>
      </c>
      <c r="AI255" s="538" t="s">
        <v>73</v>
      </c>
      <c r="AK255" s="538" t="s">
        <v>73</v>
      </c>
      <c r="AM255" s="538" t="s">
        <v>73</v>
      </c>
      <c r="AO255" s="538" t="s">
        <v>79</v>
      </c>
      <c r="AP255" s="538" t="s">
        <v>218</v>
      </c>
      <c r="AQ255" s="538" t="s">
        <v>79</v>
      </c>
      <c r="AR255" s="538" t="s">
        <v>218</v>
      </c>
      <c r="AS255" s="538">
        <v>8.024964E7</v>
      </c>
      <c r="AT255" s="538">
        <v>1.84159747E9</v>
      </c>
      <c r="AU255" s="538">
        <v>160.0</v>
      </c>
      <c r="AV255" s="538" t="s">
        <v>41</v>
      </c>
      <c r="AZ255" s="538">
        <v>1.0</v>
      </c>
      <c r="BA255" s="538">
        <v>1.0</v>
      </c>
      <c r="BB255" s="538">
        <v>1.0</v>
      </c>
      <c r="BC255" s="538">
        <v>1.0</v>
      </c>
      <c r="BD255" s="538">
        <v>1.0</v>
      </c>
      <c r="BE255" s="538">
        <v>0.05</v>
      </c>
      <c r="BF255" s="538">
        <v>0.08</v>
      </c>
      <c r="BG255" s="538">
        <v>0.12</v>
      </c>
      <c r="BH255" s="538">
        <v>0.15</v>
      </c>
      <c r="BI255" s="538">
        <v>0.2</v>
      </c>
      <c r="BJ255" s="546"/>
      <c r="BL255" s="546"/>
    </row>
    <row r="256" ht="22.5" customHeight="1">
      <c r="A256" s="538">
        <v>255.0</v>
      </c>
      <c r="B256" s="538" t="s">
        <v>1496</v>
      </c>
      <c r="C256" s="538" t="s">
        <v>84</v>
      </c>
      <c r="D256" s="538" t="s">
        <v>1493</v>
      </c>
      <c r="E256" s="538" t="s">
        <v>218</v>
      </c>
      <c r="G256" s="538" t="s">
        <v>151</v>
      </c>
      <c r="H256" s="538" t="s">
        <v>250</v>
      </c>
      <c r="I256" s="538" t="s">
        <v>122</v>
      </c>
      <c r="K256" s="538" t="s">
        <v>1497</v>
      </c>
      <c r="L256" s="538" t="s">
        <v>1246</v>
      </c>
      <c r="M256" s="538" t="s">
        <v>661</v>
      </c>
      <c r="N256" s="538" t="s">
        <v>767</v>
      </c>
      <c r="O256" s="538" t="b">
        <v>0</v>
      </c>
      <c r="P256" s="538" t="b">
        <v>1</v>
      </c>
      <c r="Q256" s="538" t="s">
        <v>73</v>
      </c>
      <c r="S256" s="538" t="s">
        <v>73</v>
      </c>
      <c r="U256" s="538" t="s">
        <v>73</v>
      </c>
      <c r="W256" s="538" t="s">
        <v>73</v>
      </c>
      <c r="Y256" s="538" t="s">
        <v>73</v>
      </c>
      <c r="AA256" s="538" t="s">
        <v>73</v>
      </c>
      <c r="AC256" s="538" t="s">
        <v>73</v>
      </c>
      <c r="AE256" s="538" t="s">
        <v>73</v>
      </c>
      <c r="AG256" s="538" t="s">
        <v>73</v>
      </c>
      <c r="AI256" s="538" t="s">
        <v>73</v>
      </c>
      <c r="AK256" s="538" t="s">
        <v>73</v>
      </c>
      <c r="AM256" s="538" t="s">
        <v>73</v>
      </c>
      <c r="AO256" s="538" t="s">
        <v>79</v>
      </c>
      <c r="AP256" s="538" t="s">
        <v>218</v>
      </c>
      <c r="AQ256" s="538" t="s">
        <v>79</v>
      </c>
      <c r="AR256" s="538" t="s">
        <v>218</v>
      </c>
      <c r="AS256" s="538">
        <v>7.15015459E8</v>
      </c>
      <c r="AT256" s="538">
        <v>3.217575459E9</v>
      </c>
      <c r="AU256" s="538">
        <v>162.0</v>
      </c>
      <c r="AV256" s="538" t="s">
        <v>41</v>
      </c>
      <c r="AZ256" s="538">
        <v>1.0</v>
      </c>
      <c r="BA256" s="538">
        <v>1.0</v>
      </c>
      <c r="BB256" s="538">
        <v>1.0</v>
      </c>
      <c r="BE256" s="538">
        <v>0.05</v>
      </c>
      <c r="BF256" s="538">
        <v>0.02</v>
      </c>
      <c r="BG256" s="538">
        <v>0.05</v>
      </c>
      <c r="BJ256" s="546"/>
      <c r="BL256" s="546"/>
    </row>
    <row r="257" ht="22.5" customHeight="1">
      <c r="A257" s="538">
        <v>256.0</v>
      </c>
      <c r="B257" s="538" t="s">
        <v>1496</v>
      </c>
      <c r="C257" s="538" t="s">
        <v>82</v>
      </c>
      <c r="D257" s="538" t="s">
        <v>1493</v>
      </c>
      <c r="E257" s="538" t="s">
        <v>223</v>
      </c>
      <c r="G257" s="538" t="s">
        <v>151</v>
      </c>
      <c r="H257" s="538" t="s">
        <v>250</v>
      </c>
      <c r="I257" s="538" t="s">
        <v>122</v>
      </c>
      <c r="K257" s="538" t="s">
        <v>1498</v>
      </c>
      <c r="L257" s="538" t="s">
        <v>1248</v>
      </c>
      <c r="M257" s="538" t="s">
        <v>673</v>
      </c>
      <c r="N257" s="538" t="s">
        <v>1243</v>
      </c>
      <c r="O257" s="538" t="b">
        <v>0</v>
      </c>
      <c r="P257" s="538" t="b">
        <v>1</v>
      </c>
      <c r="Q257" s="538" t="s">
        <v>73</v>
      </c>
      <c r="S257" s="538" t="s">
        <v>73</v>
      </c>
      <c r="U257" s="538" t="s">
        <v>73</v>
      </c>
      <c r="W257" s="538" t="s">
        <v>73</v>
      </c>
      <c r="Y257" s="538" t="s">
        <v>73</v>
      </c>
      <c r="AA257" s="538" t="s">
        <v>73</v>
      </c>
      <c r="AC257" s="538" t="s">
        <v>73</v>
      </c>
      <c r="AE257" s="538" t="s">
        <v>73</v>
      </c>
      <c r="AG257" s="538" t="s">
        <v>73</v>
      </c>
      <c r="AI257" s="538" t="s">
        <v>73</v>
      </c>
      <c r="AK257" s="538" t="s">
        <v>73</v>
      </c>
      <c r="AM257" s="538" t="s">
        <v>73</v>
      </c>
      <c r="AO257" s="538" t="s">
        <v>79</v>
      </c>
      <c r="AP257" s="538" t="s">
        <v>223</v>
      </c>
      <c r="AQ257" s="538" t="s">
        <v>79</v>
      </c>
      <c r="AR257" s="538" t="s">
        <v>223</v>
      </c>
      <c r="AS257" s="538">
        <v>8.70791323E8</v>
      </c>
      <c r="AT257" s="538">
        <v>3.217575459E9</v>
      </c>
      <c r="AU257" s="538">
        <v>162.0</v>
      </c>
      <c r="AV257" s="538" t="s">
        <v>41</v>
      </c>
      <c r="AZ257" s="538">
        <v>1.0</v>
      </c>
      <c r="BA257" s="538">
        <v>1.0</v>
      </c>
      <c r="BB257" s="538">
        <v>1.0</v>
      </c>
      <c r="BC257" s="538">
        <v>1.0</v>
      </c>
      <c r="BD257" s="538">
        <v>1.0</v>
      </c>
      <c r="BE257" s="538">
        <v>0.05</v>
      </c>
      <c r="BF257" s="538">
        <v>0.08</v>
      </c>
      <c r="BG257" s="538">
        <v>0.12</v>
      </c>
      <c r="BH257" s="538">
        <v>0.15</v>
      </c>
      <c r="BI257" s="538">
        <v>0.2</v>
      </c>
      <c r="BJ257" s="546"/>
      <c r="BL257" s="546"/>
    </row>
    <row r="258" ht="22.5" customHeight="1">
      <c r="A258" s="538">
        <v>257.0</v>
      </c>
      <c r="B258" s="538" t="s">
        <v>1499</v>
      </c>
      <c r="C258" s="538" t="s">
        <v>84</v>
      </c>
      <c r="D258" s="538" t="s">
        <v>1493</v>
      </c>
      <c r="E258" s="538" t="s">
        <v>349</v>
      </c>
      <c r="G258" s="538" t="s">
        <v>151</v>
      </c>
      <c r="H258" s="538" t="s">
        <v>235</v>
      </c>
      <c r="I258" s="538" t="s">
        <v>122</v>
      </c>
      <c r="K258" s="538" t="s">
        <v>1500</v>
      </c>
      <c r="L258" s="538" t="s">
        <v>1251</v>
      </c>
      <c r="M258" s="538" t="s">
        <v>661</v>
      </c>
      <c r="N258" s="538" t="s">
        <v>685</v>
      </c>
      <c r="O258" s="538" t="b">
        <v>0</v>
      </c>
      <c r="P258" s="538" t="b">
        <v>1</v>
      </c>
      <c r="Q258" s="538" t="s">
        <v>73</v>
      </c>
      <c r="S258" s="538" t="s">
        <v>73</v>
      </c>
      <c r="U258" s="538" t="s">
        <v>73</v>
      </c>
      <c r="W258" s="538" t="s">
        <v>73</v>
      </c>
      <c r="Y258" s="538" t="s">
        <v>73</v>
      </c>
      <c r="AA258" s="538" t="s">
        <v>73</v>
      </c>
      <c r="AC258" s="538" t="s">
        <v>73</v>
      </c>
      <c r="AE258" s="538" t="s">
        <v>73</v>
      </c>
      <c r="AG258" s="538" t="s">
        <v>73</v>
      </c>
      <c r="AI258" s="538" t="s">
        <v>73</v>
      </c>
      <c r="AK258" s="538" t="s">
        <v>73</v>
      </c>
      <c r="AM258" s="538" t="s">
        <v>73</v>
      </c>
      <c r="AO258" s="538" t="s">
        <v>79</v>
      </c>
      <c r="AP258" s="538" t="s">
        <v>349</v>
      </c>
      <c r="AQ258" s="538" t="s">
        <v>79</v>
      </c>
      <c r="AR258" s="538" t="s">
        <v>349</v>
      </c>
      <c r="AS258" s="538">
        <v>3.365829083E9</v>
      </c>
      <c r="AT258" s="538">
        <v>1.485791413E9</v>
      </c>
      <c r="AU258" s="538">
        <v>163.0</v>
      </c>
      <c r="AV258" s="538" t="s">
        <v>41</v>
      </c>
      <c r="AZ258" s="538">
        <v>1.0</v>
      </c>
      <c r="BA258" s="538">
        <v>1.0</v>
      </c>
      <c r="BB258" s="538">
        <v>1.0</v>
      </c>
      <c r="BE258" s="538">
        <v>0.1</v>
      </c>
      <c r="BF258" s="538">
        <v>0.05</v>
      </c>
      <c r="BG258" s="538">
        <v>0.1</v>
      </c>
      <c r="BJ258" s="546"/>
      <c r="BL258" s="546"/>
    </row>
    <row r="259" ht="22.5" customHeight="1">
      <c r="A259" s="538">
        <v>258.0</v>
      </c>
      <c r="B259" s="538" t="s">
        <v>1499</v>
      </c>
      <c r="C259" s="538" t="s">
        <v>82</v>
      </c>
      <c r="D259" s="538" t="s">
        <v>1493</v>
      </c>
      <c r="E259" s="538" t="s">
        <v>289</v>
      </c>
      <c r="G259" s="538" t="s">
        <v>163</v>
      </c>
      <c r="H259" s="538" t="s">
        <v>240</v>
      </c>
      <c r="I259" s="538" t="s">
        <v>122</v>
      </c>
      <c r="K259" s="538" t="s">
        <v>1501</v>
      </c>
      <c r="L259" s="538" t="s">
        <v>1253</v>
      </c>
      <c r="M259" s="538" t="s">
        <v>673</v>
      </c>
      <c r="N259" s="538" t="s">
        <v>1254</v>
      </c>
      <c r="O259" s="538" t="b">
        <v>0</v>
      </c>
      <c r="P259" s="538" t="b">
        <v>1</v>
      </c>
      <c r="Q259" s="538" t="s">
        <v>73</v>
      </c>
      <c r="S259" s="538" t="s">
        <v>73</v>
      </c>
      <c r="U259" s="538" t="s">
        <v>73</v>
      </c>
      <c r="W259" s="538" t="s">
        <v>73</v>
      </c>
      <c r="Y259" s="538" t="s">
        <v>73</v>
      </c>
      <c r="AA259" s="538" t="s">
        <v>73</v>
      </c>
      <c r="AC259" s="538" t="s">
        <v>73</v>
      </c>
      <c r="AE259" s="538" t="s">
        <v>73</v>
      </c>
      <c r="AG259" s="538" t="s">
        <v>73</v>
      </c>
      <c r="AI259" s="538" t="s">
        <v>73</v>
      </c>
      <c r="AK259" s="538" t="s">
        <v>73</v>
      </c>
      <c r="AM259" s="538" t="s">
        <v>73</v>
      </c>
      <c r="AO259" s="538" t="s">
        <v>79</v>
      </c>
      <c r="AP259" s="538" t="s">
        <v>289</v>
      </c>
      <c r="AQ259" s="538" t="s">
        <v>79</v>
      </c>
      <c r="AR259" s="538" t="s">
        <v>289</v>
      </c>
      <c r="AS259" s="538">
        <v>9.72047904E8</v>
      </c>
      <c r="AT259" s="538">
        <v>1.485791413E9</v>
      </c>
      <c r="AU259" s="538">
        <v>163.0</v>
      </c>
      <c r="AV259" s="538" t="s">
        <v>41</v>
      </c>
      <c r="AZ259" s="538">
        <v>1.0</v>
      </c>
      <c r="BA259" s="538">
        <v>1.0</v>
      </c>
      <c r="BB259" s="538">
        <v>1.0</v>
      </c>
      <c r="BC259" s="538">
        <v>1.0</v>
      </c>
      <c r="BD259" s="538">
        <v>1.0</v>
      </c>
      <c r="BE259" s="538">
        <v>0.04</v>
      </c>
      <c r="BF259" s="538">
        <v>0.06</v>
      </c>
      <c r="BG259" s="538">
        <v>0.08</v>
      </c>
      <c r="BH259" s="538">
        <v>0.1</v>
      </c>
      <c r="BI259" s="538">
        <v>0.12</v>
      </c>
      <c r="BJ259" s="546"/>
      <c r="BL259" s="546"/>
    </row>
    <row r="260" ht="22.5" customHeight="1">
      <c r="A260" s="538">
        <v>259.0</v>
      </c>
      <c r="B260" s="538" t="s">
        <v>1502</v>
      </c>
      <c r="C260" s="538" t="s">
        <v>84</v>
      </c>
      <c r="D260" s="538" t="s">
        <v>1493</v>
      </c>
      <c r="E260" s="538" t="s">
        <v>218</v>
      </c>
      <c r="F260" s="538" t="s">
        <v>1041</v>
      </c>
      <c r="G260" s="538" t="s">
        <v>163</v>
      </c>
      <c r="H260" s="538" t="s">
        <v>222</v>
      </c>
      <c r="I260" s="538" t="s">
        <v>189</v>
      </c>
      <c r="K260" s="538" t="s">
        <v>1503</v>
      </c>
      <c r="L260" s="538" t="s">
        <v>1263</v>
      </c>
      <c r="M260" s="538" t="s">
        <v>661</v>
      </c>
      <c r="N260" s="538" t="s">
        <v>785</v>
      </c>
      <c r="O260" s="538" t="b">
        <v>0</v>
      </c>
      <c r="P260" s="538" t="b">
        <v>1</v>
      </c>
      <c r="Q260" s="538" t="s">
        <v>73</v>
      </c>
      <c r="S260" s="538" t="s">
        <v>73</v>
      </c>
      <c r="U260" s="538" t="s">
        <v>73</v>
      </c>
      <c r="W260" s="538" t="s">
        <v>73</v>
      </c>
      <c r="Y260" s="538" t="s">
        <v>73</v>
      </c>
      <c r="AA260" s="538" t="s">
        <v>73</v>
      </c>
      <c r="AC260" s="538" t="s">
        <v>79</v>
      </c>
      <c r="AD260" s="538" t="s">
        <v>377</v>
      </c>
      <c r="AE260" s="538" t="s">
        <v>79</v>
      </c>
      <c r="AF260" s="538" t="s">
        <v>377</v>
      </c>
      <c r="AG260" s="538" t="s">
        <v>79</v>
      </c>
      <c r="AH260" s="538" t="s">
        <v>380</v>
      </c>
      <c r="AI260" s="538" t="s">
        <v>79</v>
      </c>
      <c r="AJ260" s="538" t="s">
        <v>377</v>
      </c>
      <c r="AK260" s="538" t="s">
        <v>73</v>
      </c>
      <c r="AM260" s="538" t="s">
        <v>73</v>
      </c>
      <c r="AO260" s="538" t="s">
        <v>79</v>
      </c>
      <c r="AP260" s="538" t="s">
        <v>218</v>
      </c>
      <c r="AQ260" s="538" t="s">
        <v>79</v>
      </c>
      <c r="AR260" s="538" t="s">
        <v>218</v>
      </c>
      <c r="AS260" s="538">
        <v>1.462377933E9</v>
      </c>
      <c r="AT260" s="538">
        <v>3.968109489E9</v>
      </c>
      <c r="AU260" s="538">
        <v>164.0</v>
      </c>
      <c r="AV260" s="538" t="s">
        <v>41</v>
      </c>
      <c r="AZ260" s="538">
        <v>1.0</v>
      </c>
      <c r="BA260" s="538">
        <v>1.0</v>
      </c>
      <c r="BB260" s="538">
        <v>1.0</v>
      </c>
      <c r="BE260" s="538">
        <v>0.1</v>
      </c>
      <c r="BF260" s="538">
        <v>0.02</v>
      </c>
      <c r="BG260" s="538">
        <v>0.05</v>
      </c>
      <c r="BJ260" s="546"/>
      <c r="BL260" s="546"/>
    </row>
    <row r="261" ht="22.5" customHeight="1">
      <c r="A261" s="538">
        <v>260.0</v>
      </c>
      <c r="B261" s="538" t="s">
        <v>1502</v>
      </c>
      <c r="C261" s="538" t="s">
        <v>82</v>
      </c>
      <c r="D261" s="538" t="s">
        <v>1493</v>
      </c>
      <c r="E261" s="538" t="s">
        <v>363</v>
      </c>
      <c r="G261" s="538" t="s">
        <v>151</v>
      </c>
      <c r="H261" s="538" t="s">
        <v>250</v>
      </c>
      <c r="I261" s="538" t="s">
        <v>122</v>
      </c>
      <c r="K261" s="538" t="s">
        <v>1504</v>
      </c>
      <c r="L261" s="538" t="s">
        <v>1265</v>
      </c>
      <c r="M261" s="538" t="s">
        <v>673</v>
      </c>
      <c r="N261" s="538" t="s">
        <v>1266</v>
      </c>
      <c r="O261" s="538" t="b">
        <v>0</v>
      </c>
      <c r="P261" s="538" t="b">
        <v>1</v>
      </c>
      <c r="Q261" s="538" t="s">
        <v>73</v>
      </c>
      <c r="S261" s="538" t="s">
        <v>73</v>
      </c>
      <c r="U261" s="538" t="s">
        <v>73</v>
      </c>
      <c r="W261" s="538" t="s">
        <v>73</v>
      </c>
      <c r="Y261" s="538" t="s">
        <v>73</v>
      </c>
      <c r="AA261" s="538" t="s">
        <v>73</v>
      </c>
      <c r="AC261" s="538" t="s">
        <v>73</v>
      </c>
      <c r="AE261" s="538" t="s">
        <v>73</v>
      </c>
      <c r="AG261" s="538" t="s">
        <v>73</v>
      </c>
      <c r="AI261" s="538" t="s">
        <v>73</v>
      </c>
      <c r="AK261" s="538" t="s">
        <v>73</v>
      </c>
      <c r="AM261" s="538" t="s">
        <v>73</v>
      </c>
      <c r="AO261" s="538" t="s">
        <v>79</v>
      </c>
      <c r="AP261" s="538" t="s">
        <v>363</v>
      </c>
      <c r="AQ261" s="538" t="s">
        <v>79</v>
      </c>
      <c r="AR261" s="538" t="s">
        <v>363</v>
      </c>
      <c r="AS261" s="538">
        <v>1.499701415E9</v>
      </c>
      <c r="AT261" s="538">
        <v>3.968109489E9</v>
      </c>
      <c r="AU261" s="538">
        <v>164.0</v>
      </c>
      <c r="AV261" s="538" t="s">
        <v>41</v>
      </c>
      <c r="AZ261" s="538">
        <v>1.0</v>
      </c>
      <c r="BA261" s="538">
        <v>1.0</v>
      </c>
      <c r="BB261" s="538">
        <v>1.0</v>
      </c>
      <c r="BC261" s="538">
        <v>1.0</v>
      </c>
      <c r="BD261" s="538">
        <v>1.0</v>
      </c>
      <c r="BE261" s="538">
        <v>0.05</v>
      </c>
      <c r="BF261" s="538">
        <v>0.07</v>
      </c>
      <c r="BG261" s="538">
        <v>0.09</v>
      </c>
      <c r="BH261" s="538">
        <v>0.11</v>
      </c>
      <c r="BI261" s="538">
        <v>0.14</v>
      </c>
      <c r="BJ261" s="546"/>
      <c r="BL261" s="546"/>
    </row>
    <row r="262" ht="22.5" customHeight="1">
      <c r="A262" s="538">
        <v>261.0</v>
      </c>
      <c r="B262" s="538" t="s">
        <v>1505</v>
      </c>
      <c r="C262" s="538" t="s">
        <v>84</v>
      </c>
      <c r="D262" s="538" t="s">
        <v>1493</v>
      </c>
      <c r="E262" s="538" t="s">
        <v>218</v>
      </c>
      <c r="G262" s="538" t="s">
        <v>163</v>
      </c>
      <c r="H262" s="538" t="s">
        <v>250</v>
      </c>
      <c r="I262" s="538" t="s">
        <v>122</v>
      </c>
      <c r="J262" s="538" t="s">
        <v>320</v>
      </c>
      <c r="K262" s="538" t="s">
        <v>1506</v>
      </c>
      <c r="L262" s="538" t="s">
        <v>1269</v>
      </c>
      <c r="M262" s="538" t="s">
        <v>661</v>
      </c>
      <c r="N262" s="538" t="s">
        <v>1270</v>
      </c>
      <c r="O262" s="538" t="b">
        <v>0</v>
      </c>
      <c r="P262" s="538" t="b">
        <v>1</v>
      </c>
      <c r="Q262" s="538" t="s">
        <v>73</v>
      </c>
      <c r="S262" s="538" t="s">
        <v>73</v>
      </c>
      <c r="U262" s="538" t="s">
        <v>73</v>
      </c>
      <c r="W262" s="538" t="s">
        <v>73</v>
      </c>
      <c r="Y262" s="538" t="s">
        <v>73</v>
      </c>
      <c r="AA262" s="538" t="s">
        <v>73</v>
      </c>
      <c r="AC262" s="538" t="s">
        <v>73</v>
      </c>
      <c r="AE262" s="538" t="s">
        <v>73</v>
      </c>
      <c r="AG262" s="538" t="s">
        <v>73</v>
      </c>
      <c r="AI262" s="538" t="s">
        <v>73</v>
      </c>
      <c r="AK262" s="538" t="s">
        <v>73</v>
      </c>
      <c r="AM262" s="538" t="s">
        <v>73</v>
      </c>
      <c r="AO262" s="538" t="s">
        <v>79</v>
      </c>
      <c r="AP262" s="538" t="s">
        <v>218</v>
      </c>
      <c r="AQ262" s="538" t="s">
        <v>79</v>
      </c>
      <c r="AR262" s="538" t="s">
        <v>218</v>
      </c>
      <c r="AS262" s="538">
        <v>7.35446036E8</v>
      </c>
      <c r="AT262" s="538">
        <v>6.31590783E8</v>
      </c>
      <c r="AU262" s="538">
        <v>161.0</v>
      </c>
      <c r="AV262" s="538" t="s">
        <v>41</v>
      </c>
      <c r="AZ262" s="538">
        <v>1.0</v>
      </c>
      <c r="BA262" s="538">
        <v>1.0</v>
      </c>
      <c r="BB262" s="538">
        <v>1.0</v>
      </c>
      <c r="BE262" s="538">
        <v>0.05</v>
      </c>
      <c r="BF262" s="538">
        <v>0.05</v>
      </c>
      <c r="BG262" s="538">
        <v>0.1</v>
      </c>
      <c r="BJ262" s="546"/>
      <c r="BL262" s="546"/>
    </row>
    <row r="263" ht="22.5" customHeight="1">
      <c r="A263" s="538">
        <v>262.0</v>
      </c>
      <c r="B263" s="538" t="s">
        <v>1505</v>
      </c>
      <c r="C263" s="538" t="s">
        <v>82</v>
      </c>
      <c r="D263" s="538" t="s">
        <v>1493</v>
      </c>
      <c r="E263" s="538" t="s">
        <v>343</v>
      </c>
      <c r="G263" s="538" t="s">
        <v>151</v>
      </c>
      <c r="H263" s="538" t="s">
        <v>235</v>
      </c>
      <c r="I263" s="538" t="s">
        <v>122</v>
      </c>
      <c r="K263" s="538" t="s">
        <v>1507</v>
      </c>
      <c r="L263" s="538" t="s">
        <v>1272</v>
      </c>
      <c r="M263" s="538" t="s">
        <v>673</v>
      </c>
      <c r="N263" s="538" t="s">
        <v>1273</v>
      </c>
      <c r="O263" s="538" t="b">
        <v>0</v>
      </c>
      <c r="P263" s="538" t="b">
        <v>1</v>
      </c>
      <c r="Q263" s="538" t="s">
        <v>73</v>
      </c>
      <c r="S263" s="538" t="s">
        <v>73</v>
      </c>
      <c r="U263" s="538" t="s">
        <v>73</v>
      </c>
      <c r="W263" s="538" t="s">
        <v>73</v>
      </c>
      <c r="Y263" s="538" t="s">
        <v>73</v>
      </c>
      <c r="AA263" s="538" t="s">
        <v>73</v>
      </c>
      <c r="AC263" s="538" t="s">
        <v>73</v>
      </c>
      <c r="AE263" s="538" t="s">
        <v>73</v>
      </c>
      <c r="AG263" s="538" t="s">
        <v>73</v>
      </c>
      <c r="AI263" s="538" t="s">
        <v>73</v>
      </c>
      <c r="AK263" s="538" t="s">
        <v>73</v>
      </c>
      <c r="AM263" s="538" t="s">
        <v>73</v>
      </c>
      <c r="AO263" s="538" t="s">
        <v>79</v>
      </c>
      <c r="AP263" s="538" t="s">
        <v>343</v>
      </c>
      <c r="AQ263" s="538" t="s">
        <v>79</v>
      </c>
      <c r="AR263" s="538" t="s">
        <v>343</v>
      </c>
      <c r="AS263" s="538">
        <v>1.603399419E9</v>
      </c>
      <c r="AT263" s="538">
        <v>6.31590783E8</v>
      </c>
      <c r="AU263" s="538">
        <v>161.0</v>
      </c>
      <c r="AV263" s="538" t="s">
        <v>41</v>
      </c>
      <c r="AZ263" s="538">
        <v>1.0</v>
      </c>
      <c r="BA263" s="538">
        <v>1.0</v>
      </c>
      <c r="BB263" s="538">
        <v>1.0</v>
      </c>
      <c r="BC263" s="538">
        <v>1.0</v>
      </c>
      <c r="BD263" s="538">
        <v>1.0</v>
      </c>
      <c r="BE263" s="538">
        <v>0.05</v>
      </c>
      <c r="BF263" s="538">
        <v>0.08</v>
      </c>
      <c r="BG263" s="538">
        <v>0.1</v>
      </c>
      <c r="BH263" s="538">
        <v>0.12</v>
      </c>
      <c r="BI263" s="538">
        <v>0.15</v>
      </c>
      <c r="BJ263" s="546"/>
      <c r="BL263" s="546"/>
    </row>
    <row r="264" ht="22.5" customHeight="1">
      <c r="A264" s="538">
        <v>263.0</v>
      </c>
      <c r="B264" s="538" t="s">
        <v>1508</v>
      </c>
      <c r="C264" s="538" t="s">
        <v>84</v>
      </c>
      <c r="D264" s="538" t="s">
        <v>1509</v>
      </c>
      <c r="E264" s="538" t="s">
        <v>292</v>
      </c>
      <c r="F264" s="538" t="s">
        <v>228</v>
      </c>
      <c r="G264" s="538" t="s">
        <v>163</v>
      </c>
      <c r="H264" s="538" t="s">
        <v>250</v>
      </c>
      <c r="I264" s="538" t="s">
        <v>155</v>
      </c>
      <c r="K264" s="538" t="s">
        <v>1510</v>
      </c>
      <c r="L264" s="538" t="s">
        <v>1511</v>
      </c>
      <c r="M264" s="538" t="s">
        <v>661</v>
      </c>
      <c r="N264" s="538" t="s">
        <v>1512</v>
      </c>
      <c r="O264" s="538" t="b">
        <v>0</v>
      </c>
      <c r="P264" s="538" t="b">
        <v>1</v>
      </c>
      <c r="Q264" s="538" t="s">
        <v>79</v>
      </c>
      <c r="R264" s="538" t="s">
        <v>228</v>
      </c>
      <c r="S264" s="538" t="s">
        <v>79</v>
      </c>
      <c r="T264" s="538" t="s">
        <v>228</v>
      </c>
      <c r="U264" s="538" t="s">
        <v>73</v>
      </c>
      <c r="W264" s="538" t="s">
        <v>73</v>
      </c>
      <c r="Y264" s="538" t="s">
        <v>79</v>
      </c>
      <c r="Z264" s="538" t="s">
        <v>228</v>
      </c>
      <c r="AA264" s="538" t="s">
        <v>73</v>
      </c>
      <c r="AC264" s="538" t="s">
        <v>73</v>
      </c>
      <c r="AE264" s="538" t="s">
        <v>73</v>
      </c>
      <c r="AG264" s="538" t="s">
        <v>79</v>
      </c>
      <c r="AH264" s="538" t="s">
        <v>228</v>
      </c>
      <c r="AI264" s="538" t="s">
        <v>73</v>
      </c>
      <c r="AK264" s="538" t="s">
        <v>79</v>
      </c>
      <c r="AL264" s="538" t="s">
        <v>228</v>
      </c>
      <c r="AM264" s="538" t="s">
        <v>79</v>
      </c>
      <c r="AN264" s="538" t="s">
        <v>228</v>
      </c>
      <c r="AO264" s="538" t="s">
        <v>79</v>
      </c>
      <c r="AP264" s="538" t="s">
        <v>292</v>
      </c>
      <c r="AQ264" s="538" t="s">
        <v>79</v>
      </c>
      <c r="AR264" s="538" t="s">
        <v>292</v>
      </c>
      <c r="AS264" s="538">
        <v>3.99317258E8</v>
      </c>
      <c r="AT264" s="538">
        <v>1.683164967E9</v>
      </c>
      <c r="AU264" s="538">
        <v>171.0</v>
      </c>
      <c r="AV264" s="538" t="s">
        <v>47</v>
      </c>
      <c r="AZ264" s="538">
        <v>1.0</v>
      </c>
      <c r="BA264" s="538">
        <v>1.0</v>
      </c>
      <c r="BB264" s="538">
        <v>1.0</v>
      </c>
      <c r="BE264" s="538">
        <v>0.17</v>
      </c>
      <c r="BF264" s="538">
        <v>0.03</v>
      </c>
      <c r="BG264" s="538">
        <v>0.04</v>
      </c>
      <c r="BJ264" s="546"/>
      <c r="BL264" s="546"/>
    </row>
    <row r="265" ht="22.5" customHeight="1">
      <c r="A265" s="538">
        <v>264.0</v>
      </c>
      <c r="B265" s="538" t="s">
        <v>1508</v>
      </c>
      <c r="C265" s="538" t="s">
        <v>82</v>
      </c>
      <c r="D265" s="538" t="s">
        <v>1509</v>
      </c>
      <c r="E265" s="538" t="s">
        <v>231</v>
      </c>
      <c r="F265" s="538" t="s">
        <v>149</v>
      </c>
      <c r="G265" s="538" t="s">
        <v>163</v>
      </c>
      <c r="H265" s="538" t="s">
        <v>250</v>
      </c>
      <c r="I265" s="538" t="s">
        <v>122</v>
      </c>
      <c r="J265" s="538" t="s">
        <v>205</v>
      </c>
      <c r="K265" s="538" t="s">
        <v>1513</v>
      </c>
      <c r="L265" s="538" t="s">
        <v>1514</v>
      </c>
      <c r="M265" s="538" t="s">
        <v>673</v>
      </c>
      <c r="N265" s="538" t="s">
        <v>1515</v>
      </c>
      <c r="O265" s="538" t="b">
        <v>0</v>
      </c>
      <c r="P265" s="538" t="b">
        <v>1</v>
      </c>
      <c r="Q265" s="538" t="s">
        <v>79</v>
      </c>
      <c r="R265" s="538" t="s">
        <v>149</v>
      </c>
      <c r="S265" s="538" t="s">
        <v>79</v>
      </c>
      <c r="T265" s="538" t="s">
        <v>149</v>
      </c>
      <c r="U265" s="538" t="s">
        <v>73</v>
      </c>
      <c r="W265" s="538" t="s">
        <v>73</v>
      </c>
      <c r="Y265" s="538" t="s">
        <v>73</v>
      </c>
      <c r="AA265" s="538" t="s">
        <v>73</v>
      </c>
      <c r="AC265" s="538" t="s">
        <v>73</v>
      </c>
      <c r="AE265" s="538" t="s">
        <v>73</v>
      </c>
      <c r="AG265" s="538" t="s">
        <v>79</v>
      </c>
      <c r="AH265" s="538" t="s">
        <v>149</v>
      </c>
      <c r="AI265" s="538" t="s">
        <v>73</v>
      </c>
      <c r="AK265" s="538" t="s">
        <v>79</v>
      </c>
      <c r="AL265" s="538" t="s">
        <v>149</v>
      </c>
      <c r="AM265" s="538" t="s">
        <v>79</v>
      </c>
      <c r="AN265" s="538" t="s">
        <v>149</v>
      </c>
      <c r="AO265" s="538" t="s">
        <v>79</v>
      </c>
      <c r="AP265" s="538" t="s">
        <v>231</v>
      </c>
      <c r="AQ265" s="538" t="s">
        <v>79</v>
      </c>
      <c r="AR265" s="538" t="s">
        <v>231</v>
      </c>
      <c r="AS265" s="538">
        <v>2.6428617E8</v>
      </c>
      <c r="AT265" s="538">
        <v>1.683164967E9</v>
      </c>
      <c r="AU265" s="538">
        <v>171.0</v>
      </c>
      <c r="AV265" s="538" t="s">
        <v>47</v>
      </c>
      <c r="AZ265" s="538">
        <v>1.0</v>
      </c>
      <c r="BA265" s="538">
        <v>1.0</v>
      </c>
      <c r="BB265" s="538">
        <v>1.0</v>
      </c>
      <c r="BC265" s="538">
        <v>1.0</v>
      </c>
      <c r="BD265" s="538">
        <v>1.0</v>
      </c>
      <c r="BE265" s="538">
        <v>0.6</v>
      </c>
      <c r="BF265" s="538">
        <v>1.2</v>
      </c>
      <c r="BG265" s="538">
        <v>1.8</v>
      </c>
      <c r="BH265" s="538">
        <v>2.4</v>
      </c>
      <c r="BI265" s="538">
        <v>3.0</v>
      </c>
      <c r="BJ265" s="546"/>
      <c r="BL265" s="546"/>
    </row>
    <row r="266" ht="22.5" customHeight="1">
      <c r="A266" s="538">
        <v>265.0</v>
      </c>
      <c r="B266" s="538" t="s">
        <v>1516</v>
      </c>
      <c r="C266" s="538" t="s">
        <v>84</v>
      </c>
      <c r="D266" s="538" t="s">
        <v>1509</v>
      </c>
      <c r="E266" s="538" t="s">
        <v>366</v>
      </c>
      <c r="F266" s="538" t="s">
        <v>228</v>
      </c>
      <c r="G266" s="538" t="s">
        <v>239</v>
      </c>
      <c r="H266" s="538" t="s">
        <v>250</v>
      </c>
      <c r="I266" s="538" t="s">
        <v>176</v>
      </c>
      <c r="J266" s="538" t="s">
        <v>397</v>
      </c>
      <c r="K266" s="538" t="s">
        <v>1517</v>
      </c>
      <c r="L266" s="538" t="s">
        <v>1518</v>
      </c>
      <c r="M266" s="538" t="s">
        <v>661</v>
      </c>
      <c r="N266" s="538" t="s">
        <v>1519</v>
      </c>
      <c r="O266" s="538" t="b">
        <v>0</v>
      </c>
      <c r="P266" s="538" t="b">
        <v>1</v>
      </c>
      <c r="Q266" s="538" t="s">
        <v>79</v>
      </c>
      <c r="R266" s="538" t="s">
        <v>228</v>
      </c>
      <c r="S266" s="538" t="s">
        <v>79</v>
      </c>
      <c r="T266" s="538" t="s">
        <v>228</v>
      </c>
      <c r="U266" s="538" t="s">
        <v>73</v>
      </c>
      <c r="W266" s="538" t="s">
        <v>73</v>
      </c>
      <c r="Y266" s="538" t="s">
        <v>79</v>
      </c>
      <c r="Z266" s="538" t="s">
        <v>228</v>
      </c>
      <c r="AA266" s="538" t="s">
        <v>73</v>
      </c>
      <c r="AC266" s="538" t="s">
        <v>73</v>
      </c>
      <c r="AE266" s="538" t="s">
        <v>73</v>
      </c>
      <c r="AG266" s="538" t="s">
        <v>79</v>
      </c>
      <c r="AH266" s="538" t="s">
        <v>228</v>
      </c>
      <c r="AI266" s="538" t="s">
        <v>73</v>
      </c>
      <c r="AK266" s="538" t="s">
        <v>79</v>
      </c>
      <c r="AL266" s="538" t="s">
        <v>228</v>
      </c>
      <c r="AM266" s="538" t="s">
        <v>79</v>
      </c>
      <c r="AN266" s="538" t="s">
        <v>228</v>
      </c>
      <c r="AO266" s="538" t="s">
        <v>79</v>
      </c>
      <c r="AP266" s="538" t="s">
        <v>366</v>
      </c>
      <c r="AQ266" s="538" t="s">
        <v>79</v>
      </c>
      <c r="AR266" s="538" t="s">
        <v>366</v>
      </c>
      <c r="AS266" s="538">
        <v>4.222722823E9</v>
      </c>
      <c r="AT266" s="538">
        <v>1.77664289E8</v>
      </c>
      <c r="AU266" s="538">
        <v>174.0</v>
      </c>
      <c r="AV266" s="538" t="s">
        <v>46</v>
      </c>
      <c r="AZ266" s="538">
        <v>1.0</v>
      </c>
      <c r="BA266" s="538">
        <v>1.0</v>
      </c>
      <c r="BB266" s="538">
        <v>1.0</v>
      </c>
      <c r="BE266" s="538">
        <v>2.0</v>
      </c>
      <c r="BF266" s="538">
        <v>0.5</v>
      </c>
      <c r="BG266" s="538">
        <v>1.0</v>
      </c>
      <c r="BJ266" s="546"/>
      <c r="BL266" s="546"/>
    </row>
    <row r="267" ht="22.5" customHeight="1">
      <c r="A267" s="538">
        <v>266.0</v>
      </c>
      <c r="B267" s="538" t="s">
        <v>1516</v>
      </c>
      <c r="C267" s="538" t="s">
        <v>82</v>
      </c>
      <c r="D267" s="538" t="s">
        <v>1509</v>
      </c>
      <c r="E267" s="538" t="s">
        <v>223</v>
      </c>
      <c r="F267" s="538" t="s">
        <v>228</v>
      </c>
      <c r="G267" s="538" t="s">
        <v>163</v>
      </c>
      <c r="H267" s="538" t="s">
        <v>250</v>
      </c>
      <c r="I267" s="538" t="s">
        <v>176</v>
      </c>
      <c r="J267" s="538" t="s">
        <v>395</v>
      </c>
      <c r="K267" s="538" t="s">
        <v>1520</v>
      </c>
      <c r="L267" s="538" t="s">
        <v>1521</v>
      </c>
      <c r="M267" s="538" t="s">
        <v>673</v>
      </c>
      <c r="N267" s="538" t="s">
        <v>1522</v>
      </c>
      <c r="O267" s="538" t="b">
        <v>0</v>
      </c>
      <c r="P267" s="538" t="b">
        <v>1</v>
      </c>
      <c r="Q267" s="538" t="s">
        <v>79</v>
      </c>
      <c r="R267" s="538" t="s">
        <v>228</v>
      </c>
      <c r="S267" s="538" t="s">
        <v>79</v>
      </c>
      <c r="T267" s="538" t="s">
        <v>228</v>
      </c>
      <c r="U267" s="538" t="s">
        <v>73</v>
      </c>
      <c r="W267" s="538" t="s">
        <v>73</v>
      </c>
      <c r="Y267" s="538" t="s">
        <v>79</v>
      </c>
      <c r="Z267" s="538" t="s">
        <v>228</v>
      </c>
      <c r="AA267" s="538" t="s">
        <v>73</v>
      </c>
      <c r="AC267" s="538" t="s">
        <v>73</v>
      </c>
      <c r="AE267" s="538" t="s">
        <v>73</v>
      </c>
      <c r="AG267" s="538" t="s">
        <v>79</v>
      </c>
      <c r="AH267" s="538" t="s">
        <v>228</v>
      </c>
      <c r="AI267" s="538" t="s">
        <v>73</v>
      </c>
      <c r="AK267" s="538" t="s">
        <v>79</v>
      </c>
      <c r="AL267" s="538" t="s">
        <v>228</v>
      </c>
      <c r="AM267" s="538" t="s">
        <v>79</v>
      </c>
      <c r="AN267" s="538" t="s">
        <v>228</v>
      </c>
      <c r="AO267" s="538" t="s">
        <v>79</v>
      </c>
      <c r="AP267" s="538" t="s">
        <v>223</v>
      </c>
      <c r="AQ267" s="538" t="s">
        <v>79</v>
      </c>
      <c r="AR267" s="538" t="s">
        <v>223</v>
      </c>
      <c r="AS267" s="538">
        <v>6.97043235E8</v>
      </c>
      <c r="AT267" s="538">
        <v>1.77664289E8</v>
      </c>
      <c r="AU267" s="538">
        <v>174.0</v>
      </c>
      <c r="AV267" s="538" t="s">
        <v>46</v>
      </c>
      <c r="AZ267" s="538">
        <v>1.0</v>
      </c>
      <c r="BA267" s="538">
        <v>1.0</v>
      </c>
      <c r="BB267" s="538">
        <v>1.0</v>
      </c>
      <c r="BC267" s="538">
        <v>1.0</v>
      </c>
      <c r="BD267" s="538">
        <v>1.0</v>
      </c>
      <c r="BE267" s="538">
        <v>1.5</v>
      </c>
      <c r="BF267" s="538">
        <v>2.0</v>
      </c>
      <c r="BG267" s="538">
        <v>2.5</v>
      </c>
      <c r="BH267" s="538">
        <v>3.0</v>
      </c>
      <c r="BI267" s="538">
        <v>3.5</v>
      </c>
      <c r="BJ267" s="546"/>
      <c r="BK267" s="547"/>
      <c r="BL267" s="546"/>
    </row>
    <row r="268" ht="22.5" customHeight="1">
      <c r="A268" s="538">
        <v>267.0</v>
      </c>
      <c r="B268" s="538" t="s">
        <v>1523</v>
      </c>
      <c r="C268" s="538" t="s">
        <v>84</v>
      </c>
      <c r="D268" s="538" t="s">
        <v>1509</v>
      </c>
      <c r="E268" s="538" t="s">
        <v>251</v>
      </c>
      <c r="G268" s="538" t="s">
        <v>151</v>
      </c>
      <c r="H268" s="538" t="s">
        <v>250</v>
      </c>
      <c r="I268" s="538" t="s">
        <v>122</v>
      </c>
      <c r="K268" s="538" t="s">
        <v>1524</v>
      </c>
      <c r="L268" s="538" t="s">
        <v>1525</v>
      </c>
      <c r="M268" s="538" t="s">
        <v>661</v>
      </c>
      <c r="N268" s="538" t="s">
        <v>1526</v>
      </c>
      <c r="O268" s="538" t="b">
        <v>0</v>
      </c>
      <c r="P268" s="538" t="b">
        <v>1</v>
      </c>
      <c r="Q268" s="538" t="s">
        <v>79</v>
      </c>
      <c r="R268" s="538" t="s">
        <v>251</v>
      </c>
      <c r="S268" s="538" t="s">
        <v>79</v>
      </c>
      <c r="T268" s="538" t="s">
        <v>251</v>
      </c>
      <c r="U268" s="538" t="s">
        <v>79</v>
      </c>
      <c r="V268" s="538" t="s">
        <v>251</v>
      </c>
      <c r="W268" s="538" t="s">
        <v>79</v>
      </c>
      <c r="X268" s="538" t="s">
        <v>251</v>
      </c>
      <c r="Y268" s="538" t="s">
        <v>79</v>
      </c>
      <c r="Z268" s="538" t="s">
        <v>251</v>
      </c>
      <c r="AA268" s="538" t="s">
        <v>79</v>
      </c>
      <c r="AB268" s="538" t="s">
        <v>251</v>
      </c>
      <c r="AC268" s="538" t="s">
        <v>73</v>
      </c>
      <c r="AE268" s="538" t="s">
        <v>73</v>
      </c>
      <c r="AG268" s="538" t="s">
        <v>79</v>
      </c>
      <c r="AH268" s="538" t="s">
        <v>251</v>
      </c>
      <c r="AI268" s="538" t="s">
        <v>73</v>
      </c>
      <c r="AK268" s="538" t="s">
        <v>73</v>
      </c>
      <c r="AM268" s="538" t="s">
        <v>79</v>
      </c>
      <c r="AN268" s="538" t="s">
        <v>251</v>
      </c>
      <c r="AO268" s="538" t="s">
        <v>73</v>
      </c>
      <c r="AQ268" s="538" t="s">
        <v>79</v>
      </c>
      <c r="AR268" s="538" t="s">
        <v>251</v>
      </c>
      <c r="AS268" s="538">
        <v>3.45049752E8</v>
      </c>
      <c r="AT268" s="538">
        <v>2.204519406E9</v>
      </c>
      <c r="AU268" s="538">
        <v>175.0</v>
      </c>
      <c r="AV268" s="538" t="s">
        <v>47</v>
      </c>
      <c r="AZ268" s="538">
        <v>1.0</v>
      </c>
      <c r="BA268" s="538">
        <v>1.0</v>
      </c>
      <c r="BB268" s="538">
        <v>1.0</v>
      </c>
      <c r="BE268" s="538">
        <v>0.5</v>
      </c>
      <c r="BF268" s="538">
        <v>0.1</v>
      </c>
      <c r="BG268" s="538">
        <v>0.15</v>
      </c>
      <c r="BJ268" s="546"/>
      <c r="BL268" s="546"/>
    </row>
    <row r="269" ht="22.5" customHeight="1">
      <c r="A269" s="538">
        <v>268.0</v>
      </c>
      <c r="B269" s="538" t="s">
        <v>1523</v>
      </c>
      <c r="C269" s="538" t="s">
        <v>82</v>
      </c>
      <c r="D269" s="538" t="s">
        <v>1509</v>
      </c>
      <c r="E269" s="538" t="s">
        <v>218</v>
      </c>
      <c r="F269" s="538" t="s">
        <v>1527</v>
      </c>
      <c r="G269" s="538" t="s">
        <v>163</v>
      </c>
      <c r="H269" s="538" t="s">
        <v>250</v>
      </c>
      <c r="I269" s="538" t="s">
        <v>122</v>
      </c>
      <c r="J269" s="538" t="s">
        <v>278</v>
      </c>
      <c r="K269" s="538" t="s">
        <v>1528</v>
      </c>
      <c r="L269" s="538" t="s">
        <v>1529</v>
      </c>
      <c r="M269" s="538" t="s">
        <v>673</v>
      </c>
      <c r="N269" s="538" t="s">
        <v>1530</v>
      </c>
      <c r="O269" s="538" t="b">
        <v>0</v>
      </c>
      <c r="P269" s="538" t="b">
        <v>1</v>
      </c>
      <c r="Q269" s="538" t="s">
        <v>79</v>
      </c>
      <c r="R269" s="538" t="s">
        <v>228</v>
      </c>
      <c r="S269" s="538" t="s">
        <v>79</v>
      </c>
      <c r="T269" s="538" t="s">
        <v>228</v>
      </c>
      <c r="U269" s="538" t="s">
        <v>75</v>
      </c>
      <c r="V269" s="538" t="s">
        <v>1027</v>
      </c>
      <c r="W269" s="538" t="s">
        <v>75</v>
      </c>
      <c r="X269" s="538" t="s">
        <v>1027</v>
      </c>
      <c r="Y269" s="538" t="s">
        <v>79</v>
      </c>
      <c r="Z269" s="538" t="s">
        <v>228</v>
      </c>
      <c r="AA269" s="538" t="s">
        <v>75</v>
      </c>
      <c r="AB269" s="538" t="s">
        <v>1027</v>
      </c>
      <c r="AC269" s="538" t="s">
        <v>75</v>
      </c>
      <c r="AD269" s="538" t="s">
        <v>1027</v>
      </c>
      <c r="AE269" s="538" t="s">
        <v>75</v>
      </c>
      <c r="AF269" s="538" t="s">
        <v>1027</v>
      </c>
      <c r="AG269" s="538" t="s">
        <v>79</v>
      </c>
      <c r="AH269" s="538" t="s">
        <v>228</v>
      </c>
      <c r="AI269" s="538" t="s">
        <v>79</v>
      </c>
      <c r="AJ269" s="538" t="s">
        <v>233</v>
      </c>
      <c r="AK269" s="538" t="s">
        <v>79</v>
      </c>
      <c r="AL269" s="538" t="s">
        <v>1527</v>
      </c>
      <c r="AM269" s="538" t="s">
        <v>79</v>
      </c>
      <c r="AN269" s="538" t="s">
        <v>1527</v>
      </c>
      <c r="AO269" s="538" t="s">
        <v>79</v>
      </c>
      <c r="AP269" s="538" t="s">
        <v>218</v>
      </c>
      <c r="AQ269" s="538" t="s">
        <v>79</v>
      </c>
      <c r="AR269" s="538" t="s">
        <v>218</v>
      </c>
      <c r="AS269" s="538">
        <v>3.30406172E8</v>
      </c>
      <c r="AT269" s="538">
        <v>2.204519406E9</v>
      </c>
      <c r="AU269" s="538">
        <v>175.0</v>
      </c>
      <c r="AV269" s="538" t="s">
        <v>47</v>
      </c>
      <c r="AY269" s="538" t="s">
        <v>1027</v>
      </c>
      <c r="AZ269" s="538">
        <v>1.0</v>
      </c>
      <c r="BA269" s="538">
        <v>1.0</v>
      </c>
      <c r="BB269" s="538">
        <v>1.0</v>
      </c>
      <c r="BC269" s="538">
        <v>1.0</v>
      </c>
      <c r="BD269" s="538">
        <v>1.0</v>
      </c>
      <c r="BE269" s="538">
        <v>1.0</v>
      </c>
      <c r="BF269" s="538">
        <v>1.5</v>
      </c>
      <c r="BG269" s="538">
        <v>2.0</v>
      </c>
      <c r="BH269" s="538">
        <v>2.5</v>
      </c>
      <c r="BI269" s="538">
        <v>3.0</v>
      </c>
      <c r="BJ269" s="546"/>
      <c r="BL269" s="546"/>
    </row>
    <row r="270" ht="22.5" customHeight="1">
      <c r="A270" s="538">
        <v>269.0</v>
      </c>
      <c r="B270" s="538" t="s">
        <v>1531</v>
      </c>
      <c r="C270" s="538" t="s">
        <v>84</v>
      </c>
      <c r="D270" s="538" t="s">
        <v>1509</v>
      </c>
      <c r="E270" s="538" t="s">
        <v>337</v>
      </c>
      <c r="F270" s="538" t="s">
        <v>374</v>
      </c>
      <c r="G270" s="538" t="s">
        <v>163</v>
      </c>
      <c r="H270" s="538" t="s">
        <v>235</v>
      </c>
      <c r="I270" s="538" t="s">
        <v>122</v>
      </c>
      <c r="J270" s="538" t="s">
        <v>305</v>
      </c>
      <c r="K270" s="538" t="s">
        <v>1532</v>
      </c>
      <c r="L270" s="538" t="s">
        <v>1074</v>
      </c>
      <c r="M270" s="538" t="s">
        <v>661</v>
      </c>
      <c r="N270" s="538" t="s">
        <v>1533</v>
      </c>
      <c r="O270" s="538" t="b">
        <v>0</v>
      </c>
      <c r="P270" s="538" t="b">
        <v>1</v>
      </c>
      <c r="Q270" s="538" t="s">
        <v>75</v>
      </c>
      <c r="R270" s="538" t="s">
        <v>679</v>
      </c>
      <c r="S270" s="538" t="s">
        <v>75</v>
      </c>
      <c r="T270" s="538" t="s">
        <v>679</v>
      </c>
      <c r="U270" s="538" t="s">
        <v>75</v>
      </c>
      <c r="V270" s="538" t="s">
        <v>679</v>
      </c>
      <c r="W270" s="538" t="s">
        <v>75</v>
      </c>
      <c r="X270" s="538" t="s">
        <v>679</v>
      </c>
      <c r="Y270" s="538" t="s">
        <v>75</v>
      </c>
      <c r="Z270" s="538" t="s">
        <v>679</v>
      </c>
      <c r="AA270" s="538" t="s">
        <v>75</v>
      </c>
      <c r="AB270" s="538" t="s">
        <v>679</v>
      </c>
      <c r="AC270" s="538" t="s">
        <v>75</v>
      </c>
      <c r="AD270" s="538" t="s">
        <v>679</v>
      </c>
      <c r="AE270" s="538" t="s">
        <v>75</v>
      </c>
      <c r="AF270" s="538" t="s">
        <v>679</v>
      </c>
      <c r="AG270" s="538" t="s">
        <v>75</v>
      </c>
      <c r="AH270" s="538" t="s">
        <v>679</v>
      </c>
      <c r="AI270" s="538" t="s">
        <v>75</v>
      </c>
      <c r="AJ270" s="538" t="s">
        <v>679</v>
      </c>
      <c r="AK270" s="538" t="s">
        <v>75</v>
      </c>
      <c r="AL270" s="538" t="s">
        <v>679</v>
      </c>
      <c r="AM270" s="538" t="s">
        <v>75</v>
      </c>
      <c r="AN270" s="538" t="s">
        <v>679</v>
      </c>
      <c r="AO270" s="538" t="s">
        <v>79</v>
      </c>
      <c r="AP270" s="538" t="s">
        <v>337</v>
      </c>
      <c r="AQ270" s="538" t="s">
        <v>79</v>
      </c>
      <c r="AR270" s="538" t="s">
        <v>337</v>
      </c>
      <c r="AS270" s="538">
        <v>1.022859147E9</v>
      </c>
      <c r="AT270" s="538">
        <v>1.427486959E9</v>
      </c>
      <c r="AU270" s="538">
        <v>170.0</v>
      </c>
      <c r="AV270" s="538" t="s">
        <v>47</v>
      </c>
      <c r="AY270" s="538" t="s">
        <v>679</v>
      </c>
      <c r="AZ270" s="538">
        <v>1.0</v>
      </c>
      <c r="BA270" s="538">
        <v>1.0</v>
      </c>
      <c r="BB270" s="538">
        <v>1.0</v>
      </c>
      <c r="BE270" s="538">
        <v>0.2</v>
      </c>
      <c r="BF270" s="538">
        <v>1.0</v>
      </c>
      <c r="BG270" s="538">
        <v>1.0</v>
      </c>
      <c r="BJ270" s="546"/>
      <c r="BL270" s="546"/>
    </row>
    <row r="271" ht="22.5" customHeight="1">
      <c r="A271" s="538">
        <v>270.0</v>
      </c>
      <c r="B271" s="538" t="s">
        <v>1531</v>
      </c>
      <c r="C271" s="538" t="s">
        <v>82</v>
      </c>
      <c r="D271" s="538" t="s">
        <v>1509</v>
      </c>
      <c r="E271" s="538" t="s">
        <v>295</v>
      </c>
      <c r="G271" s="538" t="s">
        <v>163</v>
      </c>
      <c r="H271" s="538" t="s">
        <v>250</v>
      </c>
      <c r="I271" s="538" t="s">
        <v>122</v>
      </c>
      <c r="K271" s="538" t="s">
        <v>1534</v>
      </c>
      <c r="L271" s="538" t="s">
        <v>1535</v>
      </c>
      <c r="M271" s="538" t="s">
        <v>673</v>
      </c>
      <c r="N271" s="538" t="s">
        <v>745</v>
      </c>
      <c r="O271" s="538" t="b">
        <v>0</v>
      </c>
      <c r="P271" s="538" t="b">
        <v>1</v>
      </c>
      <c r="Q271" s="538" t="s">
        <v>73</v>
      </c>
      <c r="S271" s="538" t="s">
        <v>73</v>
      </c>
      <c r="U271" s="538" t="s">
        <v>73</v>
      </c>
      <c r="W271" s="538" t="s">
        <v>73</v>
      </c>
      <c r="Y271" s="538" t="s">
        <v>73</v>
      </c>
      <c r="AA271" s="538" t="s">
        <v>73</v>
      </c>
      <c r="AC271" s="538" t="s">
        <v>73</v>
      </c>
      <c r="AE271" s="538" t="s">
        <v>73</v>
      </c>
      <c r="AG271" s="538" t="s">
        <v>73</v>
      </c>
      <c r="AI271" s="538" t="s">
        <v>73</v>
      </c>
      <c r="AK271" s="538" t="s">
        <v>73</v>
      </c>
      <c r="AM271" s="538" t="s">
        <v>73</v>
      </c>
      <c r="AO271" s="538" t="s">
        <v>79</v>
      </c>
      <c r="AP271" s="538" t="s">
        <v>295</v>
      </c>
      <c r="AQ271" s="538" t="s">
        <v>79</v>
      </c>
      <c r="AR271" s="538" t="s">
        <v>295</v>
      </c>
      <c r="AS271" s="538">
        <v>3.573803212E9</v>
      </c>
      <c r="AT271" s="538">
        <v>1.427486959E9</v>
      </c>
      <c r="AU271" s="538">
        <v>170.0</v>
      </c>
      <c r="AV271" s="538" t="s">
        <v>47</v>
      </c>
      <c r="AZ271" s="538">
        <v>1.0</v>
      </c>
      <c r="BA271" s="538">
        <v>1.0</v>
      </c>
      <c r="BB271" s="538">
        <v>1.0</v>
      </c>
      <c r="BC271" s="538">
        <v>1.0</v>
      </c>
      <c r="BD271" s="538">
        <v>1.0</v>
      </c>
      <c r="BE271" s="538">
        <v>0.05</v>
      </c>
      <c r="BF271" s="538">
        <v>0.1</v>
      </c>
      <c r="BG271" s="538">
        <v>0.15</v>
      </c>
      <c r="BH271" s="538">
        <v>0.2</v>
      </c>
      <c r="BI271" s="538">
        <v>0.25</v>
      </c>
      <c r="BJ271" s="546"/>
      <c r="BL271" s="546"/>
    </row>
    <row r="272" ht="22.5" customHeight="1">
      <c r="A272" s="538">
        <v>271.0</v>
      </c>
      <c r="B272" s="538" t="s">
        <v>1536</v>
      </c>
      <c r="C272" s="538" t="s">
        <v>84</v>
      </c>
      <c r="D272" s="538" t="s">
        <v>1509</v>
      </c>
      <c r="E272" s="538" t="s">
        <v>218</v>
      </c>
      <c r="F272" s="538" t="s">
        <v>228</v>
      </c>
      <c r="G272" s="538" t="s">
        <v>163</v>
      </c>
      <c r="H272" s="538" t="s">
        <v>250</v>
      </c>
      <c r="I272" s="538" t="s">
        <v>176</v>
      </c>
      <c r="J272" s="538" t="s">
        <v>393</v>
      </c>
      <c r="K272" s="538" t="s">
        <v>1537</v>
      </c>
      <c r="L272" s="538" t="s">
        <v>1538</v>
      </c>
      <c r="M272" s="538" t="s">
        <v>661</v>
      </c>
      <c r="N272" s="538" t="s">
        <v>1436</v>
      </c>
      <c r="O272" s="538" t="b">
        <v>0</v>
      </c>
      <c r="P272" s="538" t="b">
        <v>1</v>
      </c>
      <c r="Q272" s="538" t="s">
        <v>79</v>
      </c>
      <c r="R272" s="538" t="s">
        <v>228</v>
      </c>
      <c r="S272" s="538" t="s">
        <v>79</v>
      </c>
      <c r="T272" s="538" t="s">
        <v>228</v>
      </c>
      <c r="U272" s="538" t="s">
        <v>73</v>
      </c>
      <c r="W272" s="538" t="s">
        <v>73</v>
      </c>
      <c r="Y272" s="538" t="s">
        <v>79</v>
      </c>
      <c r="Z272" s="538" t="s">
        <v>228</v>
      </c>
      <c r="AA272" s="538" t="s">
        <v>73</v>
      </c>
      <c r="AC272" s="538" t="s">
        <v>73</v>
      </c>
      <c r="AE272" s="538" t="s">
        <v>73</v>
      </c>
      <c r="AG272" s="538" t="s">
        <v>79</v>
      </c>
      <c r="AH272" s="538" t="s">
        <v>228</v>
      </c>
      <c r="AI272" s="538" t="s">
        <v>73</v>
      </c>
      <c r="AK272" s="538" t="s">
        <v>79</v>
      </c>
      <c r="AL272" s="538" t="s">
        <v>228</v>
      </c>
      <c r="AM272" s="538" t="s">
        <v>79</v>
      </c>
      <c r="AN272" s="538" t="s">
        <v>228</v>
      </c>
      <c r="AO272" s="538" t="s">
        <v>79</v>
      </c>
      <c r="AP272" s="538" t="s">
        <v>218</v>
      </c>
      <c r="AQ272" s="538" t="s">
        <v>79</v>
      </c>
      <c r="AR272" s="538" t="s">
        <v>218</v>
      </c>
      <c r="AS272" s="538">
        <v>2.111864873E9</v>
      </c>
      <c r="AT272" s="538">
        <v>1.116707401E9</v>
      </c>
      <c r="AU272" s="538">
        <v>176.0</v>
      </c>
      <c r="AV272" s="538" t="s">
        <v>46</v>
      </c>
      <c r="AZ272" s="538">
        <v>1.0</v>
      </c>
      <c r="BA272" s="538">
        <v>1.0</v>
      </c>
      <c r="BB272" s="538">
        <v>1.0</v>
      </c>
      <c r="BE272" s="538">
        <v>1.0</v>
      </c>
      <c r="BF272" s="538">
        <v>0.25</v>
      </c>
      <c r="BG272" s="538">
        <v>0.5</v>
      </c>
      <c r="BJ272" s="546"/>
      <c r="BL272" s="546"/>
    </row>
    <row r="273" ht="22.5" customHeight="1">
      <c r="A273" s="538">
        <v>272.0</v>
      </c>
      <c r="B273" s="538" t="s">
        <v>1536</v>
      </c>
      <c r="C273" s="538" t="s">
        <v>82</v>
      </c>
      <c r="D273" s="538" t="s">
        <v>1509</v>
      </c>
      <c r="E273" s="538" t="s">
        <v>340</v>
      </c>
      <c r="G273" s="538" t="s">
        <v>151</v>
      </c>
      <c r="H273" s="538" t="s">
        <v>245</v>
      </c>
      <c r="I273" s="538" t="s">
        <v>122</v>
      </c>
      <c r="K273" s="538" t="s">
        <v>1539</v>
      </c>
      <c r="L273" s="538" t="s">
        <v>1540</v>
      </c>
      <c r="M273" s="538" t="s">
        <v>673</v>
      </c>
      <c r="N273" s="538" t="s">
        <v>1541</v>
      </c>
      <c r="O273" s="538" t="b">
        <v>0</v>
      </c>
      <c r="P273" s="538" t="b">
        <v>1</v>
      </c>
      <c r="Q273" s="538" t="s">
        <v>73</v>
      </c>
      <c r="S273" s="538" t="s">
        <v>73</v>
      </c>
      <c r="U273" s="538" t="s">
        <v>73</v>
      </c>
      <c r="W273" s="538" t="s">
        <v>73</v>
      </c>
      <c r="Y273" s="538" t="s">
        <v>73</v>
      </c>
      <c r="AA273" s="538" t="s">
        <v>73</v>
      </c>
      <c r="AC273" s="538" t="s">
        <v>73</v>
      </c>
      <c r="AE273" s="538" t="s">
        <v>73</v>
      </c>
      <c r="AG273" s="538" t="s">
        <v>73</v>
      </c>
      <c r="AI273" s="538" t="s">
        <v>73</v>
      </c>
      <c r="AK273" s="538" t="s">
        <v>73</v>
      </c>
      <c r="AM273" s="538" t="s">
        <v>73</v>
      </c>
      <c r="AO273" s="538" t="s">
        <v>79</v>
      </c>
      <c r="AP273" s="538" t="s">
        <v>340</v>
      </c>
      <c r="AQ273" s="538" t="s">
        <v>79</v>
      </c>
      <c r="AR273" s="538" t="s">
        <v>340</v>
      </c>
      <c r="AS273" s="538">
        <v>4.24820476E8</v>
      </c>
      <c r="AT273" s="538">
        <v>1.116707401E9</v>
      </c>
      <c r="AU273" s="538">
        <v>176.0</v>
      </c>
      <c r="AV273" s="538" t="s">
        <v>46</v>
      </c>
      <c r="AZ273" s="538">
        <v>1.0</v>
      </c>
      <c r="BA273" s="538">
        <v>1.0</v>
      </c>
      <c r="BB273" s="538">
        <v>1.0</v>
      </c>
      <c r="BC273" s="538">
        <v>1.0</v>
      </c>
      <c r="BD273" s="538">
        <v>1.0</v>
      </c>
      <c r="BE273" s="538">
        <v>0.2</v>
      </c>
      <c r="BF273" s="538">
        <v>0.4</v>
      </c>
      <c r="BG273" s="538">
        <v>0.7</v>
      </c>
      <c r="BH273" s="538">
        <v>1.0</v>
      </c>
      <c r="BI273" s="538">
        <v>2.0</v>
      </c>
      <c r="BJ273" s="546"/>
      <c r="BL273" s="546"/>
    </row>
    <row r="274" ht="22.5" customHeight="1">
      <c r="A274" s="538">
        <v>273.0</v>
      </c>
      <c r="B274" s="538" t="s">
        <v>1542</v>
      </c>
      <c r="C274" s="538" t="s">
        <v>84</v>
      </c>
      <c r="D274" s="538" t="s">
        <v>1509</v>
      </c>
      <c r="E274" s="538" t="s">
        <v>218</v>
      </c>
      <c r="F274" s="538" t="s">
        <v>365</v>
      </c>
      <c r="G274" s="538" t="s">
        <v>239</v>
      </c>
      <c r="H274" s="538" t="s">
        <v>250</v>
      </c>
      <c r="I274" s="538" t="s">
        <v>122</v>
      </c>
      <c r="K274" s="538" t="s">
        <v>1543</v>
      </c>
      <c r="L274" s="538" t="s">
        <v>1544</v>
      </c>
      <c r="M274" s="538" t="s">
        <v>661</v>
      </c>
      <c r="N274" s="538" t="s">
        <v>1545</v>
      </c>
      <c r="O274" s="538" t="b">
        <v>0</v>
      </c>
      <c r="P274" s="538" t="b">
        <v>1</v>
      </c>
      <c r="Q274" s="538" t="s">
        <v>79</v>
      </c>
      <c r="R274" s="538" t="s">
        <v>365</v>
      </c>
      <c r="S274" s="538" t="s">
        <v>79</v>
      </c>
      <c r="T274" s="538" t="s">
        <v>365</v>
      </c>
      <c r="U274" s="538" t="s">
        <v>79</v>
      </c>
      <c r="V274" s="538" t="s">
        <v>365</v>
      </c>
      <c r="W274" s="538" t="s">
        <v>79</v>
      </c>
      <c r="X274" s="538" t="s">
        <v>365</v>
      </c>
      <c r="Y274" s="538" t="s">
        <v>79</v>
      </c>
      <c r="Z274" s="538" t="s">
        <v>365</v>
      </c>
      <c r="AA274" s="538" t="s">
        <v>79</v>
      </c>
      <c r="AB274" s="538" t="s">
        <v>365</v>
      </c>
      <c r="AC274" s="538" t="s">
        <v>73</v>
      </c>
      <c r="AE274" s="538" t="s">
        <v>73</v>
      </c>
      <c r="AG274" s="538" t="s">
        <v>79</v>
      </c>
      <c r="AH274" s="538" t="s">
        <v>365</v>
      </c>
      <c r="AI274" s="538" t="s">
        <v>79</v>
      </c>
      <c r="AJ274" s="538" t="s">
        <v>365</v>
      </c>
      <c r="AK274" s="538" t="s">
        <v>79</v>
      </c>
      <c r="AL274" s="538" t="s">
        <v>365</v>
      </c>
      <c r="AM274" s="538" t="s">
        <v>79</v>
      </c>
      <c r="AN274" s="538" t="s">
        <v>365</v>
      </c>
      <c r="AO274" s="538" t="s">
        <v>79</v>
      </c>
      <c r="AP274" s="538" t="s">
        <v>218</v>
      </c>
      <c r="AQ274" s="538" t="s">
        <v>79</v>
      </c>
      <c r="AR274" s="538" t="s">
        <v>218</v>
      </c>
      <c r="AS274" s="538">
        <v>8.55610396E8</v>
      </c>
      <c r="AT274" s="538">
        <v>1.137482318E9</v>
      </c>
      <c r="AU274" s="538">
        <v>172.0</v>
      </c>
      <c r="AV274" s="538" t="s">
        <v>47</v>
      </c>
      <c r="AZ274" s="538">
        <v>1.0</v>
      </c>
      <c r="BA274" s="538">
        <v>1.0</v>
      </c>
      <c r="BB274" s="538">
        <v>1.0</v>
      </c>
      <c r="BE274" s="538">
        <v>1.0</v>
      </c>
      <c r="BF274" s="538">
        <v>0.1</v>
      </c>
      <c r="BG274" s="538">
        <v>0.2</v>
      </c>
      <c r="BJ274" s="546"/>
      <c r="BL274" s="546"/>
    </row>
    <row r="275" ht="22.5" customHeight="1">
      <c r="A275" s="538">
        <v>274.0</v>
      </c>
      <c r="B275" s="538" t="s">
        <v>1542</v>
      </c>
      <c r="C275" s="538" t="s">
        <v>82</v>
      </c>
      <c r="D275" s="538" t="s">
        <v>1509</v>
      </c>
      <c r="E275" s="538" t="s">
        <v>218</v>
      </c>
      <c r="F275" s="538" t="s">
        <v>1527</v>
      </c>
      <c r="G275" s="538" t="s">
        <v>163</v>
      </c>
      <c r="H275" s="538" t="s">
        <v>250</v>
      </c>
      <c r="I275" s="538" t="s">
        <v>122</v>
      </c>
      <c r="J275" s="538" t="s">
        <v>255</v>
      </c>
      <c r="K275" s="538" t="s">
        <v>1546</v>
      </c>
      <c r="L275" s="538" t="s">
        <v>1547</v>
      </c>
      <c r="M275" s="538" t="s">
        <v>673</v>
      </c>
      <c r="N275" s="538" t="s">
        <v>1530</v>
      </c>
      <c r="O275" s="538" t="b">
        <v>0</v>
      </c>
      <c r="P275" s="538" t="b">
        <v>1</v>
      </c>
      <c r="Q275" s="538" t="s">
        <v>79</v>
      </c>
      <c r="R275" s="538" t="s">
        <v>228</v>
      </c>
      <c r="S275" s="538" t="s">
        <v>79</v>
      </c>
      <c r="T275" s="538" t="s">
        <v>228</v>
      </c>
      <c r="U275" s="538" t="s">
        <v>75</v>
      </c>
      <c r="V275" s="538" t="s">
        <v>999</v>
      </c>
      <c r="W275" s="538" t="s">
        <v>75</v>
      </c>
      <c r="X275" s="538" t="s">
        <v>999</v>
      </c>
      <c r="Y275" s="538" t="s">
        <v>79</v>
      </c>
      <c r="Z275" s="538" t="s">
        <v>228</v>
      </c>
      <c r="AA275" s="538" t="s">
        <v>75</v>
      </c>
      <c r="AB275" s="538" t="s">
        <v>999</v>
      </c>
      <c r="AC275" s="538" t="s">
        <v>75</v>
      </c>
      <c r="AD275" s="538" t="s">
        <v>999</v>
      </c>
      <c r="AE275" s="538" t="s">
        <v>75</v>
      </c>
      <c r="AF275" s="538" t="s">
        <v>999</v>
      </c>
      <c r="AG275" s="538" t="s">
        <v>79</v>
      </c>
      <c r="AH275" s="538" t="s">
        <v>228</v>
      </c>
      <c r="AI275" s="538" t="s">
        <v>79</v>
      </c>
      <c r="AJ275" s="538" t="s">
        <v>233</v>
      </c>
      <c r="AK275" s="538" t="s">
        <v>79</v>
      </c>
      <c r="AL275" s="538" t="s">
        <v>1527</v>
      </c>
      <c r="AM275" s="538" t="s">
        <v>79</v>
      </c>
      <c r="AN275" s="538" t="s">
        <v>1527</v>
      </c>
      <c r="AO275" s="538" t="s">
        <v>79</v>
      </c>
      <c r="AP275" s="538" t="s">
        <v>218</v>
      </c>
      <c r="AQ275" s="538" t="s">
        <v>79</v>
      </c>
      <c r="AR275" s="538" t="s">
        <v>218</v>
      </c>
      <c r="AS275" s="538">
        <v>1.577212247E9</v>
      </c>
      <c r="AT275" s="538">
        <v>1.137482318E9</v>
      </c>
      <c r="AU275" s="538">
        <v>172.0</v>
      </c>
      <c r="AV275" s="538" t="s">
        <v>47</v>
      </c>
      <c r="AY275" s="538" t="s">
        <v>999</v>
      </c>
      <c r="AZ275" s="538">
        <v>1.0</v>
      </c>
      <c r="BA275" s="538">
        <v>1.0</v>
      </c>
      <c r="BB275" s="538">
        <v>1.0</v>
      </c>
      <c r="BC275" s="538">
        <v>1.0</v>
      </c>
      <c r="BD275" s="538">
        <v>1.0</v>
      </c>
      <c r="BE275" s="538">
        <v>1.0</v>
      </c>
      <c r="BF275" s="538">
        <v>1.5</v>
      </c>
      <c r="BG275" s="538">
        <v>2.0</v>
      </c>
      <c r="BH275" s="538">
        <v>2.5</v>
      </c>
      <c r="BI275" s="538">
        <v>3.0</v>
      </c>
      <c r="BJ275" s="546"/>
      <c r="BL275" s="546"/>
    </row>
    <row r="276" ht="22.5" customHeight="1">
      <c r="A276" s="538">
        <v>275.0</v>
      </c>
      <c r="B276" s="538" t="s">
        <v>1548</v>
      </c>
      <c r="C276" s="538" t="s">
        <v>84</v>
      </c>
      <c r="D276" s="538" t="s">
        <v>1509</v>
      </c>
      <c r="E276" s="538" t="s">
        <v>292</v>
      </c>
      <c r="F276" s="538" t="s">
        <v>365</v>
      </c>
      <c r="G276" s="538" t="s">
        <v>163</v>
      </c>
      <c r="H276" s="538" t="s">
        <v>222</v>
      </c>
      <c r="I276" s="538" t="s">
        <v>201</v>
      </c>
      <c r="K276" s="538" t="s">
        <v>1549</v>
      </c>
      <c r="L276" s="538" t="s">
        <v>1550</v>
      </c>
      <c r="M276" s="538" t="s">
        <v>661</v>
      </c>
      <c r="N276" s="538" t="s">
        <v>1551</v>
      </c>
      <c r="O276" s="538" t="b">
        <v>0</v>
      </c>
      <c r="P276" s="538" t="b">
        <v>1</v>
      </c>
      <c r="Q276" s="538" t="s">
        <v>79</v>
      </c>
      <c r="R276" s="538" t="s">
        <v>365</v>
      </c>
      <c r="S276" s="538" t="s">
        <v>79</v>
      </c>
      <c r="T276" s="538" t="s">
        <v>365</v>
      </c>
      <c r="U276" s="538" t="s">
        <v>79</v>
      </c>
      <c r="V276" s="538" t="s">
        <v>365</v>
      </c>
      <c r="W276" s="538" t="s">
        <v>79</v>
      </c>
      <c r="X276" s="538" t="s">
        <v>365</v>
      </c>
      <c r="Y276" s="538" t="s">
        <v>79</v>
      </c>
      <c r="Z276" s="538" t="s">
        <v>365</v>
      </c>
      <c r="AA276" s="538" t="s">
        <v>79</v>
      </c>
      <c r="AB276" s="538" t="s">
        <v>365</v>
      </c>
      <c r="AC276" s="538" t="s">
        <v>73</v>
      </c>
      <c r="AE276" s="538" t="s">
        <v>73</v>
      </c>
      <c r="AG276" s="538" t="s">
        <v>79</v>
      </c>
      <c r="AH276" s="538" t="s">
        <v>365</v>
      </c>
      <c r="AI276" s="538" t="s">
        <v>79</v>
      </c>
      <c r="AJ276" s="538" t="s">
        <v>365</v>
      </c>
      <c r="AK276" s="538" t="s">
        <v>79</v>
      </c>
      <c r="AL276" s="538" t="s">
        <v>365</v>
      </c>
      <c r="AM276" s="538" t="s">
        <v>79</v>
      </c>
      <c r="AN276" s="538" t="s">
        <v>365</v>
      </c>
      <c r="AO276" s="538" t="s">
        <v>79</v>
      </c>
      <c r="AP276" s="538" t="s">
        <v>292</v>
      </c>
      <c r="AQ276" s="538" t="s">
        <v>79</v>
      </c>
      <c r="AR276" s="538" t="s">
        <v>292</v>
      </c>
      <c r="AS276" s="538">
        <v>1.458678084E9</v>
      </c>
      <c r="AT276" s="538">
        <v>1.070197892E9</v>
      </c>
      <c r="AU276" s="538">
        <v>173.0</v>
      </c>
      <c r="AV276" s="538" t="s">
        <v>47</v>
      </c>
      <c r="AZ276" s="538">
        <v>1.0</v>
      </c>
      <c r="BA276" s="538">
        <v>1.0</v>
      </c>
      <c r="BB276" s="538">
        <v>1.0</v>
      </c>
      <c r="BE276" s="538">
        <v>0.15</v>
      </c>
      <c r="BF276" s="538">
        <v>0.02</v>
      </c>
      <c r="BG276" s="538">
        <v>0.05</v>
      </c>
      <c r="BJ276" s="546"/>
      <c r="BL276" s="546"/>
    </row>
    <row r="277" ht="22.5" customHeight="1">
      <c r="A277" s="538">
        <v>276.0</v>
      </c>
      <c r="B277" s="538" t="s">
        <v>1548</v>
      </c>
      <c r="C277" s="538" t="s">
        <v>82</v>
      </c>
      <c r="D277" s="538" t="s">
        <v>1509</v>
      </c>
      <c r="E277" s="538" t="s">
        <v>218</v>
      </c>
      <c r="F277" s="538" t="s">
        <v>1527</v>
      </c>
      <c r="G277" s="538" t="s">
        <v>163</v>
      </c>
      <c r="H277" s="538" t="s">
        <v>250</v>
      </c>
      <c r="I277" s="538" t="s">
        <v>122</v>
      </c>
      <c r="J277" s="538" t="s">
        <v>284</v>
      </c>
      <c r="K277" s="538" t="s">
        <v>1552</v>
      </c>
      <c r="L277" s="538" t="s">
        <v>1553</v>
      </c>
      <c r="M277" s="538" t="s">
        <v>673</v>
      </c>
      <c r="N277" s="538" t="s">
        <v>1530</v>
      </c>
      <c r="O277" s="538" t="b">
        <v>0</v>
      </c>
      <c r="P277" s="538" t="b">
        <v>1</v>
      </c>
      <c r="Q277" s="538" t="s">
        <v>79</v>
      </c>
      <c r="R277" s="538" t="s">
        <v>228</v>
      </c>
      <c r="S277" s="538" t="s">
        <v>79</v>
      </c>
      <c r="T277" s="538" t="s">
        <v>228</v>
      </c>
      <c r="U277" s="538" t="s">
        <v>75</v>
      </c>
      <c r="V277" s="538" t="s">
        <v>907</v>
      </c>
      <c r="W277" s="538" t="s">
        <v>75</v>
      </c>
      <c r="X277" s="538" t="s">
        <v>907</v>
      </c>
      <c r="Y277" s="538" t="s">
        <v>79</v>
      </c>
      <c r="Z277" s="538" t="s">
        <v>228</v>
      </c>
      <c r="AA277" s="538" t="s">
        <v>75</v>
      </c>
      <c r="AB277" s="538" t="s">
        <v>907</v>
      </c>
      <c r="AC277" s="538" t="s">
        <v>75</v>
      </c>
      <c r="AD277" s="538" t="s">
        <v>907</v>
      </c>
      <c r="AE277" s="538" t="s">
        <v>75</v>
      </c>
      <c r="AF277" s="538" t="s">
        <v>907</v>
      </c>
      <c r="AG277" s="538" t="s">
        <v>79</v>
      </c>
      <c r="AH277" s="538" t="s">
        <v>228</v>
      </c>
      <c r="AI277" s="538" t="s">
        <v>79</v>
      </c>
      <c r="AJ277" s="538" t="s">
        <v>233</v>
      </c>
      <c r="AK277" s="538" t="s">
        <v>79</v>
      </c>
      <c r="AL277" s="538" t="s">
        <v>1527</v>
      </c>
      <c r="AM277" s="538" t="s">
        <v>79</v>
      </c>
      <c r="AN277" s="538" t="s">
        <v>1527</v>
      </c>
      <c r="AO277" s="538" t="s">
        <v>79</v>
      </c>
      <c r="AP277" s="538" t="s">
        <v>218</v>
      </c>
      <c r="AQ277" s="538" t="s">
        <v>79</v>
      </c>
      <c r="AR277" s="538" t="s">
        <v>218</v>
      </c>
      <c r="AS277" s="538">
        <v>1.57839587E9</v>
      </c>
      <c r="AT277" s="538">
        <v>1.070197892E9</v>
      </c>
      <c r="AU277" s="538">
        <v>173.0</v>
      </c>
      <c r="AV277" s="538" t="s">
        <v>47</v>
      </c>
      <c r="AY277" s="538" t="s">
        <v>907</v>
      </c>
      <c r="AZ277" s="538">
        <v>1.0</v>
      </c>
      <c r="BA277" s="538">
        <v>1.0</v>
      </c>
      <c r="BB277" s="538">
        <v>1.0</v>
      </c>
      <c r="BC277" s="538">
        <v>1.0</v>
      </c>
      <c r="BD277" s="538">
        <v>1.0</v>
      </c>
      <c r="BE277" s="538">
        <v>1.0</v>
      </c>
      <c r="BF277" s="538">
        <v>1.5</v>
      </c>
      <c r="BG277" s="538">
        <v>2.0</v>
      </c>
      <c r="BH277" s="538">
        <v>2.5</v>
      </c>
      <c r="BI277" s="538">
        <v>3.0</v>
      </c>
      <c r="BJ277" s="546"/>
      <c r="BL277" s="546"/>
    </row>
    <row r="278" ht="22.5" customHeight="1">
      <c r="A278" s="538">
        <v>277.0</v>
      </c>
      <c r="B278" s="538" t="s">
        <v>1554</v>
      </c>
      <c r="C278" s="538" t="s">
        <v>84</v>
      </c>
      <c r="D278" s="538" t="s">
        <v>1509</v>
      </c>
      <c r="E278" s="538" t="s">
        <v>400</v>
      </c>
      <c r="G278" s="538" t="s">
        <v>195</v>
      </c>
      <c r="H278" s="538" t="s">
        <v>250</v>
      </c>
      <c r="I278" s="538" t="s">
        <v>122</v>
      </c>
      <c r="K278" s="538" t="s">
        <v>1555</v>
      </c>
      <c r="L278" s="538" t="s">
        <v>1556</v>
      </c>
      <c r="M278" s="538" t="s">
        <v>661</v>
      </c>
      <c r="N278" s="538" t="s">
        <v>1557</v>
      </c>
      <c r="O278" s="538" t="b">
        <v>0</v>
      </c>
      <c r="P278" s="538" t="b">
        <v>1</v>
      </c>
      <c r="Q278" s="538" t="s">
        <v>79</v>
      </c>
      <c r="R278" s="538" t="s">
        <v>400</v>
      </c>
      <c r="S278" s="538" t="s">
        <v>79</v>
      </c>
      <c r="T278" s="538" t="s">
        <v>400</v>
      </c>
      <c r="U278" s="538" t="s">
        <v>79</v>
      </c>
      <c r="V278" s="538" t="s">
        <v>400</v>
      </c>
      <c r="W278" s="538" t="s">
        <v>79</v>
      </c>
      <c r="X278" s="538" t="s">
        <v>400</v>
      </c>
      <c r="Y278" s="538" t="s">
        <v>79</v>
      </c>
      <c r="Z278" s="538" t="s">
        <v>400</v>
      </c>
      <c r="AA278" s="538" t="s">
        <v>79</v>
      </c>
      <c r="AB278" s="538" t="s">
        <v>400</v>
      </c>
      <c r="AC278" s="538" t="s">
        <v>79</v>
      </c>
      <c r="AD278" s="538" t="s">
        <v>400</v>
      </c>
      <c r="AE278" s="538" t="s">
        <v>79</v>
      </c>
      <c r="AF278" s="538" t="s">
        <v>400</v>
      </c>
      <c r="AG278" s="538" t="s">
        <v>79</v>
      </c>
      <c r="AH278" s="538" t="s">
        <v>400</v>
      </c>
      <c r="AI278" s="538" t="s">
        <v>79</v>
      </c>
      <c r="AJ278" s="538" t="s">
        <v>400</v>
      </c>
      <c r="AK278" s="538" t="s">
        <v>79</v>
      </c>
      <c r="AL278" s="538" t="s">
        <v>400</v>
      </c>
      <c r="AM278" s="538" t="s">
        <v>79</v>
      </c>
      <c r="AN278" s="538" t="s">
        <v>400</v>
      </c>
      <c r="AO278" s="538" t="s">
        <v>79</v>
      </c>
      <c r="AP278" s="538" t="s">
        <v>400</v>
      </c>
      <c r="AQ278" s="538" t="s">
        <v>73</v>
      </c>
      <c r="AS278" s="538">
        <v>2.418798268E9</v>
      </c>
      <c r="AT278" s="538">
        <v>2.593842933E9</v>
      </c>
      <c r="AU278" s="538">
        <v>177.0</v>
      </c>
      <c r="AV278" s="538" t="s">
        <v>46</v>
      </c>
      <c r="AZ278" s="538">
        <v>1.0</v>
      </c>
      <c r="BA278" s="538">
        <v>1.0</v>
      </c>
      <c r="BB278" s="538">
        <v>1.0</v>
      </c>
      <c r="BE278" s="538">
        <v>0.7</v>
      </c>
      <c r="BF278" s="538">
        <v>0.1</v>
      </c>
      <c r="BG278" s="538">
        <v>0.15</v>
      </c>
      <c r="BJ278" s="546"/>
      <c r="BL278" s="546"/>
    </row>
    <row r="279" ht="22.5" customHeight="1">
      <c r="A279" s="538">
        <v>278.0</v>
      </c>
      <c r="B279" s="538" t="s">
        <v>1554</v>
      </c>
      <c r="C279" s="538" t="s">
        <v>82</v>
      </c>
      <c r="D279" s="538" t="s">
        <v>1509</v>
      </c>
      <c r="E279" s="538" t="s">
        <v>223</v>
      </c>
      <c r="F279" s="538" t="s">
        <v>149</v>
      </c>
      <c r="G279" s="538" t="s">
        <v>163</v>
      </c>
      <c r="H279" s="538" t="s">
        <v>250</v>
      </c>
      <c r="I279" s="538" t="s">
        <v>122</v>
      </c>
      <c r="J279" s="538" t="s">
        <v>205</v>
      </c>
      <c r="K279" s="538" t="s">
        <v>1558</v>
      </c>
      <c r="L279" s="538" t="s">
        <v>1559</v>
      </c>
      <c r="M279" s="538" t="s">
        <v>673</v>
      </c>
      <c r="N279" s="538" t="s">
        <v>1071</v>
      </c>
      <c r="O279" s="538" t="b">
        <v>0</v>
      </c>
      <c r="P279" s="538" t="b">
        <v>1</v>
      </c>
      <c r="Q279" s="538" t="s">
        <v>79</v>
      </c>
      <c r="R279" s="538" t="s">
        <v>149</v>
      </c>
      <c r="S279" s="538" t="s">
        <v>79</v>
      </c>
      <c r="T279" s="538" t="s">
        <v>149</v>
      </c>
      <c r="U279" s="538" t="s">
        <v>73</v>
      </c>
      <c r="W279" s="538" t="s">
        <v>73</v>
      </c>
      <c r="Y279" s="538" t="s">
        <v>73</v>
      </c>
      <c r="AA279" s="538" t="s">
        <v>73</v>
      </c>
      <c r="AC279" s="538" t="s">
        <v>73</v>
      </c>
      <c r="AE279" s="538" t="s">
        <v>73</v>
      </c>
      <c r="AG279" s="538" t="s">
        <v>79</v>
      </c>
      <c r="AH279" s="538" t="s">
        <v>149</v>
      </c>
      <c r="AI279" s="538" t="s">
        <v>73</v>
      </c>
      <c r="AK279" s="538" t="s">
        <v>79</v>
      </c>
      <c r="AL279" s="538" t="s">
        <v>149</v>
      </c>
      <c r="AM279" s="538" t="s">
        <v>79</v>
      </c>
      <c r="AN279" s="538" t="s">
        <v>149</v>
      </c>
      <c r="AO279" s="538" t="s">
        <v>79</v>
      </c>
      <c r="AP279" s="538" t="s">
        <v>223</v>
      </c>
      <c r="AQ279" s="538" t="s">
        <v>79</v>
      </c>
      <c r="AR279" s="538" t="s">
        <v>223</v>
      </c>
      <c r="AS279" s="538">
        <v>3.612793883E9</v>
      </c>
      <c r="AT279" s="538">
        <v>2.593842933E9</v>
      </c>
      <c r="AU279" s="538">
        <v>177.0</v>
      </c>
      <c r="AV279" s="538" t="s">
        <v>46</v>
      </c>
      <c r="AZ279" s="538">
        <v>1.0</v>
      </c>
      <c r="BA279" s="538">
        <v>1.0</v>
      </c>
      <c r="BB279" s="538">
        <v>1.0</v>
      </c>
      <c r="BC279" s="538">
        <v>1.0</v>
      </c>
      <c r="BD279" s="538">
        <v>1.0</v>
      </c>
      <c r="BE279" s="538">
        <v>0.2</v>
      </c>
      <c r="BF279" s="538">
        <v>0.4</v>
      </c>
      <c r="BG279" s="538">
        <v>0.6</v>
      </c>
      <c r="BH279" s="538">
        <v>0.8</v>
      </c>
      <c r="BI279" s="538">
        <v>1.0</v>
      </c>
      <c r="BJ279" s="546"/>
      <c r="BL279" s="546"/>
    </row>
    <row r="280" ht="22.5" customHeight="1">
      <c r="A280" s="538">
        <v>279.0</v>
      </c>
      <c r="B280" s="538" t="s">
        <v>1560</v>
      </c>
      <c r="C280" s="538" t="s">
        <v>84</v>
      </c>
      <c r="D280" s="538" t="s">
        <v>1509</v>
      </c>
      <c r="E280" s="538" t="s">
        <v>292</v>
      </c>
      <c r="F280" s="538" t="s">
        <v>149</v>
      </c>
      <c r="G280" s="538" t="s">
        <v>163</v>
      </c>
      <c r="H280" s="538" t="s">
        <v>222</v>
      </c>
      <c r="I280" s="538" t="s">
        <v>201</v>
      </c>
      <c r="J280" s="538" t="s">
        <v>208</v>
      </c>
      <c r="K280" s="538" t="s">
        <v>1561</v>
      </c>
      <c r="L280" s="538" t="s">
        <v>1562</v>
      </c>
      <c r="M280" s="538" t="s">
        <v>661</v>
      </c>
      <c r="N280" s="538" t="s">
        <v>785</v>
      </c>
      <c r="O280" s="538" t="b">
        <v>0</v>
      </c>
      <c r="P280" s="538" t="b">
        <v>1</v>
      </c>
      <c r="Q280" s="538" t="s">
        <v>79</v>
      </c>
      <c r="R280" s="538" t="s">
        <v>149</v>
      </c>
      <c r="S280" s="538" t="s">
        <v>79</v>
      </c>
      <c r="T280" s="538" t="s">
        <v>149</v>
      </c>
      <c r="U280" s="538" t="s">
        <v>79</v>
      </c>
      <c r="V280" s="538" t="s">
        <v>149</v>
      </c>
      <c r="W280" s="538" t="s">
        <v>79</v>
      </c>
      <c r="X280" s="538" t="s">
        <v>149</v>
      </c>
      <c r="Y280" s="538" t="s">
        <v>73</v>
      </c>
      <c r="AA280" s="538" t="s">
        <v>73</v>
      </c>
      <c r="AC280" s="538" t="s">
        <v>79</v>
      </c>
      <c r="AD280" s="538" t="s">
        <v>149</v>
      </c>
      <c r="AE280" s="538" t="s">
        <v>79</v>
      </c>
      <c r="AF280" s="538" t="s">
        <v>149</v>
      </c>
      <c r="AG280" s="538" t="s">
        <v>79</v>
      </c>
      <c r="AH280" s="538" t="s">
        <v>149</v>
      </c>
      <c r="AI280" s="538" t="s">
        <v>79</v>
      </c>
      <c r="AJ280" s="538" t="s">
        <v>149</v>
      </c>
      <c r="AK280" s="538" t="s">
        <v>79</v>
      </c>
      <c r="AL280" s="538" t="s">
        <v>149</v>
      </c>
      <c r="AM280" s="538" t="s">
        <v>79</v>
      </c>
      <c r="AN280" s="538" t="s">
        <v>149</v>
      </c>
      <c r="AO280" s="538" t="s">
        <v>79</v>
      </c>
      <c r="AP280" s="538" t="s">
        <v>292</v>
      </c>
      <c r="AQ280" s="538" t="s">
        <v>79</v>
      </c>
      <c r="AR280" s="538" t="s">
        <v>292</v>
      </c>
      <c r="AS280" s="538">
        <v>3.342912908E9</v>
      </c>
      <c r="AT280" s="538">
        <v>4.148782205E9</v>
      </c>
      <c r="AU280" s="538">
        <v>178.0</v>
      </c>
      <c r="AV280" s="538" t="s">
        <v>46</v>
      </c>
      <c r="AZ280" s="538">
        <v>1.0</v>
      </c>
      <c r="BA280" s="538">
        <v>1.0</v>
      </c>
      <c r="BB280" s="538">
        <v>1.0</v>
      </c>
      <c r="BE280" s="538">
        <v>0.1</v>
      </c>
      <c r="BF280" s="538">
        <v>0.02</v>
      </c>
      <c r="BG280" s="538">
        <v>0.05</v>
      </c>
      <c r="BJ280" s="546"/>
      <c r="BL280" s="546"/>
    </row>
    <row r="281" ht="22.5" customHeight="1">
      <c r="A281" s="538">
        <v>280.0</v>
      </c>
      <c r="B281" s="538" t="s">
        <v>1560</v>
      </c>
      <c r="C281" s="538" t="s">
        <v>82</v>
      </c>
      <c r="D281" s="538" t="s">
        <v>1509</v>
      </c>
      <c r="E281" s="538" t="s">
        <v>218</v>
      </c>
      <c r="F281" s="538" t="s">
        <v>149</v>
      </c>
      <c r="G281" s="538" t="s">
        <v>163</v>
      </c>
      <c r="H281" s="538" t="s">
        <v>250</v>
      </c>
      <c r="I281" s="538" t="s">
        <v>122</v>
      </c>
      <c r="J281" s="538" t="s">
        <v>205</v>
      </c>
      <c r="K281" s="538" t="s">
        <v>1563</v>
      </c>
      <c r="L281" s="538" t="s">
        <v>1564</v>
      </c>
      <c r="M281" s="538" t="s">
        <v>673</v>
      </c>
      <c r="N281" s="538" t="s">
        <v>866</v>
      </c>
      <c r="O281" s="538" t="b">
        <v>0</v>
      </c>
      <c r="P281" s="538" t="b">
        <v>1</v>
      </c>
      <c r="Q281" s="538" t="s">
        <v>79</v>
      </c>
      <c r="R281" s="538" t="s">
        <v>149</v>
      </c>
      <c r="S281" s="538" t="s">
        <v>79</v>
      </c>
      <c r="T281" s="538" t="s">
        <v>149</v>
      </c>
      <c r="U281" s="538" t="s">
        <v>73</v>
      </c>
      <c r="W281" s="538" t="s">
        <v>73</v>
      </c>
      <c r="Y281" s="538" t="s">
        <v>73</v>
      </c>
      <c r="AA281" s="538" t="s">
        <v>73</v>
      </c>
      <c r="AC281" s="538" t="s">
        <v>73</v>
      </c>
      <c r="AE281" s="538" t="s">
        <v>73</v>
      </c>
      <c r="AG281" s="538" t="s">
        <v>79</v>
      </c>
      <c r="AH281" s="538" t="s">
        <v>149</v>
      </c>
      <c r="AI281" s="538" t="s">
        <v>73</v>
      </c>
      <c r="AK281" s="538" t="s">
        <v>79</v>
      </c>
      <c r="AL281" s="538" t="s">
        <v>149</v>
      </c>
      <c r="AM281" s="538" t="s">
        <v>79</v>
      </c>
      <c r="AN281" s="538" t="s">
        <v>149</v>
      </c>
      <c r="AO281" s="538" t="s">
        <v>79</v>
      </c>
      <c r="AP281" s="538" t="s">
        <v>218</v>
      </c>
      <c r="AQ281" s="538" t="s">
        <v>79</v>
      </c>
      <c r="AR281" s="538" t="s">
        <v>218</v>
      </c>
      <c r="AS281" s="538">
        <v>1.382019546E9</v>
      </c>
      <c r="AT281" s="538">
        <v>4.148782205E9</v>
      </c>
      <c r="AU281" s="538">
        <v>178.0</v>
      </c>
      <c r="AV281" s="538" t="s">
        <v>46</v>
      </c>
      <c r="AZ281" s="538">
        <v>1.0</v>
      </c>
      <c r="BA281" s="538">
        <v>1.0</v>
      </c>
      <c r="BB281" s="538">
        <v>1.0</v>
      </c>
      <c r="BC281" s="538">
        <v>1.0</v>
      </c>
      <c r="BD281" s="538">
        <v>1.0</v>
      </c>
      <c r="BE281" s="538">
        <v>0.1</v>
      </c>
      <c r="BF281" s="538">
        <v>0.2</v>
      </c>
      <c r="BG281" s="538">
        <v>0.3</v>
      </c>
      <c r="BH281" s="538">
        <v>0.4</v>
      </c>
      <c r="BI281" s="538">
        <v>0.5</v>
      </c>
      <c r="BJ281" s="546"/>
      <c r="BL281" s="546"/>
    </row>
    <row r="282" ht="22.5" customHeight="1">
      <c r="A282" s="538">
        <v>281.0</v>
      </c>
      <c r="B282" s="538" t="s">
        <v>1565</v>
      </c>
      <c r="C282" s="538" t="s">
        <v>84</v>
      </c>
      <c r="D282" s="538" t="s">
        <v>1283</v>
      </c>
      <c r="E282" s="538" t="s">
        <v>331</v>
      </c>
      <c r="G282" s="538" t="s">
        <v>151</v>
      </c>
      <c r="H282" s="538" t="s">
        <v>250</v>
      </c>
      <c r="I282" s="538" t="s">
        <v>122</v>
      </c>
      <c r="J282" s="538" t="s">
        <v>403</v>
      </c>
      <c r="K282" s="538" t="s">
        <v>1566</v>
      </c>
      <c r="L282" s="538" t="s">
        <v>1567</v>
      </c>
      <c r="M282" s="538" t="s">
        <v>661</v>
      </c>
      <c r="N282" s="538" t="s">
        <v>1297</v>
      </c>
      <c r="O282" s="538" t="b">
        <v>0</v>
      </c>
      <c r="P282" s="538" t="b">
        <v>1</v>
      </c>
      <c r="Q282" s="538" t="s">
        <v>79</v>
      </c>
      <c r="R282" s="538" t="s">
        <v>331</v>
      </c>
      <c r="S282" s="538" t="s">
        <v>79</v>
      </c>
      <c r="T282" s="538" t="s">
        <v>331</v>
      </c>
      <c r="U282" s="538" t="s">
        <v>79</v>
      </c>
      <c r="V282" s="538" t="s">
        <v>331</v>
      </c>
      <c r="W282" s="538" t="s">
        <v>79</v>
      </c>
      <c r="X282" s="538" t="s">
        <v>331</v>
      </c>
      <c r="Y282" s="538" t="s">
        <v>79</v>
      </c>
      <c r="Z282" s="538" t="s">
        <v>331</v>
      </c>
      <c r="AA282" s="538" t="s">
        <v>79</v>
      </c>
      <c r="AB282" s="538" t="s">
        <v>331</v>
      </c>
      <c r="AC282" s="538" t="s">
        <v>79</v>
      </c>
      <c r="AD282" s="538" t="s">
        <v>331</v>
      </c>
      <c r="AE282" s="538" t="s">
        <v>79</v>
      </c>
      <c r="AF282" s="538" t="s">
        <v>331</v>
      </c>
      <c r="AG282" s="538" t="s">
        <v>79</v>
      </c>
      <c r="AH282" s="538" t="s">
        <v>331</v>
      </c>
      <c r="AI282" s="538" t="s">
        <v>79</v>
      </c>
      <c r="AJ282" s="538" t="s">
        <v>331</v>
      </c>
      <c r="AK282" s="538" t="s">
        <v>79</v>
      </c>
      <c r="AL282" s="538" t="s">
        <v>331</v>
      </c>
      <c r="AM282" s="538" t="s">
        <v>79</v>
      </c>
      <c r="AN282" s="538" t="s">
        <v>331</v>
      </c>
      <c r="AO282" s="538" t="s">
        <v>79</v>
      </c>
      <c r="AP282" s="538" t="s">
        <v>331</v>
      </c>
      <c r="AQ282" s="538" t="s">
        <v>73</v>
      </c>
      <c r="AS282" s="538">
        <v>3.830386207E9</v>
      </c>
      <c r="AT282" s="538">
        <v>3.542999283E9</v>
      </c>
      <c r="AU282" s="538">
        <v>181.0</v>
      </c>
      <c r="AV282" s="538" t="s">
        <v>47</v>
      </c>
      <c r="AZ282" s="538">
        <v>1.0</v>
      </c>
      <c r="BA282" s="538">
        <v>1.0</v>
      </c>
      <c r="BB282" s="538">
        <v>1.0</v>
      </c>
      <c r="BE282" s="538">
        <v>0.6</v>
      </c>
      <c r="BF282" s="538">
        <v>0.3</v>
      </c>
      <c r="BG282" s="538">
        <v>0.45</v>
      </c>
      <c r="BJ282" s="546"/>
      <c r="BL282" s="546"/>
    </row>
    <row r="283" ht="22.5" customHeight="1">
      <c r="A283" s="538">
        <v>282.0</v>
      </c>
      <c r="B283" s="538" t="s">
        <v>1565</v>
      </c>
      <c r="C283" s="538" t="s">
        <v>82</v>
      </c>
      <c r="D283" s="538" t="s">
        <v>1283</v>
      </c>
      <c r="E283" s="538" t="s">
        <v>400</v>
      </c>
      <c r="G283" s="538" t="s">
        <v>151</v>
      </c>
      <c r="H283" s="538" t="s">
        <v>250</v>
      </c>
      <c r="I283" s="538" t="s">
        <v>122</v>
      </c>
      <c r="K283" s="538" t="s">
        <v>1568</v>
      </c>
      <c r="L283" s="538" t="s">
        <v>1569</v>
      </c>
      <c r="M283" s="538" t="s">
        <v>673</v>
      </c>
      <c r="N283" s="538" t="s">
        <v>723</v>
      </c>
      <c r="O283" s="538" t="b">
        <v>0</v>
      </c>
      <c r="P283" s="538" t="b">
        <v>1</v>
      </c>
      <c r="Q283" s="538" t="s">
        <v>79</v>
      </c>
      <c r="R283" s="538" t="s">
        <v>400</v>
      </c>
      <c r="S283" s="538" t="s">
        <v>79</v>
      </c>
      <c r="T283" s="538" t="s">
        <v>400</v>
      </c>
      <c r="U283" s="538" t="s">
        <v>79</v>
      </c>
      <c r="V283" s="538" t="s">
        <v>400</v>
      </c>
      <c r="W283" s="538" t="s">
        <v>79</v>
      </c>
      <c r="X283" s="538" t="s">
        <v>400</v>
      </c>
      <c r="Y283" s="538" t="s">
        <v>79</v>
      </c>
      <c r="Z283" s="538" t="s">
        <v>400</v>
      </c>
      <c r="AA283" s="538" t="s">
        <v>79</v>
      </c>
      <c r="AB283" s="538" t="s">
        <v>400</v>
      </c>
      <c r="AC283" s="538" t="s">
        <v>79</v>
      </c>
      <c r="AD283" s="538" t="s">
        <v>400</v>
      </c>
      <c r="AE283" s="538" t="s">
        <v>79</v>
      </c>
      <c r="AF283" s="538" t="s">
        <v>400</v>
      </c>
      <c r="AG283" s="538" t="s">
        <v>79</v>
      </c>
      <c r="AH283" s="538" t="s">
        <v>400</v>
      </c>
      <c r="AI283" s="538" t="s">
        <v>79</v>
      </c>
      <c r="AJ283" s="538" t="s">
        <v>400</v>
      </c>
      <c r="AK283" s="538" t="s">
        <v>79</v>
      </c>
      <c r="AL283" s="538" t="s">
        <v>400</v>
      </c>
      <c r="AM283" s="538" t="s">
        <v>79</v>
      </c>
      <c r="AN283" s="538" t="s">
        <v>400</v>
      </c>
      <c r="AO283" s="538" t="s">
        <v>79</v>
      </c>
      <c r="AP283" s="538" t="s">
        <v>400</v>
      </c>
      <c r="AQ283" s="538" t="s">
        <v>73</v>
      </c>
      <c r="AS283" s="538">
        <v>3.620433776E9</v>
      </c>
      <c r="AT283" s="538">
        <v>3.542999283E9</v>
      </c>
      <c r="AU283" s="538">
        <v>181.0</v>
      </c>
      <c r="AV283" s="538" t="s">
        <v>47</v>
      </c>
      <c r="AZ283" s="538">
        <v>1.0</v>
      </c>
      <c r="BA283" s="538">
        <v>1.0</v>
      </c>
      <c r="BB283" s="538">
        <v>1.0</v>
      </c>
      <c r="BC283" s="538">
        <v>1.0</v>
      </c>
      <c r="BD283" s="538">
        <v>1.0</v>
      </c>
      <c r="BE283" s="538">
        <v>0.3</v>
      </c>
      <c r="BF283" s="538">
        <v>0.35</v>
      </c>
      <c r="BG283" s="538">
        <v>0.4</v>
      </c>
      <c r="BH283" s="538">
        <v>0.45</v>
      </c>
      <c r="BI283" s="538">
        <v>0.5</v>
      </c>
      <c r="BJ283" s="546"/>
      <c r="BL283" s="546"/>
    </row>
    <row r="284" ht="22.5" customHeight="1">
      <c r="A284" s="538">
        <v>283.0</v>
      </c>
      <c r="B284" s="538" t="s">
        <v>1570</v>
      </c>
      <c r="C284" s="538" t="s">
        <v>84</v>
      </c>
      <c r="D284" s="538" t="s">
        <v>1571</v>
      </c>
      <c r="E284" s="538" t="s">
        <v>254</v>
      </c>
      <c r="F284" s="538" t="s">
        <v>248</v>
      </c>
      <c r="G284" s="538" t="s">
        <v>212</v>
      </c>
      <c r="H284" s="538" t="s">
        <v>250</v>
      </c>
      <c r="I284" s="538" t="s">
        <v>176</v>
      </c>
      <c r="J284" s="538" t="s">
        <v>393</v>
      </c>
      <c r="K284" s="538" t="s">
        <v>1572</v>
      </c>
      <c r="L284" s="538" t="s">
        <v>1573</v>
      </c>
      <c r="M284" s="538" t="s">
        <v>661</v>
      </c>
      <c r="N284" s="538" t="s">
        <v>1574</v>
      </c>
      <c r="O284" s="538" t="b">
        <v>0</v>
      </c>
      <c r="P284" s="538" t="b">
        <v>1</v>
      </c>
      <c r="Q284" s="538" t="s">
        <v>73</v>
      </c>
      <c r="S284" s="538" t="s">
        <v>73</v>
      </c>
      <c r="U284" s="538" t="s">
        <v>79</v>
      </c>
      <c r="V284" s="538" t="s">
        <v>248</v>
      </c>
      <c r="W284" s="538" t="s">
        <v>79</v>
      </c>
      <c r="X284" s="538" t="s">
        <v>248</v>
      </c>
      <c r="Y284" s="538" t="s">
        <v>79</v>
      </c>
      <c r="Z284" s="538" t="s">
        <v>248</v>
      </c>
      <c r="AA284" s="538" t="s">
        <v>79</v>
      </c>
      <c r="AB284" s="538" t="s">
        <v>248</v>
      </c>
      <c r="AC284" s="538" t="s">
        <v>79</v>
      </c>
      <c r="AD284" s="538" t="s">
        <v>248</v>
      </c>
      <c r="AE284" s="538" t="s">
        <v>79</v>
      </c>
      <c r="AF284" s="538" t="s">
        <v>248</v>
      </c>
      <c r="AG284" s="538" t="s">
        <v>79</v>
      </c>
      <c r="AH284" s="538" t="s">
        <v>248</v>
      </c>
      <c r="AI284" s="538" t="s">
        <v>79</v>
      </c>
      <c r="AJ284" s="538" t="s">
        <v>248</v>
      </c>
      <c r="AK284" s="538" t="s">
        <v>79</v>
      </c>
      <c r="AL284" s="538" t="s">
        <v>248</v>
      </c>
      <c r="AM284" s="538" t="s">
        <v>79</v>
      </c>
      <c r="AN284" s="538" t="s">
        <v>248</v>
      </c>
      <c r="AO284" s="538" t="s">
        <v>79</v>
      </c>
      <c r="AP284" s="538" t="s">
        <v>254</v>
      </c>
      <c r="AQ284" s="538" t="s">
        <v>79</v>
      </c>
      <c r="AR284" s="538" t="s">
        <v>254</v>
      </c>
      <c r="AS284" s="538">
        <v>2.884241557E9</v>
      </c>
      <c r="AT284" s="538">
        <v>2.498836305E9</v>
      </c>
      <c r="AU284" s="538">
        <v>182.0</v>
      </c>
      <c r="AV284" s="538" t="s">
        <v>47</v>
      </c>
      <c r="AZ284" s="538">
        <v>1.0</v>
      </c>
      <c r="BA284" s="538">
        <v>1.0</v>
      </c>
      <c r="BB284" s="538">
        <v>1.0</v>
      </c>
      <c r="BE284" s="538">
        <v>0.3</v>
      </c>
      <c r="BF284" s="538">
        <v>0.05</v>
      </c>
      <c r="BG284" s="538">
        <v>0.1</v>
      </c>
      <c r="BJ284" s="546"/>
      <c r="BL284" s="546"/>
    </row>
    <row r="285" ht="22.5" customHeight="1">
      <c r="A285" s="538">
        <v>284.0</v>
      </c>
      <c r="B285" s="538" t="s">
        <v>1570</v>
      </c>
      <c r="C285" s="538" t="s">
        <v>82</v>
      </c>
      <c r="D285" s="538" t="s">
        <v>1571</v>
      </c>
      <c r="E285" s="538" t="s">
        <v>292</v>
      </c>
      <c r="F285" s="538" t="s">
        <v>248</v>
      </c>
      <c r="G285" s="538" t="s">
        <v>163</v>
      </c>
      <c r="H285" s="538" t="s">
        <v>250</v>
      </c>
      <c r="I285" s="538" t="s">
        <v>155</v>
      </c>
      <c r="J285" s="538" t="s">
        <v>391</v>
      </c>
      <c r="K285" s="538" t="s">
        <v>1575</v>
      </c>
      <c r="L285" s="538" t="s">
        <v>1576</v>
      </c>
      <c r="M285" s="538" t="s">
        <v>673</v>
      </c>
      <c r="N285" s="538" t="s">
        <v>1577</v>
      </c>
      <c r="O285" s="538" t="b">
        <v>0</v>
      </c>
      <c r="P285" s="538" t="b">
        <v>1</v>
      </c>
      <c r="Q285" s="538" t="s">
        <v>73</v>
      </c>
      <c r="S285" s="538" t="s">
        <v>73</v>
      </c>
      <c r="U285" s="538" t="s">
        <v>79</v>
      </c>
      <c r="V285" s="538" t="s">
        <v>248</v>
      </c>
      <c r="W285" s="538" t="s">
        <v>79</v>
      </c>
      <c r="X285" s="538" t="s">
        <v>248</v>
      </c>
      <c r="Y285" s="538" t="s">
        <v>79</v>
      </c>
      <c r="Z285" s="538" t="s">
        <v>248</v>
      </c>
      <c r="AA285" s="538" t="s">
        <v>79</v>
      </c>
      <c r="AB285" s="538" t="s">
        <v>248</v>
      </c>
      <c r="AC285" s="538" t="s">
        <v>79</v>
      </c>
      <c r="AD285" s="538" t="s">
        <v>248</v>
      </c>
      <c r="AE285" s="538" t="s">
        <v>79</v>
      </c>
      <c r="AF285" s="538" t="s">
        <v>248</v>
      </c>
      <c r="AG285" s="538" t="s">
        <v>79</v>
      </c>
      <c r="AH285" s="538" t="s">
        <v>248</v>
      </c>
      <c r="AI285" s="538" t="s">
        <v>79</v>
      </c>
      <c r="AJ285" s="538" t="s">
        <v>248</v>
      </c>
      <c r="AK285" s="538" t="s">
        <v>79</v>
      </c>
      <c r="AL285" s="538" t="s">
        <v>248</v>
      </c>
      <c r="AM285" s="538" t="s">
        <v>79</v>
      </c>
      <c r="AN285" s="538" t="s">
        <v>248</v>
      </c>
      <c r="AO285" s="538" t="s">
        <v>79</v>
      </c>
      <c r="AP285" s="538" t="s">
        <v>292</v>
      </c>
      <c r="AQ285" s="538" t="s">
        <v>79</v>
      </c>
      <c r="AR285" s="538" t="s">
        <v>292</v>
      </c>
      <c r="AS285" s="538">
        <v>4.096806574E9</v>
      </c>
      <c r="AT285" s="538">
        <v>2.498836305E9</v>
      </c>
      <c r="AU285" s="538">
        <v>182.0</v>
      </c>
      <c r="AV285" s="538" t="s">
        <v>47</v>
      </c>
      <c r="AZ285" s="538">
        <v>1.0</v>
      </c>
      <c r="BA285" s="538">
        <v>1.0</v>
      </c>
      <c r="BB285" s="538">
        <v>1.0</v>
      </c>
      <c r="BC285" s="538">
        <v>1.0</v>
      </c>
      <c r="BD285" s="538">
        <v>1.0</v>
      </c>
      <c r="BE285" s="538">
        <v>0.45</v>
      </c>
      <c r="BF285" s="538">
        <v>0.5</v>
      </c>
      <c r="BG285" s="538">
        <v>0.6</v>
      </c>
      <c r="BH285" s="538">
        <v>0.75</v>
      </c>
      <c r="BI285" s="538">
        <v>1.0</v>
      </c>
      <c r="BJ285" s="546"/>
      <c r="BL285" s="546"/>
    </row>
    <row r="286" ht="22.5" customHeight="1">
      <c r="A286" s="538">
        <v>285.0</v>
      </c>
      <c r="B286" s="538" t="s">
        <v>1578</v>
      </c>
      <c r="C286" s="538" t="s">
        <v>84</v>
      </c>
      <c r="D286" s="538" t="s">
        <v>1579</v>
      </c>
      <c r="E286" s="538" t="s">
        <v>295</v>
      </c>
      <c r="F286" s="538" t="s">
        <v>303</v>
      </c>
      <c r="G286" s="538" t="s">
        <v>163</v>
      </c>
      <c r="H286" s="538" t="s">
        <v>250</v>
      </c>
      <c r="I286" s="538" t="s">
        <v>155</v>
      </c>
      <c r="K286" s="538" t="s">
        <v>1580</v>
      </c>
      <c r="L286" s="538" t="s">
        <v>1581</v>
      </c>
      <c r="M286" s="538" t="s">
        <v>661</v>
      </c>
      <c r="N286" s="538" t="s">
        <v>1526</v>
      </c>
      <c r="O286" s="538" t="b">
        <v>0</v>
      </c>
      <c r="P286" s="538" t="b">
        <v>1</v>
      </c>
      <c r="Q286" s="538" t="s">
        <v>73</v>
      </c>
      <c r="S286" s="538" t="s">
        <v>79</v>
      </c>
      <c r="T286" s="538" t="s">
        <v>303</v>
      </c>
      <c r="U286" s="538" t="s">
        <v>79</v>
      </c>
      <c r="V286" s="538" t="s">
        <v>303</v>
      </c>
      <c r="W286" s="538" t="s">
        <v>79</v>
      </c>
      <c r="X286" s="538" t="s">
        <v>303</v>
      </c>
      <c r="Y286" s="538" t="s">
        <v>79</v>
      </c>
      <c r="Z286" s="538" t="s">
        <v>303</v>
      </c>
      <c r="AA286" s="538" t="s">
        <v>79</v>
      </c>
      <c r="AB286" s="538" t="s">
        <v>303</v>
      </c>
      <c r="AC286" s="538" t="s">
        <v>79</v>
      </c>
      <c r="AD286" s="538" t="s">
        <v>303</v>
      </c>
      <c r="AE286" s="538" t="s">
        <v>79</v>
      </c>
      <c r="AF286" s="538" t="s">
        <v>303</v>
      </c>
      <c r="AG286" s="538" t="s">
        <v>79</v>
      </c>
      <c r="AH286" s="538" t="s">
        <v>303</v>
      </c>
      <c r="AI286" s="538" t="s">
        <v>79</v>
      </c>
      <c r="AJ286" s="538" t="s">
        <v>303</v>
      </c>
      <c r="AK286" s="538" t="s">
        <v>79</v>
      </c>
      <c r="AL286" s="538" t="s">
        <v>303</v>
      </c>
      <c r="AM286" s="538" t="s">
        <v>79</v>
      </c>
      <c r="AN286" s="538" t="s">
        <v>303</v>
      </c>
      <c r="AO286" s="538" t="s">
        <v>79</v>
      </c>
      <c r="AP286" s="538" t="s">
        <v>295</v>
      </c>
      <c r="AQ286" s="538" t="s">
        <v>79</v>
      </c>
      <c r="AR286" s="538" t="s">
        <v>295</v>
      </c>
      <c r="AS286" s="538">
        <v>1.412669858E9</v>
      </c>
      <c r="AT286" s="538">
        <v>3.36948052E8</v>
      </c>
      <c r="AU286" s="538">
        <v>186.0</v>
      </c>
      <c r="AV286" s="538" t="s">
        <v>47</v>
      </c>
      <c r="AZ286" s="538">
        <v>1.0</v>
      </c>
      <c r="BA286" s="538">
        <v>1.0</v>
      </c>
      <c r="BB286" s="538">
        <v>1.0</v>
      </c>
      <c r="BE286" s="538">
        <v>0.5</v>
      </c>
      <c r="BF286" s="538">
        <v>0.1</v>
      </c>
      <c r="BG286" s="538">
        <v>0.15</v>
      </c>
      <c r="BJ286" s="546"/>
      <c r="BL286" s="546"/>
    </row>
    <row r="287" ht="22.5" customHeight="1">
      <c r="A287" s="538">
        <v>286.0</v>
      </c>
      <c r="B287" s="538" t="s">
        <v>1578</v>
      </c>
      <c r="C287" s="538" t="s">
        <v>82</v>
      </c>
      <c r="D287" s="538" t="s">
        <v>1579</v>
      </c>
      <c r="E287" s="538" t="s">
        <v>292</v>
      </c>
      <c r="F287" s="538" t="s">
        <v>248</v>
      </c>
      <c r="G287" s="538" t="s">
        <v>221</v>
      </c>
      <c r="H287" s="538" t="s">
        <v>222</v>
      </c>
      <c r="I287" s="538" t="s">
        <v>201</v>
      </c>
      <c r="K287" s="538" t="s">
        <v>1582</v>
      </c>
      <c r="L287" s="538" t="s">
        <v>1583</v>
      </c>
      <c r="M287" s="538" t="s">
        <v>673</v>
      </c>
      <c r="N287" s="538" t="s">
        <v>1584</v>
      </c>
      <c r="O287" s="538" t="b">
        <v>0</v>
      </c>
      <c r="P287" s="538" t="b">
        <v>1</v>
      </c>
      <c r="Q287" s="538" t="s">
        <v>73</v>
      </c>
      <c r="S287" s="538" t="s">
        <v>73</v>
      </c>
      <c r="U287" s="538" t="s">
        <v>79</v>
      </c>
      <c r="V287" s="538" t="s">
        <v>248</v>
      </c>
      <c r="W287" s="538" t="s">
        <v>79</v>
      </c>
      <c r="X287" s="538" t="s">
        <v>248</v>
      </c>
      <c r="Y287" s="538" t="s">
        <v>79</v>
      </c>
      <c r="Z287" s="538" t="s">
        <v>248</v>
      </c>
      <c r="AA287" s="538" t="s">
        <v>79</v>
      </c>
      <c r="AB287" s="538" t="s">
        <v>248</v>
      </c>
      <c r="AC287" s="538" t="s">
        <v>79</v>
      </c>
      <c r="AD287" s="538" t="s">
        <v>248</v>
      </c>
      <c r="AE287" s="538" t="s">
        <v>79</v>
      </c>
      <c r="AF287" s="538" t="s">
        <v>248</v>
      </c>
      <c r="AG287" s="538" t="s">
        <v>79</v>
      </c>
      <c r="AH287" s="538" t="s">
        <v>248</v>
      </c>
      <c r="AI287" s="538" t="s">
        <v>79</v>
      </c>
      <c r="AJ287" s="538" t="s">
        <v>248</v>
      </c>
      <c r="AK287" s="538" t="s">
        <v>79</v>
      </c>
      <c r="AL287" s="538" t="s">
        <v>248</v>
      </c>
      <c r="AM287" s="538" t="s">
        <v>79</v>
      </c>
      <c r="AN287" s="538" t="s">
        <v>248</v>
      </c>
      <c r="AO287" s="538" t="s">
        <v>79</v>
      </c>
      <c r="AP287" s="538" t="s">
        <v>292</v>
      </c>
      <c r="AQ287" s="538" t="s">
        <v>79</v>
      </c>
      <c r="AR287" s="538" t="s">
        <v>292</v>
      </c>
      <c r="AS287" s="538">
        <v>5.42000466E8</v>
      </c>
      <c r="AT287" s="538">
        <v>3.36948052E8</v>
      </c>
      <c r="AU287" s="538">
        <v>186.0</v>
      </c>
      <c r="AV287" s="538" t="s">
        <v>47</v>
      </c>
      <c r="AZ287" s="538">
        <v>1.0</v>
      </c>
      <c r="BA287" s="538">
        <v>1.0</v>
      </c>
      <c r="BB287" s="538">
        <v>1.0</v>
      </c>
      <c r="BC287" s="538">
        <v>1.0</v>
      </c>
      <c r="BD287" s="538">
        <v>1.0</v>
      </c>
      <c r="BE287" s="538">
        <v>0.02</v>
      </c>
      <c r="BF287" s="538">
        <v>0.03</v>
      </c>
      <c r="BG287" s="538">
        <v>0.04</v>
      </c>
      <c r="BH287" s="538">
        <v>0.05</v>
      </c>
      <c r="BI287" s="538">
        <v>0.06</v>
      </c>
      <c r="BJ287" s="546"/>
      <c r="BL287" s="546"/>
    </row>
    <row r="288" ht="22.5" customHeight="1">
      <c r="A288" s="538">
        <v>287.0</v>
      </c>
      <c r="B288" s="538" t="s">
        <v>1585</v>
      </c>
      <c r="C288" s="538" t="s">
        <v>84</v>
      </c>
      <c r="D288" s="538" t="s">
        <v>1579</v>
      </c>
      <c r="E288" s="538" t="s">
        <v>231</v>
      </c>
      <c r="F288" s="538" t="s">
        <v>303</v>
      </c>
      <c r="G288" s="538" t="s">
        <v>163</v>
      </c>
      <c r="H288" s="538" t="s">
        <v>250</v>
      </c>
      <c r="I288" s="538" t="s">
        <v>122</v>
      </c>
      <c r="K288" s="538" t="s">
        <v>1586</v>
      </c>
      <c r="L288" s="538" t="s">
        <v>1587</v>
      </c>
      <c r="M288" s="538" t="s">
        <v>661</v>
      </c>
      <c r="N288" s="538" t="s">
        <v>1436</v>
      </c>
      <c r="O288" s="538" t="b">
        <v>0</v>
      </c>
      <c r="P288" s="538" t="b">
        <v>1</v>
      </c>
      <c r="Q288" s="538" t="s">
        <v>73</v>
      </c>
      <c r="S288" s="538" t="s">
        <v>79</v>
      </c>
      <c r="T288" s="538" t="s">
        <v>303</v>
      </c>
      <c r="U288" s="538" t="s">
        <v>79</v>
      </c>
      <c r="V288" s="538" t="s">
        <v>303</v>
      </c>
      <c r="W288" s="538" t="s">
        <v>79</v>
      </c>
      <c r="X288" s="538" t="s">
        <v>303</v>
      </c>
      <c r="Y288" s="538" t="s">
        <v>79</v>
      </c>
      <c r="Z288" s="538" t="s">
        <v>303</v>
      </c>
      <c r="AA288" s="538" t="s">
        <v>79</v>
      </c>
      <c r="AB288" s="538" t="s">
        <v>303</v>
      </c>
      <c r="AC288" s="538" t="s">
        <v>79</v>
      </c>
      <c r="AD288" s="538" t="s">
        <v>303</v>
      </c>
      <c r="AE288" s="538" t="s">
        <v>79</v>
      </c>
      <c r="AF288" s="538" t="s">
        <v>303</v>
      </c>
      <c r="AG288" s="538" t="s">
        <v>79</v>
      </c>
      <c r="AH288" s="538" t="s">
        <v>303</v>
      </c>
      <c r="AI288" s="538" t="s">
        <v>79</v>
      </c>
      <c r="AJ288" s="538" t="s">
        <v>303</v>
      </c>
      <c r="AK288" s="538" t="s">
        <v>79</v>
      </c>
      <c r="AL288" s="538" t="s">
        <v>303</v>
      </c>
      <c r="AM288" s="538" t="s">
        <v>79</v>
      </c>
      <c r="AN288" s="538" t="s">
        <v>303</v>
      </c>
      <c r="AO288" s="538" t="s">
        <v>79</v>
      </c>
      <c r="AP288" s="538" t="s">
        <v>231</v>
      </c>
      <c r="AQ288" s="538" t="s">
        <v>79</v>
      </c>
      <c r="AR288" s="538" t="s">
        <v>231</v>
      </c>
      <c r="AS288" s="538">
        <v>4.018220297E9</v>
      </c>
      <c r="AT288" s="538">
        <v>2.1508965E8</v>
      </c>
      <c r="AU288" s="538">
        <v>187.0</v>
      </c>
      <c r="AV288" s="538" t="s">
        <v>46</v>
      </c>
      <c r="AZ288" s="538">
        <v>1.0</v>
      </c>
      <c r="BA288" s="538">
        <v>1.0</v>
      </c>
      <c r="BB288" s="538">
        <v>1.0</v>
      </c>
      <c r="BE288" s="538">
        <v>1.0</v>
      </c>
      <c r="BF288" s="538">
        <v>0.25</v>
      </c>
      <c r="BG288" s="538">
        <v>0.5</v>
      </c>
      <c r="BJ288" s="546"/>
      <c r="BL288" s="546"/>
    </row>
    <row r="289" ht="22.5" customHeight="1">
      <c r="A289" s="538">
        <v>288.0</v>
      </c>
      <c r="B289" s="538" t="s">
        <v>1585</v>
      </c>
      <c r="C289" s="538" t="s">
        <v>82</v>
      </c>
      <c r="D289" s="538" t="s">
        <v>1579</v>
      </c>
      <c r="E289" s="538" t="s">
        <v>218</v>
      </c>
      <c r="F289" s="538" t="s">
        <v>233</v>
      </c>
      <c r="G289" s="538" t="s">
        <v>163</v>
      </c>
      <c r="H289" s="538" t="s">
        <v>250</v>
      </c>
      <c r="I289" s="538" t="s">
        <v>176</v>
      </c>
      <c r="J289" s="538" t="s">
        <v>281</v>
      </c>
      <c r="K289" s="538" t="s">
        <v>1588</v>
      </c>
      <c r="L289" s="538" t="s">
        <v>1589</v>
      </c>
      <c r="M289" s="538" t="s">
        <v>673</v>
      </c>
      <c r="N289" s="538" t="s">
        <v>906</v>
      </c>
      <c r="O289" s="538" t="b">
        <v>0</v>
      </c>
      <c r="P289" s="538" t="b">
        <v>1</v>
      </c>
      <c r="Q289" s="538" t="s">
        <v>75</v>
      </c>
      <c r="R289" s="538" t="s">
        <v>1027</v>
      </c>
      <c r="S289" s="538" t="s">
        <v>75</v>
      </c>
      <c r="T289" s="538" t="s">
        <v>1027</v>
      </c>
      <c r="U289" s="538" t="s">
        <v>75</v>
      </c>
      <c r="V289" s="538" t="s">
        <v>1027</v>
      </c>
      <c r="W289" s="538" t="s">
        <v>75</v>
      </c>
      <c r="X289" s="538" t="s">
        <v>1027</v>
      </c>
      <c r="Y289" s="538" t="s">
        <v>75</v>
      </c>
      <c r="Z289" s="538" t="s">
        <v>1027</v>
      </c>
      <c r="AA289" s="538" t="s">
        <v>75</v>
      </c>
      <c r="AB289" s="538" t="s">
        <v>1027</v>
      </c>
      <c r="AC289" s="538" t="s">
        <v>75</v>
      </c>
      <c r="AD289" s="538" t="s">
        <v>1027</v>
      </c>
      <c r="AE289" s="538" t="s">
        <v>75</v>
      </c>
      <c r="AF289" s="538" t="s">
        <v>1027</v>
      </c>
      <c r="AG289" s="538" t="s">
        <v>75</v>
      </c>
      <c r="AH289" s="538" t="s">
        <v>1027</v>
      </c>
      <c r="AI289" s="538" t="s">
        <v>79</v>
      </c>
      <c r="AJ289" s="538" t="s">
        <v>233</v>
      </c>
      <c r="AK289" s="538" t="s">
        <v>79</v>
      </c>
      <c r="AL289" s="538" t="s">
        <v>233</v>
      </c>
      <c r="AM289" s="538" t="s">
        <v>79</v>
      </c>
      <c r="AN289" s="538" t="s">
        <v>233</v>
      </c>
      <c r="AO289" s="538" t="s">
        <v>79</v>
      </c>
      <c r="AP289" s="538" t="s">
        <v>218</v>
      </c>
      <c r="AQ289" s="538" t="s">
        <v>79</v>
      </c>
      <c r="AR289" s="538" t="s">
        <v>218</v>
      </c>
      <c r="AS289" s="538">
        <v>2.23743617E8</v>
      </c>
      <c r="AT289" s="538">
        <v>2.1508965E8</v>
      </c>
      <c r="AU289" s="538">
        <v>187.0</v>
      </c>
      <c r="AV289" s="538" t="s">
        <v>46</v>
      </c>
      <c r="AY289" s="538" t="s">
        <v>1027</v>
      </c>
      <c r="AZ289" s="538">
        <v>1.0</v>
      </c>
      <c r="BA289" s="538">
        <v>1.0</v>
      </c>
      <c r="BB289" s="538">
        <v>1.0</v>
      </c>
      <c r="BC289" s="538">
        <v>1.0</v>
      </c>
      <c r="BD289" s="538">
        <v>1.0</v>
      </c>
      <c r="BE289" s="538">
        <v>0.25</v>
      </c>
      <c r="BF289" s="538">
        <v>0.35</v>
      </c>
      <c r="BG289" s="538">
        <v>0.75</v>
      </c>
      <c r="BH289" s="538">
        <v>1.75</v>
      </c>
      <c r="BI289" s="538">
        <v>5.0</v>
      </c>
      <c r="BJ289" s="546"/>
      <c r="BL289" s="546"/>
    </row>
    <row r="290" ht="22.5" customHeight="1">
      <c r="A290" s="538">
        <v>289.0</v>
      </c>
      <c r="B290" s="538" t="s">
        <v>1590</v>
      </c>
      <c r="C290" s="538" t="s">
        <v>84</v>
      </c>
      <c r="D290" s="538" t="s">
        <v>1571</v>
      </c>
      <c r="E290" s="538" t="s">
        <v>218</v>
      </c>
      <c r="F290" s="538" t="s">
        <v>279</v>
      </c>
      <c r="G290" s="538" t="s">
        <v>163</v>
      </c>
      <c r="H290" s="538" t="s">
        <v>250</v>
      </c>
      <c r="I290" s="538" t="s">
        <v>122</v>
      </c>
      <c r="K290" s="538" t="s">
        <v>1591</v>
      </c>
      <c r="L290" s="538" t="s">
        <v>1592</v>
      </c>
      <c r="M290" s="538" t="s">
        <v>661</v>
      </c>
      <c r="N290" s="538" t="s">
        <v>1593</v>
      </c>
      <c r="O290" s="538" t="b">
        <v>0</v>
      </c>
      <c r="P290" s="538" t="b">
        <v>1</v>
      </c>
      <c r="Q290" s="538" t="s">
        <v>75</v>
      </c>
      <c r="R290" s="538" t="s">
        <v>279</v>
      </c>
      <c r="S290" s="538" t="s">
        <v>75</v>
      </c>
      <c r="T290" s="538" t="s">
        <v>279</v>
      </c>
      <c r="U290" s="538" t="s">
        <v>75</v>
      </c>
      <c r="V290" s="538" t="s">
        <v>279</v>
      </c>
      <c r="W290" s="538" t="s">
        <v>75</v>
      </c>
      <c r="X290" s="538" t="s">
        <v>279</v>
      </c>
      <c r="Y290" s="538" t="s">
        <v>75</v>
      </c>
      <c r="Z290" s="538" t="s">
        <v>279</v>
      </c>
      <c r="AA290" s="538" t="s">
        <v>75</v>
      </c>
      <c r="AB290" s="538" t="s">
        <v>279</v>
      </c>
      <c r="AC290" s="538" t="s">
        <v>75</v>
      </c>
      <c r="AD290" s="538" t="s">
        <v>279</v>
      </c>
      <c r="AE290" s="538" t="s">
        <v>75</v>
      </c>
      <c r="AF290" s="538" t="s">
        <v>279</v>
      </c>
      <c r="AG290" s="538" t="s">
        <v>75</v>
      </c>
      <c r="AH290" s="538" t="s">
        <v>279</v>
      </c>
      <c r="AI290" s="538" t="s">
        <v>75</v>
      </c>
      <c r="AJ290" s="538" t="s">
        <v>279</v>
      </c>
      <c r="AK290" s="538" t="s">
        <v>75</v>
      </c>
      <c r="AL290" s="538" t="s">
        <v>279</v>
      </c>
      <c r="AM290" s="538" t="s">
        <v>75</v>
      </c>
      <c r="AN290" s="538" t="s">
        <v>279</v>
      </c>
      <c r="AO290" s="538" t="s">
        <v>79</v>
      </c>
      <c r="AP290" s="538" t="s">
        <v>218</v>
      </c>
      <c r="AQ290" s="538" t="s">
        <v>79</v>
      </c>
      <c r="AR290" s="538" t="s">
        <v>218</v>
      </c>
      <c r="AS290" s="538">
        <v>2.629388546E9</v>
      </c>
      <c r="AT290" s="538">
        <v>2.392608691E9</v>
      </c>
      <c r="AU290" s="538">
        <v>183.0</v>
      </c>
      <c r="AV290" s="538" t="s">
        <v>46</v>
      </c>
      <c r="AY290" s="538" t="s">
        <v>279</v>
      </c>
      <c r="AZ290" s="538">
        <v>1.0</v>
      </c>
      <c r="BA290" s="538">
        <v>1.0</v>
      </c>
      <c r="BB290" s="538">
        <v>1.0</v>
      </c>
      <c r="BE290" s="538">
        <v>0.5</v>
      </c>
      <c r="BF290" s="538">
        <v>0.05</v>
      </c>
      <c r="BG290" s="538">
        <v>0.1</v>
      </c>
      <c r="BJ290" s="546"/>
      <c r="BL290" s="546"/>
    </row>
    <row r="291" ht="22.5" customHeight="1">
      <c r="A291" s="538">
        <v>290.0</v>
      </c>
      <c r="B291" s="538" t="s">
        <v>1590</v>
      </c>
      <c r="C291" s="538" t="s">
        <v>82</v>
      </c>
      <c r="D291" s="538" t="s">
        <v>1571</v>
      </c>
      <c r="E291" s="538" t="s">
        <v>375</v>
      </c>
      <c r="G291" s="538" t="s">
        <v>163</v>
      </c>
      <c r="H291" s="538" t="s">
        <v>250</v>
      </c>
      <c r="I291" s="538" t="s">
        <v>176</v>
      </c>
      <c r="J291" s="538" t="s">
        <v>397</v>
      </c>
      <c r="K291" s="538" t="s">
        <v>1594</v>
      </c>
      <c r="L291" s="538" t="s">
        <v>1595</v>
      </c>
      <c r="M291" s="538" t="s">
        <v>673</v>
      </c>
      <c r="N291" s="538" t="s">
        <v>1596</v>
      </c>
      <c r="O291" s="538" t="b">
        <v>0</v>
      </c>
      <c r="P291" s="538" t="b">
        <v>1</v>
      </c>
      <c r="Q291" s="538" t="s">
        <v>73</v>
      </c>
      <c r="S291" s="538" t="s">
        <v>73</v>
      </c>
      <c r="U291" s="538" t="s">
        <v>73</v>
      </c>
      <c r="W291" s="538" t="s">
        <v>73</v>
      </c>
      <c r="Y291" s="538" t="s">
        <v>73</v>
      </c>
      <c r="AA291" s="538" t="s">
        <v>73</v>
      </c>
      <c r="AC291" s="538" t="s">
        <v>73</v>
      </c>
      <c r="AE291" s="538" t="s">
        <v>73</v>
      </c>
      <c r="AG291" s="538" t="s">
        <v>73</v>
      </c>
      <c r="AI291" s="538" t="s">
        <v>73</v>
      </c>
      <c r="AK291" s="538" t="s">
        <v>73</v>
      </c>
      <c r="AM291" s="538" t="s">
        <v>73</v>
      </c>
      <c r="AO291" s="538" t="s">
        <v>79</v>
      </c>
      <c r="AP291" s="538" t="s">
        <v>375</v>
      </c>
      <c r="AQ291" s="538" t="s">
        <v>79</v>
      </c>
      <c r="AR291" s="538" t="s">
        <v>375</v>
      </c>
      <c r="AS291" s="538">
        <v>1.180450595E9</v>
      </c>
      <c r="AT291" s="538">
        <v>2.392608691E9</v>
      </c>
      <c r="AU291" s="538">
        <v>183.0</v>
      </c>
      <c r="AV291" s="538" t="s">
        <v>46</v>
      </c>
      <c r="AZ291" s="538">
        <v>1.0</v>
      </c>
      <c r="BA291" s="538">
        <v>1.0</v>
      </c>
      <c r="BB291" s="538">
        <v>1.0</v>
      </c>
      <c r="BC291" s="538">
        <v>1.0</v>
      </c>
      <c r="BD291" s="538">
        <v>1.0</v>
      </c>
      <c r="BE291" s="538">
        <v>2.0</v>
      </c>
      <c r="BF291" s="538">
        <v>5.0</v>
      </c>
      <c r="BG291" s="538">
        <v>8.0</v>
      </c>
      <c r="BH291" s="538">
        <v>11.0</v>
      </c>
      <c r="BI291" s="538">
        <v>14.0</v>
      </c>
      <c r="BJ291" s="546"/>
      <c r="BL291" s="546"/>
    </row>
    <row r="292" ht="22.5" customHeight="1">
      <c r="A292" s="538">
        <v>291.0</v>
      </c>
      <c r="B292" s="538" t="s">
        <v>1597</v>
      </c>
      <c r="C292" s="538" t="s">
        <v>84</v>
      </c>
      <c r="D292" s="538" t="s">
        <v>1571</v>
      </c>
      <c r="E292" s="538" t="s">
        <v>218</v>
      </c>
      <c r="F292" s="538" t="s">
        <v>282</v>
      </c>
      <c r="G292" s="538" t="s">
        <v>163</v>
      </c>
      <c r="H292" s="538" t="s">
        <v>250</v>
      </c>
      <c r="I292" s="538" t="s">
        <v>122</v>
      </c>
      <c r="K292" s="538" t="s">
        <v>1598</v>
      </c>
      <c r="L292" s="538" t="s">
        <v>1599</v>
      </c>
      <c r="M292" s="538" t="s">
        <v>661</v>
      </c>
      <c r="N292" s="538" t="s">
        <v>1593</v>
      </c>
      <c r="O292" s="538" t="b">
        <v>0</v>
      </c>
      <c r="P292" s="538" t="b">
        <v>1</v>
      </c>
      <c r="Q292" s="538" t="s">
        <v>75</v>
      </c>
      <c r="R292" s="538" t="s">
        <v>282</v>
      </c>
      <c r="S292" s="538" t="s">
        <v>75</v>
      </c>
      <c r="T292" s="538" t="s">
        <v>282</v>
      </c>
      <c r="U292" s="538" t="s">
        <v>75</v>
      </c>
      <c r="V292" s="538" t="s">
        <v>282</v>
      </c>
      <c r="W292" s="538" t="s">
        <v>75</v>
      </c>
      <c r="X292" s="538" t="s">
        <v>282</v>
      </c>
      <c r="Y292" s="538" t="s">
        <v>75</v>
      </c>
      <c r="Z292" s="538" t="s">
        <v>282</v>
      </c>
      <c r="AA292" s="538" t="s">
        <v>75</v>
      </c>
      <c r="AB292" s="538" t="s">
        <v>282</v>
      </c>
      <c r="AC292" s="538" t="s">
        <v>75</v>
      </c>
      <c r="AD292" s="538" t="s">
        <v>282</v>
      </c>
      <c r="AE292" s="538" t="s">
        <v>75</v>
      </c>
      <c r="AF292" s="538" t="s">
        <v>282</v>
      </c>
      <c r="AG292" s="538" t="s">
        <v>75</v>
      </c>
      <c r="AH292" s="538" t="s">
        <v>282</v>
      </c>
      <c r="AI292" s="538" t="s">
        <v>75</v>
      </c>
      <c r="AJ292" s="538" t="s">
        <v>282</v>
      </c>
      <c r="AK292" s="538" t="s">
        <v>75</v>
      </c>
      <c r="AL292" s="538" t="s">
        <v>282</v>
      </c>
      <c r="AM292" s="538" t="s">
        <v>75</v>
      </c>
      <c r="AN292" s="538" t="s">
        <v>282</v>
      </c>
      <c r="AO292" s="538" t="s">
        <v>79</v>
      </c>
      <c r="AP292" s="538" t="s">
        <v>218</v>
      </c>
      <c r="AQ292" s="538" t="s">
        <v>79</v>
      </c>
      <c r="AR292" s="538" t="s">
        <v>218</v>
      </c>
      <c r="AS292" s="538">
        <v>8.76485508E8</v>
      </c>
      <c r="AT292" s="538">
        <v>2.184439996E9</v>
      </c>
      <c r="AU292" s="538">
        <v>184.0</v>
      </c>
      <c r="AV292" s="538" t="s">
        <v>46</v>
      </c>
      <c r="AY292" s="538" t="s">
        <v>282</v>
      </c>
      <c r="AZ292" s="538">
        <v>1.0</v>
      </c>
      <c r="BA292" s="538">
        <v>1.0</v>
      </c>
      <c r="BB292" s="538">
        <v>1.0</v>
      </c>
      <c r="BE292" s="538">
        <v>0.5</v>
      </c>
      <c r="BF292" s="538">
        <v>0.05</v>
      </c>
      <c r="BG292" s="538">
        <v>0.1</v>
      </c>
      <c r="BJ292" s="546"/>
      <c r="BL292" s="546"/>
    </row>
    <row r="293" ht="22.5" customHeight="1">
      <c r="A293" s="538">
        <v>292.0</v>
      </c>
      <c r="B293" s="538" t="s">
        <v>1597</v>
      </c>
      <c r="C293" s="538" t="s">
        <v>82</v>
      </c>
      <c r="D293" s="538" t="s">
        <v>1571</v>
      </c>
      <c r="E293" s="538" t="s">
        <v>381</v>
      </c>
      <c r="G293" s="538" t="s">
        <v>163</v>
      </c>
      <c r="H293" s="538" t="s">
        <v>250</v>
      </c>
      <c r="I293" s="538" t="s">
        <v>176</v>
      </c>
      <c r="J293" s="538" t="s">
        <v>395</v>
      </c>
      <c r="K293" s="538" t="s">
        <v>1600</v>
      </c>
      <c r="L293" s="538" t="s">
        <v>1601</v>
      </c>
      <c r="M293" s="538" t="s">
        <v>673</v>
      </c>
      <c r="N293" s="538" t="s">
        <v>1596</v>
      </c>
      <c r="O293" s="538" t="b">
        <v>0</v>
      </c>
      <c r="P293" s="538" t="b">
        <v>1</v>
      </c>
      <c r="Q293" s="538" t="s">
        <v>73</v>
      </c>
      <c r="S293" s="538" t="s">
        <v>73</v>
      </c>
      <c r="U293" s="538" t="s">
        <v>73</v>
      </c>
      <c r="W293" s="538" t="s">
        <v>73</v>
      </c>
      <c r="Y293" s="538" t="s">
        <v>73</v>
      </c>
      <c r="AA293" s="538" t="s">
        <v>73</v>
      </c>
      <c r="AC293" s="538" t="s">
        <v>73</v>
      </c>
      <c r="AE293" s="538" t="s">
        <v>73</v>
      </c>
      <c r="AG293" s="538" t="s">
        <v>73</v>
      </c>
      <c r="AI293" s="538" t="s">
        <v>73</v>
      </c>
      <c r="AK293" s="538" t="s">
        <v>73</v>
      </c>
      <c r="AM293" s="538" t="s">
        <v>73</v>
      </c>
      <c r="AO293" s="538" t="s">
        <v>79</v>
      </c>
      <c r="AP293" s="538" t="s">
        <v>381</v>
      </c>
      <c r="AQ293" s="538" t="s">
        <v>79</v>
      </c>
      <c r="AR293" s="538" t="s">
        <v>381</v>
      </c>
      <c r="AS293" s="538">
        <v>4.048510643E9</v>
      </c>
      <c r="AT293" s="538">
        <v>2.184439996E9</v>
      </c>
      <c r="AU293" s="538">
        <v>184.0</v>
      </c>
      <c r="AV293" s="538" t="s">
        <v>46</v>
      </c>
      <c r="AZ293" s="538">
        <v>1.0</v>
      </c>
      <c r="BA293" s="538">
        <v>1.0</v>
      </c>
      <c r="BB293" s="538">
        <v>1.0</v>
      </c>
      <c r="BC293" s="538">
        <v>1.0</v>
      </c>
      <c r="BD293" s="538">
        <v>1.0</v>
      </c>
      <c r="BE293" s="538">
        <v>2.0</v>
      </c>
      <c r="BF293" s="538">
        <v>5.0</v>
      </c>
      <c r="BG293" s="538">
        <v>8.0</v>
      </c>
      <c r="BH293" s="538">
        <v>11.0</v>
      </c>
      <c r="BI293" s="538">
        <v>14.0</v>
      </c>
      <c r="BJ293" s="546"/>
      <c r="BL293" s="546"/>
    </row>
    <row r="294" ht="22.5" customHeight="1">
      <c r="A294" s="538">
        <v>293.0</v>
      </c>
      <c r="B294" s="538" t="s">
        <v>1602</v>
      </c>
      <c r="C294" s="538" t="s">
        <v>84</v>
      </c>
      <c r="D294" s="538" t="s">
        <v>1603</v>
      </c>
      <c r="E294" s="538" t="s">
        <v>268</v>
      </c>
      <c r="G294" s="538" t="s">
        <v>151</v>
      </c>
      <c r="H294" s="538" t="s">
        <v>250</v>
      </c>
      <c r="I294" s="538" t="s">
        <v>122</v>
      </c>
      <c r="K294" s="538" t="s">
        <v>1604</v>
      </c>
      <c r="L294" s="538" t="s">
        <v>806</v>
      </c>
      <c r="M294" s="538" t="s">
        <v>661</v>
      </c>
      <c r="N294" s="538" t="s">
        <v>1436</v>
      </c>
      <c r="O294" s="538" t="b">
        <v>0</v>
      </c>
      <c r="P294" s="538" t="b">
        <v>1</v>
      </c>
      <c r="Q294" s="538" t="s">
        <v>79</v>
      </c>
      <c r="R294" s="538" t="s">
        <v>268</v>
      </c>
      <c r="S294" s="538" t="s">
        <v>79</v>
      </c>
      <c r="T294" s="538" t="s">
        <v>268</v>
      </c>
      <c r="U294" s="538" t="s">
        <v>79</v>
      </c>
      <c r="V294" s="538" t="s">
        <v>268</v>
      </c>
      <c r="W294" s="538" t="s">
        <v>79</v>
      </c>
      <c r="X294" s="538" t="s">
        <v>268</v>
      </c>
      <c r="Y294" s="538" t="s">
        <v>79</v>
      </c>
      <c r="Z294" s="538" t="s">
        <v>268</v>
      </c>
      <c r="AA294" s="538" t="s">
        <v>79</v>
      </c>
      <c r="AB294" s="538" t="s">
        <v>268</v>
      </c>
      <c r="AC294" s="538" t="s">
        <v>79</v>
      </c>
      <c r="AD294" s="538" t="s">
        <v>268</v>
      </c>
      <c r="AE294" s="538" t="s">
        <v>79</v>
      </c>
      <c r="AF294" s="538" t="s">
        <v>268</v>
      </c>
      <c r="AG294" s="538" t="s">
        <v>79</v>
      </c>
      <c r="AH294" s="538" t="s">
        <v>268</v>
      </c>
      <c r="AI294" s="538" t="s">
        <v>79</v>
      </c>
      <c r="AJ294" s="538" t="s">
        <v>268</v>
      </c>
      <c r="AK294" s="538" t="s">
        <v>79</v>
      </c>
      <c r="AL294" s="538" t="s">
        <v>268</v>
      </c>
      <c r="AM294" s="538" t="s">
        <v>79</v>
      </c>
      <c r="AN294" s="538" t="s">
        <v>268</v>
      </c>
      <c r="AO294" s="538" t="s">
        <v>79</v>
      </c>
      <c r="AP294" s="538" t="s">
        <v>268</v>
      </c>
      <c r="AQ294" s="538" t="s">
        <v>73</v>
      </c>
      <c r="AS294" s="538">
        <v>7.41219458E8</v>
      </c>
      <c r="AT294" s="538">
        <v>9.09354959E8</v>
      </c>
      <c r="AU294" s="538">
        <v>921.0</v>
      </c>
      <c r="AV294" s="538" t="s">
        <v>47</v>
      </c>
      <c r="AZ294" s="538">
        <v>1.0</v>
      </c>
      <c r="BA294" s="538">
        <v>1.0</v>
      </c>
      <c r="BB294" s="538">
        <v>1.0</v>
      </c>
      <c r="BE294" s="538">
        <v>1.0</v>
      </c>
      <c r="BF294" s="538">
        <v>0.25</v>
      </c>
      <c r="BG294" s="538">
        <v>0.5</v>
      </c>
      <c r="BJ294" s="546"/>
      <c r="BL294" s="546"/>
    </row>
    <row r="295" ht="22.5" customHeight="1">
      <c r="A295" s="538">
        <v>294.0</v>
      </c>
      <c r="B295" s="538" t="s">
        <v>1602</v>
      </c>
      <c r="C295" s="538" t="s">
        <v>82</v>
      </c>
      <c r="D295" s="538" t="s">
        <v>1603</v>
      </c>
      <c r="E295" s="538" t="s">
        <v>398</v>
      </c>
      <c r="G295" s="538" t="s">
        <v>151</v>
      </c>
      <c r="H295" s="538" t="s">
        <v>250</v>
      </c>
      <c r="I295" s="538" t="s">
        <v>122</v>
      </c>
      <c r="K295" s="538" t="s">
        <v>1605</v>
      </c>
      <c r="L295" s="538" t="s">
        <v>1606</v>
      </c>
      <c r="M295" s="538" t="s">
        <v>673</v>
      </c>
      <c r="N295" s="538" t="s">
        <v>1476</v>
      </c>
      <c r="O295" s="538" t="b">
        <v>0</v>
      </c>
      <c r="P295" s="538" t="b">
        <v>1</v>
      </c>
      <c r="Q295" s="538" t="s">
        <v>79</v>
      </c>
      <c r="R295" s="538" t="s">
        <v>398</v>
      </c>
      <c r="S295" s="538" t="s">
        <v>79</v>
      </c>
      <c r="T295" s="538" t="s">
        <v>398</v>
      </c>
      <c r="U295" s="538" t="s">
        <v>79</v>
      </c>
      <c r="V295" s="538" t="s">
        <v>398</v>
      </c>
      <c r="W295" s="538" t="s">
        <v>79</v>
      </c>
      <c r="X295" s="538" t="s">
        <v>398</v>
      </c>
      <c r="Y295" s="538" t="s">
        <v>79</v>
      </c>
      <c r="Z295" s="538" t="s">
        <v>398</v>
      </c>
      <c r="AA295" s="538" t="s">
        <v>79</v>
      </c>
      <c r="AB295" s="538" t="s">
        <v>398</v>
      </c>
      <c r="AC295" s="538" t="s">
        <v>79</v>
      </c>
      <c r="AD295" s="538" t="s">
        <v>398</v>
      </c>
      <c r="AE295" s="538" t="s">
        <v>79</v>
      </c>
      <c r="AF295" s="538" t="s">
        <v>398</v>
      </c>
      <c r="AG295" s="538" t="s">
        <v>79</v>
      </c>
      <c r="AH295" s="538" t="s">
        <v>398</v>
      </c>
      <c r="AI295" s="538" t="s">
        <v>79</v>
      </c>
      <c r="AJ295" s="538" t="s">
        <v>398</v>
      </c>
      <c r="AK295" s="538" t="s">
        <v>79</v>
      </c>
      <c r="AL295" s="538" t="s">
        <v>398</v>
      </c>
      <c r="AM295" s="538" t="s">
        <v>79</v>
      </c>
      <c r="AN295" s="538" t="s">
        <v>398</v>
      </c>
      <c r="AO295" s="538" t="s">
        <v>79</v>
      </c>
      <c r="AP295" s="538" t="s">
        <v>398</v>
      </c>
      <c r="AQ295" s="538" t="s">
        <v>73</v>
      </c>
      <c r="AS295" s="538">
        <v>1.514072808E9</v>
      </c>
      <c r="AT295" s="538">
        <v>9.09354959E8</v>
      </c>
      <c r="AU295" s="538">
        <v>921.0</v>
      </c>
      <c r="AV295" s="538" t="s">
        <v>47</v>
      </c>
      <c r="AZ295" s="538">
        <v>1.0</v>
      </c>
      <c r="BA295" s="538">
        <v>1.0</v>
      </c>
      <c r="BB295" s="538">
        <v>1.0</v>
      </c>
      <c r="BC295" s="538">
        <v>1.0</v>
      </c>
      <c r="BD295" s="538">
        <v>1.0</v>
      </c>
      <c r="BE295" s="538">
        <v>0.06</v>
      </c>
      <c r="BF295" s="538">
        <v>0.08</v>
      </c>
      <c r="BG295" s="538">
        <v>0.1</v>
      </c>
      <c r="BH295" s="538">
        <v>0.12</v>
      </c>
      <c r="BI295" s="538">
        <v>0.15</v>
      </c>
      <c r="BJ295" s="546"/>
      <c r="BL295" s="546"/>
    </row>
    <row r="296" ht="22.5" customHeight="1">
      <c r="A296" s="538">
        <v>295.0</v>
      </c>
      <c r="B296" s="538" t="s">
        <v>1607</v>
      </c>
      <c r="C296" s="538" t="s">
        <v>84</v>
      </c>
      <c r="D296" s="538" t="s">
        <v>1571</v>
      </c>
      <c r="E296" s="538" t="s">
        <v>218</v>
      </c>
      <c r="G296" s="538" t="s">
        <v>163</v>
      </c>
      <c r="H296" s="538" t="s">
        <v>250</v>
      </c>
      <c r="I296" s="538" t="s">
        <v>122</v>
      </c>
      <c r="K296" s="538" t="s">
        <v>1608</v>
      </c>
      <c r="L296" s="538" t="s">
        <v>1100</v>
      </c>
      <c r="M296" s="538" t="s">
        <v>661</v>
      </c>
      <c r="N296" s="538" t="s">
        <v>1609</v>
      </c>
      <c r="O296" s="538" t="b">
        <v>0</v>
      </c>
      <c r="P296" s="538" t="b">
        <v>1</v>
      </c>
      <c r="Q296" s="538" t="s">
        <v>73</v>
      </c>
      <c r="S296" s="538" t="s">
        <v>73</v>
      </c>
      <c r="U296" s="538" t="s">
        <v>73</v>
      </c>
      <c r="W296" s="538" t="s">
        <v>73</v>
      </c>
      <c r="Y296" s="538" t="s">
        <v>73</v>
      </c>
      <c r="AA296" s="538" t="s">
        <v>73</v>
      </c>
      <c r="AC296" s="538" t="s">
        <v>73</v>
      </c>
      <c r="AE296" s="538" t="s">
        <v>73</v>
      </c>
      <c r="AG296" s="538" t="s">
        <v>73</v>
      </c>
      <c r="AI296" s="538" t="s">
        <v>73</v>
      </c>
      <c r="AK296" s="538" t="s">
        <v>73</v>
      </c>
      <c r="AM296" s="538" t="s">
        <v>73</v>
      </c>
      <c r="AO296" s="538" t="s">
        <v>79</v>
      </c>
      <c r="AP296" s="538" t="s">
        <v>218</v>
      </c>
      <c r="AQ296" s="538" t="s">
        <v>79</v>
      </c>
      <c r="AR296" s="538" t="s">
        <v>218</v>
      </c>
      <c r="AS296" s="538">
        <v>1.281603395E9</v>
      </c>
      <c r="AT296" s="538">
        <v>5.66062509E8</v>
      </c>
      <c r="AU296" s="538">
        <v>185.0</v>
      </c>
      <c r="AV296" s="538" t="s">
        <v>46</v>
      </c>
      <c r="AZ296" s="538">
        <v>1.0</v>
      </c>
      <c r="BA296" s="538">
        <v>1.0</v>
      </c>
      <c r="BB296" s="538">
        <v>1.0</v>
      </c>
      <c r="BE296" s="538">
        <v>0.25</v>
      </c>
      <c r="BF296" s="538">
        <v>0.025</v>
      </c>
      <c r="BG296" s="538">
        <v>0.05</v>
      </c>
      <c r="BJ296" s="546"/>
      <c r="BL296" s="546"/>
    </row>
    <row r="297" ht="22.5" customHeight="1">
      <c r="A297" s="538">
        <v>296.0</v>
      </c>
      <c r="B297" s="538" t="s">
        <v>1607</v>
      </c>
      <c r="C297" s="538" t="s">
        <v>82</v>
      </c>
      <c r="D297" s="538" t="s">
        <v>1571</v>
      </c>
      <c r="E297" s="538" t="s">
        <v>378</v>
      </c>
      <c r="G297" s="538" t="s">
        <v>163</v>
      </c>
      <c r="H297" s="538" t="s">
        <v>250</v>
      </c>
      <c r="I297" s="538" t="s">
        <v>176</v>
      </c>
      <c r="J297" s="538" t="s">
        <v>393</v>
      </c>
      <c r="K297" s="538" t="s">
        <v>1610</v>
      </c>
      <c r="L297" s="538" t="s">
        <v>1611</v>
      </c>
      <c r="M297" s="538" t="s">
        <v>673</v>
      </c>
      <c r="N297" s="538" t="s">
        <v>1596</v>
      </c>
      <c r="O297" s="538" t="b">
        <v>0</v>
      </c>
      <c r="P297" s="538" t="b">
        <v>1</v>
      </c>
      <c r="Q297" s="538" t="s">
        <v>73</v>
      </c>
      <c r="S297" s="538" t="s">
        <v>73</v>
      </c>
      <c r="U297" s="538" t="s">
        <v>73</v>
      </c>
      <c r="W297" s="538" t="s">
        <v>73</v>
      </c>
      <c r="Y297" s="538" t="s">
        <v>73</v>
      </c>
      <c r="AA297" s="538" t="s">
        <v>73</v>
      </c>
      <c r="AC297" s="538" t="s">
        <v>73</v>
      </c>
      <c r="AE297" s="538" t="s">
        <v>73</v>
      </c>
      <c r="AG297" s="538" t="s">
        <v>73</v>
      </c>
      <c r="AI297" s="538" t="s">
        <v>73</v>
      </c>
      <c r="AK297" s="538" t="s">
        <v>73</v>
      </c>
      <c r="AM297" s="538" t="s">
        <v>73</v>
      </c>
      <c r="AO297" s="538" t="s">
        <v>79</v>
      </c>
      <c r="AP297" s="538" t="s">
        <v>378</v>
      </c>
      <c r="AQ297" s="538" t="s">
        <v>79</v>
      </c>
      <c r="AR297" s="538" t="s">
        <v>378</v>
      </c>
      <c r="AS297" s="538">
        <v>1.300699647E9</v>
      </c>
      <c r="AT297" s="538">
        <v>5.66062509E8</v>
      </c>
      <c r="AU297" s="538">
        <v>185.0</v>
      </c>
      <c r="AV297" s="538" t="s">
        <v>46</v>
      </c>
      <c r="AZ297" s="538">
        <v>1.0</v>
      </c>
      <c r="BA297" s="538">
        <v>1.0</v>
      </c>
      <c r="BB297" s="538">
        <v>1.0</v>
      </c>
      <c r="BC297" s="538">
        <v>1.0</v>
      </c>
      <c r="BD297" s="538">
        <v>1.0</v>
      </c>
      <c r="BE297" s="538">
        <v>2.0</v>
      </c>
      <c r="BF297" s="538">
        <v>5.0</v>
      </c>
      <c r="BG297" s="538">
        <v>8.0</v>
      </c>
      <c r="BH297" s="538">
        <v>11.0</v>
      </c>
      <c r="BI297" s="538">
        <v>14.0</v>
      </c>
      <c r="BJ297" s="546"/>
      <c r="BL297" s="546"/>
    </row>
    <row r="298" ht="22.5" customHeight="1">
      <c r="A298" s="538">
        <v>297.0</v>
      </c>
      <c r="B298" s="538" t="s">
        <v>1612</v>
      </c>
      <c r="C298" s="538" t="s">
        <v>84</v>
      </c>
      <c r="D298" s="538" t="s">
        <v>1579</v>
      </c>
      <c r="E298" s="538" t="s">
        <v>389</v>
      </c>
      <c r="G298" s="538" t="s">
        <v>151</v>
      </c>
      <c r="H298" s="538" t="s">
        <v>250</v>
      </c>
      <c r="I298" s="538" t="s">
        <v>122</v>
      </c>
      <c r="K298" s="538" t="s">
        <v>1613</v>
      </c>
      <c r="L298" s="538" t="s">
        <v>1614</v>
      </c>
      <c r="M298" s="538" t="s">
        <v>661</v>
      </c>
      <c r="N298" s="538" t="s">
        <v>741</v>
      </c>
      <c r="O298" s="538" t="b">
        <v>0</v>
      </c>
      <c r="P298" s="538" t="b">
        <v>1</v>
      </c>
      <c r="Q298" s="538" t="s">
        <v>79</v>
      </c>
      <c r="R298" s="538" t="s">
        <v>389</v>
      </c>
      <c r="S298" s="538" t="s">
        <v>79</v>
      </c>
      <c r="T298" s="538" t="s">
        <v>389</v>
      </c>
      <c r="U298" s="538" t="s">
        <v>79</v>
      </c>
      <c r="V298" s="538" t="s">
        <v>389</v>
      </c>
      <c r="W298" s="538" t="s">
        <v>79</v>
      </c>
      <c r="X298" s="538" t="s">
        <v>389</v>
      </c>
      <c r="Y298" s="538" t="s">
        <v>79</v>
      </c>
      <c r="Z298" s="538" t="s">
        <v>389</v>
      </c>
      <c r="AA298" s="538" t="s">
        <v>79</v>
      </c>
      <c r="AB298" s="538" t="s">
        <v>389</v>
      </c>
      <c r="AC298" s="538" t="s">
        <v>79</v>
      </c>
      <c r="AD298" s="538" t="s">
        <v>389</v>
      </c>
      <c r="AE298" s="538" t="s">
        <v>79</v>
      </c>
      <c r="AF298" s="538" t="s">
        <v>389</v>
      </c>
      <c r="AG298" s="538" t="s">
        <v>79</v>
      </c>
      <c r="AH298" s="538" t="s">
        <v>389</v>
      </c>
      <c r="AI298" s="538" t="s">
        <v>79</v>
      </c>
      <c r="AJ298" s="538" t="s">
        <v>389</v>
      </c>
      <c r="AK298" s="538" t="s">
        <v>79</v>
      </c>
      <c r="AL298" s="538" t="s">
        <v>389</v>
      </c>
      <c r="AM298" s="538" t="s">
        <v>79</v>
      </c>
      <c r="AN298" s="538" t="s">
        <v>389</v>
      </c>
      <c r="AO298" s="538" t="s">
        <v>79</v>
      </c>
      <c r="AP298" s="538" t="s">
        <v>389</v>
      </c>
      <c r="AQ298" s="538" t="s">
        <v>73</v>
      </c>
      <c r="AS298" s="538">
        <v>2.319707047E9</v>
      </c>
      <c r="AT298" s="538">
        <v>1.577339063E9</v>
      </c>
      <c r="AU298" s="538">
        <v>189.0</v>
      </c>
      <c r="AV298" s="538" t="s">
        <v>46</v>
      </c>
      <c r="AZ298" s="538">
        <v>1.0</v>
      </c>
      <c r="BA298" s="538">
        <v>1.0</v>
      </c>
      <c r="BB298" s="538">
        <v>1.0</v>
      </c>
      <c r="BE298" s="538">
        <v>0.2</v>
      </c>
      <c r="BF298" s="538">
        <v>0.05</v>
      </c>
      <c r="BG298" s="538">
        <v>0.1</v>
      </c>
      <c r="BJ298" s="546"/>
      <c r="BL298" s="546"/>
    </row>
    <row r="299" ht="22.5" customHeight="1">
      <c r="A299" s="538">
        <v>298.0</v>
      </c>
      <c r="B299" s="538" t="s">
        <v>1612</v>
      </c>
      <c r="C299" s="538" t="s">
        <v>82</v>
      </c>
      <c r="D299" s="538" t="s">
        <v>1579</v>
      </c>
      <c r="E299" s="538" t="s">
        <v>280</v>
      </c>
      <c r="F299" s="538" t="s">
        <v>321</v>
      </c>
      <c r="G299" s="538" t="s">
        <v>151</v>
      </c>
      <c r="H299" s="538" t="s">
        <v>250</v>
      </c>
      <c r="I299" s="538" t="s">
        <v>122</v>
      </c>
      <c r="K299" s="538" t="s">
        <v>1615</v>
      </c>
      <c r="L299" s="538" t="s">
        <v>1616</v>
      </c>
      <c r="M299" s="538" t="s">
        <v>673</v>
      </c>
      <c r="N299" s="538" t="s">
        <v>1617</v>
      </c>
      <c r="O299" s="538" t="b">
        <v>0</v>
      </c>
      <c r="P299" s="538" t="b">
        <v>1</v>
      </c>
      <c r="Q299" s="538" t="s">
        <v>79</v>
      </c>
      <c r="R299" s="538" t="s">
        <v>321</v>
      </c>
      <c r="S299" s="538" t="s">
        <v>75</v>
      </c>
      <c r="T299" s="538" t="s">
        <v>1618</v>
      </c>
      <c r="U299" s="538" t="s">
        <v>79</v>
      </c>
      <c r="V299" s="538" t="s">
        <v>321</v>
      </c>
      <c r="W299" s="538" t="s">
        <v>79</v>
      </c>
      <c r="X299" s="538" t="s">
        <v>321</v>
      </c>
      <c r="Y299" s="538" t="s">
        <v>79</v>
      </c>
      <c r="Z299" s="538" t="s">
        <v>321</v>
      </c>
      <c r="AA299" s="538" t="s">
        <v>79</v>
      </c>
      <c r="AB299" s="538" t="s">
        <v>321</v>
      </c>
      <c r="AC299" s="538" t="s">
        <v>79</v>
      </c>
      <c r="AD299" s="538" t="s">
        <v>321</v>
      </c>
      <c r="AE299" s="538" t="s">
        <v>79</v>
      </c>
      <c r="AF299" s="538" t="s">
        <v>321</v>
      </c>
      <c r="AG299" s="538" t="s">
        <v>79</v>
      </c>
      <c r="AH299" s="538" t="s">
        <v>321</v>
      </c>
      <c r="AI299" s="538" t="s">
        <v>79</v>
      </c>
      <c r="AJ299" s="538" t="s">
        <v>321</v>
      </c>
      <c r="AK299" s="538" t="s">
        <v>79</v>
      </c>
      <c r="AL299" s="538" t="s">
        <v>321</v>
      </c>
      <c r="AM299" s="538" t="s">
        <v>79</v>
      </c>
      <c r="AN299" s="538" t="s">
        <v>321</v>
      </c>
      <c r="AO299" s="538" t="s">
        <v>79</v>
      </c>
      <c r="AP299" s="538" t="s">
        <v>280</v>
      </c>
      <c r="AQ299" s="538" t="s">
        <v>79</v>
      </c>
      <c r="AR299" s="538" t="s">
        <v>280</v>
      </c>
      <c r="AS299" s="538">
        <v>2.971941649E9</v>
      </c>
      <c r="AT299" s="538">
        <v>1.577339063E9</v>
      </c>
      <c r="AU299" s="538">
        <v>189.0</v>
      </c>
      <c r="AV299" s="538" t="s">
        <v>46</v>
      </c>
      <c r="AY299" s="538" t="s">
        <v>1618</v>
      </c>
      <c r="AZ299" s="538">
        <v>1.0</v>
      </c>
      <c r="BA299" s="538">
        <v>1.0</v>
      </c>
      <c r="BB299" s="538">
        <v>1.0</v>
      </c>
      <c r="BC299" s="538">
        <v>1.0</v>
      </c>
      <c r="BD299" s="538">
        <v>1.0</v>
      </c>
      <c r="BE299" s="538">
        <v>0.1</v>
      </c>
      <c r="BF299" s="538">
        <v>0.14</v>
      </c>
      <c r="BG299" s="538">
        <v>0.22</v>
      </c>
      <c r="BH299" s="538">
        <v>0.34</v>
      </c>
      <c r="BI299" s="538">
        <v>0.5</v>
      </c>
      <c r="BJ299" s="546"/>
      <c r="BL299" s="546"/>
    </row>
    <row r="300" ht="22.5" customHeight="1">
      <c r="A300" s="538">
        <v>299.0</v>
      </c>
      <c r="B300" s="538" t="s">
        <v>1619</v>
      </c>
      <c r="C300" s="538" t="s">
        <v>84</v>
      </c>
      <c r="D300" s="538" t="s">
        <v>1579</v>
      </c>
      <c r="E300" s="538" t="s">
        <v>386</v>
      </c>
      <c r="G300" s="538" t="s">
        <v>151</v>
      </c>
      <c r="H300" s="538" t="s">
        <v>250</v>
      </c>
      <c r="I300" s="538" t="s">
        <v>155</v>
      </c>
      <c r="K300" s="538" t="s">
        <v>1620</v>
      </c>
      <c r="L300" s="538" t="s">
        <v>1621</v>
      </c>
      <c r="M300" s="538" t="s">
        <v>661</v>
      </c>
      <c r="N300" s="538" t="s">
        <v>1574</v>
      </c>
      <c r="O300" s="538" t="b">
        <v>0</v>
      </c>
      <c r="P300" s="538" t="b">
        <v>1</v>
      </c>
      <c r="Q300" s="538" t="s">
        <v>79</v>
      </c>
      <c r="R300" s="538" t="s">
        <v>386</v>
      </c>
      <c r="S300" s="538" t="s">
        <v>79</v>
      </c>
      <c r="T300" s="538" t="s">
        <v>386</v>
      </c>
      <c r="U300" s="538" t="s">
        <v>79</v>
      </c>
      <c r="V300" s="538" t="s">
        <v>386</v>
      </c>
      <c r="W300" s="538" t="s">
        <v>79</v>
      </c>
      <c r="X300" s="538" t="s">
        <v>386</v>
      </c>
      <c r="Y300" s="538" t="s">
        <v>79</v>
      </c>
      <c r="Z300" s="538" t="s">
        <v>386</v>
      </c>
      <c r="AA300" s="538" t="s">
        <v>79</v>
      </c>
      <c r="AB300" s="538" t="s">
        <v>386</v>
      </c>
      <c r="AC300" s="538" t="s">
        <v>79</v>
      </c>
      <c r="AD300" s="538" t="s">
        <v>386</v>
      </c>
      <c r="AE300" s="538" t="s">
        <v>79</v>
      </c>
      <c r="AF300" s="538" t="s">
        <v>386</v>
      </c>
      <c r="AG300" s="538" t="s">
        <v>79</v>
      </c>
      <c r="AH300" s="538" t="s">
        <v>386</v>
      </c>
      <c r="AI300" s="538" t="s">
        <v>79</v>
      </c>
      <c r="AJ300" s="538" t="s">
        <v>386</v>
      </c>
      <c r="AK300" s="538" t="s">
        <v>79</v>
      </c>
      <c r="AL300" s="538" t="s">
        <v>386</v>
      </c>
      <c r="AM300" s="538" t="s">
        <v>79</v>
      </c>
      <c r="AN300" s="538" t="s">
        <v>386</v>
      </c>
      <c r="AO300" s="538" t="s">
        <v>79</v>
      </c>
      <c r="AP300" s="538" t="s">
        <v>386</v>
      </c>
      <c r="AQ300" s="538" t="s">
        <v>73</v>
      </c>
      <c r="AS300" s="538">
        <v>1.037918091E9</v>
      </c>
      <c r="AT300" s="538">
        <v>2.63974291E9</v>
      </c>
      <c r="AU300" s="538">
        <v>188.0</v>
      </c>
      <c r="AV300" s="538" t="s">
        <v>45</v>
      </c>
      <c r="AZ300" s="538">
        <v>1.0</v>
      </c>
      <c r="BA300" s="538">
        <v>1.0</v>
      </c>
      <c r="BB300" s="538">
        <v>1.0</v>
      </c>
      <c r="BE300" s="538">
        <v>0.3</v>
      </c>
      <c r="BF300" s="538">
        <v>0.05</v>
      </c>
      <c r="BG300" s="538">
        <v>0.1</v>
      </c>
      <c r="BJ300" s="546"/>
      <c r="BL300" s="546"/>
    </row>
    <row r="301" ht="22.5" customHeight="1">
      <c r="A301" s="538">
        <v>300.0</v>
      </c>
      <c r="B301" s="538" t="s">
        <v>1619</v>
      </c>
      <c r="C301" s="538" t="s">
        <v>82</v>
      </c>
      <c r="D301" s="538" t="s">
        <v>1579</v>
      </c>
      <c r="E301" s="538" t="s">
        <v>218</v>
      </c>
      <c r="F301" s="538" t="s">
        <v>1622</v>
      </c>
      <c r="G301" s="538" t="s">
        <v>163</v>
      </c>
      <c r="H301" s="538" t="s">
        <v>222</v>
      </c>
      <c r="I301" s="538" t="s">
        <v>189</v>
      </c>
      <c r="K301" s="538" t="s">
        <v>1623</v>
      </c>
      <c r="L301" s="538" t="s">
        <v>1624</v>
      </c>
      <c r="M301" s="538" t="s">
        <v>673</v>
      </c>
      <c r="N301" s="538" t="s">
        <v>1625</v>
      </c>
      <c r="O301" s="538" t="b">
        <v>0</v>
      </c>
      <c r="P301" s="538" t="b">
        <v>1</v>
      </c>
      <c r="Q301" s="538" t="s">
        <v>73</v>
      </c>
      <c r="S301" s="538" t="s">
        <v>73</v>
      </c>
      <c r="U301" s="538" t="s">
        <v>79</v>
      </c>
      <c r="V301" s="538" t="s">
        <v>1622</v>
      </c>
      <c r="W301" s="538" t="s">
        <v>79</v>
      </c>
      <c r="X301" s="538" t="s">
        <v>1622</v>
      </c>
      <c r="Y301" s="538" t="s">
        <v>79</v>
      </c>
      <c r="Z301" s="538" t="s">
        <v>1622</v>
      </c>
      <c r="AA301" s="538" t="s">
        <v>79</v>
      </c>
      <c r="AB301" s="538" t="s">
        <v>1622</v>
      </c>
      <c r="AC301" s="538" t="s">
        <v>79</v>
      </c>
      <c r="AD301" s="538" t="s">
        <v>1622</v>
      </c>
      <c r="AE301" s="538" t="s">
        <v>79</v>
      </c>
      <c r="AF301" s="538" t="s">
        <v>1622</v>
      </c>
      <c r="AG301" s="538" t="s">
        <v>79</v>
      </c>
      <c r="AH301" s="538" t="s">
        <v>1622</v>
      </c>
      <c r="AI301" s="538" t="s">
        <v>79</v>
      </c>
      <c r="AJ301" s="538" t="s">
        <v>1622</v>
      </c>
      <c r="AK301" s="538" t="s">
        <v>79</v>
      </c>
      <c r="AL301" s="538" t="s">
        <v>1622</v>
      </c>
      <c r="AM301" s="538" t="s">
        <v>79</v>
      </c>
      <c r="AN301" s="538" t="s">
        <v>1622</v>
      </c>
      <c r="AO301" s="538" t="s">
        <v>79</v>
      </c>
      <c r="AP301" s="538" t="s">
        <v>218</v>
      </c>
      <c r="AQ301" s="538" t="s">
        <v>79</v>
      </c>
      <c r="AR301" s="538" t="s">
        <v>218</v>
      </c>
      <c r="AS301" s="538">
        <v>3.409009998E9</v>
      </c>
      <c r="AT301" s="538">
        <v>2.63974291E9</v>
      </c>
      <c r="AU301" s="538">
        <v>188.0</v>
      </c>
      <c r="AV301" s="538" t="s">
        <v>45</v>
      </c>
      <c r="AZ301" s="538">
        <v>1.0</v>
      </c>
      <c r="BA301" s="538">
        <v>1.0</v>
      </c>
      <c r="BB301" s="538">
        <v>1.0</v>
      </c>
      <c r="BC301" s="538">
        <v>1.0</v>
      </c>
      <c r="BD301" s="538">
        <v>1.0</v>
      </c>
      <c r="BE301" s="538">
        <v>0.25</v>
      </c>
      <c r="BF301" s="538">
        <v>0.3</v>
      </c>
      <c r="BG301" s="538">
        <v>0.4</v>
      </c>
      <c r="BH301" s="538">
        <v>0.55</v>
      </c>
      <c r="BI301" s="538">
        <v>0.7</v>
      </c>
      <c r="BJ301" s="546"/>
      <c r="BL301" s="546"/>
    </row>
    <row r="302" ht="22.5" customHeight="1">
      <c r="A302" s="538">
        <v>301.0</v>
      </c>
      <c r="B302" s="538" t="s">
        <v>1626</v>
      </c>
      <c r="C302" s="538" t="s">
        <v>84</v>
      </c>
      <c r="D302" s="538" t="s">
        <v>1627</v>
      </c>
      <c r="E302" s="538" t="s">
        <v>331</v>
      </c>
      <c r="G302" s="538" t="s">
        <v>151</v>
      </c>
      <c r="H302" s="538" t="s">
        <v>250</v>
      </c>
      <c r="I302" s="538" t="s">
        <v>122</v>
      </c>
      <c r="J302" s="538" t="s">
        <v>410</v>
      </c>
      <c r="K302" s="538" t="s">
        <v>1628</v>
      </c>
      <c r="L302" s="538" t="s">
        <v>1629</v>
      </c>
      <c r="M302" s="538" t="s">
        <v>661</v>
      </c>
      <c r="N302" s="538" t="s">
        <v>1630</v>
      </c>
      <c r="O302" s="538" t="b">
        <v>0</v>
      </c>
      <c r="P302" s="538" t="b">
        <v>1</v>
      </c>
      <c r="Q302" s="538" t="s">
        <v>79</v>
      </c>
      <c r="R302" s="538" t="s">
        <v>331</v>
      </c>
      <c r="S302" s="538" t="s">
        <v>79</v>
      </c>
      <c r="T302" s="538" t="s">
        <v>331</v>
      </c>
      <c r="U302" s="538" t="s">
        <v>79</v>
      </c>
      <c r="V302" s="538" t="s">
        <v>331</v>
      </c>
      <c r="W302" s="538" t="s">
        <v>79</v>
      </c>
      <c r="X302" s="538" t="s">
        <v>331</v>
      </c>
      <c r="Y302" s="538" t="s">
        <v>79</v>
      </c>
      <c r="Z302" s="538" t="s">
        <v>331</v>
      </c>
      <c r="AA302" s="538" t="s">
        <v>79</v>
      </c>
      <c r="AB302" s="538" t="s">
        <v>331</v>
      </c>
      <c r="AC302" s="538" t="s">
        <v>79</v>
      </c>
      <c r="AD302" s="538" t="s">
        <v>331</v>
      </c>
      <c r="AE302" s="538" t="s">
        <v>79</v>
      </c>
      <c r="AF302" s="538" t="s">
        <v>331</v>
      </c>
      <c r="AG302" s="538" t="s">
        <v>79</v>
      </c>
      <c r="AH302" s="538" t="s">
        <v>331</v>
      </c>
      <c r="AI302" s="538" t="s">
        <v>79</v>
      </c>
      <c r="AJ302" s="538" t="s">
        <v>331</v>
      </c>
      <c r="AK302" s="538" t="s">
        <v>79</v>
      </c>
      <c r="AL302" s="538" t="s">
        <v>331</v>
      </c>
      <c r="AM302" s="538" t="s">
        <v>79</v>
      </c>
      <c r="AN302" s="538" t="s">
        <v>331</v>
      </c>
      <c r="AO302" s="538" t="s">
        <v>79</v>
      </c>
      <c r="AP302" s="538" t="s">
        <v>331</v>
      </c>
      <c r="AQ302" s="538" t="s">
        <v>73</v>
      </c>
      <c r="AS302" s="538">
        <v>1.319690809E9</v>
      </c>
      <c r="AT302" s="538">
        <v>1.835829612E9</v>
      </c>
      <c r="AU302" s="538">
        <v>192.0</v>
      </c>
      <c r="AV302" s="538" t="s">
        <v>46</v>
      </c>
      <c r="AZ302" s="538">
        <v>1.0</v>
      </c>
      <c r="BA302" s="538">
        <v>1.0</v>
      </c>
      <c r="BB302" s="538">
        <v>1.0</v>
      </c>
      <c r="BE302" s="538">
        <v>65.0</v>
      </c>
      <c r="BF302" s="538">
        <v>12.0</v>
      </c>
      <c r="BG302" s="538">
        <v>30.0</v>
      </c>
      <c r="BJ302" s="546"/>
      <c r="BL302" s="546"/>
    </row>
    <row r="303" ht="22.5" customHeight="1">
      <c r="A303" s="538">
        <v>302.0</v>
      </c>
      <c r="B303" s="538" t="s">
        <v>1626</v>
      </c>
      <c r="C303" s="538" t="s">
        <v>82</v>
      </c>
      <c r="D303" s="538" t="s">
        <v>1627</v>
      </c>
      <c r="E303" s="538" t="s">
        <v>331</v>
      </c>
      <c r="G303" s="538" t="s">
        <v>151</v>
      </c>
      <c r="H303" s="538" t="s">
        <v>250</v>
      </c>
      <c r="I303" s="538" t="s">
        <v>122</v>
      </c>
      <c r="J303" s="538" t="s">
        <v>412</v>
      </c>
      <c r="K303" s="538" t="s">
        <v>1631</v>
      </c>
      <c r="L303" s="538" t="s">
        <v>1632</v>
      </c>
      <c r="M303" s="538" t="s">
        <v>673</v>
      </c>
      <c r="N303" s="538" t="s">
        <v>1633</v>
      </c>
      <c r="O303" s="538" t="b">
        <v>0</v>
      </c>
      <c r="P303" s="538" t="b">
        <v>1</v>
      </c>
      <c r="Q303" s="538" t="s">
        <v>79</v>
      </c>
      <c r="R303" s="538" t="s">
        <v>331</v>
      </c>
      <c r="S303" s="538" t="s">
        <v>79</v>
      </c>
      <c r="T303" s="538" t="s">
        <v>331</v>
      </c>
      <c r="U303" s="538" t="s">
        <v>79</v>
      </c>
      <c r="V303" s="538" t="s">
        <v>331</v>
      </c>
      <c r="W303" s="538" t="s">
        <v>79</v>
      </c>
      <c r="X303" s="538" t="s">
        <v>331</v>
      </c>
      <c r="Y303" s="538" t="s">
        <v>79</v>
      </c>
      <c r="Z303" s="538" t="s">
        <v>331</v>
      </c>
      <c r="AA303" s="538" t="s">
        <v>79</v>
      </c>
      <c r="AB303" s="538" t="s">
        <v>331</v>
      </c>
      <c r="AC303" s="538" t="s">
        <v>79</v>
      </c>
      <c r="AD303" s="538" t="s">
        <v>331</v>
      </c>
      <c r="AE303" s="538" t="s">
        <v>79</v>
      </c>
      <c r="AF303" s="538" t="s">
        <v>331</v>
      </c>
      <c r="AG303" s="538" t="s">
        <v>79</v>
      </c>
      <c r="AH303" s="538" t="s">
        <v>331</v>
      </c>
      <c r="AI303" s="538" t="s">
        <v>79</v>
      </c>
      <c r="AJ303" s="538" t="s">
        <v>331</v>
      </c>
      <c r="AK303" s="538" t="s">
        <v>79</v>
      </c>
      <c r="AL303" s="538" t="s">
        <v>331</v>
      </c>
      <c r="AM303" s="538" t="s">
        <v>79</v>
      </c>
      <c r="AN303" s="538" t="s">
        <v>331</v>
      </c>
      <c r="AO303" s="538" t="s">
        <v>79</v>
      </c>
      <c r="AP303" s="538" t="s">
        <v>331</v>
      </c>
      <c r="AQ303" s="538" t="s">
        <v>73</v>
      </c>
      <c r="AS303" s="538">
        <v>1.04723506E8</v>
      </c>
      <c r="AT303" s="538">
        <v>1.835829612E9</v>
      </c>
      <c r="AU303" s="538">
        <v>192.0</v>
      </c>
      <c r="AV303" s="538" t="s">
        <v>46</v>
      </c>
      <c r="AZ303" s="538">
        <v>1.0</v>
      </c>
      <c r="BA303" s="538">
        <v>1.0</v>
      </c>
      <c r="BB303" s="538">
        <v>1.0</v>
      </c>
      <c r="BC303" s="538">
        <v>1.0</v>
      </c>
      <c r="BD303" s="538">
        <v>1.0</v>
      </c>
      <c r="BE303" s="538">
        <v>0.25</v>
      </c>
      <c r="BF303" s="538">
        <v>0.3</v>
      </c>
      <c r="BG303" s="538">
        <v>0.4</v>
      </c>
      <c r="BH303" s="538">
        <v>0.45</v>
      </c>
      <c r="BI303" s="538">
        <v>0.5</v>
      </c>
      <c r="BJ303" s="546"/>
      <c r="BL303" s="546"/>
    </row>
    <row r="304" ht="22.5" customHeight="1">
      <c r="A304" s="538">
        <v>303.0</v>
      </c>
      <c r="B304" s="538" t="s">
        <v>1634</v>
      </c>
      <c r="C304" s="538" t="s">
        <v>84</v>
      </c>
      <c r="D304" s="538" t="s">
        <v>1627</v>
      </c>
      <c r="E304" s="538" t="s">
        <v>331</v>
      </c>
      <c r="G304" s="538" t="s">
        <v>151</v>
      </c>
      <c r="H304" s="538" t="s">
        <v>250</v>
      </c>
      <c r="I304" s="538" t="s">
        <v>122</v>
      </c>
      <c r="J304" s="538" t="s">
        <v>412</v>
      </c>
      <c r="K304" s="538" t="s">
        <v>1635</v>
      </c>
      <c r="L304" s="538" t="s">
        <v>1632</v>
      </c>
      <c r="M304" s="538" t="s">
        <v>661</v>
      </c>
      <c r="N304" s="538" t="s">
        <v>1636</v>
      </c>
      <c r="O304" s="538" t="b">
        <v>0</v>
      </c>
      <c r="P304" s="538" t="b">
        <v>1</v>
      </c>
      <c r="Q304" s="538" t="s">
        <v>79</v>
      </c>
      <c r="R304" s="538" t="s">
        <v>331</v>
      </c>
      <c r="S304" s="538" t="s">
        <v>79</v>
      </c>
      <c r="T304" s="538" t="s">
        <v>331</v>
      </c>
      <c r="U304" s="538" t="s">
        <v>79</v>
      </c>
      <c r="V304" s="538" t="s">
        <v>331</v>
      </c>
      <c r="W304" s="538" t="s">
        <v>79</v>
      </c>
      <c r="X304" s="538" t="s">
        <v>331</v>
      </c>
      <c r="Y304" s="538" t="s">
        <v>79</v>
      </c>
      <c r="Z304" s="538" t="s">
        <v>331</v>
      </c>
      <c r="AA304" s="538" t="s">
        <v>79</v>
      </c>
      <c r="AB304" s="538" t="s">
        <v>331</v>
      </c>
      <c r="AC304" s="538" t="s">
        <v>79</v>
      </c>
      <c r="AD304" s="538" t="s">
        <v>331</v>
      </c>
      <c r="AE304" s="538" t="s">
        <v>79</v>
      </c>
      <c r="AF304" s="538" t="s">
        <v>331</v>
      </c>
      <c r="AG304" s="538" t="s">
        <v>79</v>
      </c>
      <c r="AH304" s="538" t="s">
        <v>331</v>
      </c>
      <c r="AI304" s="538" t="s">
        <v>79</v>
      </c>
      <c r="AJ304" s="538" t="s">
        <v>331</v>
      </c>
      <c r="AK304" s="538" t="s">
        <v>79</v>
      </c>
      <c r="AL304" s="538" t="s">
        <v>331</v>
      </c>
      <c r="AM304" s="538" t="s">
        <v>79</v>
      </c>
      <c r="AN304" s="538" t="s">
        <v>331</v>
      </c>
      <c r="AO304" s="538" t="s">
        <v>79</v>
      </c>
      <c r="AP304" s="538" t="s">
        <v>331</v>
      </c>
      <c r="AQ304" s="538" t="s">
        <v>73</v>
      </c>
      <c r="AS304" s="538">
        <v>4.265842515E9</v>
      </c>
      <c r="AT304" s="538">
        <v>3.191841428E9</v>
      </c>
      <c r="AU304" s="538">
        <v>193.0</v>
      </c>
      <c r="AV304" s="538" t="s">
        <v>46</v>
      </c>
      <c r="AZ304" s="538">
        <v>1.0</v>
      </c>
      <c r="BA304" s="538">
        <v>1.0</v>
      </c>
      <c r="BB304" s="538">
        <v>1.0</v>
      </c>
      <c r="BE304" s="538">
        <v>0.55</v>
      </c>
      <c r="BF304" s="538">
        <v>0.2</v>
      </c>
      <c r="BG304" s="538">
        <v>0.35</v>
      </c>
      <c r="BJ304" s="546"/>
      <c r="BL304" s="546"/>
    </row>
    <row r="305" ht="22.5" customHeight="1">
      <c r="A305" s="538">
        <v>304.0</v>
      </c>
      <c r="B305" s="538" t="s">
        <v>1634</v>
      </c>
      <c r="C305" s="538" t="s">
        <v>82</v>
      </c>
      <c r="D305" s="538" t="s">
        <v>1627</v>
      </c>
      <c r="E305" s="538" t="s">
        <v>268</v>
      </c>
      <c r="G305" s="538" t="s">
        <v>151</v>
      </c>
      <c r="H305" s="538" t="s">
        <v>250</v>
      </c>
      <c r="I305" s="538" t="s">
        <v>189</v>
      </c>
      <c r="K305" s="538" t="s">
        <v>1637</v>
      </c>
      <c r="L305" s="538" t="s">
        <v>1637</v>
      </c>
      <c r="M305" s="538" t="s">
        <v>673</v>
      </c>
      <c r="N305" s="538" t="s">
        <v>1638</v>
      </c>
      <c r="O305" s="538" t="b">
        <v>0</v>
      </c>
      <c r="P305" s="538" t="b">
        <v>1</v>
      </c>
      <c r="Q305" s="538" t="s">
        <v>79</v>
      </c>
      <c r="R305" s="538" t="s">
        <v>268</v>
      </c>
      <c r="S305" s="538" t="s">
        <v>79</v>
      </c>
      <c r="T305" s="538" t="s">
        <v>268</v>
      </c>
      <c r="U305" s="538" t="s">
        <v>79</v>
      </c>
      <c r="V305" s="538" t="s">
        <v>268</v>
      </c>
      <c r="W305" s="538" t="s">
        <v>79</v>
      </c>
      <c r="X305" s="538" t="s">
        <v>268</v>
      </c>
      <c r="Y305" s="538" t="s">
        <v>79</v>
      </c>
      <c r="Z305" s="538" t="s">
        <v>268</v>
      </c>
      <c r="AA305" s="538" t="s">
        <v>79</v>
      </c>
      <c r="AB305" s="538" t="s">
        <v>268</v>
      </c>
      <c r="AC305" s="538" t="s">
        <v>79</v>
      </c>
      <c r="AD305" s="538" t="s">
        <v>268</v>
      </c>
      <c r="AE305" s="538" t="s">
        <v>79</v>
      </c>
      <c r="AF305" s="538" t="s">
        <v>268</v>
      </c>
      <c r="AG305" s="538" t="s">
        <v>79</v>
      </c>
      <c r="AH305" s="538" t="s">
        <v>268</v>
      </c>
      <c r="AI305" s="538" t="s">
        <v>79</v>
      </c>
      <c r="AJ305" s="538" t="s">
        <v>268</v>
      </c>
      <c r="AK305" s="538" t="s">
        <v>79</v>
      </c>
      <c r="AL305" s="538" t="s">
        <v>268</v>
      </c>
      <c r="AM305" s="538" t="s">
        <v>79</v>
      </c>
      <c r="AN305" s="538" t="s">
        <v>268</v>
      </c>
      <c r="AO305" s="538" t="s">
        <v>79</v>
      </c>
      <c r="AP305" s="538" t="s">
        <v>268</v>
      </c>
      <c r="AQ305" s="538" t="s">
        <v>73</v>
      </c>
      <c r="AS305" s="538">
        <v>2.110567361E9</v>
      </c>
      <c r="AT305" s="538">
        <v>3.191841428E9</v>
      </c>
      <c r="AU305" s="538">
        <v>193.0</v>
      </c>
      <c r="AV305" s="538" t="s">
        <v>46</v>
      </c>
      <c r="AZ305" s="538">
        <v>1.0</v>
      </c>
      <c r="BA305" s="538">
        <v>1.0</v>
      </c>
      <c r="BB305" s="538">
        <v>1.0</v>
      </c>
      <c r="BC305" s="538">
        <v>1.0</v>
      </c>
      <c r="BD305" s="538">
        <v>1.0</v>
      </c>
      <c r="BE305" s="538">
        <v>0.3</v>
      </c>
      <c r="BF305" s="538">
        <v>0.25</v>
      </c>
      <c r="BG305" s="538">
        <v>0.2</v>
      </c>
      <c r="BH305" s="538">
        <v>0.15</v>
      </c>
      <c r="BI305" s="538">
        <v>0.1</v>
      </c>
      <c r="BJ305" s="546"/>
      <c r="BL305" s="546"/>
    </row>
    <row r="306" ht="22.5" customHeight="1">
      <c r="A306" s="538">
        <v>305.0</v>
      </c>
      <c r="B306" s="538" t="s">
        <v>1639</v>
      </c>
      <c r="C306" s="538" t="s">
        <v>84</v>
      </c>
      <c r="D306" s="538" t="s">
        <v>1627</v>
      </c>
      <c r="E306" s="538" t="s">
        <v>268</v>
      </c>
      <c r="G306" s="538" t="s">
        <v>151</v>
      </c>
      <c r="H306" s="538" t="s">
        <v>250</v>
      </c>
      <c r="I306" s="538" t="s">
        <v>122</v>
      </c>
      <c r="K306" s="538" t="s">
        <v>1640</v>
      </c>
      <c r="L306" s="538" t="s">
        <v>1641</v>
      </c>
      <c r="M306" s="538" t="s">
        <v>661</v>
      </c>
      <c r="N306" s="538" t="s">
        <v>1642</v>
      </c>
      <c r="O306" s="538" t="b">
        <v>0</v>
      </c>
      <c r="P306" s="538" t="b">
        <v>1</v>
      </c>
      <c r="Q306" s="538" t="s">
        <v>79</v>
      </c>
      <c r="R306" s="538" t="s">
        <v>268</v>
      </c>
      <c r="S306" s="538" t="s">
        <v>79</v>
      </c>
      <c r="T306" s="538" t="s">
        <v>268</v>
      </c>
      <c r="U306" s="538" t="s">
        <v>79</v>
      </c>
      <c r="V306" s="538" t="s">
        <v>268</v>
      </c>
      <c r="W306" s="538" t="s">
        <v>79</v>
      </c>
      <c r="X306" s="538" t="s">
        <v>268</v>
      </c>
      <c r="Y306" s="538" t="s">
        <v>79</v>
      </c>
      <c r="Z306" s="538" t="s">
        <v>268</v>
      </c>
      <c r="AA306" s="538" t="s">
        <v>79</v>
      </c>
      <c r="AB306" s="538" t="s">
        <v>268</v>
      </c>
      <c r="AC306" s="538" t="s">
        <v>79</v>
      </c>
      <c r="AD306" s="538" t="s">
        <v>268</v>
      </c>
      <c r="AE306" s="538" t="s">
        <v>79</v>
      </c>
      <c r="AF306" s="538" t="s">
        <v>268</v>
      </c>
      <c r="AG306" s="538" t="s">
        <v>79</v>
      </c>
      <c r="AH306" s="538" t="s">
        <v>268</v>
      </c>
      <c r="AI306" s="538" t="s">
        <v>79</v>
      </c>
      <c r="AJ306" s="538" t="s">
        <v>268</v>
      </c>
      <c r="AK306" s="538" t="s">
        <v>79</v>
      </c>
      <c r="AL306" s="538" t="s">
        <v>268</v>
      </c>
      <c r="AM306" s="538" t="s">
        <v>79</v>
      </c>
      <c r="AN306" s="538" t="s">
        <v>268</v>
      </c>
      <c r="AO306" s="538" t="s">
        <v>79</v>
      </c>
      <c r="AP306" s="538" t="s">
        <v>268</v>
      </c>
      <c r="AQ306" s="538" t="s">
        <v>73</v>
      </c>
      <c r="AS306" s="538">
        <v>3.140201508E9</v>
      </c>
      <c r="AT306" s="538">
        <v>2.334517642E9</v>
      </c>
      <c r="AU306" s="538">
        <v>191.0</v>
      </c>
      <c r="AV306" s="538" t="s">
        <v>47</v>
      </c>
      <c r="AZ306" s="538">
        <v>1.0</v>
      </c>
      <c r="BA306" s="538">
        <v>1.0</v>
      </c>
      <c r="BB306" s="538">
        <v>1.0</v>
      </c>
      <c r="BE306" s="538">
        <v>0.9</v>
      </c>
      <c r="BF306" s="538">
        <v>0.08</v>
      </c>
      <c r="BG306" s="538">
        <v>0.15</v>
      </c>
      <c r="BJ306" s="546"/>
      <c r="BL306" s="546"/>
    </row>
    <row r="307" ht="22.5" customHeight="1">
      <c r="A307" s="538">
        <v>306.0</v>
      </c>
      <c r="B307" s="538" t="s">
        <v>1639</v>
      </c>
      <c r="C307" s="538" t="s">
        <v>82</v>
      </c>
      <c r="D307" s="538" t="s">
        <v>1627</v>
      </c>
      <c r="E307" s="538" t="s">
        <v>331</v>
      </c>
      <c r="G307" s="538" t="s">
        <v>151</v>
      </c>
      <c r="H307" s="538" t="s">
        <v>250</v>
      </c>
      <c r="I307" s="538" t="s">
        <v>122</v>
      </c>
      <c r="J307" s="538" t="s">
        <v>412</v>
      </c>
      <c r="K307" s="538" t="s">
        <v>1631</v>
      </c>
      <c r="L307" s="538" t="s">
        <v>1632</v>
      </c>
      <c r="M307" s="538" t="s">
        <v>673</v>
      </c>
      <c r="N307" s="538" t="s">
        <v>1347</v>
      </c>
      <c r="O307" s="538" t="b">
        <v>0</v>
      </c>
      <c r="P307" s="538" t="b">
        <v>1</v>
      </c>
      <c r="Q307" s="538" t="s">
        <v>79</v>
      </c>
      <c r="R307" s="538" t="s">
        <v>331</v>
      </c>
      <c r="S307" s="538" t="s">
        <v>79</v>
      </c>
      <c r="T307" s="538" t="s">
        <v>331</v>
      </c>
      <c r="U307" s="538" t="s">
        <v>79</v>
      </c>
      <c r="V307" s="538" t="s">
        <v>331</v>
      </c>
      <c r="W307" s="538" t="s">
        <v>79</v>
      </c>
      <c r="X307" s="538" t="s">
        <v>331</v>
      </c>
      <c r="Y307" s="538" t="s">
        <v>79</v>
      </c>
      <c r="Z307" s="538" t="s">
        <v>331</v>
      </c>
      <c r="AA307" s="538" t="s">
        <v>79</v>
      </c>
      <c r="AB307" s="538" t="s">
        <v>331</v>
      </c>
      <c r="AC307" s="538" t="s">
        <v>79</v>
      </c>
      <c r="AD307" s="538" t="s">
        <v>331</v>
      </c>
      <c r="AE307" s="538" t="s">
        <v>79</v>
      </c>
      <c r="AF307" s="538" t="s">
        <v>331</v>
      </c>
      <c r="AG307" s="538" t="s">
        <v>79</v>
      </c>
      <c r="AH307" s="538" t="s">
        <v>331</v>
      </c>
      <c r="AI307" s="538" t="s">
        <v>79</v>
      </c>
      <c r="AJ307" s="538" t="s">
        <v>331</v>
      </c>
      <c r="AK307" s="538" t="s">
        <v>79</v>
      </c>
      <c r="AL307" s="538" t="s">
        <v>331</v>
      </c>
      <c r="AM307" s="538" t="s">
        <v>79</v>
      </c>
      <c r="AN307" s="538" t="s">
        <v>331</v>
      </c>
      <c r="AO307" s="538" t="s">
        <v>79</v>
      </c>
      <c r="AP307" s="538" t="s">
        <v>331</v>
      </c>
      <c r="AQ307" s="538" t="s">
        <v>73</v>
      </c>
      <c r="AS307" s="538">
        <v>2.656564852E9</v>
      </c>
      <c r="AT307" s="538">
        <v>2.334517642E9</v>
      </c>
      <c r="AU307" s="538">
        <v>191.0</v>
      </c>
      <c r="AV307" s="538" t="s">
        <v>47</v>
      </c>
      <c r="AZ307" s="538">
        <v>1.0</v>
      </c>
      <c r="BA307" s="538">
        <v>1.0</v>
      </c>
      <c r="BB307" s="538">
        <v>1.0</v>
      </c>
      <c r="BC307" s="538">
        <v>1.0</v>
      </c>
      <c r="BD307" s="538">
        <v>1.0</v>
      </c>
      <c r="BE307" s="538">
        <v>0.8</v>
      </c>
      <c r="BF307" s="538">
        <v>1.0</v>
      </c>
      <c r="BG307" s="538">
        <v>1.2</v>
      </c>
      <c r="BH307" s="538">
        <v>1.4</v>
      </c>
      <c r="BI307" s="538">
        <v>1.6</v>
      </c>
      <c r="BJ307" s="546"/>
      <c r="BK307" s="547"/>
      <c r="BL307" s="546"/>
    </row>
    <row r="308" ht="22.5" customHeight="1">
      <c r="A308" s="538">
        <v>307.0</v>
      </c>
      <c r="B308" s="538" t="s">
        <v>1643</v>
      </c>
      <c r="C308" s="538" t="s">
        <v>84</v>
      </c>
      <c r="D308" s="538" t="s">
        <v>1627</v>
      </c>
      <c r="E308" s="538" t="s">
        <v>226</v>
      </c>
      <c r="F308" s="538" t="s">
        <v>1644</v>
      </c>
      <c r="G308" s="538" t="s">
        <v>163</v>
      </c>
      <c r="H308" s="538" t="s">
        <v>153</v>
      </c>
      <c r="I308" s="538" t="s">
        <v>155</v>
      </c>
      <c r="K308" s="538" t="s">
        <v>1645</v>
      </c>
      <c r="L308" s="538" t="s">
        <v>1646</v>
      </c>
      <c r="M308" s="538" t="s">
        <v>661</v>
      </c>
      <c r="N308" s="538" t="s">
        <v>705</v>
      </c>
      <c r="O308" s="538" t="b">
        <v>0</v>
      </c>
      <c r="P308" s="538" t="b">
        <v>1</v>
      </c>
      <c r="Q308" s="538" t="s">
        <v>79</v>
      </c>
      <c r="R308" s="538" t="s">
        <v>253</v>
      </c>
      <c r="S308" s="538" t="s">
        <v>73</v>
      </c>
      <c r="U308" s="538" t="s">
        <v>79</v>
      </c>
      <c r="V308" s="538" t="s">
        <v>1647</v>
      </c>
      <c r="W308" s="538" t="s">
        <v>79</v>
      </c>
      <c r="X308" s="538" t="s">
        <v>1647</v>
      </c>
      <c r="Y308" s="538" t="s">
        <v>79</v>
      </c>
      <c r="Z308" s="538" t="s">
        <v>1647</v>
      </c>
      <c r="AA308" s="538" t="s">
        <v>79</v>
      </c>
      <c r="AB308" s="538" t="s">
        <v>1647</v>
      </c>
      <c r="AC308" s="538" t="s">
        <v>79</v>
      </c>
      <c r="AD308" s="538" t="s">
        <v>1647</v>
      </c>
      <c r="AE308" s="538" t="s">
        <v>79</v>
      </c>
      <c r="AF308" s="538" t="s">
        <v>1647</v>
      </c>
      <c r="AG308" s="538" t="s">
        <v>79</v>
      </c>
      <c r="AH308" s="538" t="s">
        <v>380</v>
      </c>
      <c r="AI308" s="538" t="s">
        <v>79</v>
      </c>
      <c r="AJ308" s="538" t="s">
        <v>1647</v>
      </c>
      <c r="AK308" s="538" t="s">
        <v>79</v>
      </c>
      <c r="AL308" s="538" t="s">
        <v>1647</v>
      </c>
      <c r="AM308" s="538" t="s">
        <v>79</v>
      </c>
      <c r="AN308" s="538" t="s">
        <v>1647</v>
      </c>
      <c r="AO308" s="538" t="s">
        <v>79</v>
      </c>
      <c r="AP308" s="538" t="s">
        <v>226</v>
      </c>
      <c r="AQ308" s="538" t="s">
        <v>79</v>
      </c>
      <c r="AR308" s="538" t="s">
        <v>226</v>
      </c>
      <c r="AS308" s="538">
        <v>3.54611297E9</v>
      </c>
      <c r="AT308" s="538">
        <v>1.248750548E9</v>
      </c>
      <c r="AU308" s="538">
        <v>194.0</v>
      </c>
      <c r="AV308" s="538" t="s">
        <v>47</v>
      </c>
      <c r="AZ308" s="538">
        <v>1.0</v>
      </c>
      <c r="BA308" s="538">
        <v>1.0</v>
      </c>
      <c r="BB308" s="538">
        <v>1.0</v>
      </c>
      <c r="BE308" s="538">
        <v>1.0</v>
      </c>
      <c r="BF308" s="538">
        <v>0.0</v>
      </c>
      <c r="BG308" s="538">
        <v>0.0</v>
      </c>
      <c r="BJ308" s="546"/>
      <c r="BL308" s="546"/>
    </row>
    <row r="309" ht="22.5" customHeight="1">
      <c r="A309" s="538">
        <v>308.0</v>
      </c>
      <c r="B309" s="538" t="s">
        <v>1643</v>
      </c>
      <c r="C309" s="538" t="s">
        <v>82</v>
      </c>
      <c r="D309" s="538" t="s">
        <v>1627</v>
      </c>
      <c r="E309" s="538" t="s">
        <v>112</v>
      </c>
      <c r="F309" s="538" t="s">
        <v>1644</v>
      </c>
      <c r="G309" s="538" t="s">
        <v>163</v>
      </c>
      <c r="H309" s="538" t="s">
        <v>250</v>
      </c>
      <c r="I309" s="538" t="s">
        <v>122</v>
      </c>
      <c r="K309" s="538" t="s">
        <v>1648</v>
      </c>
      <c r="L309" s="538" t="s">
        <v>1649</v>
      </c>
      <c r="M309" s="538" t="s">
        <v>673</v>
      </c>
      <c r="N309" s="538" t="s">
        <v>1650</v>
      </c>
      <c r="O309" s="538" t="b">
        <v>0</v>
      </c>
      <c r="P309" s="538" t="b">
        <v>1</v>
      </c>
      <c r="Q309" s="538" t="s">
        <v>79</v>
      </c>
      <c r="R309" s="538" t="s">
        <v>253</v>
      </c>
      <c r="S309" s="538" t="s">
        <v>73</v>
      </c>
      <c r="U309" s="538" t="s">
        <v>79</v>
      </c>
      <c r="V309" s="538" t="s">
        <v>1647</v>
      </c>
      <c r="W309" s="538" t="s">
        <v>79</v>
      </c>
      <c r="X309" s="538" t="s">
        <v>1647</v>
      </c>
      <c r="Y309" s="538" t="s">
        <v>79</v>
      </c>
      <c r="Z309" s="538" t="s">
        <v>1647</v>
      </c>
      <c r="AA309" s="538" t="s">
        <v>79</v>
      </c>
      <c r="AB309" s="538" t="s">
        <v>1647</v>
      </c>
      <c r="AC309" s="538" t="s">
        <v>79</v>
      </c>
      <c r="AD309" s="538" t="s">
        <v>1647</v>
      </c>
      <c r="AE309" s="538" t="s">
        <v>79</v>
      </c>
      <c r="AF309" s="538" t="s">
        <v>1647</v>
      </c>
      <c r="AG309" s="538" t="s">
        <v>79</v>
      </c>
      <c r="AH309" s="538" t="s">
        <v>380</v>
      </c>
      <c r="AI309" s="538" t="s">
        <v>79</v>
      </c>
      <c r="AJ309" s="538" t="s">
        <v>1647</v>
      </c>
      <c r="AK309" s="538" t="s">
        <v>79</v>
      </c>
      <c r="AL309" s="538" t="s">
        <v>1647</v>
      </c>
      <c r="AM309" s="538" t="s">
        <v>79</v>
      </c>
      <c r="AN309" s="538" t="s">
        <v>1647</v>
      </c>
      <c r="AO309" s="538" t="s">
        <v>79</v>
      </c>
      <c r="AP309" s="538" t="s">
        <v>112</v>
      </c>
      <c r="AQ309" s="538" t="s">
        <v>79</v>
      </c>
      <c r="AR309" s="538" t="s">
        <v>112</v>
      </c>
      <c r="AS309" s="538">
        <v>4.79594847E8</v>
      </c>
      <c r="AT309" s="538">
        <v>1.248750548E9</v>
      </c>
      <c r="AU309" s="538">
        <v>194.0</v>
      </c>
      <c r="AV309" s="538" t="s">
        <v>47</v>
      </c>
      <c r="AZ309" s="538">
        <v>1.0</v>
      </c>
      <c r="BA309" s="538">
        <v>1.0</v>
      </c>
      <c r="BB309" s="538">
        <v>1.0</v>
      </c>
      <c r="BC309" s="538">
        <v>1.0</v>
      </c>
      <c r="BD309" s="538">
        <v>1.0</v>
      </c>
      <c r="BE309" s="538">
        <v>0.5</v>
      </c>
      <c r="BF309" s="538">
        <v>0.7</v>
      </c>
      <c r="BG309" s="538">
        <v>0.9</v>
      </c>
      <c r="BH309" s="538">
        <v>1.2</v>
      </c>
      <c r="BI309" s="538">
        <v>1.5</v>
      </c>
      <c r="BJ309" s="546"/>
      <c r="BK309" s="547"/>
      <c r="BL309" s="546"/>
    </row>
    <row r="310" ht="22.5" customHeight="1">
      <c r="A310" s="538">
        <v>309.0</v>
      </c>
      <c r="B310" s="538" t="s">
        <v>1651</v>
      </c>
      <c r="C310" s="538" t="s">
        <v>84</v>
      </c>
      <c r="D310" s="538" t="s">
        <v>1627</v>
      </c>
      <c r="E310" s="538" t="s">
        <v>358</v>
      </c>
      <c r="G310" s="538" t="s">
        <v>151</v>
      </c>
      <c r="H310" s="538" t="s">
        <v>250</v>
      </c>
      <c r="I310" s="538" t="s">
        <v>122</v>
      </c>
      <c r="K310" s="538" t="s">
        <v>1652</v>
      </c>
      <c r="L310" s="538" t="s">
        <v>1482</v>
      </c>
      <c r="M310" s="538" t="s">
        <v>661</v>
      </c>
      <c r="N310" s="538" t="s">
        <v>1098</v>
      </c>
      <c r="O310" s="538" t="b">
        <v>0</v>
      </c>
      <c r="P310" s="538" t="b">
        <v>1</v>
      </c>
      <c r="Q310" s="538" t="s">
        <v>79</v>
      </c>
      <c r="R310" s="538" t="s">
        <v>358</v>
      </c>
      <c r="S310" s="538" t="s">
        <v>79</v>
      </c>
      <c r="T310" s="538" t="s">
        <v>358</v>
      </c>
      <c r="U310" s="538" t="s">
        <v>79</v>
      </c>
      <c r="V310" s="538" t="s">
        <v>358</v>
      </c>
      <c r="W310" s="538" t="s">
        <v>79</v>
      </c>
      <c r="X310" s="538" t="s">
        <v>358</v>
      </c>
      <c r="Y310" s="538" t="s">
        <v>79</v>
      </c>
      <c r="Z310" s="538" t="s">
        <v>358</v>
      </c>
      <c r="AA310" s="538" t="s">
        <v>79</v>
      </c>
      <c r="AB310" s="538" t="s">
        <v>358</v>
      </c>
      <c r="AC310" s="538" t="s">
        <v>79</v>
      </c>
      <c r="AD310" s="538" t="s">
        <v>358</v>
      </c>
      <c r="AE310" s="538" t="s">
        <v>79</v>
      </c>
      <c r="AF310" s="538" t="s">
        <v>358</v>
      </c>
      <c r="AG310" s="538" t="s">
        <v>79</v>
      </c>
      <c r="AH310" s="538" t="s">
        <v>358</v>
      </c>
      <c r="AI310" s="538" t="s">
        <v>79</v>
      </c>
      <c r="AJ310" s="538" t="s">
        <v>358</v>
      </c>
      <c r="AK310" s="538" t="s">
        <v>79</v>
      </c>
      <c r="AL310" s="538" t="s">
        <v>358</v>
      </c>
      <c r="AM310" s="538" t="s">
        <v>79</v>
      </c>
      <c r="AN310" s="538" t="s">
        <v>358</v>
      </c>
      <c r="AO310" s="538" t="s">
        <v>79</v>
      </c>
      <c r="AP310" s="538" t="s">
        <v>358</v>
      </c>
      <c r="AQ310" s="538" t="s">
        <v>73</v>
      </c>
      <c r="AS310" s="538">
        <v>1.100318825E9</v>
      </c>
      <c r="AT310" s="538">
        <v>4.019230068E9</v>
      </c>
      <c r="AU310" s="538">
        <v>195.0</v>
      </c>
      <c r="AV310" s="538" t="s">
        <v>46</v>
      </c>
      <c r="AZ310" s="538">
        <v>1.0</v>
      </c>
      <c r="BA310" s="538">
        <v>1.0</v>
      </c>
      <c r="BB310" s="538">
        <v>1.0</v>
      </c>
      <c r="BE310" s="538">
        <v>0.4</v>
      </c>
      <c r="BF310" s="538">
        <v>0.05</v>
      </c>
      <c r="BG310" s="538">
        <v>0.1</v>
      </c>
      <c r="BJ310" s="546"/>
      <c r="BL310" s="546"/>
    </row>
    <row r="311" ht="22.5" customHeight="1">
      <c r="A311" s="538">
        <v>310.0</v>
      </c>
      <c r="B311" s="538" t="s">
        <v>1651</v>
      </c>
      <c r="C311" s="538" t="s">
        <v>82</v>
      </c>
      <c r="D311" s="538" t="s">
        <v>1627</v>
      </c>
      <c r="E311" s="538" t="s">
        <v>218</v>
      </c>
      <c r="F311" s="538" t="s">
        <v>877</v>
      </c>
      <c r="G311" s="538" t="s">
        <v>163</v>
      </c>
      <c r="H311" s="538" t="s">
        <v>222</v>
      </c>
      <c r="I311" s="538" t="s">
        <v>189</v>
      </c>
      <c r="J311" s="538" t="s">
        <v>299</v>
      </c>
      <c r="K311" s="538" t="s">
        <v>1653</v>
      </c>
      <c r="L311" s="538" t="s">
        <v>879</v>
      </c>
      <c r="M311" s="538" t="s">
        <v>673</v>
      </c>
      <c r="N311" s="538" t="s">
        <v>1654</v>
      </c>
      <c r="O311" s="538" t="b">
        <v>0</v>
      </c>
      <c r="P311" s="538" t="b">
        <v>1</v>
      </c>
      <c r="Q311" s="538" t="s">
        <v>79</v>
      </c>
      <c r="R311" s="538" t="s">
        <v>880</v>
      </c>
      <c r="S311" s="538" t="s">
        <v>79</v>
      </c>
      <c r="T311" s="538" t="s">
        <v>880</v>
      </c>
      <c r="U311" s="538" t="s">
        <v>75</v>
      </c>
      <c r="V311" s="538" t="s">
        <v>881</v>
      </c>
      <c r="W311" s="538" t="s">
        <v>75</v>
      </c>
      <c r="X311" s="538" t="s">
        <v>881</v>
      </c>
      <c r="Y311" s="538" t="s">
        <v>79</v>
      </c>
      <c r="Z311" s="538" t="s">
        <v>880</v>
      </c>
      <c r="AA311" s="538" t="s">
        <v>75</v>
      </c>
      <c r="AB311" s="538" t="s">
        <v>881</v>
      </c>
      <c r="AC311" s="538" t="s">
        <v>79</v>
      </c>
      <c r="AD311" s="538" t="s">
        <v>377</v>
      </c>
      <c r="AE311" s="538" t="s">
        <v>79</v>
      </c>
      <c r="AF311" s="538" t="s">
        <v>377</v>
      </c>
      <c r="AG311" s="538" t="s">
        <v>79</v>
      </c>
      <c r="AH311" s="538" t="s">
        <v>880</v>
      </c>
      <c r="AI311" s="538" t="s">
        <v>79</v>
      </c>
      <c r="AJ311" s="538" t="s">
        <v>377</v>
      </c>
      <c r="AK311" s="538" t="s">
        <v>79</v>
      </c>
      <c r="AL311" s="538" t="s">
        <v>880</v>
      </c>
      <c r="AM311" s="538" t="s">
        <v>79</v>
      </c>
      <c r="AN311" s="538" t="s">
        <v>880</v>
      </c>
      <c r="AO311" s="538" t="s">
        <v>79</v>
      </c>
      <c r="AP311" s="538" t="s">
        <v>218</v>
      </c>
      <c r="AQ311" s="538" t="s">
        <v>79</v>
      </c>
      <c r="AR311" s="538" t="s">
        <v>218</v>
      </c>
      <c r="AS311" s="538">
        <v>1.250096698E9</v>
      </c>
      <c r="AT311" s="538">
        <v>4.019230068E9</v>
      </c>
      <c r="AU311" s="538">
        <v>195.0</v>
      </c>
      <c r="AV311" s="538" t="s">
        <v>46</v>
      </c>
      <c r="AY311" s="538" t="s">
        <v>881</v>
      </c>
      <c r="AZ311" s="538">
        <v>1.0</v>
      </c>
      <c r="BA311" s="538">
        <v>1.0</v>
      </c>
      <c r="BB311" s="538">
        <v>1.0</v>
      </c>
      <c r="BC311" s="538">
        <v>1.0</v>
      </c>
      <c r="BD311" s="538">
        <v>1.0</v>
      </c>
      <c r="BE311" s="538">
        <v>0.12</v>
      </c>
      <c r="BF311" s="538">
        <v>0.15</v>
      </c>
      <c r="BG311" s="538">
        <v>0.18</v>
      </c>
      <c r="BH311" s="538">
        <v>0.21</v>
      </c>
      <c r="BI311" s="538">
        <v>0.25</v>
      </c>
      <c r="BJ311" s="546"/>
      <c r="BL311" s="546"/>
    </row>
    <row r="312" ht="22.5" customHeight="1">
      <c r="A312" s="538">
        <v>311.0</v>
      </c>
      <c r="B312" s="538" t="s">
        <v>1655</v>
      </c>
      <c r="C312" s="538" t="s">
        <v>82</v>
      </c>
      <c r="D312" s="538" t="s">
        <v>1656</v>
      </c>
      <c r="E312" s="538" t="s">
        <v>343</v>
      </c>
      <c r="G312" s="538" t="s">
        <v>151</v>
      </c>
      <c r="H312" s="538" t="s">
        <v>182</v>
      </c>
      <c r="I312" s="538" t="s">
        <v>122</v>
      </c>
      <c r="K312" s="538" t="s">
        <v>1657</v>
      </c>
      <c r="L312" s="538" t="s">
        <v>1658</v>
      </c>
      <c r="M312" s="538" t="s">
        <v>673</v>
      </c>
      <c r="N312" s="538" t="s">
        <v>1659</v>
      </c>
      <c r="O312" s="538" t="b">
        <v>0</v>
      </c>
      <c r="P312" s="538" t="b">
        <v>1</v>
      </c>
      <c r="Q312" s="538" t="s">
        <v>73</v>
      </c>
      <c r="S312" s="538" t="s">
        <v>73</v>
      </c>
      <c r="U312" s="538" t="s">
        <v>73</v>
      </c>
      <c r="W312" s="538" t="s">
        <v>73</v>
      </c>
      <c r="Y312" s="538" t="s">
        <v>73</v>
      </c>
      <c r="AA312" s="538" t="s">
        <v>73</v>
      </c>
      <c r="AC312" s="538" t="s">
        <v>73</v>
      </c>
      <c r="AE312" s="538" t="s">
        <v>73</v>
      </c>
      <c r="AG312" s="538" t="s">
        <v>73</v>
      </c>
      <c r="AI312" s="538" t="s">
        <v>73</v>
      </c>
      <c r="AK312" s="538" t="s">
        <v>73</v>
      </c>
      <c r="AM312" s="538" t="s">
        <v>73</v>
      </c>
      <c r="AO312" s="538" t="s">
        <v>79</v>
      </c>
      <c r="AP312" s="538" t="s">
        <v>343</v>
      </c>
      <c r="AQ312" s="538" t="s">
        <v>79</v>
      </c>
      <c r="AR312" s="538" t="s">
        <v>343</v>
      </c>
      <c r="AS312" s="538">
        <v>2.587348908E9</v>
      </c>
      <c r="AT312" s="538">
        <v>7.25106789E8</v>
      </c>
      <c r="AU312" s="538">
        <v>196.0</v>
      </c>
      <c r="AV312" s="538" t="s">
        <v>47</v>
      </c>
      <c r="AZ312" s="538">
        <v>1.0</v>
      </c>
      <c r="BA312" s="538">
        <v>1.0</v>
      </c>
      <c r="BB312" s="538">
        <v>1.0</v>
      </c>
      <c r="BC312" s="538">
        <v>1.0</v>
      </c>
      <c r="BD312" s="538">
        <v>1.0</v>
      </c>
      <c r="BE312" s="538">
        <v>0.05</v>
      </c>
      <c r="BF312" s="538">
        <v>0.1</v>
      </c>
      <c r="BG312" s="538">
        <v>0.15</v>
      </c>
      <c r="BH312" s="538">
        <v>0.25</v>
      </c>
      <c r="BI312" s="538">
        <v>0.3</v>
      </c>
      <c r="BJ312" s="546"/>
      <c r="BL312" s="546"/>
    </row>
    <row r="313" ht="22.5" customHeight="1">
      <c r="A313" s="538">
        <v>312.0</v>
      </c>
      <c r="B313" s="538" t="s">
        <v>1655</v>
      </c>
      <c r="C313" s="538" t="s">
        <v>86</v>
      </c>
      <c r="D313" s="538" t="s">
        <v>1656</v>
      </c>
      <c r="E313" s="538" t="s">
        <v>218</v>
      </c>
      <c r="G313" s="538" t="s">
        <v>151</v>
      </c>
      <c r="H313" s="538" t="s">
        <v>250</v>
      </c>
      <c r="I313" s="538" t="s">
        <v>122</v>
      </c>
      <c r="K313" s="538" t="s">
        <v>1660</v>
      </c>
      <c r="L313" s="538" t="s">
        <v>1661</v>
      </c>
      <c r="M313" s="538" t="s">
        <v>673</v>
      </c>
      <c r="N313" s="538" t="s">
        <v>1662</v>
      </c>
      <c r="O313" s="538" t="b">
        <v>0</v>
      </c>
      <c r="P313" s="538" t="b">
        <v>1</v>
      </c>
      <c r="Q313" s="538" t="s">
        <v>73</v>
      </c>
      <c r="S313" s="538" t="s">
        <v>73</v>
      </c>
      <c r="U313" s="538" t="s">
        <v>73</v>
      </c>
      <c r="W313" s="538" t="s">
        <v>73</v>
      </c>
      <c r="Y313" s="538" t="s">
        <v>73</v>
      </c>
      <c r="AA313" s="538" t="s">
        <v>73</v>
      </c>
      <c r="AC313" s="538" t="s">
        <v>73</v>
      </c>
      <c r="AE313" s="538" t="s">
        <v>73</v>
      </c>
      <c r="AG313" s="538" t="s">
        <v>73</v>
      </c>
      <c r="AI313" s="538" t="s">
        <v>73</v>
      </c>
      <c r="AK313" s="538" t="s">
        <v>73</v>
      </c>
      <c r="AM313" s="538" t="s">
        <v>73</v>
      </c>
      <c r="AO313" s="538" t="s">
        <v>79</v>
      </c>
      <c r="AP313" s="538" t="s">
        <v>218</v>
      </c>
      <c r="AQ313" s="538" t="s">
        <v>79</v>
      </c>
      <c r="AR313" s="538" t="s">
        <v>218</v>
      </c>
      <c r="AS313" s="538">
        <v>4.09777518E8</v>
      </c>
      <c r="AT313" s="538">
        <v>7.25106789E8</v>
      </c>
      <c r="AU313" s="538">
        <v>196.0</v>
      </c>
      <c r="AV313" s="538" t="s">
        <v>47</v>
      </c>
      <c r="AZ313" s="538">
        <v>1.0</v>
      </c>
      <c r="BA313" s="538">
        <v>1.0</v>
      </c>
      <c r="BB313" s="538">
        <v>1.0</v>
      </c>
      <c r="BC313" s="538">
        <v>1.0</v>
      </c>
      <c r="BD313" s="538">
        <v>1.0</v>
      </c>
      <c r="BE313" s="538">
        <v>0.7</v>
      </c>
      <c r="BF313" s="538">
        <v>0.95</v>
      </c>
      <c r="BG313" s="538">
        <v>1.15</v>
      </c>
      <c r="BH313" s="538">
        <v>1.4</v>
      </c>
      <c r="BI313" s="538">
        <v>1.8</v>
      </c>
      <c r="BJ313" s="546"/>
      <c r="BK313" s="547"/>
      <c r="BL313" s="546"/>
    </row>
    <row r="314" ht="22.5" customHeight="1">
      <c r="A314" s="538">
        <v>313.0</v>
      </c>
      <c r="B314" s="538" t="s">
        <v>1663</v>
      </c>
      <c r="C314" s="538" t="s">
        <v>82</v>
      </c>
      <c r="D314" s="538" t="s">
        <v>1656</v>
      </c>
      <c r="E314" s="538" t="s">
        <v>231</v>
      </c>
      <c r="G314" s="538" t="s">
        <v>151</v>
      </c>
      <c r="H314" s="538" t="s">
        <v>250</v>
      </c>
      <c r="I314" s="538" t="s">
        <v>122</v>
      </c>
      <c r="K314" s="538" t="s">
        <v>1664</v>
      </c>
      <c r="L314" s="538" t="s">
        <v>1665</v>
      </c>
      <c r="M314" s="538" t="s">
        <v>673</v>
      </c>
      <c r="N314" s="538" t="s">
        <v>723</v>
      </c>
      <c r="O314" s="538" t="b">
        <v>0</v>
      </c>
      <c r="P314" s="538" t="b">
        <v>1</v>
      </c>
      <c r="Q314" s="538" t="s">
        <v>73</v>
      </c>
      <c r="S314" s="538" t="s">
        <v>73</v>
      </c>
      <c r="U314" s="538" t="s">
        <v>73</v>
      </c>
      <c r="W314" s="538" t="s">
        <v>73</v>
      </c>
      <c r="Y314" s="538" t="s">
        <v>73</v>
      </c>
      <c r="AA314" s="538" t="s">
        <v>73</v>
      </c>
      <c r="AC314" s="538" t="s">
        <v>73</v>
      </c>
      <c r="AE314" s="538" t="s">
        <v>73</v>
      </c>
      <c r="AG314" s="538" t="s">
        <v>73</v>
      </c>
      <c r="AI314" s="538" t="s">
        <v>73</v>
      </c>
      <c r="AK314" s="538" t="s">
        <v>73</v>
      </c>
      <c r="AM314" s="538" t="s">
        <v>73</v>
      </c>
      <c r="AO314" s="538" t="s">
        <v>79</v>
      </c>
      <c r="AP314" s="538" t="s">
        <v>231</v>
      </c>
      <c r="AQ314" s="538" t="s">
        <v>79</v>
      </c>
      <c r="AR314" s="538" t="s">
        <v>231</v>
      </c>
      <c r="AS314" s="538">
        <v>3.954073301E9</v>
      </c>
      <c r="AT314" s="538">
        <v>2.486433247E9</v>
      </c>
      <c r="AU314" s="538">
        <v>197.0</v>
      </c>
      <c r="AV314" s="538" t="s">
        <v>46</v>
      </c>
      <c r="AZ314" s="538">
        <v>1.0</v>
      </c>
      <c r="BA314" s="538">
        <v>1.0</v>
      </c>
      <c r="BB314" s="538">
        <v>1.0</v>
      </c>
      <c r="BC314" s="538">
        <v>1.0</v>
      </c>
      <c r="BD314" s="538">
        <v>1.0</v>
      </c>
      <c r="BE314" s="538">
        <v>0.3</v>
      </c>
      <c r="BF314" s="538">
        <v>0.35</v>
      </c>
      <c r="BG314" s="538">
        <v>0.4</v>
      </c>
      <c r="BH314" s="538">
        <v>0.45</v>
      </c>
      <c r="BI314" s="538">
        <v>0.5</v>
      </c>
      <c r="BJ314" s="546"/>
      <c r="BL314" s="546"/>
    </row>
    <row r="315" ht="22.5" customHeight="1">
      <c r="A315" s="538">
        <v>314.0</v>
      </c>
      <c r="B315" s="538" t="s">
        <v>1663</v>
      </c>
      <c r="C315" s="538" t="s">
        <v>86</v>
      </c>
      <c r="D315" s="538" t="s">
        <v>1656</v>
      </c>
      <c r="E315" s="538" t="s">
        <v>223</v>
      </c>
      <c r="G315" s="538" t="s">
        <v>151</v>
      </c>
      <c r="H315" s="538" t="s">
        <v>250</v>
      </c>
      <c r="I315" s="538" t="s">
        <v>122</v>
      </c>
      <c r="K315" s="538" t="s">
        <v>1666</v>
      </c>
      <c r="L315" s="538" t="s">
        <v>1667</v>
      </c>
      <c r="M315" s="538" t="s">
        <v>673</v>
      </c>
      <c r="N315" s="538" t="s">
        <v>1668</v>
      </c>
      <c r="O315" s="538" t="b">
        <v>0</v>
      </c>
      <c r="P315" s="538" t="b">
        <v>1</v>
      </c>
      <c r="Q315" s="538" t="s">
        <v>73</v>
      </c>
      <c r="S315" s="538" t="s">
        <v>73</v>
      </c>
      <c r="U315" s="538" t="s">
        <v>73</v>
      </c>
      <c r="W315" s="538" t="s">
        <v>73</v>
      </c>
      <c r="Y315" s="538" t="s">
        <v>73</v>
      </c>
      <c r="AA315" s="538" t="s">
        <v>73</v>
      </c>
      <c r="AC315" s="538" t="s">
        <v>73</v>
      </c>
      <c r="AE315" s="538" t="s">
        <v>73</v>
      </c>
      <c r="AG315" s="538" t="s">
        <v>73</v>
      </c>
      <c r="AI315" s="538" t="s">
        <v>73</v>
      </c>
      <c r="AK315" s="538" t="s">
        <v>73</v>
      </c>
      <c r="AM315" s="538" t="s">
        <v>73</v>
      </c>
      <c r="AO315" s="538" t="s">
        <v>79</v>
      </c>
      <c r="AP315" s="538" t="s">
        <v>223</v>
      </c>
      <c r="AQ315" s="538" t="s">
        <v>79</v>
      </c>
      <c r="AR315" s="538" t="s">
        <v>223</v>
      </c>
      <c r="AS315" s="538">
        <v>4.19878869E8</v>
      </c>
      <c r="AT315" s="538">
        <v>2.486433247E9</v>
      </c>
      <c r="AU315" s="538">
        <v>197.0</v>
      </c>
      <c r="AV315" s="538" t="s">
        <v>46</v>
      </c>
      <c r="AZ315" s="538">
        <v>1.0</v>
      </c>
      <c r="BA315" s="538">
        <v>1.0</v>
      </c>
      <c r="BB315" s="538">
        <v>1.0</v>
      </c>
      <c r="BC315" s="538">
        <v>1.0</v>
      </c>
      <c r="BD315" s="538">
        <v>1.0</v>
      </c>
      <c r="BE315" s="538">
        <v>0.5</v>
      </c>
      <c r="BF315" s="538">
        <v>0.675</v>
      </c>
      <c r="BG315" s="538">
        <v>0.85</v>
      </c>
      <c r="BH315" s="538">
        <v>1.075</v>
      </c>
      <c r="BI315" s="538">
        <v>1.3</v>
      </c>
      <c r="BJ315" s="546"/>
      <c r="BK315" s="547"/>
      <c r="BL315" s="546"/>
    </row>
    <row r="316" ht="22.5" customHeight="1">
      <c r="A316" s="538">
        <v>315.0</v>
      </c>
      <c r="B316" s="538" t="s">
        <v>1669</v>
      </c>
      <c r="C316" s="538" t="s">
        <v>82</v>
      </c>
      <c r="D316" s="538" t="s">
        <v>1656</v>
      </c>
      <c r="E316" s="538" t="s">
        <v>223</v>
      </c>
      <c r="F316" s="538" t="s">
        <v>1041</v>
      </c>
      <c r="G316" s="538" t="s">
        <v>163</v>
      </c>
      <c r="H316" s="538" t="s">
        <v>222</v>
      </c>
      <c r="I316" s="538" t="s">
        <v>189</v>
      </c>
      <c r="K316" s="538" t="s">
        <v>1670</v>
      </c>
      <c r="L316" s="538" t="s">
        <v>1671</v>
      </c>
      <c r="M316" s="538" t="s">
        <v>673</v>
      </c>
      <c r="N316" s="538" t="s">
        <v>1672</v>
      </c>
      <c r="O316" s="538" t="b">
        <v>0</v>
      </c>
      <c r="P316" s="538" t="b">
        <v>1</v>
      </c>
      <c r="Q316" s="538" t="s">
        <v>73</v>
      </c>
      <c r="S316" s="538" t="s">
        <v>73</v>
      </c>
      <c r="U316" s="538" t="s">
        <v>73</v>
      </c>
      <c r="W316" s="538" t="s">
        <v>73</v>
      </c>
      <c r="Y316" s="538" t="s">
        <v>73</v>
      </c>
      <c r="AA316" s="538" t="s">
        <v>73</v>
      </c>
      <c r="AC316" s="538" t="s">
        <v>79</v>
      </c>
      <c r="AD316" s="538" t="s">
        <v>377</v>
      </c>
      <c r="AE316" s="538" t="s">
        <v>79</v>
      </c>
      <c r="AF316" s="538" t="s">
        <v>377</v>
      </c>
      <c r="AG316" s="538" t="s">
        <v>79</v>
      </c>
      <c r="AH316" s="538" t="s">
        <v>380</v>
      </c>
      <c r="AI316" s="538" t="s">
        <v>79</v>
      </c>
      <c r="AJ316" s="538" t="s">
        <v>377</v>
      </c>
      <c r="AK316" s="538" t="s">
        <v>73</v>
      </c>
      <c r="AM316" s="538" t="s">
        <v>73</v>
      </c>
      <c r="AO316" s="538" t="s">
        <v>79</v>
      </c>
      <c r="AP316" s="538" t="s">
        <v>223</v>
      </c>
      <c r="AQ316" s="538" t="s">
        <v>79</v>
      </c>
      <c r="AR316" s="538" t="s">
        <v>223</v>
      </c>
      <c r="AS316" s="538">
        <v>1.821429098E9</v>
      </c>
      <c r="AT316" s="538">
        <v>1.437818828E9</v>
      </c>
      <c r="AU316" s="538">
        <v>198.0</v>
      </c>
      <c r="AV316" s="538" t="s">
        <v>45</v>
      </c>
      <c r="AZ316" s="538">
        <v>1.0</v>
      </c>
      <c r="BA316" s="538">
        <v>1.0</v>
      </c>
      <c r="BB316" s="538">
        <v>1.0</v>
      </c>
      <c r="BC316" s="538">
        <v>1.0</v>
      </c>
      <c r="BD316" s="538">
        <v>1.0</v>
      </c>
      <c r="BE316" s="538">
        <v>0.05</v>
      </c>
      <c r="BF316" s="538">
        <v>0.12</v>
      </c>
      <c r="BG316" s="538">
        <v>0.15</v>
      </c>
      <c r="BH316" s="538">
        <v>0.18</v>
      </c>
      <c r="BI316" s="538">
        <v>0.2</v>
      </c>
      <c r="BJ316" s="546"/>
      <c r="BL316" s="546"/>
    </row>
    <row r="317" ht="22.5" customHeight="1">
      <c r="A317" s="538">
        <v>316.0</v>
      </c>
      <c r="B317" s="538" t="s">
        <v>1669</v>
      </c>
      <c r="C317" s="538" t="s">
        <v>86</v>
      </c>
      <c r="D317" s="538" t="s">
        <v>1656</v>
      </c>
      <c r="E317" s="538" t="s">
        <v>231</v>
      </c>
      <c r="G317" s="538" t="s">
        <v>151</v>
      </c>
      <c r="H317" s="538" t="s">
        <v>250</v>
      </c>
      <c r="I317" s="538" t="s">
        <v>122</v>
      </c>
      <c r="K317" s="538" t="s">
        <v>1673</v>
      </c>
      <c r="L317" s="538" t="s">
        <v>1665</v>
      </c>
      <c r="M317" s="538" t="s">
        <v>673</v>
      </c>
      <c r="N317" s="538" t="s">
        <v>1674</v>
      </c>
      <c r="O317" s="538" t="b">
        <v>0</v>
      </c>
      <c r="P317" s="538" t="b">
        <v>1</v>
      </c>
      <c r="Q317" s="538" t="s">
        <v>73</v>
      </c>
      <c r="S317" s="538" t="s">
        <v>73</v>
      </c>
      <c r="U317" s="538" t="s">
        <v>73</v>
      </c>
      <c r="W317" s="538" t="s">
        <v>73</v>
      </c>
      <c r="Y317" s="538" t="s">
        <v>73</v>
      </c>
      <c r="AA317" s="538" t="s">
        <v>73</v>
      </c>
      <c r="AC317" s="538" t="s">
        <v>73</v>
      </c>
      <c r="AE317" s="538" t="s">
        <v>73</v>
      </c>
      <c r="AG317" s="538" t="s">
        <v>73</v>
      </c>
      <c r="AI317" s="538" t="s">
        <v>73</v>
      </c>
      <c r="AK317" s="538" t="s">
        <v>73</v>
      </c>
      <c r="AM317" s="538" t="s">
        <v>73</v>
      </c>
      <c r="AO317" s="538" t="s">
        <v>79</v>
      </c>
      <c r="AP317" s="538" t="s">
        <v>231</v>
      </c>
      <c r="AQ317" s="538" t="s">
        <v>79</v>
      </c>
      <c r="AR317" s="538" t="s">
        <v>231</v>
      </c>
      <c r="AS317" s="538">
        <v>2.353995811E9</v>
      </c>
      <c r="AT317" s="538">
        <v>1.437818828E9</v>
      </c>
      <c r="AU317" s="538">
        <v>198.0</v>
      </c>
      <c r="AV317" s="538" t="s">
        <v>45</v>
      </c>
      <c r="AZ317" s="538">
        <v>1.0</v>
      </c>
      <c r="BA317" s="538">
        <v>1.0</v>
      </c>
      <c r="BB317" s="538">
        <v>1.0</v>
      </c>
      <c r="BC317" s="538">
        <v>1.0</v>
      </c>
      <c r="BD317" s="538">
        <v>1.0</v>
      </c>
      <c r="BE317" s="538">
        <v>0.15</v>
      </c>
      <c r="BF317" s="538">
        <v>0.225</v>
      </c>
      <c r="BG317" s="538">
        <v>0.3</v>
      </c>
      <c r="BH317" s="538">
        <v>0.45</v>
      </c>
      <c r="BI317" s="538">
        <v>0.65</v>
      </c>
      <c r="BJ317" s="546"/>
      <c r="BL317" s="546"/>
    </row>
    <row r="318" ht="22.5" customHeight="1">
      <c r="A318" s="538">
        <v>317.0</v>
      </c>
      <c r="B318" s="538" t="s">
        <v>1675</v>
      </c>
      <c r="C318" s="538" t="s">
        <v>82</v>
      </c>
      <c r="D318" s="538" t="s">
        <v>1656</v>
      </c>
      <c r="E318" s="538" t="s">
        <v>349</v>
      </c>
      <c r="G318" s="538" t="s">
        <v>151</v>
      </c>
      <c r="H318" s="538" t="s">
        <v>182</v>
      </c>
      <c r="I318" s="538" t="s">
        <v>122</v>
      </c>
      <c r="K318" s="538" t="s">
        <v>1676</v>
      </c>
      <c r="L318" s="538" t="s">
        <v>1677</v>
      </c>
      <c r="M318" s="538" t="s">
        <v>673</v>
      </c>
      <c r="N318" s="538" t="s">
        <v>1659</v>
      </c>
      <c r="O318" s="538" t="b">
        <v>0</v>
      </c>
      <c r="P318" s="538" t="b">
        <v>1</v>
      </c>
      <c r="Q318" s="538" t="s">
        <v>73</v>
      </c>
      <c r="S318" s="538" t="s">
        <v>73</v>
      </c>
      <c r="U318" s="538" t="s">
        <v>73</v>
      </c>
      <c r="W318" s="538" t="s">
        <v>73</v>
      </c>
      <c r="Y318" s="538" t="s">
        <v>73</v>
      </c>
      <c r="AA318" s="538" t="s">
        <v>73</v>
      </c>
      <c r="AC318" s="538" t="s">
        <v>73</v>
      </c>
      <c r="AE318" s="538" t="s">
        <v>73</v>
      </c>
      <c r="AG318" s="538" t="s">
        <v>73</v>
      </c>
      <c r="AI318" s="538" t="s">
        <v>73</v>
      </c>
      <c r="AK318" s="538" t="s">
        <v>73</v>
      </c>
      <c r="AM318" s="538" t="s">
        <v>73</v>
      </c>
      <c r="AO318" s="538" t="s">
        <v>79</v>
      </c>
      <c r="AP318" s="538" t="s">
        <v>349</v>
      </c>
      <c r="AQ318" s="538" t="s">
        <v>79</v>
      </c>
      <c r="AR318" s="538" t="s">
        <v>349</v>
      </c>
      <c r="AS318" s="538">
        <v>6.98615866E8</v>
      </c>
      <c r="AT318" s="538">
        <v>3.865023367E9</v>
      </c>
      <c r="AU318" s="538">
        <v>200.0</v>
      </c>
      <c r="AV318" s="538" t="s">
        <v>47</v>
      </c>
      <c r="AZ318" s="538">
        <v>1.0</v>
      </c>
      <c r="BA318" s="538">
        <v>1.0</v>
      </c>
      <c r="BB318" s="538">
        <v>1.0</v>
      </c>
      <c r="BC318" s="538">
        <v>1.0</v>
      </c>
      <c r="BD318" s="538">
        <v>1.0</v>
      </c>
      <c r="BE318" s="538">
        <v>0.05</v>
      </c>
      <c r="BF318" s="538">
        <v>0.1</v>
      </c>
      <c r="BG318" s="538">
        <v>0.15</v>
      </c>
      <c r="BH318" s="538">
        <v>0.25</v>
      </c>
      <c r="BI318" s="538">
        <v>0.3</v>
      </c>
      <c r="BJ318" s="546"/>
      <c r="BL318" s="546"/>
    </row>
    <row r="319" ht="22.5" customHeight="1">
      <c r="A319" s="538">
        <v>318.0</v>
      </c>
      <c r="B319" s="538" t="s">
        <v>1675</v>
      </c>
      <c r="C319" s="538" t="s">
        <v>86</v>
      </c>
      <c r="D319" s="538" t="s">
        <v>1656</v>
      </c>
      <c r="E319" s="538" t="s">
        <v>310</v>
      </c>
      <c r="G319" s="538" t="s">
        <v>151</v>
      </c>
      <c r="H319" s="538" t="s">
        <v>250</v>
      </c>
      <c r="I319" s="538" t="s">
        <v>122</v>
      </c>
      <c r="K319" s="538" t="s">
        <v>1678</v>
      </c>
      <c r="L319" s="538" t="s">
        <v>1679</v>
      </c>
      <c r="M319" s="538" t="s">
        <v>673</v>
      </c>
      <c r="N319" s="538" t="s">
        <v>1680</v>
      </c>
      <c r="O319" s="538" t="b">
        <v>0</v>
      </c>
      <c r="P319" s="538" t="b">
        <v>1</v>
      </c>
      <c r="Q319" s="538" t="s">
        <v>73</v>
      </c>
      <c r="S319" s="538" t="s">
        <v>73</v>
      </c>
      <c r="U319" s="538" t="s">
        <v>73</v>
      </c>
      <c r="W319" s="538" t="s">
        <v>73</v>
      </c>
      <c r="Y319" s="538" t="s">
        <v>73</v>
      </c>
      <c r="AA319" s="538" t="s">
        <v>73</v>
      </c>
      <c r="AC319" s="538" t="s">
        <v>73</v>
      </c>
      <c r="AE319" s="538" t="s">
        <v>73</v>
      </c>
      <c r="AG319" s="538" t="s">
        <v>73</v>
      </c>
      <c r="AI319" s="538" t="s">
        <v>73</v>
      </c>
      <c r="AK319" s="538" t="s">
        <v>73</v>
      </c>
      <c r="AM319" s="538" t="s">
        <v>73</v>
      </c>
      <c r="AO319" s="538" t="s">
        <v>79</v>
      </c>
      <c r="AP319" s="538" t="s">
        <v>310</v>
      </c>
      <c r="AQ319" s="538" t="s">
        <v>79</v>
      </c>
      <c r="AR319" s="538" t="s">
        <v>310</v>
      </c>
      <c r="AS319" s="538">
        <v>2.296451322E9</v>
      </c>
      <c r="AT319" s="538">
        <v>3.865023367E9</v>
      </c>
      <c r="AU319" s="538">
        <v>200.0</v>
      </c>
      <c r="AV319" s="538" t="s">
        <v>47</v>
      </c>
      <c r="AZ319" s="538">
        <v>1.0</v>
      </c>
      <c r="BA319" s="538">
        <v>1.0</v>
      </c>
      <c r="BB319" s="538">
        <v>1.0</v>
      </c>
      <c r="BC319" s="538">
        <v>1.0</v>
      </c>
      <c r="BD319" s="538">
        <v>1.0</v>
      </c>
      <c r="BE319" s="538">
        <v>0.75</v>
      </c>
      <c r="BF319" s="538">
        <v>1.0</v>
      </c>
      <c r="BG319" s="538">
        <v>1.35</v>
      </c>
      <c r="BH319" s="538">
        <v>1.7</v>
      </c>
      <c r="BI319" s="538">
        <v>2.15</v>
      </c>
      <c r="BJ319" s="546"/>
      <c r="BL319" s="546"/>
    </row>
    <row r="320" ht="22.5" customHeight="1">
      <c r="A320" s="538">
        <v>319.0</v>
      </c>
      <c r="B320" s="538" t="s">
        <v>1681</v>
      </c>
      <c r="C320" s="538" t="s">
        <v>82</v>
      </c>
      <c r="D320" s="538" t="s">
        <v>1656</v>
      </c>
      <c r="E320" s="538" t="s">
        <v>223</v>
      </c>
      <c r="G320" s="538" t="s">
        <v>151</v>
      </c>
      <c r="H320" s="538" t="s">
        <v>250</v>
      </c>
      <c r="I320" s="538" t="s">
        <v>122</v>
      </c>
      <c r="K320" s="538" t="s">
        <v>1682</v>
      </c>
      <c r="L320" s="538" t="s">
        <v>1667</v>
      </c>
      <c r="M320" s="538" t="s">
        <v>673</v>
      </c>
      <c r="N320" s="538" t="s">
        <v>723</v>
      </c>
      <c r="O320" s="538" t="b">
        <v>0</v>
      </c>
      <c r="P320" s="538" t="b">
        <v>1</v>
      </c>
      <c r="Q320" s="538" t="s">
        <v>73</v>
      </c>
      <c r="S320" s="538" t="s">
        <v>73</v>
      </c>
      <c r="U320" s="538" t="s">
        <v>73</v>
      </c>
      <c r="W320" s="538" t="s">
        <v>73</v>
      </c>
      <c r="Y320" s="538" t="s">
        <v>73</v>
      </c>
      <c r="AA320" s="538" t="s">
        <v>73</v>
      </c>
      <c r="AC320" s="538" t="s">
        <v>73</v>
      </c>
      <c r="AE320" s="538" t="s">
        <v>73</v>
      </c>
      <c r="AG320" s="538" t="s">
        <v>73</v>
      </c>
      <c r="AI320" s="538" t="s">
        <v>73</v>
      </c>
      <c r="AK320" s="538" t="s">
        <v>73</v>
      </c>
      <c r="AM320" s="538" t="s">
        <v>73</v>
      </c>
      <c r="AO320" s="538" t="s">
        <v>79</v>
      </c>
      <c r="AP320" s="538" t="s">
        <v>223</v>
      </c>
      <c r="AQ320" s="538" t="s">
        <v>79</v>
      </c>
      <c r="AR320" s="538" t="s">
        <v>223</v>
      </c>
      <c r="AS320" s="538">
        <v>2.260942311E9</v>
      </c>
      <c r="AT320" s="538">
        <v>4.7699744E7</v>
      </c>
      <c r="AU320" s="538">
        <v>199.0</v>
      </c>
      <c r="AV320" s="538" t="s">
        <v>46</v>
      </c>
      <c r="AZ320" s="538">
        <v>1.0</v>
      </c>
      <c r="BA320" s="538">
        <v>1.0</v>
      </c>
      <c r="BB320" s="538">
        <v>1.0</v>
      </c>
      <c r="BC320" s="538">
        <v>1.0</v>
      </c>
      <c r="BD320" s="538">
        <v>1.0</v>
      </c>
      <c r="BE320" s="538">
        <v>0.3</v>
      </c>
      <c r="BF320" s="538">
        <v>0.35</v>
      </c>
      <c r="BG320" s="538">
        <v>0.4</v>
      </c>
      <c r="BH320" s="538">
        <v>0.45</v>
      </c>
      <c r="BI320" s="538">
        <v>0.5</v>
      </c>
      <c r="BJ320" s="546"/>
      <c r="BL320" s="546"/>
    </row>
    <row r="321" ht="22.5" customHeight="1">
      <c r="A321" s="538">
        <v>320.0</v>
      </c>
      <c r="B321" s="538" t="s">
        <v>1681</v>
      </c>
      <c r="C321" s="538" t="s">
        <v>86</v>
      </c>
      <c r="D321" s="538" t="s">
        <v>1656</v>
      </c>
      <c r="E321" s="538" t="s">
        <v>363</v>
      </c>
      <c r="G321" s="538" t="s">
        <v>151</v>
      </c>
      <c r="H321" s="538" t="s">
        <v>250</v>
      </c>
      <c r="I321" s="538" t="s">
        <v>122</v>
      </c>
      <c r="K321" s="538" t="s">
        <v>1683</v>
      </c>
      <c r="L321" s="538" t="s">
        <v>1684</v>
      </c>
      <c r="M321" s="538" t="s">
        <v>673</v>
      </c>
      <c r="N321" s="538" t="s">
        <v>1685</v>
      </c>
      <c r="O321" s="538" t="b">
        <v>0</v>
      </c>
      <c r="P321" s="538" t="b">
        <v>1</v>
      </c>
      <c r="Q321" s="538" t="s">
        <v>73</v>
      </c>
      <c r="S321" s="538" t="s">
        <v>73</v>
      </c>
      <c r="U321" s="538" t="s">
        <v>73</v>
      </c>
      <c r="W321" s="538" t="s">
        <v>73</v>
      </c>
      <c r="Y321" s="538" t="s">
        <v>73</v>
      </c>
      <c r="AA321" s="538" t="s">
        <v>73</v>
      </c>
      <c r="AC321" s="538" t="s">
        <v>73</v>
      </c>
      <c r="AE321" s="538" t="s">
        <v>73</v>
      </c>
      <c r="AG321" s="538" t="s">
        <v>73</v>
      </c>
      <c r="AI321" s="538" t="s">
        <v>73</v>
      </c>
      <c r="AK321" s="538" t="s">
        <v>73</v>
      </c>
      <c r="AM321" s="538" t="s">
        <v>73</v>
      </c>
      <c r="AO321" s="538" t="s">
        <v>79</v>
      </c>
      <c r="AP321" s="538" t="s">
        <v>363</v>
      </c>
      <c r="AQ321" s="538" t="s">
        <v>79</v>
      </c>
      <c r="AR321" s="538" t="s">
        <v>363</v>
      </c>
      <c r="AS321" s="538">
        <v>1.49510426E9</v>
      </c>
      <c r="AT321" s="538">
        <v>4.7699744E7</v>
      </c>
      <c r="AU321" s="538">
        <v>199.0</v>
      </c>
      <c r="AV321" s="538" t="s">
        <v>46</v>
      </c>
      <c r="AZ321" s="538">
        <v>1.0</v>
      </c>
      <c r="BA321" s="538">
        <v>1.0</v>
      </c>
      <c r="BB321" s="538">
        <v>1.0</v>
      </c>
      <c r="BC321" s="538">
        <v>1.0</v>
      </c>
      <c r="BD321" s="538">
        <v>1.0</v>
      </c>
      <c r="BE321" s="538">
        <v>0.5</v>
      </c>
      <c r="BF321" s="538">
        <v>0.7</v>
      </c>
      <c r="BG321" s="538">
        <v>0.9</v>
      </c>
      <c r="BH321" s="538">
        <v>1.1</v>
      </c>
      <c r="BI321" s="538">
        <v>1.35</v>
      </c>
      <c r="BJ321" s="546"/>
      <c r="BL321" s="546"/>
    </row>
    <row r="322" ht="22.5" customHeight="1">
      <c r="A322" s="538">
        <v>321.0</v>
      </c>
      <c r="B322" s="538" t="s">
        <v>1686</v>
      </c>
      <c r="C322" s="538" t="s">
        <v>84</v>
      </c>
      <c r="D322" s="538" t="s">
        <v>1687</v>
      </c>
      <c r="E322" s="538" t="s">
        <v>369</v>
      </c>
      <c r="F322" s="538" t="s">
        <v>1688</v>
      </c>
      <c r="G322" s="538" t="s">
        <v>163</v>
      </c>
      <c r="H322" s="538" t="s">
        <v>250</v>
      </c>
      <c r="I322" s="538" t="s">
        <v>155</v>
      </c>
      <c r="K322" s="538" t="s">
        <v>1689</v>
      </c>
      <c r="L322" s="538" t="s">
        <v>1690</v>
      </c>
      <c r="M322" s="538" t="s">
        <v>661</v>
      </c>
      <c r="N322" s="538" t="s">
        <v>1691</v>
      </c>
      <c r="O322" s="538" t="b">
        <v>0</v>
      </c>
      <c r="P322" s="538" t="b">
        <v>1</v>
      </c>
      <c r="Q322" s="538" t="s">
        <v>79</v>
      </c>
      <c r="R322" s="538" t="s">
        <v>228</v>
      </c>
      <c r="S322" s="538" t="s">
        <v>79</v>
      </c>
      <c r="T322" s="538" t="s">
        <v>228</v>
      </c>
      <c r="U322" s="538" t="s">
        <v>73</v>
      </c>
      <c r="W322" s="538" t="s">
        <v>73</v>
      </c>
      <c r="Y322" s="538" t="s">
        <v>79</v>
      </c>
      <c r="Z322" s="538" t="s">
        <v>228</v>
      </c>
      <c r="AA322" s="538" t="s">
        <v>73</v>
      </c>
      <c r="AC322" s="538" t="s">
        <v>79</v>
      </c>
      <c r="AD322" s="538" t="s">
        <v>377</v>
      </c>
      <c r="AE322" s="538" t="s">
        <v>79</v>
      </c>
      <c r="AF322" s="538" t="s">
        <v>377</v>
      </c>
      <c r="AG322" s="538" t="s">
        <v>79</v>
      </c>
      <c r="AH322" s="538" t="s">
        <v>228</v>
      </c>
      <c r="AI322" s="538" t="s">
        <v>79</v>
      </c>
      <c r="AJ322" s="538" t="s">
        <v>377</v>
      </c>
      <c r="AK322" s="538" t="s">
        <v>79</v>
      </c>
      <c r="AL322" s="538" t="s">
        <v>228</v>
      </c>
      <c r="AM322" s="538" t="s">
        <v>79</v>
      </c>
      <c r="AN322" s="538" t="s">
        <v>228</v>
      </c>
      <c r="AO322" s="538" t="s">
        <v>79</v>
      </c>
      <c r="AP322" s="538" t="s">
        <v>369</v>
      </c>
      <c r="AQ322" s="538" t="s">
        <v>79</v>
      </c>
      <c r="AR322" s="538" t="s">
        <v>369</v>
      </c>
      <c r="AS322" s="538">
        <v>3.308805436E9</v>
      </c>
      <c r="AT322" s="538">
        <v>2.241990218E9</v>
      </c>
      <c r="AU322" s="538">
        <v>201.0</v>
      </c>
      <c r="AV322" s="538" t="s">
        <v>47</v>
      </c>
      <c r="AZ322" s="538">
        <v>1.0</v>
      </c>
      <c r="BA322" s="538">
        <v>1.0</v>
      </c>
      <c r="BB322" s="538">
        <v>1.0</v>
      </c>
      <c r="BE322" s="538">
        <v>0.04</v>
      </c>
      <c r="BF322" s="538">
        <v>0.02</v>
      </c>
      <c r="BG322" s="538">
        <v>0.05</v>
      </c>
      <c r="BJ322" s="546"/>
      <c r="BL322" s="546"/>
    </row>
    <row r="323" ht="22.5" customHeight="1">
      <c r="A323" s="538">
        <v>322.0</v>
      </c>
      <c r="B323" s="538" t="s">
        <v>1686</v>
      </c>
      <c r="C323" s="538" t="s">
        <v>82</v>
      </c>
      <c r="D323" s="538" t="s">
        <v>1687</v>
      </c>
      <c r="E323" s="538" t="s">
        <v>369</v>
      </c>
      <c r="F323" s="538" t="s">
        <v>1688</v>
      </c>
      <c r="G323" s="538" t="s">
        <v>163</v>
      </c>
      <c r="H323" s="538" t="s">
        <v>222</v>
      </c>
      <c r="I323" s="538" t="s">
        <v>201</v>
      </c>
      <c r="K323" s="538" t="s">
        <v>1692</v>
      </c>
      <c r="L323" s="538" t="s">
        <v>1693</v>
      </c>
      <c r="M323" s="538" t="s">
        <v>673</v>
      </c>
      <c r="N323" s="538" t="s">
        <v>1694</v>
      </c>
      <c r="O323" s="538" t="b">
        <v>0</v>
      </c>
      <c r="P323" s="538" t="b">
        <v>1</v>
      </c>
      <c r="Q323" s="538" t="s">
        <v>79</v>
      </c>
      <c r="R323" s="538" t="s">
        <v>228</v>
      </c>
      <c r="S323" s="538" t="s">
        <v>79</v>
      </c>
      <c r="T323" s="538" t="s">
        <v>228</v>
      </c>
      <c r="U323" s="538" t="s">
        <v>73</v>
      </c>
      <c r="W323" s="538" t="s">
        <v>73</v>
      </c>
      <c r="Y323" s="538" t="s">
        <v>79</v>
      </c>
      <c r="Z323" s="538" t="s">
        <v>228</v>
      </c>
      <c r="AA323" s="538" t="s">
        <v>73</v>
      </c>
      <c r="AC323" s="538" t="s">
        <v>79</v>
      </c>
      <c r="AD323" s="538" t="s">
        <v>377</v>
      </c>
      <c r="AE323" s="538" t="s">
        <v>79</v>
      </c>
      <c r="AF323" s="538" t="s">
        <v>377</v>
      </c>
      <c r="AG323" s="538" t="s">
        <v>79</v>
      </c>
      <c r="AH323" s="538" t="s">
        <v>228</v>
      </c>
      <c r="AI323" s="538" t="s">
        <v>79</v>
      </c>
      <c r="AJ323" s="538" t="s">
        <v>377</v>
      </c>
      <c r="AK323" s="538" t="s">
        <v>79</v>
      </c>
      <c r="AL323" s="538" t="s">
        <v>228</v>
      </c>
      <c r="AM323" s="538" t="s">
        <v>79</v>
      </c>
      <c r="AN323" s="538" t="s">
        <v>228</v>
      </c>
      <c r="AO323" s="538" t="s">
        <v>79</v>
      </c>
      <c r="AP323" s="538" t="s">
        <v>369</v>
      </c>
      <c r="AQ323" s="538" t="s">
        <v>79</v>
      </c>
      <c r="AR323" s="538" t="s">
        <v>369</v>
      </c>
      <c r="AS323" s="538">
        <v>1.761806598E9</v>
      </c>
      <c r="AT323" s="538">
        <v>2.241990218E9</v>
      </c>
      <c r="AU323" s="538">
        <v>201.0</v>
      </c>
      <c r="AV323" s="538" t="s">
        <v>47</v>
      </c>
      <c r="AZ323" s="538">
        <v>1.0</v>
      </c>
      <c r="BA323" s="538">
        <v>1.0</v>
      </c>
      <c r="BB323" s="538">
        <v>1.0</v>
      </c>
      <c r="BC323" s="538">
        <v>1.0</v>
      </c>
      <c r="BD323" s="538">
        <v>1.0</v>
      </c>
      <c r="BE323" s="538">
        <v>0.1</v>
      </c>
      <c r="BF323" s="538">
        <v>0.15</v>
      </c>
      <c r="BG323" s="538">
        <v>0.2</v>
      </c>
      <c r="BH323" s="538">
        <v>0.25</v>
      </c>
      <c r="BI323" s="538">
        <v>0.35</v>
      </c>
      <c r="BJ323" s="546"/>
      <c r="BL323" s="546"/>
    </row>
    <row r="324" ht="22.5" customHeight="1">
      <c r="A324" s="538">
        <v>323.0</v>
      </c>
      <c r="B324" s="538" t="s">
        <v>1695</v>
      </c>
      <c r="C324" s="538" t="s">
        <v>84</v>
      </c>
      <c r="D324" s="538" t="s">
        <v>1687</v>
      </c>
      <c r="E324" s="538" t="s">
        <v>292</v>
      </c>
      <c r="F324" s="538" t="s">
        <v>1688</v>
      </c>
      <c r="G324" s="538" t="s">
        <v>163</v>
      </c>
      <c r="H324" s="538" t="s">
        <v>222</v>
      </c>
      <c r="I324" s="538" t="s">
        <v>201</v>
      </c>
      <c r="K324" s="538" t="s">
        <v>1696</v>
      </c>
      <c r="L324" s="538" t="s">
        <v>1697</v>
      </c>
      <c r="M324" s="538" t="s">
        <v>661</v>
      </c>
      <c r="N324" s="538" t="s">
        <v>670</v>
      </c>
      <c r="O324" s="538" t="b">
        <v>0</v>
      </c>
      <c r="P324" s="538" t="b">
        <v>1</v>
      </c>
      <c r="Q324" s="538" t="s">
        <v>79</v>
      </c>
      <c r="R324" s="538" t="s">
        <v>228</v>
      </c>
      <c r="S324" s="538" t="s">
        <v>79</v>
      </c>
      <c r="T324" s="538" t="s">
        <v>228</v>
      </c>
      <c r="U324" s="538" t="s">
        <v>73</v>
      </c>
      <c r="W324" s="538" t="s">
        <v>73</v>
      </c>
      <c r="Y324" s="538" t="s">
        <v>79</v>
      </c>
      <c r="Z324" s="538" t="s">
        <v>228</v>
      </c>
      <c r="AA324" s="538" t="s">
        <v>73</v>
      </c>
      <c r="AC324" s="538" t="s">
        <v>79</v>
      </c>
      <c r="AD324" s="538" t="s">
        <v>377</v>
      </c>
      <c r="AE324" s="538" t="s">
        <v>79</v>
      </c>
      <c r="AF324" s="538" t="s">
        <v>377</v>
      </c>
      <c r="AG324" s="538" t="s">
        <v>79</v>
      </c>
      <c r="AH324" s="538" t="s">
        <v>228</v>
      </c>
      <c r="AI324" s="538" t="s">
        <v>79</v>
      </c>
      <c r="AJ324" s="538" t="s">
        <v>377</v>
      </c>
      <c r="AK324" s="538" t="s">
        <v>79</v>
      </c>
      <c r="AL324" s="538" t="s">
        <v>228</v>
      </c>
      <c r="AM324" s="538" t="s">
        <v>79</v>
      </c>
      <c r="AN324" s="538" t="s">
        <v>228</v>
      </c>
      <c r="AO324" s="538" t="s">
        <v>79</v>
      </c>
      <c r="AP324" s="538" t="s">
        <v>292</v>
      </c>
      <c r="AQ324" s="538" t="s">
        <v>79</v>
      </c>
      <c r="AR324" s="538" t="s">
        <v>292</v>
      </c>
      <c r="AS324" s="538">
        <v>2.24647769E9</v>
      </c>
      <c r="AT324" s="538">
        <v>2.702893021E9</v>
      </c>
      <c r="AU324" s="538">
        <v>202.0</v>
      </c>
      <c r="AV324" s="538" t="s">
        <v>46</v>
      </c>
      <c r="AZ324" s="538">
        <v>1.0</v>
      </c>
      <c r="BA324" s="538">
        <v>1.0</v>
      </c>
      <c r="BB324" s="538">
        <v>1.0</v>
      </c>
      <c r="BE324" s="538">
        <v>0.15</v>
      </c>
      <c r="BF324" s="538">
        <v>0.05</v>
      </c>
      <c r="BG324" s="538">
        <v>0.1</v>
      </c>
      <c r="BJ324" s="546"/>
      <c r="BL324" s="546"/>
    </row>
    <row r="325" ht="22.5" customHeight="1">
      <c r="A325" s="538">
        <v>324.0</v>
      </c>
      <c r="B325" s="538" t="s">
        <v>1695</v>
      </c>
      <c r="C325" s="538" t="s">
        <v>82</v>
      </c>
      <c r="D325" s="538" t="s">
        <v>1687</v>
      </c>
      <c r="E325" s="538" t="s">
        <v>223</v>
      </c>
      <c r="F325" s="538" t="s">
        <v>1698</v>
      </c>
      <c r="G325" s="538" t="s">
        <v>163</v>
      </c>
      <c r="H325" s="538" t="s">
        <v>250</v>
      </c>
      <c r="I325" s="538" t="s">
        <v>176</v>
      </c>
      <c r="J325" s="538" t="s">
        <v>395</v>
      </c>
      <c r="K325" s="538" t="s">
        <v>1699</v>
      </c>
      <c r="L325" s="538" t="s">
        <v>1700</v>
      </c>
      <c r="M325" s="538" t="s">
        <v>673</v>
      </c>
      <c r="N325" s="538" t="s">
        <v>1701</v>
      </c>
      <c r="O325" s="538" t="b">
        <v>0</v>
      </c>
      <c r="P325" s="538" t="b">
        <v>1</v>
      </c>
      <c r="Q325" s="538" t="s">
        <v>79</v>
      </c>
      <c r="R325" s="538" t="s">
        <v>1702</v>
      </c>
      <c r="S325" s="538" t="s">
        <v>79</v>
      </c>
      <c r="T325" s="538" t="s">
        <v>1702</v>
      </c>
      <c r="U325" s="538" t="s">
        <v>75</v>
      </c>
      <c r="V325" s="538" t="s">
        <v>1703</v>
      </c>
      <c r="W325" s="538" t="s">
        <v>75</v>
      </c>
      <c r="X325" s="538" t="s">
        <v>1703</v>
      </c>
      <c r="Y325" s="538" t="s">
        <v>79</v>
      </c>
      <c r="Z325" s="538" t="s">
        <v>1702</v>
      </c>
      <c r="AA325" s="538" t="s">
        <v>75</v>
      </c>
      <c r="AB325" s="538" t="s">
        <v>1703</v>
      </c>
      <c r="AC325" s="538" t="s">
        <v>79</v>
      </c>
      <c r="AD325" s="538" t="s">
        <v>377</v>
      </c>
      <c r="AE325" s="538" t="s">
        <v>79</v>
      </c>
      <c r="AF325" s="538" t="s">
        <v>377</v>
      </c>
      <c r="AG325" s="538" t="s">
        <v>79</v>
      </c>
      <c r="AH325" s="538" t="s">
        <v>1702</v>
      </c>
      <c r="AI325" s="538" t="s">
        <v>79</v>
      </c>
      <c r="AJ325" s="538" t="s">
        <v>377</v>
      </c>
      <c r="AK325" s="538" t="s">
        <v>79</v>
      </c>
      <c r="AL325" s="538" t="s">
        <v>1702</v>
      </c>
      <c r="AM325" s="538" t="s">
        <v>79</v>
      </c>
      <c r="AN325" s="538" t="s">
        <v>1702</v>
      </c>
      <c r="AO325" s="538" t="s">
        <v>79</v>
      </c>
      <c r="AP325" s="538" t="s">
        <v>223</v>
      </c>
      <c r="AQ325" s="538" t="s">
        <v>79</v>
      </c>
      <c r="AR325" s="538" t="s">
        <v>223</v>
      </c>
      <c r="AS325" s="538">
        <v>1.101292289E9</v>
      </c>
      <c r="AT325" s="538">
        <v>2.702893021E9</v>
      </c>
      <c r="AU325" s="538">
        <v>202.0</v>
      </c>
      <c r="AV325" s="538" t="s">
        <v>46</v>
      </c>
      <c r="AY325" s="538" t="s">
        <v>1703</v>
      </c>
      <c r="AZ325" s="538">
        <v>1.0</v>
      </c>
      <c r="BA325" s="538">
        <v>1.0</v>
      </c>
      <c r="BB325" s="538">
        <v>1.0</v>
      </c>
      <c r="BC325" s="538">
        <v>1.0</v>
      </c>
      <c r="BD325" s="538">
        <v>1.0</v>
      </c>
      <c r="BE325" s="538">
        <v>5.0</v>
      </c>
      <c r="BF325" s="538">
        <v>8.0</v>
      </c>
      <c r="BG325" s="538">
        <v>11.0</v>
      </c>
      <c r="BH325" s="538">
        <v>14.0</v>
      </c>
      <c r="BI325" s="538">
        <v>18.0</v>
      </c>
      <c r="BJ325" s="546"/>
      <c r="BL325" s="546"/>
    </row>
    <row r="326" ht="22.5" customHeight="1">
      <c r="A326" s="538">
        <v>325.0</v>
      </c>
      <c r="B326" s="538" t="s">
        <v>1704</v>
      </c>
      <c r="C326" s="538" t="s">
        <v>82</v>
      </c>
      <c r="D326" s="538" t="s">
        <v>1687</v>
      </c>
      <c r="E326" s="538" t="s">
        <v>400</v>
      </c>
      <c r="G326" s="538" t="s">
        <v>151</v>
      </c>
      <c r="H326" s="538" t="s">
        <v>250</v>
      </c>
      <c r="I326" s="538" t="s">
        <v>122</v>
      </c>
      <c r="K326" s="538" t="s">
        <v>1705</v>
      </c>
      <c r="L326" s="538" t="s">
        <v>1706</v>
      </c>
      <c r="M326" s="538" t="s">
        <v>673</v>
      </c>
      <c r="N326" s="538" t="s">
        <v>1707</v>
      </c>
      <c r="O326" s="538" t="b">
        <v>0</v>
      </c>
      <c r="P326" s="538" t="b">
        <v>1</v>
      </c>
      <c r="Q326" s="538" t="s">
        <v>79</v>
      </c>
      <c r="R326" s="538" t="s">
        <v>400</v>
      </c>
      <c r="S326" s="538" t="s">
        <v>79</v>
      </c>
      <c r="T326" s="538" t="s">
        <v>400</v>
      </c>
      <c r="U326" s="538" t="s">
        <v>79</v>
      </c>
      <c r="V326" s="538" t="s">
        <v>400</v>
      </c>
      <c r="W326" s="538" t="s">
        <v>79</v>
      </c>
      <c r="X326" s="538" t="s">
        <v>400</v>
      </c>
      <c r="Y326" s="538" t="s">
        <v>79</v>
      </c>
      <c r="Z326" s="538" t="s">
        <v>400</v>
      </c>
      <c r="AA326" s="538" t="s">
        <v>79</v>
      </c>
      <c r="AB326" s="538" t="s">
        <v>400</v>
      </c>
      <c r="AC326" s="538" t="s">
        <v>79</v>
      </c>
      <c r="AD326" s="538" t="s">
        <v>400</v>
      </c>
      <c r="AE326" s="538" t="s">
        <v>79</v>
      </c>
      <c r="AF326" s="538" t="s">
        <v>400</v>
      </c>
      <c r="AG326" s="538" t="s">
        <v>79</v>
      </c>
      <c r="AH326" s="538" t="s">
        <v>400</v>
      </c>
      <c r="AI326" s="538" t="s">
        <v>79</v>
      </c>
      <c r="AJ326" s="538" t="s">
        <v>400</v>
      </c>
      <c r="AK326" s="538" t="s">
        <v>79</v>
      </c>
      <c r="AL326" s="538" t="s">
        <v>400</v>
      </c>
      <c r="AM326" s="538" t="s">
        <v>79</v>
      </c>
      <c r="AN326" s="538" t="s">
        <v>400</v>
      </c>
      <c r="AO326" s="538" t="s">
        <v>79</v>
      </c>
      <c r="AP326" s="538" t="s">
        <v>400</v>
      </c>
      <c r="AQ326" s="538" t="s">
        <v>73</v>
      </c>
      <c r="AS326" s="538">
        <v>2.282961192E9</v>
      </c>
      <c r="AT326" s="538">
        <v>2.543722471E9</v>
      </c>
      <c r="AU326" s="538">
        <v>203.0</v>
      </c>
      <c r="AV326" s="538" t="s">
        <v>46</v>
      </c>
      <c r="AZ326" s="538">
        <v>1.0</v>
      </c>
      <c r="BA326" s="538">
        <v>1.0</v>
      </c>
      <c r="BB326" s="538">
        <v>1.0</v>
      </c>
      <c r="BC326" s="538">
        <v>1.0</v>
      </c>
      <c r="BD326" s="538">
        <v>1.0</v>
      </c>
      <c r="BE326" s="538">
        <v>0.5</v>
      </c>
      <c r="BF326" s="538">
        <v>0.7</v>
      </c>
      <c r="BG326" s="538">
        <v>0.95</v>
      </c>
      <c r="BH326" s="538">
        <v>1.25</v>
      </c>
      <c r="BI326" s="538">
        <v>1.5</v>
      </c>
      <c r="BJ326" s="546"/>
      <c r="BK326" s="547"/>
      <c r="BL326" s="546"/>
    </row>
    <row r="327" ht="22.5" customHeight="1">
      <c r="A327" s="538">
        <v>326.0</v>
      </c>
      <c r="B327" s="538" t="s">
        <v>1704</v>
      </c>
      <c r="C327" s="538" t="s">
        <v>86</v>
      </c>
      <c r="D327" s="538" t="s">
        <v>1687</v>
      </c>
      <c r="E327" s="538" t="s">
        <v>265</v>
      </c>
      <c r="G327" s="538" t="s">
        <v>151</v>
      </c>
      <c r="H327" s="538" t="s">
        <v>250</v>
      </c>
      <c r="I327" s="538" t="s">
        <v>122</v>
      </c>
      <c r="K327" s="538" t="s">
        <v>1708</v>
      </c>
      <c r="L327" s="538" t="s">
        <v>1709</v>
      </c>
      <c r="M327" s="538" t="s">
        <v>673</v>
      </c>
      <c r="N327" s="538" t="s">
        <v>763</v>
      </c>
      <c r="O327" s="538" t="b">
        <v>0</v>
      </c>
      <c r="P327" s="538" t="b">
        <v>1</v>
      </c>
      <c r="Q327" s="538" t="s">
        <v>79</v>
      </c>
      <c r="R327" s="538" t="s">
        <v>265</v>
      </c>
      <c r="S327" s="538" t="s">
        <v>79</v>
      </c>
      <c r="T327" s="538" t="s">
        <v>265</v>
      </c>
      <c r="U327" s="538" t="s">
        <v>79</v>
      </c>
      <c r="V327" s="538" t="s">
        <v>265</v>
      </c>
      <c r="W327" s="538" t="s">
        <v>79</v>
      </c>
      <c r="X327" s="538" t="s">
        <v>265</v>
      </c>
      <c r="Y327" s="538" t="s">
        <v>79</v>
      </c>
      <c r="Z327" s="538" t="s">
        <v>265</v>
      </c>
      <c r="AA327" s="538" t="s">
        <v>79</v>
      </c>
      <c r="AB327" s="538" t="s">
        <v>265</v>
      </c>
      <c r="AC327" s="538" t="s">
        <v>79</v>
      </c>
      <c r="AD327" s="538" t="s">
        <v>265</v>
      </c>
      <c r="AE327" s="538" t="s">
        <v>79</v>
      </c>
      <c r="AF327" s="538" t="s">
        <v>265</v>
      </c>
      <c r="AG327" s="538" t="s">
        <v>79</v>
      </c>
      <c r="AH327" s="538" t="s">
        <v>265</v>
      </c>
      <c r="AI327" s="538" t="s">
        <v>79</v>
      </c>
      <c r="AJ327" s="538" t="s">
        <v>265</v>
      </c>
      <c r="AK327" s="538" t="s">
        <v>79</v>
      </c>
      <c r="AL327" s="538" t="s">
        <v>265</v>
      </c>
      <c r="AM327" s="538" t="s">
        <v>79</v>
      </c>
      <c r="AN327" s="538" t="s">
        <v>265</v>
      </c>
      <c r="AO327" s="538" t="s">
        <v>79</v>
      </c>
      <c r="AP327" s="538" t="s">
        <v>265</v>
      </c>
      <c r="AQ327" s="538" t="s">
        <v>73</v>
      </c>
      <c r="AS327" s="538">
        <v>7.865047E8</v>
      </c>
      <c r="AT327" s="538">
        <v>2.543722471E9</v>
      </c>
      <c r="AU327" s="538">
        <v>203.0</v>
      </c>
      <c r="AV327" s="538" t="s">
        <v>46</v>
      </c>
      <c r="AZ327" s="538">
        <v>1.0</v>
      </c>
      <c r="BA327" s="538">
        <v>1.0</v>
      </c>
      <c r="BB327" s="538">
        <v>1.0</v>
      </c>
      <c r="BC327" s="538">
        <v>1.0</v>
      </c>
      <c r="BD327" s="538">
        <v>1.0</v>
      </c>
      <c r="BE327" s="538">
        <v>0.25</v>
      </c>
      <c r="BF327" s="538">
        <v>0.3</v>
      </c>
      <c r="BG327" s="538">
        <v>0.35</v>
      </c>
      <c r="BH327" s="538">
        <v>0.4</v>
      </c>
      <c r="BI327" s="538">
        <v>0.5</v>
      </c>
      <c r="BJ327" s="546"/>
      <c r="BL327" s="546"/>
    </row>
    <row r="328" ht="22.5" customHeight="1">
      <c r="A328" s="538">
        <v>327.0</v>
      </c>
      <c r="B328" s="538" t="s">
        <v>1710</v>
      </c>
      <c r="C328" s="538" t="s">
        <v>82</v>
      </c>
      <c r="D328" s="538" t="s">
        <v>1711</v>
      </c>
      <c r="E328" s="538" t="s">
        <v>346</v>
      </c>
      <c r="G328" s="538" t="s">
        <v>151</v>
      </c>
      <c r="H328" s="538" t="s">
        <v>182</v>
      </c>
      <c r="I328" s="538" t="s">
        <v>122</v>
      </c>
      <c r="K328" s="538" t="s">
        <v>1712</v>
      </c>
      <c r="L328" s="538" t="s">
        <v>1713</v>
      </c>
      <c r="M328" s="538" t="s">
        <v>673</v>
      </c>
      <c r="N328" s="538" t="s">
        <v>1659</v>
      </c>
      <c r="O328" s="538" t="b">
        <v>0</v>
      </c>
      <c r="P328" s="538" t="b">
        <v>1</v>
      </c>
      <c r="Q328" s="538" t="s">
        <v>73</v>
      </c>
      <c r="S328" s="538" t="s">
        <v>73</v>
      </c>
      <c r="U328" s="538" t="s">
        <v>73</v>
      </c>
      <c r="W328" s="538" t="s">
        <v>73</v>
      </c>
      <c r="Y328" s="538" t="s">
        <v>73</v>
      </c>
      <c r="AA328" s="538" t="s">
        <v>73</v>
      </c>
      <c r="AC328" s="538" t="s">
        <v>73</v>
      </c>
      <c r="AE328" s="538" t="s">
        <v>73</v>
      </c>
      <c r="AG328" s="538" t="s">
        <v>73</v>
      </c>
      <c r="AI328" s="538" t="s">
        <v>73</v>
      </c>
      <c r="AK328" s="538" t="s">
        <v>73</v>
      </c>
      <c r="AM328" s="538" t="s">
        <v>73</v>
      </c>
      <c r="AO328" s="538" t="s">
        <v>79</v>
      </c>
      <c r="AP328" s="538" t="s">
        <v>346</v>
      </c>
      <c r="AQ328" s="538" t="s">
        <v>79</v>
      </c>
      <c r="AR328" s="538" t="s">
        <v>346</v>
      </c>
      <c r="AS328" s="538">
        <v>3.136273375E9</v>
      </c>
      <c r="AT328" s="538">
        <v>3.523093667E9</v>
      </c>
      <c r="AU328" s="538">
        <v>205.0</v>
      </c>
      <c r="AV328" s="538" t="s">
        <v>47</v>
      </c>
      <c r="AZ328" s="538">
        <v>1.0</v>
      </c>
      <c r="BA328" s="538">
        <v>1.0</v>
      </c>
      <c r="BB328" s="538">
        <v>1.0</v>
      </c>
      <c r="BC328" s="538">
        <v>1.0</v>
      </c>
      <c r="BD328" s="538">
        <v>1.0</v>
      </c>
      <c r="BE328" s="538">
        <v>0.05</v>
      </c>
      <c r="BF328" s="538">
        <v>0.1</v>
      </c>
      <c r="BG328" s="538">
        <v>0.15</v>
      </c>
      <c r="BH328" s="538">
        <v>0.25</v>
      </c>
      <c r="BI328" s="538">
        <v>0.3</v>
      </c>
      <c r="BJ328" s="546"/>
      <c r="BL328" s="546"/>
    </row>
    <row r="329" ht="22.5" customHeight="1">
      <c r="A329" s="538">
        <v>328.0</v>
      </c>
      <c r="B329" s="538" t="s">
        <v>1710</v>
      </c>
      <c r="C329" s="538" t="s">
        <v>86</v>
      </c>
      <c r="D329" s="538" t="s">
        <v>1711</v>
      </c>
      <c r="E329" s="538" t="s">
        <v>268</v>
      </c>
      <c r="G329" s="538" t="s">
        <v>151</v>
      </c>
      <c r="H329" s="538" t="s">
        <v>250</v>
      </c>
      <c r="I329" s="538" t="s">
        <v>122</v>
      </c>
      <c r="K329" s="538" t="s">
        <v>1714</v>
      </c>
      <c r="L329" s="538" t="s">
        <v>1715</v>
      </c>
      <c r="M329" s="538" t="s">
        <v>673</v>
      </c>
      <c r="N329" s="538" t="s">
        <v>1716</v>
      </c>
      <c r="O329" s="538" t="b">
        <v>0</v>
      </c>
      <c r="P329" s="538" t="b">
        <v>1</v>
      </c>
      <c r="Q329" s="538" t="s">
        <v>79</v>
      </c>
      <c r="R329" s="538" t="s">
        <v>268</v>
      </c>
      <c r="S329" s="538" t="s">
        <v>79</v>
      </c>
      <c r="T329" s="538" t="s">
        <v>268</v>
      </c>
      <c r="U329" s="538" t="s">
        <v>79</v>
      </c>
      <c r="V329" s="538" t="s">
        <v>268</v>
      </c>
      <c r="W329" s="538" t="s">
        <v>79</v>
      </c>
      <c r="X329" s="538" t="s">
        <v>268</v>
      </c>
      <c r="Y329" s="538" t="s">
        <v>79</v>
      </c>
      <c r="Z329" s="538" t="s">
        <v>268</v>
      </c>
      <c r="AA329" s="538" t="s">
        <v>79</v>
      </c>
      <c r="AB329" s="538" t="s">
        <v>268</v>
      </c>
      <c r="AC329" s="538" t="s">
        <v>79</v>
      </c>
      <c r="AD329" s="538" t="s">
        <v>268</v>
      </c>
      <c r="AE329" s="538" t="s">
        <v>79</v>
      </c>
      <c r="AF329" s="538" t="s">
        <v>268</v>
      </c>
      <c r="AG329" s="538" t="s">
        <v>79</v>
      </c>
      <c r="AH329" s="538" t="s">
        <v>268</v>
      </c>
      <c r="AI329" s="538" t="s">
        <v>79</v>
      </c>
      <c r="AJ329" s="538" t="s">
        <v>268</v>
      </c>
      <c r="AK329" s="538" t="s">
        <v>79</v>
      </c>
      <c r="AL329" s="538" t="s">
        <v>268</v>
      </c>
      <c r="AM329" s="538" t="s">
        <v>79</v>
      </c>
      <c r="AN329" s="538" t="s">
        <v>268</v>
      </c>
      <c r="AO329" s="538" t="s">
        <v>79</v>
      </c>
      <c r="AP329" s="538" t="s">
        <v>268</v>
      </c>
      <c r="AQ329" s="538" t="s">
        <v>73</v>
      </c>
      <c r="AS329" s="538">
        <v>3.37243133E8</v>
      </c>
      <c r="AT329" s="538">
        <v>3.523093667E9</v>
      </c>
      <c r="AU329" s="538">
        <v>205.0</v>
      </c>
      <c r="AV329" s="538" t="s">
        <v>47</v>
      </c>
      <c r="AZ329" s="538">
        <v>1.0</v>
      </c>
      <c r="BA329" s="538">
        <v>1.0</v>
      </c>
      <c r="BB329" s="538">
        <v>1.0</v>
      </c>
      <c r="BC329" s="538">
        <v>1.0</v>
      </c>
      <c r="BD329" s="538">
        <v>1.0</v>
      </c>
      <c r="BE329" s="538">
        <v>0.3</v>
      </c>
      <c r="BF329" s="538">
        <v>0.45</v>
      </c>
      <c r="BG329" s="538">
        <v>0.6</v>
      </c>
      <c r="BH329" s="538">
        <v>0.8</v>
      </c>
      <c r="BI329" s="538">
        <v>1.0</v>
      </c>
      <c r="BJ329" s="546"/>
      <c r="BL329" s="546"/>
    </row>
    <row r="330" ht="22.5" customHeight="1">
      <c r="A330" s="538">
        <v>329.0</v>
      </c>
      <c r="B330" s="538" t="s">
        <v>1717</v>
      </c>
      <c r="C330" s="538" t="s">
        <v>84</v>
      </c>
      <c r="D330" s="538" t="s">
        <v>1687</v>
      </c>
      <c r="E330" s="538" t="s">
        <v>218</v>
      </c>
      <c r="F330" s="538" t="s">
        <v>1688</v>
      </c>
      <c r="G330" s="538" t="s">
        <v>163</v>
      </c>
      <c r="H330" s="538" t="s">
        <v>250</v>
      </c>
      <c r="I330" s="538" t="s">
        <v>122</v>
      </c>
      <c r="K330" s="538" t="s">
        <v>1718</v>
      </c>
      <c r="L330" s="538" t="s">
        <v>1719</v>
      </c>
      <c r="M330" s="538" t="s">
        <v>661</v>
      </c>
      <c r="N330" s="538" t="s">
        <v>1720</v>
      </c>
      <c r="O330" s="538" t="b">
        <v>0</v>
      </c>
      <c r="P330" s="538" t="b">
        <v>1</v>
      </c>
      <c r="Q330" s="538" t="s">
        <v>79</v>
      </c>
      <c r="R330" s="538" t="s">
        <v>228</v>
      </c>
      <c r="S330" s="538" t="s">
        <v>79</v>
      </c>
      <c r="T330" s="538" t="s">
        <v>228</v>
      </c>
      <c r="U330" s="538" t="s">
        <v>73</v>
      </c>
      <c r="W330" s="538" t="s">
        <v>73</v>
      </c>
      <c r="Y330" s="538" t="s">
        <v>79</v>
      </c>
      <c r="Z330" s="538" t="s">
        <v>228</v>
      </c>
      <c r="AA330" s="538" t="s">
        <v>73</v>
      </c>
      <c r="AC330" s="538" t="s">
        <v>79</v>
      </c>
      <c r="AD330" s="538" t="s">
        <v>377</v>
      </c>
      <c r="AE330" s="538" t="s">
        <v>79</v>
      </c>
      <c r="AF330" s="538" t="s">
        <v>377</v>
      </c>
      <c r="AG330" s="538" t="s">
        <v>79</v>
      </c>
      <c r="AH330" s="538" t="s">
        <v>228</v>
      </c>
      <c r="AI330" s="538" t="s">
        <v>79</v>
      </c>
      <c r="AJ330" s="538" t="s">
        <v>377</v>
      </c>
      <c r="AK330" s="538" t="s">
        <v>79</v>
      </c>
      <c r="AL330" s="538" t="s">
        <v>228</v>
      </c>
      <c r="AM330" s="538" t="s">
        <v>79</v>
      </c>
      <c r="AN330" s="538" t="s">
        <v>228</v>
      </c>
      <c r="AO330" s="538" t="s">
        <v>79</v>
      </c>
      <c r="AP330" s="538" t="s">
        <v>218</v>
      </c>
      <c r="AQ330" s="538" t="s">
        <v>79</v>
      </c>
      <c r="AR330" s="538" t="s">
        <v>218</v>
      </c>
      <c r="AS330" s="538">
        <v>2.08396594E8</v>
      </c>
      <c r="AT330" s="538">
        <v>1.72479314E9</v>
      </c>
      <c r="AU330" s="538">
        <v>204.0</v>
      </c>
      <c r="AV330" s="538" t="s">
        <v>47</v>
      </c>
      <c r="AZ330" s="538">
        <v>1.0</v>
      </c>
      <c r="BA330" s="538">
        <v>1.0</v>
      </c>
      <c r="BB330" s="538">
        <v>1.0</v>
      </c>
      <c r="BE330" s="538">
        <v>1.0</v>
      </c>
      <c r="BF330" s="538">
        <v>0.75</v>
      </c>
      <c r="BG330" s="538">
        <v>1.0</v>
      </c>
      <c r="BJ330" s="546"/>
      <c r="BL330" s="546"/>
    </row>
    <row r="331" ht="22.5" customHeight="1">
      <c r="A331" s="538">
        <v>330.0</v>
      </c>
      <c r="B331" s="538" t="s">
        <v>1717</v>
      </c>
      <c r="C331" s="538" t="s">
        <v>82</v>
      </c>
      <c r="D331" s="538" t="s">
        <v>1687</v>
      </c>
      <c r="E331" s="538" t="s">
        <v>319</v>
      </c>
      <c r="G331" s="538" t="s">
        <v>151</v>
      </c>
      <c r="H331" s="538" t="s">
        <v>250</v>
      </c>
      <c r="I331" s="538" t="s">
        <v>155</v>
      </c>
      <c r="K331" s="538" t="s">
        <v>1721</v>
      </c>
      <c r="L331" s="538" t="s">
        <v>1722</v>
      </c>
      <c r="M331" s="538" t="s">
        <v>673</v>
      </c>
      <c r="N331" s="538" t="s">
        <v>1723</v>
      </c>
      <c r="O331" s="538" t="b">
        <v>0</v>
      </c>
      <c r="P331" s="538" t="b">
        <v>0</v>
      </c>
      <c r="Q331" s="538" t="s">
        <v>79</v>
      </c>
      <c r="R331" s="538" t="s">
        <v>319</v>
      </c>
      <c r="S331" s="538" t="s">
        <v>79</v>
      </c>
      <c r="T331" s="538" t="s">
        <v>319</v>
      </c>
      <c r="U331" s="538" t="s">
        <v>79</v>
      </c>
      <c r="V331" s="538" t="s">
        <v>319</v>
      </c>
      <c r="W331" s="538" t="s">
        <v>79</v>
      </c>
      <c r="X331" s="538" t="s">
        <v>319</v>
      </c>
      <c r="Y331" s="538" t="s">
        <v>79</v>
      </c>
      <c r="Z331" s="538" t="s">
        <v>319</v>
      </c>
      <c r="AA331" s="538" t="s">
        <v>79</v>
      </c>
      <c r="AB331" s="538" t="s">
        <v>319</v>
      </c>
      <c r="AC331" s="538" t="s">
        <v>79</v>
      </c>
      <c r="AD331" s="538" t="s">
        <v>319</v>
      </c>
      <c r="AE331" s="538" t="s">
        <v>79</v>
      </c>
      <c r="AF331" s="538" t="s">
        <v>319</v>
      </c>
      <c r="AG331" s="538" t="s">
        <v>79</v>
      </c>
      <c r="AH331" s="538" t="s">
        <v>319</v>
      </c>
      <c r="AI331" s="538" t="s">
        <v>79</v>
      </c>
      <c r="AJ331" s="538" t="s">
        <v>319</v>
      </c>
      <c r="AK331" s="538" t="s">
        <v>79</v>
      </c>
      <c r="AL331" s="538" t="s">
        <v>319</v>
      </c>
      <c r="AM331" s="538" t="s">
        <v>79</v>
      </c>
      <c r="AN331" s="538" t="s">
        <v>319</v>
      </c>
      <c r="AO331" s="538" t="s">
        <v>79</v>
      </c>
      <c r="AP331" s="538" t="s">
        <v>319</v>
      </c>
      <c r="AQ331" s="538" t="s">
        <v>73</v>
      </c>
      <c r="AS331" s="538">
        <v>3.288424435E9</v>
      </c>
      <c r="AT331" s="538">
        <v>1.72479314E9</v>
      </c>
      <c r="AU331" s="538">
        <v>204.0</v>
      </c>
      <c r="AV331" s="538" t="s">
        <v>47</v>
      </c>
      <c r="AZ331" s="538">
        <v>1.0</v>
      </c>
      <c r="BA331" s="538">
        <v>1.0</v>
      </c>
      <c r="BB331" s="538">
        <v>1.0</v>
      </c>
      <c r="BC331" s="538">
        <v>1.0</v>
      </c>
      <c r="BD331" s="538">
        <v>1.0</v>
      </c>
      <c r="BE331" s="538">
        <v>15.0</v>
      </c>
      <c r="BF331" s="538">
        <v>20.0</v>
      </c>
      <c r="BG331" s="538">
        <v>30.0</v>
      </c>
      <c r="BH331" s="538">
        <v>40.0</v>
      </c>
      <c r="BI331" s="538">
        <v>50.0</v>
      </c>
      <c r="BJ331" s="546"/>
      <c r="BL331" s="546"/>
    </row>
    <row r="332" ht="22.5" customHeight="1">
      <c r="A332" s="538">
        <v>331.0</v>
      </c>
      <c r="B332" s="538" t="s">
        <v>1724</v>
      </c>
      <c r="C332" s="538" t="s">
        <v>84</v>
      </c>
      <c r="D332" s="538" t="s">
        <v>1687</v>
      </c>
      <c r="E332" s="538" t="s">
        <v>295</v>
      </c>
      <c r="F332" s="538" t="s">
        <v>1688</v>
      </c>
      <c r="G332" s="538" t="s">
        <v>163</v>
      </c>
      <c r="H332" s="538" t="s">
        <v>250</v>
      </c>
      <c r="I332" s="538" t="s">
        <v>155</v>
      </c>
      <c r="K332" s="538" t="s">
        <v>1725</v>
      </c>
      <c r="L332" s="538" t="s">
        <v>1726</v>
      </c>
      <c r="M332" s="538" t="s">
        <v>661</v>
      </c>
      <c r="N332" s="538" t="s">
        <v>670</v>
      </c>
      <c r="O332" s="538" t="b">
        <v>0</v>
      </c>
      <c r="P332" s="538" t="b">
        <v>1</v>
      </c>
      <c r="Q332" s="538" t="s">
        <v>79</v>
      </c>
      <c r="R332" s="538" t="s">
        <v>228</v>
      </c>
      <c r="S332" s="538" t="s">
        <v>79</v>
      </c>
      <c r="T332" s="538" t="s">
        <v>228</v>
      </c>
      <c r="U332" s="538" t="s">
        <v>73</v>
      </c>
      <c r="W332" s="538" t="s">
        <v>73</v>
      </c>
      <c r="Y332" s="538" t="s">
        <v>79</v>
      </c>
      <c r="Z332" s="538" t="s">
        <v>228</v>
      </c>
      <c r="AA332" s="538" t="s">
        <v>73</v>
      </c>
      <c r="AC332" s="538" t="s">
        <v>79</v>
      </c>
      <c r="AD332" s="538" t="s">
        <v>377</v>
      </c>
      <c r="AE332" s="538" t="s">
        <v>79</v>
      </c>
      <c r="AF332" s="538" t="s">
        <v>377</v>
      </c>
      <c r="AG332" s="538" t="s">
        <v>79</v>
      </c>
      <c r="AH332" s="538" t="s">
        <v>228</v>
      </c>
      <c r="AI332" s="538" t="s">
        <v>79</v>
      </c>
      <c r="AJ332" s="538" t="s">
        <v>377</v>
      </c>
      <c r="AK332" s="538" t="s">
        <v>79</v>
      </c>
      <c r="AL332" s="538" t="s">
        <v>228</v>
      </c>
      <c r="AM332" s="538" t="s">
        <v>79</v>
      </c>
      <c r="AN332" s="538" t="s">
        <v>228</v>
      </c>
      <c r="AO332" s="538" t="s">
        <v>79</v>
      </c>
      <c r="AP332" s="538" t="s">
        <v>295</v>
      </c>
      <c r="AQ332" s="538" t="s">
        <v>79</v>
      </c>
      <c r="AR332" s="538" t="s">
        <v>295</v>
      </c>
      <c r="AS332" s="538">
        <v>2.975835149E9</v>
      </c>
      <c r="AT332" s="538">
        <v>9.7787926E7</v>
      </c>
      <c r="AU332" s="538">
        <v>206.0</v>
      </c>
      <c r="AV332" s="538" t="s">
        <v>46</v>
      </c>
      <c r="AZ332" s="538">
        <v>1.0</v>
      </c>
      <c r="BA332" s="538">
        <v>1.0</v>
      </c>
      <c r="BB332" s="538">
        <v>1.0</v>
      </c>
      <c r="BE332" s="538">
        <v>0.15</v>
      </c>
      <c r="BF332" s="538">
        <v>0.05</v>
      </c>
      <c r="BG332" s="538">
        <v>0.1</v>
      </c>
      <c r="BJ332" s="546"/>
      <c r="BL332" s="546"/>
    </row>
    <row r="333" ht="22.5" customHeight="1">
      <c r="A333" s="538">
        <v>332.0</v>
      </c>
      <c r="B333" s="538" t="s">
        <v>1724</v>
      </c>
      <c r="C333" s="538" t="s">
        <v>82</v>
      </c>
      <c r="D333" s="538" t="s">
        <v>1687</v>
      </c>
      <c r="E333" s="538" t="s">
        <v>223</v>
      </c>
      <c r="F333" s="538" t="s">
        <v>1727</v>
      </c>
      <c r="G333" s="538" t="s">
        <v>163</v>
      </c>
      <c r="H333" s="538" t="s">
        <v>250</v>
      </c>
      <c r="I333" s="538" t="s">
        <v>176</v>
      </c>
      <c r="J333" s="538" t="s">
        <v>393</v>
      </c>
      <c r="K333" s="538" t="s">
        <v>1728</v>
      </c>
      <c r="L333" s="538" t="s">
        <v>1729</v>
      </c>
      <c r="M333" s="538" t="s">
        <v>673</v>
      </c>
      <c r="N333" s="538" t="s">
        <v>1701</v>
      </c>
      <c r="O333" s="538" t="b">
        <v>0</v>
      </c>
      <c r="P333" s="538" t="b">
        <v>1</v>
      </c>
      <c r="Q333" s="538" t="s">
        <v>79</v>
      </c>
      <c r="R333" s="538" t="s">
        <v>1730</v>
      </c>
      <c r="S333" s="538" t="s">
        <v>79</v>
      </c>
      <c r="T333" s="538" t="s">
        <v>1730</v>
      </c>
      <c r="U333" s="538" t="s">
        <v>75</v>
      </c>
      <c r="V333" s="538" t="s">
        <v>1731</v>
      </c>
      <c r="W333" s="538" t="s">
        <v>75</v>
      </c>
      <c r="X333" s="538" t="s">
        <v>1731</v>
      </c>
      <c r="Y333" s="538" t="s">
        <v>79</v>
      </c>
      <c r="Z333" s="538" t="s">
        <v>1730</v>
      </c>
      <c r="AA333" s="538" t="s">
        <v>75</v>
      </c>
      <c r="AB333" s="538" t="s">
        <v>1731</v>
      </c>
      <c r="AC333" s="538" t="s">
        <v>79</v>
      </c>
      <c r="AD333" s="538" t="s">
        <v>377</v>
      </c>
      <c r="AE333" s="538" t="s">
        <v>79</v>
      </c>
      <c r="AF333" s="538" t="s">
        <v>377</v>
      </c>
      <c r="AG333" s="538" t="s">
        <v>79</v>
      </c>
      <c r="AH333" s="538" t="s">
        <v>1730</v>
      </c>
      <c r="AI333" s="538" t="s">
        <v>79</v>
      </c>
      <c r="AJ333" s="538" t="s">
        <v>377</v>
      </c>
      <c r="AK333" s="538" t="s">
        <v>79</v>
      </c>
      <c r="AL333" s="538" t="s">
        <v>1730</v>
      </c>
      <c r="AM333" s="538" t="s">
        <v>79</v>
      </c>
      <c r="AN333" s="538" t="s">
        <v>1730</v>
      </c>
      <c r="AO333" s="538" t="s">
        <v>79</v>
      </c>
      <c r="AP333" s="538" t="s">
        <v>223</v>
      </c>
      <c r="AQ333" s="538" t="s">
        <v>79</v>
      </c>
      <c r="AR333" s="538" t="s">
        <v>223</v>
      </c>
      <c r="AS333" s="538">
        <v>3.878448065E9</v>
      </c>
      <c r="AT333" s="538">
        <v>9.7787926E7</v>
      </c>
      <c r="AU333" s="538">
        <v>206.0</v>
      </c>
      <c r="AV333" s="538" t="s">
        <v>46</v>
      </c>
      <c r="AY333" s="538" t="s">
        <v>1731</v>
      </c>
      <c r="AZ333" s="538">
        <v>1.0</v>
      </c>
      <c r="BA333" s="538">
        <v>1.0</v>
      </c>
      <c r="BB333" s="538">
        <v>1.0</v>
      </c>
      <c r="BC333" s="538">
        <v>1.0</v>
      </c>
      <c r="BD333" s="538">
        <v>1.0</v>
      </c>
      <c r="BE333" s="538">
        <v>5.0</v>
      </c>
      <c r="BF333" s="538">
        <v>8.0</v>
      </c>
      <c r="BG333" s="538">
        <v>11.0</v>
      </c>
      <c r="BH333" s="538">
        <v>14.0</v>
      </c>
      <c r="BI333" s="538">
        <v>18.0</v>
      </c>
      <c r="BJ333" s="546"/>
      <c r="BL333" s="546"/>
    </row>
    <row r="334" ht="22.5" customHeight="1">
      <c r="A334" s="538">
        <v>333.0</v>
      </c>
      <c r="B334" s="538" t="s">
        <v>1732</v>
      </c>
      <c r="C334" s="538" t="s">
        <v>84</v>
      </c>
      <c r="D334" s="538" t="s">
        <v>1687</v>
      </c>
      <c r="E334" s="538" t="s">
        <v>292</v>
      </c>
      <c r="F334" s="538" t="s">
        <v>1688</v>
      </c>
      <c r="G334" s="538" t="s">
        <v>163</v>
      </c>
      <c r="H334" s="538" t="s">
        <v>250</v>
      </c>
      <c r="I334" s="538" t="s">
        <v>155</v>
      </c>
      <c r="K334" s="538" t="s">
        <v>1733</v>
      </c>
      <c r="L334" s="538" t="s">
        <v>1734</v>
      </c>
      <c r="M334" s="538" t="s">
        <v>661</v>
      </c>
      <c r="N334" s="538" t="s">
        <v>670</v>
      </c>
      <c r="O334" s="538" t="b">
        <v>0</v>
      </c>
      <c r="P334" s="538" t="b">
        <v>1</v>
      </c>
      <c r="Q334" s="538" t="s">
        <v>79</v>
      </c>
      <c r="R334" s="538" t="s">
        <v>228</v>
      </c>
      <c r="S334" s="538" t="s">
        <v>79</v>
      </c>
      <c r="T334" s="538" t="s">
        <v>228</v>
      </c>
      <c r="U334" s="538" t="s">
        <v>73</v>
      </c>
      <c r="W334" s="538" t="s">
        <v>73</v>
      </c>
      <c r="Y334" s="538" t="s">
        <v>79</v>
      </c>
      <c r="Z334" s="538" t="s">
        <v>228</v>
      </c>
      <c r="AA334" s="538" t="s">
        <v>73</v>
      </c>
      <c r="AC334" s="538" t="s">
        <v>79</v>
      </c>
      <c r="AD334" s="538" t="s">
        <v>377</v>
      </c>
      <c r="AE334" s="538" t="s">
        <v>79</v>
      </c>
      <c r="AF334" s="538" t="s">
        <v>377</v>
      </c>
      <c r="AG334" s="538" t="s">
        <v>79</v>
      </c>
      <c r="AH334" s="538" t="s">
        <v>228</v>
      </c>
      <c r="AI334" s="538" t="s">
        <v>79</v>
      </c>
      <c r="AJ334" s="538" t="s">
        <v>377</v>
      </c>
      <c r="AK334" s="538" t="s">
        <v>79</v>
      </c>
      <c r="AL334" s="538" t="s">
        <v>228</v>
      </c>
      <c r="AM334" s="538" t="s">
        <v>79</v>
      </c>
      <c r="AN334" s="538" t="s">
        <v>228</v>
      </c>
      <c r="AO334" s="538" t="s">
        <v>79</v>
      </c>
      <c r="AP334" s="538" t="s">
        <v>292</v>
      </c>
      <c r="AQ334" s="538" t="s">
        <v>79</v>
      </c>
      <c r="AR334" s="538" t="s">
        <v>292</v>
      </c>
      <c r="AS334" s="538">
        <v>2.272956905E9</v>
      </c>
      <c r="AT334" s="538">
        <v>1.689277174E9</v>
      </c>
      <c r="AU334" s="538">
        <v>207.0</v>
      </c>
      <c r="AV334" s="538" t="s">
        <v>46</v>
      </c>
      <c r="AZ334" s="538">
        <v>1.0</v>
      </c>
      <c r="BA334" s="538">
        <v>1.0</v>
      </c>
      <c r="BB334" s="538">
        <v>1.0</v>
      </c>
      <c r="BE334" s="538">
        <v>0.15</v>
      </c>
      <c r="BF334" s="538">
        <v>0.05</v>
      </c>
      <c r="BG334" s="538">
        <v>0.1</v>
      </c>
      <c r="BJ334" s="546"/>
      <c r="BL334" s="546"/>
    </row>
    <row r="335" ht="22.5" customHeight="1">
      <c r="A335" s="538">
        <v>334.0</v>
      </c>
      <c r="B335" s="538" t="s">
        <v>1732</v>
      </c>
      <c r="C335" s="538" t="s">
        <v>82</v>
      </c>
      <c r="D335" s="538" t="s">
        <v>1687</v>
      </c>
      <c r="E335" s="538" t="s">
        <v>223</v>
      </c>
      <c r="F335" s="538" t="s">
        <v>1735</v>
      </c>
      <c r="G335" s="538" t="s">
        <v>163</v>
      </c>
      <c r="H335" s="538" t="s">
        <v>250</v>
      </c>
      <c r="I335" s="538" t="s">
        <v>176</v>
      </c>
      <c r="J335" s="538" t="s">
        <v>397</v>
      </c>
      <c r="K335" s="538" t="s">
        <v>1736</v>
      </c>
      <c r="L335" s="538" t="s">
        <v>1737</v>
      </c>
      <c r="M335" s="538" t="s">
        <v>673</v>
      </c>
      <c r="N335" s="538" t="s">
        <v>1701</v>
      </c>
      <c r="O335" s="538" t="b">
        <v>0</v>
      </c>
      <c r="P335" s="538" t="b">
        <v>1</v>
      </c>
      <c r="Q335" s="538" t="s">
        <v>79</v>
      </c>
      <c r="R335" s="538" t="s">
        <v>1738</v>
      </c>
      <c r="S335" s="538" t="s">
        <v>79</v>
      </c>
      <c r="T335" s="538" t="s">
        <v>1738</v>
      </c>
      <c r="U335" s="538" t="s">
        <v>75</v>
      </c>
      <c r="V335" s="538" t="s">
        <v>1739</v>
      </c>
      <c r="W335" s="538" t="s">
        <v>75</v>
      </c>
      <c r="X335" s="538" t="s">
        <v>1739</v>
      </c>
      <c r="Y335" s="538" t="s">
        <v>79</v>
      </c>
      <c r="Z335" s="538" t="s">
        <v>1738</v>
      </c>
      <c r="AA335" s="538" t="s">
        <v>75</v>
      </c>
      <c r="AB335" s="538" t="s">
        <v>1739</v>
      </c>
      <c r="AC335" s="538" t="s">
        <v>79</v>
      </c>
      <c r="AD335" s="538" t="s">
        <v>377</v>
      </c>
      <c r="AE335" s="538" t="s">
        <v>79</v>
      </c>
      <c r="AF335" s="538" t="s">
        <v>377</v>
      </c>
      <c r="AG335" s="538" t="s">
        <v>79</v>
      </c>
      <c r="AH335" s="538" t="s">
        <v>1738</v>
      </c>
      <c r="AI335" s="538" t="s">
        <v>79</v>
      </c>
      <c r="AJ335" s="538" t="s">
        <v>377</v>
      </c>
      <c r="AK335" s="538" t="s">
        <v>79</v>
      </c>
      <c r="AL335" s="538" t="s">
        <v>1738</v>
      </c>
      <c r="AM335" s="538" t="s">
        <v>79</v>
      </c>
      <c r="AN335" s="538" t="s">
        <v>1738</v>
      </c>
      <c r="AO335" s="538" t="s">
        <v>79</v>
      </c>
      <c r="AP335" s="538" t="s">
        <v>223</v>
      </c>
      <c r="AQ335" s="538" t="s">
        <v>79</v>
      </c>
      <c r="AR335" s="538" t="s">
        <v>223</v>
      </c>
      <c r="AS335" s="538">
        <v>2.416006584E9</v>
      </c>
      <c r="AT335" s="538">
        <v>1.689277174E9</v>
      </c>
      <c r="AU335" s="538">
        <v>207.0</v>
      </c>
      <c r="AV335" s="538" t="s">
        <v>46</v>
      </c>
      <c r="AY335" s="538" t="s">
        <v>1739</v>
      </c>
      <c r="AZ335" s="538">
        <v>1.0</v>
      </c>
      <c r="BA335" s="538">
        <v>1.0</v>
      </c>
      <c r="BB335" s="538">
        <v>1.0</v>
      </c>
      <c r="BC335" s="538">
        <v>1.0</v>
      </c>
      <c r="BD335" s="538">
        <v>1.0</v>
      </c>
      <c r="BE335" s="538">
        <v>5.0</v>
      </c>
      <c r="BF335" s="538">
        <v>8.0</v>
      </c>
      <c r="BG335" s="538">
        <v>11.0</v>
      </c>
      <c r="BH335" s="538">
        <v>14.0</v>
      </c>
      <c r="BI335" s="538">
        <v>18.0</v>
      </c>
      <c r="BJ335" s="546"/>
      <c r="BL335" s="546"/>
    </row>
    <row r="336" ht="22.5" customHeight="1">
      <c r="A336" s="538">
        <v>335.0</v>
      </c>
      <c r="B336" s="538" t="s">
        <v>1740</v>
      </c>
      <c r="C336" s="538" t="s">
        <v>82</v>
      </c>
      <c r="D336" s="538" t="s">
        <v>1687</v>
      </c>
      <c r="E336" s="538" t="s">
        <v>223</v>
      </c>
      <c r="F336" s="538" t="s">
        <v>1741</v>
      </c>
      <c r="G336" s="538" t="s">
        <v>163</v>
      </c>
      <c r="H336" s="538" t="s">
        <v>250</v>
      </c>
      <c r="I336" s="538" t="s">
        <v>176</v>
      </c>
      <c r="J336" s="538" t="s">
        <v>397</v>
      </c>
      <c r="K336" s="538" t="s">
        <v>1742</v>
      </c>
      <c r="L336" s="538" t="s">
        <v>1737</v>
      </c>
      <c r="M336" s="538" t="s">
        <v>673</v>
      </c>
      <c r="N336" s="538" t="s">
        <v>1743</v>
      </c>
      <c r="O336" s="538" t="b">
        <v>0</v>
      </c>
      <c r="P336" s="538" t="b">
        <v>1</v>
      </c>
      <c r="Q336" s="538" t="s">
        <v>79</v>
      </c>
      <c r="R336" s="538" t="s">
        <v>1744</v>
      </c>
      <c r="S336" s="538" t="s">
        <v>79</v>
      </c>
      <c r="T336" s="538" t="s">
        <v>1744</v>
      </c>
      <c r="U336" s="538" t="s">
        <v>75</v>
      </c>
      <c r="V336" s="538" t="s">
        <v>260</v>
      </c>
      <c r="W336" s="538" t="s">
        <v>75</v>
      </c>
      <c r="X336" s="538" t="s">
        <v>260</v>
      </c>
      <c r="Y336" s="538" t="s">
        <v>79</v>
      </c>
      <c r="Z336" s="538" t="s">
        <v>1744</v>
      </c>
      <c r="AA336" s="538" t="s">
        <v>75</v>
      </c>
      <c r="AB336" s="538" t="s">
        <v>260</v>
      </c>
      <c r="AC336" s="538" t="s">
        <v>79</v>
      </c>
      <c r="AD336" s="538" t="s">
        <v>377</v>
      </c>
      <c r="AE336" s="538" t="s">
        <v>79</v>
      </c>
      <c r="AF336" s="538" t="s">
        <v>377</v>
      </c>
      <c r="AG336" s="538" t="s">
        <v>79</v>
      </c>
      <c r="AH336" s="538" t="s">
        <v>1744</v>
      </c>
      <c r="AI336" s="538" t="s">
        <v>79</v>
      </c>
      <c r="AJ336" s="538" t="s">
        <v>377</v>
      </c>
      <c r="AK336" s="538" t="s">
        <v>79</v>
      </c>
      <c r="AL336" s="538" t="s">
        <v>1744</v>
      </c>
      <c r="AM336" s="538" t="s">
        <v>79</v>
      </c>
      <c r="AN336" s="538" t="s">
        <v>1744</v>
      </c>
      <c r="AO336" s="538" t="s">
        <v>79</v>
      </c>
      <c r="AP336" s="538" t="s">
        <v>223</v>
      </c>
      <c r="AQ336" s="538" t="s">
        <v>79</v>
      </c>
      <c r="AR336" s="538" t="s">
        <v>223</v>
      </c>
      <c r="AS336" s="538">
        <v>3.879504116E9</v>
      </c>
      <c r="AT336" s="538">
        <v>3.742595916E9</v>
      </c>
      <c r="AU336" s="538">
        <v>208.0</v>
      </c>
      <c r="AV336" s="538" t="s">
        <v>47</v>
      </c>
      <c r="AY336" s="538" t="s">
        <v>260</v>
      </c>
      <c r="AZ336" s="538">
        <v>1.0</v>
      </c>
      <c r="BA336" s="538">
        <v>1.0</v>
      </c>
      <c r="BB336" s="538">
        <v>1.0</v>
      </c>
      <c r="BC336" s="538">
        <v>1.0</v>
      </c>
      <c r="BD336" s="538">
        <v>1.0</v>
      </c>
      <c r="BE336" s="538">
        <v>8.0</v>
      </c>
      <c r="BF336" s="538">
        <v>10.0</v>
      </c>
      <c r="BG336" s="538">
        <v>14.0</v>
      </c>
      <c r="BH336" s="538">
        <v>19.0</v>
      </c>
      <c r="BI336" s="538">
        <v>25.0</v>
      </c>
      <c r="BJ336" s="546"/>
      <c r="BL336" s="546"/>
    </row>
    <row r="337" ht="22.5" customHeight="1">
      <c r="A337" s="538">
        <v>336.0</v>
      </c>
      <c r="B337" s="538" t="s">
        <v>1740</v>
      </c>
      <c r="C337" s="538" t="s">
        <v>86</v>
      </c>
      <c r="D337" s="538" t="s">
        <v>1687</v>
      </c>
      <c r="E337" s="538" t="s">
        <v>349</v>
      </c>
      <c r="G337" s="538" t="s">
        <v>151</v>
      </c>
      <c r="H337" s="538" t="s">
        <v>182</v>
      </c>
      <c r="I337" s="538" t="s">
        <v>122</v>
      </c>
      <c r="K337" s="538" t="s">
        <v>1745</v>
      </c>
      <c r="L337" s="538" t="s">
        <v>1746</v>
      </c>
      <c r="M337" s="538" t="s">
        <v>673</v>
      </c>
      <c r="N337" s="538" t="s">
        <v>1747</v>
      </c>
      <c r="O337" s="538" t="b">
        <v>0</v>
      </c>
      <c r="P337" s="538" t="b">
        <v>1</v>
      </c>
      <c r="Q337" s="538" t="s">
        <v>73</v>
      </c>
      <c r="S337" s="538" t="s">
        <v>73</v>
      </c>
      <c r="U337" s="538" t="s">
        <v>73</v>
      </c>
      <c r="W337" s="538" t="s">
        <v>73</v>
      </c>
      <c r="Y337" s="538" t="s">
        <v>73</v>
      </c>
      <c r="AA337" s="538" t="s">
        <v>73</v>
      </c>
      <c r="AC337" s="538" t="s">
        <v>73</v>
      </c>
      <c r="AE337" s="538" t="s">
        <v>73</v>
      </c>
      <c r="AG337" s="538" t="s">
        <v>73</v>
      </c>
      <c r="AI337" s="538" t="s">
        <v>73</v>
      </c>
      <c r="AK337" s="538" t="s">
        <v>73</v>
      </c>
      <c r="AM337" s="538" t="s">
        <v>73</v>
      </c>
      <c r="AO337" s="538" t="s">
        <v>79</v>
      </c>
      <c r="AP337" s="538" t="s">
        <v>349</v>
      </c>
      <c r="AQ337" s="538" t="s">
        <v>79</v>
      </c>
      <c r="AR337" s="538" t="s">
        <v>349</v>
      </c>
      <c r="AS337" s="538">
        <v>3.078181122E9</v>
      </c>
      <c r="AT337" s="538">
        <v>3.742595916E9</v>
      </c>
      <c r="AU337" s="538">
        <v>208.0</v>
      </c>
      <c r="AV337" s="538" t="s">
        <v>47</v>
      </c>
      <c r="AZ337" s="538">
        <v>1.0</v>
      </c>
      <c r="BA337" s="538">
        <v>1.0</v>
      </c>
      <c r="BB337" s="538">
        <v>1.0</v>
      </c>
      <c r="BC337" s="538">
        <v>1.0</v>
      </c>
      <c r="BD337" s="538">
        <v>1.0</v>
      </c>
      <c r="BE337" s="538">
        <v>0.7</v>
      </c>
      <c r="BF337" s="538">
        <v>0.8</v>
      </c>
      <c r="BG337" s="538">
        <v>1.0</v>
      </c>
      <c r="BH337" s="538">
        <v>1.2</v>
      </c>
      <c r="BI337" s="538">
        <v>1.5</v>
      </c>
      <c r="BJ337" s="546"/>
      <c r="BK337" s="547"/>
      <c r="BL337" s="546"/>
    </row>
    <row r="338" ht="22.5" customHeight="1">
      <c r="A338" s="538">
        <v>337.0</v>
      </c>
      <c r="B338" s="538" t="s">
        <v>1748</v>
      </c>
      <c r="C338" s="538" t="s">
        <v>84</v>
      </c>
      <c r="D338" s="538" t="s">
        <v>1749</v>
      </c>
      <c r="E338" s="538" t="s">
        <v>112</v>
      </c>
      <c r="F338" s="538" t="s">
        <v>1750</v>
      </c>
      <c r="G338" s="538" t="s">
        <v>239</v>
      </c>
      <c r="H338" s="538" t="s">
        <v>250</v>
      </c>
      <c r="I338" s="538" t="s">
        <v>122</v>
      </c>
      <c r="K338" s="538" t="s">
        <v>1751</v>
      </c>
      <c r="L338" s="538" t="s">
        <v>1752</v>
      </c>
      <c r="M338" s="538" t="s">
        <v>661</v>
      </c>
      <c r="N338" s="538" t="s">
        <v>1753</v>
      </c>
      <c r="O338" s="538" t="b">
        <v>0</v>
      </c>
      <c r="P338" s="538" t="b">
        <v>1</v>
      </c>
      <c r="Q338" s="538" t="s">
        <v>75</v>
      </c>
      <c r="R338" s="538" t="s">
        <v>1754</v>
      </c>
      <c r="S338" s="538" t="s">
        <v>75</v>
      </c>
      <c r="T338" s="538" t="s">
        <v>1754</v>
      </c>
      <c r="U338" s="538" t="s">
        <v>79</v>
      </c>
      <c r="V338" s="538" t="s">
        <v>1750</v>
      </c>
      <c r="W338" s="538" t="s">
        <v>79</v>
      </c>
      <c r="X338" s="538" t="s">
        <v>1750</v>
      </c>
      <c r="Y338" s="538" t="s">
        <v>79</v>
      </c>
      <c r="Z338" s="538" t="s">
        <v>1750</v>
      </c>
      <c r="AA338" s="538" t="s">
        <v>79</v>
      </c>
      <c r="AB338" s="538" t="s">
        <v>1750</v>
      </c>
      <c r="AC338" s="538" t="s">
        <v>79</v>
      </c>
      <c r="AD338" s="538" t="s">
        <v>1750</v>
      </c>
      <c r="AE338" s="538" t="s">
        <v>79</v>
      </c>
      <c r="AF338" s="538" t="s">
        <v>1750</v>
      </c>
      <c r="AG338" s="538" t="s">
        <v>79</v>
      </c>
      <c r="AH338" s="538" t="s">
        <v>1750</v>
      </c>
      <c r="AI338" s="538" t="s">
        <v>79</v>
      </c>
      <c r="AJ338" s="538" t="s">
        <v>1750</v>
      </c>
      <c r="AK338" s="538" t="s">
        <v>79</v>
      </c>
      <c r="AL338" s="538" t="s">
        <v>1750</v>
      </c>
      <c r="AM338" s="538" t="s">
        <v>79</v>
      </c>
      <c r="AN338" s="538" t="s">
        <v>1750</v>
      </c>
      <c r="AO338" s="538" t="s">
        <v>79</v>
      </c>
      <c r="AP338" s="538" t="s">
        <v>112</v>
      </c>
      <c r="AQ338" s="538" t="s">
        <v>79</v>
      </c>
      <c r="AR338" s="538" t="s">
        <v>112</v>
      </c>
      <c r="AS338" s="538">
        <v>3.065338757E9</v>
      </c>
      <c r="AT338" s="538">
        <v>3.479942533E9</v>
      </c>
      <c r="AU338" s="538">
        <v>209.0</v>
      </c>
      <c r="AV338" s="538" t="s">
        <v>47</v>
      </c>
      <c r="AX338" s="538" t="s">
        <v>760</v>
      </c>
      <c r="AY338" s="538" t="s">
        <v>1754</v>
      </c>
      <c r="AZ338" s="538">
        <v>1.0</v>
      </c>
      <c r="BA338" s="538">
        <v>1.0</v>
      </c>
      <c r="BB338" s="538">
        <v>1.0</v>
      </c>
      <c r="BE338" s="538">
        <v>0.1</v>
      </c>
      <c r="BF338" s="538">
        <v>0.25</v>
      </c>
      <c r="BG338" s="538">
        <v>0.65</v>
      </c>
      <c r="BJ338" s="546"/>
      <c r="BL338" s="546"/>
    </row>
    <row r="339" ht="22.5" customHeight="1">
      <c r="A339" s="538">
        <v>338.0</v>
      </c>
      <c r="B339" s="538" t="s">
        <v>1748</v>
      </c>
      <c r="C339" s="538" t="s">
        <v>82</v>
      </c>
      <c r="D339" s="538" t="s">
        <v>1749</v>
      </c>
      <c r="E339" s="538" t="s">
        <v>214</v>
      </c>
      <c r="F339" s="538" t="s">
        <v>943</v>
      </c>
      <c r="G339" s="538" t="s">
        <v>221</v>
      </c>
      <c r="H339" s="538" t="s">
        <v>222</v>
      </c>
      <c r="I339" s="538" t="s">
        <v>122</v>
      </c>
      <c r="J339" s="538" t="s">
        <v>376</v>
      </c>
      <c r="K339" s="538" t="s">
        <v>1755</v>
      </c>
      <c r="L339" s="538" t="s">
        <v>1756</v>
      </c>
      <c r="M339" s="538" t="s">
        <v>1757</v>
      </c>
      <c r="N339" s="538" t="s">
        <v>673</v>
      </c>
      <c r="O339" s="538" t="b">
        <v>1</v>
      </c>
      <c r="P339" s="538" t="b">
        <v>1</v>
      </c>
      <c r="Q339" s="538" t="s">
        <v>75</v>
      </c>
      <c r="R339" s="538" t="s">
        <v>300</v>
      </c>
      <c r="S339" s="538" t="s">
        <v>75</v>
      </c>
      <c r="T339" s="538" t="s">
        <v>300</v>
      </c>
      <c r="U339" s="538" t="s">
        <v>79</v>
      </c>
      <c r="V339" s="538" t="s">
        <v>943</v>
      </c>
      <c r="W339" s="538" t="s">
        <v>79</v>
      </c>
      <c r="X339" s="538" t="s">
        <v>943</v>
      </c>
      <c r="Y339" s="538" t="s">
        <v>79</v>
      </c>
      <c r="Z339" s="538" t="s">
        <v>943</v>
      </c>
      <c r="AA339" s="538" t="s">
        <v>79</v>
      </c>
      <c r="AB339" s="538" t="s">
        <v>943</v>
      </c>
      <c r="AC339" s="538" t="s">
        <v>79</v>
      </c>
      <c r="AD339" s="538" t="s">
        <v>943</v>
      </c>
      <c r="AE339" s="538" t="s">
        <v>79</v>
      </c>
      <c r="AF339" s="538" t="s">
        <v>943</v>
      </c>
      <c r="AG339" s="538" t="s">
        <v>79</v>
      </c>
      <c r="AH339" s="538" t="s">
        <v>943</v>
      </c>
      <c r="AI339" s="538" t="s">
        <v>79</v>
      </c>
      <c r="AJ339" s="538" t="s">
        <v>943</v>
      </c>
      <c r="AK339" s="538" t="s">
        <v>79</v>
      </c>
      <c r="AL339" s="538" t="s">
        <v>943</v>
      </c>
      <c r="AM339" s="538" t="s">
        <v>79</v>
      </c>
      <c r="AN339" s="538" t="s">
        <v>943</v>
      </c>
      <c r="AO339" s="538" t="s">
        <v>79</v>
      </c>
      <c r="AP339" s="538" t="s">
        <v>214</v>
      </c>
      <c r="AQ339" s="538" t="s">
        <v>79</v>
      </c>
      <c r="AR339" s="538" t="s">
        <v>214</v>
      </c>
      <c r="AS339" s="538">
        <v>3.785159004E9</v>
      </c>
      <c r="AT339" s="538">
        <v>3.479942533E9</v>
      </c>
      <c r="AU339" s="538">
        <v>209.0</v>
      </c>
      <c r="AV339" s="538" t="s">
        <v>47</v>
      </c>
      <c r="AY339" s="538" t="s">
        <v>300</v>
      </c>
      <c r="AZ339" s="538">
        <v>0.6</v>
      </c>
      <c r="BA339" s="538">
        <v>0.65</v>
      </c>
      <c r="BB339" s="538">
        <v>0.72</v>
      </c>
      <c r="BC339" s="538">
        <v>0.8</v>
      </c>
      <c r="BD339" s="538">
        <v>0.9</v>
      </c>
      <c r="BE339" s="538">
        <v>1.0</v>
      </c>
      <c r="BF339" s="538">
        <v>1.0</v>
      </c>
      <c r="BG339" s="538">
        <v>1.0</v>
      </c>
      <c r="BH339" s="538">
        <v>1.0</v>
      </c>
      <c r="BI339" s="538">
        <v>1.0</v>
      </c>
      <c r="BJ339" s="546"/>
      <c r="BL339" s="546"/>
    </row>
    <row r="340" ht="22.5" customHeight="1">
      <c r="A340" s="538">
        <v>339.0</v>
      </c>
      <c r="B340" s="538" t="s">
        <v>1758</v>
      </c>
      <c r="C340" s="538" t="s">
        <v>84</v>
      </c>
      <c r="D340" s="538" t="s">
        <v>1749</v>
      </c>
      <c r="E340" s="538" t="s">
        <v>340</v>
      </c>
      <c r="F340" s="538" t="s">
        <v>1759</v>
      </c>
      <c r="G340" s="538" t="s">
        <v>239</v>
      </c>
      <c r="H340" s="538" t="s">
        <v>182</v>
      </c>
      <c r="I340" s="538" t="s">
        <v>122</v>
      </c>
      <c r="K340" s="538" t="s">
        <v>1760</v>
      </c>
      <c r="L340" s="538" t="s">
        <v>1761</v>
      </c>
      <c r="M340" s="538" t="s">
        <v>661</v>
      </c>
      <c r="N340" s="538" t="s">
        <v>1762</v>
      </c>
      <c r="O340" s="538" t="b">
        <v>0</v>
      </c>
      <c r="P340" s="538" t="b">
        <v>1</v>
      </c>
      <c r="Q340" s="538" t="s">
        <v>75</v>
      </c>
      <c r="R340" s="538" t="s">
        <v>225</v>
      </c>
      <c r="S340" s="538" t="s">
        <v>75</v>
      </c>
      <c r="T340" s="538" t="s">
        <v>225</v>
      </c>
      <c r="U340" s="538" t="s">
        <v>79</v>
      </c>
      <c r="V340" s="538" t="s">
        <v>1759</v>
      </c>
      <c r="W340" s="538" t="s">
        <v>79</v>
      </c>
      <c r="X340" s="538" t="s">
        <v>1759</v>
      </c>
      <c r="Y340" s="538" t="s">
        <v>79</v>
      </c>
      <c r="Z340" s="538" t="s">
        <v>1759</v>
      </c>
      <c r="AA340" s="538" t="s">
        <v>79</v>
      </c>
      <c r="AB340" s="538" t="s">
        <v>1759</v>
      </c>
      <c r="AC340" s="538" t="s">
        <v>79</v>
      </c>
      <c r="AD340" s="538" t="s">
        <v>1759</v>
      </c>
      <c r="AE340" s="538" t="s">
        <v>79</v>
      </c>
      <c r="AF340" s="538" t="s">
        <v>1759</v>
      </c>
      <c r="AG340" s="538" t="s">
        <v>79</v>
      </c>
      <c r="AH340" s="538" t="s">
        <v>1759</v>
      </c>
      <c r="AI340" s="538" t="s">
        <v>79</v>
      </c>
      <c r="AJ340" s="538" t="s">
        <v>1759</v>
      </c>
      <c r="AK340" s="538" t="s">
        <v>79</v>
      </c>
      <c r="AL340" s="538" t="s">
        <v>1759</v>
      </c>
      <c r="AM340" s="538" t="s">
        <v>79</v>
      </c>
      <c r="AN340" s="538" t="s">
        <v>1759</v>
      </c>
      <c r="AO340" s="538" t="s">
        <v>79</v>
      </c>
      <c r="AP340" s="538" t="s">
        <v>340</v>
      </c>
      <c r="AQ340" s="538" t="s">
        <v>79</v>
      </c>
      <c r="AR340" s="538" t="s">
        <v>340</v>
      </c>
      <c r="AS340" s="538">
        <v>1.85131547E8</v>
      </c>
      <c r="AT340" s="538">
        <v>3.512227954E9</v>
      </c>
      <c r="AU340" s="538">
        <v>210.0</v>
      </c>
      <c r="AV340" s="538" t="s">
        <v>46</v>
      </c>
      <c r="AY340" s="538" t="s">
        <v>225</v>
      </c>
      <c r="AZ340" s="538">
        <v>1.0</v>
      </c>
      <c r="BA340" s="538">
        <v>1.0</v>
      </c>
      <c r="BB340" s="538">
        <v>1.0</v>
      </c>
      <c r="BE340" s="538">
        <v>1.3</v>
      </c>
      <c r="BF340" s="538">
        <v>0.05</v>
      </c>
      <c r="BG340" s="538">
        <v>0.1</v>
      </c>
      <c r="BJ340" s="546"/>
      <c r="BL340" s="546"/>
    </row>
    <row r="341" ht="22.5" customHeight="1">
      <c r="A341" s="538">
        <v>340.0</v>
      </c>
      <c r="B341" s="538" t="s">
        <v>1758</v>
      </c>
      <c r="C341" s="538" t="s">
        <v>82</v>
      </c>
      <c r="D341" s="538" t="s">
        <v>1749</v>
      </c>
      <c r="E341" s="538" t="s">
        <v>369</v>
      </c>
      <c r="F341" s="538" t="s">
        <v>943</v>
      </c>
      <c r="G341" s="538" t="s">
        <v>239</v>
      </c>
      <c r="H341" s="538" t="s">
        <v>222</v>
      </c>
      <c r="I341" s="538" t="s">
        <v>189</v>
      </c>
      <c r="K341" s="538" t="s">
        <v>1763</v>
      </c>
      <c r="L341" s="538" t="s">
        <v>1764</v>
      </c>
      <c r="M341" s="538" t="s">
        <v>673</v>
      </c>
      <c r="N341" s="538" t="s">
        <v>1765</v>
      </c>
      <c r="O341" s="538" t="b">
        <v>0</v>
      </c>
      <c r="P341" s="538" t="b">
        <v>1</v>
      </c>
      <c r="Q341" s="538" t="s">
        <v>75</v>
      </c>
      <c r="R341" s="538" t="s">
        <v>300</v>
      </c>
      <c r="S341" s="538" t="s">
        <v>75</v>
      </c>
      <c r="T341" s="538" t="s">
        <v>300</v>
      </c>
      <c r="U341" s="538" t="s">
        <v>79</v>
      </c>
      <c r="V341" s="538" t="s">
        <v>943</v>
      </c>
      <c r="W341" s="538" t="s">
        <v>79</v>
      </c>
      <c r="X341" s="538" t="s">
        <v>943</v>
      </c>
      <c r="Y341" s="538" t="s">
        <v>79</v>
      </c>
      <c r="Z341" s="538" t="s">
        <v>943</v>
      </c>
      <c r="AA341" s="538" t="s">
        <v>79</v>
      </c>
      <c r="AB341" s="538" t="s">
        <v>943</v>
      </c>
      <c r="AC341" s="538" t="s">
        <v>79</v>
      </c>
      <c r="AD341" s="538" t="s">
        <v>943</v>
      </c>
      <c r="AE341" s="538" t="s">
        <v>79</v>
      </c>
      <c r="AF341" s="538" t="s">
        <v>943</v>
      </c>
      <c r="AG341" s="538" t="s">
        <v>79</v>
      </c>
      <c r="AH341" s="538" t="s">
        <v>943</v>
      </c>
      <c r="AI341" s="538" t="s">
        <v>79</v>
      </c>
      <c r="AJ341" s="538" t="s">
        <v>943</v>
      </c>
      <c r="AK341" s="538" t="s">
        <v>79</v>
      </c>
      <c r="AL341" s="538" t="s">
        <v>943</v>
      </c>
      <c r="AM341" s="538" t="s">
        <v>79</v>
      </c>
      <c r="AN341" s="538" t="s">
        <v>943</v>
      </c>
      <c r="AO341" s="538" t="s">
        <v>79</v>
      </c>
      <c r="AP341" s="538" t="s">
        <v>369</v>
      </c>
      <c r="AQ341" s="538" t="s">
        <v>79</v>
      </c>
      <c r="AR341" s="538" t="s">
        <v>369</v>
      </c>
      <c r="AS341" s="538">
        <v>3.519202949E9</v>
      </c>
      <c r="AT341" s="538">
        <v>3.512227954E9</v>
      </c>
      <c r="AU341" s="538">
        <v>210.0</v>
      </c>
      <c r="AV341" s="538" t="s">
        <v>46</v>
      </c>
      <c r="AY341" s="538" t="s">
        <v>300</v>
      </c>
      <c r="AZ341" s="538">
        <v>1.0</v>
      </c>
      <c r="BA341" s="538">
        <v>1.0</v>
      </c>
      <c r="BB341" s="538">
        <v>1.0</v>
      </c>
      <c r="BC341" s="538">
        <v>1.0</v>
      </c>
      <c r="BD341" s="538">
        <v>1.0</v>
      </c>
      <c r="BE341" s="538">
        <v>0.25</v>
      </c>
      <c r="BF341" s="538">
        <v>0.27</v>
      </c>
      <c r="BG341" s="538">
        <v>0.3</v>
      </c>
      <c r="BH341" s="538">
        <v>0.34</v>
      </c>
      <c r="BI341" s="538">
        <v>0.4</v>
      </c>
      <c r="BJ341" s="546"/>
      <c r="BL341" s="546"/>
    </row>
    <row r="342" ht="22.5" customHeight="1">
      <c r="A342" s="538">
        <v>341.0</v>
      </c>
      <c r="B342" s="538" t="s">
        <v>1766</v>
      </c>
      <c r="C342" s="538" t="s">
        <v>84</v>
      </c>
      <c r="D342" s="538" t="s">
        <v>1749</v>
      </c>
      <c r="E342" s="538" t="s">
        <v>214</v>
      </c>
      <c r="F342" s="538" t="s">
        <v>1767</v>
      </c>
      <c r="G342" s="538" t="s">
        <v>118</v>
      </c>
      <c r="H342" s="538" t="s">
        <v>222</v>
      </c>
      <c r="I342" s="538" t="s">
        <v>122</v>
      </c>
      <c r="J342" s="538" t="s">
        <v>376</v>
      </c>
      <c r="K342" s="538" t="s">
        <v>1768</v>
      </c>
      <c r="L342" s="538" t="s">
        <v>1769</v>
      </c>
      <c r="M342" s="538" t="s">
        <v>1770</v>
      </c>
      <c r="N342" s="538" t="s">
        <v>661</v>
      </c>
      <c r="O342" s="538" t="b">
        <v>1</v>
      </c>
      <c r="P342" s="538" t="b">
        <v>1</v>
      </c>
      <c r="Q342" s="538" t="s">
        <v>75</v>
      </c>
      <c r="R342" s="538" t="s">
        <v>225</v>
      </c>
      <c r="S342" s="538" t="s">
        <v>75</v>
      </c>
      <c r="T342" s="538" t="s">
        <v>225</v>
      </c>
      <c r="U342" s="538" t="s">
        <v>79</v>
      </c>
      <c r="V342" s="538" t="s">
        <v>1767</v>
      </c>
      <c r="W342" s="538" t="s">
        <v>79</v>
      </c>
      <c r="X342" s="538" t="s">
        <v>1767</v>
      </c>
      <c r="Y342" s="538" t="s">
        <v>79</v>
      </c>
      <c r="Z342" s="538" t="s">
        <v>1767</v>
      </c>
      <c r="AA342" s="538" t="s">
        <v>79</v>
      </c>
      <c r="AB342" s="538" t="s">
        <v>1767</v>
      </c>
      <c r="AC342" s="538" t="s">
        <v>79</v>
      </c>
      <c r="AD342" s="538" t="s">
        <v>1767</v>
      </c>
      <c r="AE342" s="538" t="s">
        <v>79</v>
      </c>
      <c r="AF342" s="538" t="s">
        <v>1767</v>
      </c>
      <c r="AG342" s="538" t="s">
        <v>79</v>
      </c>
      <c r="AH342" s="538" t="s">
        <v>1767</v>
      </c>
      <c r="AI342" s="538" t="s">
        <v>79</v>
      </c>
      <c r="AJ342" s="538" t="s">
        <v>1767</v>
      </c>
      <c r="AK342" s="538" t="s">
        <v>79</v>
      </c>
      <c r="AL342" s="538" t="s">
        <v>1767</v>
      </c>
      <c r="AM342" s="538" t="s">
        <v>79</v>
      </c>
      <c r="AN342" s="538" t="s">
        <v>1767</v>
      </c>
      <c r="AO342" s="538" t="s">
        <v>79</v>
      </c>
      <c r="AP342" s="538" t="s">
        <v>214</v>
      </c>
      <c r="AQ342" s="538" t="s">
        <v>79</v>
      </c>
      <c r="AR342" s="538" t="s">
        <v>214</v>
      </c>
      <c r="AS342" s="538">
        <v>4.241392103E9</v>
      </c>
      <c r="AT342" s="538">
        <v>2.354305961E9</v>
      </c>
      <c r="AU342" s="538">
        <v>211.0</v>
      </c>
      <c r="AV342" s="538" t="s">
        <v>46</v>
      </c>
      <c r="AY342" s="538" t="s">
        <v>225</v>
      </c>
      <c r="AZ342" s="538">
        <v>0.05</v>
      </c>
      <c r="BA342" s="538">
        <v>0.1</v>
      </c>
      <c r="BB342" s="538">
        <v>0.2</v>
      </c>
      <c r="BE342" s="538">
        <v>1.0</v>
      </c>
      <c r="BF342" s="538">
        <v>1.0</v>
      </c>
      <c r="BG342" s="538">
        <v>1.0</v>
      </c>
      <c r="BJ342" s="546"/>
      <c r="BL342" s="546"/>
    </row>
    <row r="343" ht="22.5" customHeight="1">
      <c r="A343" s="538">
        <v>342.0</v>
      </c>
      <c r="B343" s="538" t="s">
        <v>1766</v>
      </c>
      <c r="C343" s="538" t="s">
        <v>82</v>
      </c>
      <c r="D343" s="538" t="s">
        <v>1749</v>
      </c>
      <c r="E343" s="538" t="s">
        <v>236</v>
      </c>
      <c r="F343" s="538" t="s">
        <v>943</v>
      </c>
      <c r="G343" s="538" t="s">
        <v>239</v>
      </c>
      <c r="H343" s="538" t="s">
        <v>222</v>
      </c>
      <c r="I343" s="538" t="s">
        <v>155</v>
      </c>
      <c r="J343" s="538" t="s">
        <v>320</v>
      </c>
      <c r="K343" s="538" t="s">
        <v>1771</v>
      </c>
      <c r="L343" s="538" t="s">
        <v>1772</v>
      </c>
      <c r="M343" s="538" t="s">
        <v>1773</v>
      </c>
      <c r="N343" s="538" t="s">
        <v>673</v>
      </c>
      <c r="O343" s="538" t="b">
        <v>1</v>
      </c>
      <c r="P343" s="538" t="b">
        <v>1</v>
      </c>
      <c r="Q343" s="538" t="s">
        <v>75</v>
      </c>
      <c r="R343" s="538" t="s">
        <v>300</v>
      </c>
      <c r="S343" s="538" t="s">
        <v>75</v>
      </c>
      <c r="T343" s="538" t="s">
        <v>300</v>
      </c>
      <c r="U343" s="538" t="s">
        <v>79</v>
      </c>
      <c r="V343" s="538" t="s">
        <v>943</v>
      </c>
      <c r="W343" s="538" t="s">
        <v>79</v>
      </c>
      <c r="X343" s="538" t="s">
        <v>943</v>
      </c>
      <c r="Y343" s="538" t="s">
        <v>79</v>
      </c>
      <c r="Z343" s="538" t="s">
        <v>943</v>
      </c>
      <c r="AA343" s="538" t="s">
        <v>79</v>
      </c>
      <c r="AB343" s="538" t="s">
        <v>943</v>
      </c>
      <c r="AC343" s="538" t="s">
        <v>79</v>
      </c>
      <c r="AD343" s="538" t="s">
        <v>943</v>
      </c>
      <c r="AE343" s="538" t="s">
        <v>79</v>
      </c>
      <c r="AF343" s="538" t="s">
        <v>943</v>
      </c>
      <c r="AG343" s="538" t="s">
        <v>79</v>
      </c>
      <c r="AH343" s="538" t="s">
        <v>943</v>
      </c>
      <c r="AI343" s="538" t="s">
        <v>79</v>
      </c>
      <c r="AJ343" s="538" t="s">
        <v>943</v>
      </c>
      <c r="AK343" s="538" t="s">
        <v>79</v>
      </c>
      <c r="AL343" s="538" t="s">
        <v>943</v>
      </c>
      <c r="AM343" s="538" t="s">
        <v>79</v>
      </c>
      <c r="AN343" s="538" t="s">
        <v>943</v>
      </c>
      <c r="AO343" s="538" t="s">
        <v>79</v>
      </c>
      <c r="AP343" s="538" t="s">
        <v>236</v>
      </c>
      <c r="AQ343" s="538" t="s">
        <v>79</v>
      </c>
      <c r="AR343" s="538" t="s">
        <v>236</v>
      </c>
      <c r="AS343" s="538">
        <v>1.842949267E9</v>
      </c>
      <c r="AT343" s="538">
        <v>2.354305961E9</v>
      </c>
      <c r="AU343" s="538">
        <v>211.0</v>
      </c>
      <c r="AV343" s="538" t="s">
        <v>46</v>
      </c>
      <c r="AY343" s="538" t="s">
        <v>300</v>
      </c>
      <c r="AZ343" s="538">
        <v>0.4</v>
      </c>
      <c r="BA343" s="538">
        <v>0.45</v>
      </c>
      <c r="BB343" s="538">
        <v>0.52</v>
      </c>
      <c r="BC343" s="538">
        <v>0.6</v>
      </c>
      <c r="BD343" s="538">
        <v>0.7</v>
      </c>
      <c r="BE343" s="538">
        <v>1.0</v>
      </c>
      <c r="BF343" s="538">
        <v>1.0</v>
      </c>
      <c r="BG343" s="538">
        <v>1.0</v>
      </c>
      <c r="BH343" s="538">
        <v>1.0</v>
      </c>
      <c r="BI343" s="538">
        <v>1.0</v>
      </c>
      <c r="BJ343" s="546"/>
      <c r="BL343" s="546"/>
    </row>
    <row r="344" ht="22.5" customHeight="1">
      <c r="A344" s="538">
        <v>343.0</v>
      </c>
      <c r="B344" s="538" t="s">
        <v>1774</v>
      </c>
      <c r="C344" s="538" t="s">
        <v>84</v>
      </c>
      <c r="D344" s="538" t="s">
        <v>1603</v>
      </c>
      <c r="E344" s="538" t="s">
        <v>265</v>
      </c>
      <c r="G344" s="538" t="s">
        <v>151</v>
      </c>
      <c r="H344" s="538" t="s">
        <v>250</v>
      </c>
      <c r="I344" s="538" t="s">
        <v>122</v>
      </c>
      <c r="K344" s="538" t="s">
        <v>1775</v>
      </c>
      <c r="L344" s="538" t="s">
        <v>1776</v>
      </c>
      <c r="M344" s="538" t="s">
        <v>661</v>
      </c>
      <c r="N344" s="538" t="s">
        <v>662</v>
      </c>
      <c r="O344" s="538" t="b">
        <v>0</v>
      </c>
      <c r="P344" s="538" t="b">
        <v>1</v>
      </c>
      <c r="Q344" s="538" t="s">
        <v>79</v>
      </c>
      <c r="R344" s="538" t="s">
        <v>265</v>
      </c>
      <c r="S344" s="538" t="s">
        <v>79</v>
      </c>
      <c r="T344" s="538" t="s">
        <v>265</v>
      </c>
      <c r="U344" s="538" t="s">
        <v>79</v>
      </c>
      <c r="V344" s="538" t="s">
        <v>265</v>
      </c>
      <c r="W344" s="538" t="s">
        <v>79</v>
      </c>
      <c r="X344" s="538" t="s">
        <v>265</v>
      </c>
      <c r="Y344" s="538" t="s">
        <v>79</v>
      </c>
      <c r="Z344" s="538" t="s">
        <v>265</v>
      </c>
      <c r="AA344" s="538" t="s">
        <v>79</v>
      </c>
      <c r="AB344" s="538" t="s">
        <v>265</v>
      </c>
      <c r="AC344" s="538" t="s">
        <v>79</v>
      </c>
      <c r="AD344" s="538" t="s">
        <v>265</v>
      </c>
      <c r="AE344" s="538" t="s">
        <v>79</v>
      </c>
      <c r="AF344" s="538" t="s">
        <v>265</v>
      </c>
      <c r="AG344" s="538" t="s">
        <v>79</v>
      </c>
      <c r="AH344" s="538" t="s">
        <v>265</v>
      </c>
      <c r="AI344" s="538" t="s">
        <v>79</v>
      </c>
      <c r="AJ344" s="538" t="s">
        <v>265</v>
      </c>
      <c r="AK344" s="538" t="s">
        <v>79</v>
      </c>
      <c r="AL344" s="538" t="s">
        <v>265</v>
      </c>
      <c r="AM344" s="538" t="s">
        <v>79</v>
      </c>
      <c r="AN344" s="538" t="s">
        <v>265</v>
      </c>
      <c r="AO344" s="538" t="s">
        <v>79</v>
      </c>
      <c r="AP344" s="538" t="s">
        <v>265</v>
      </c>
      <c r="AQ344" s="538" t="s">
        <v>73</v>
      </c>
      <c r="AS344" s="538">
        <v>1.07512332E8</v>
      </c>
      <c r="AT344" s="538">
        <v>1.628322562E9</v>
      </c>
      <c r="AU344" s="538">
        <v>212.0</v>
      </c>
      <c r="AV344" s="538" t="s">
        <v>47</v>
      </c>
      <c r="AZ344" s="538">
        <v>1.0</v>
      </c>
      <c r="BA344" s="538">
        <v>1.0</v>
      </c>
      <c r="BB344" s="538">
        <v>1.0</v>
      </c>
      <c r="BE344" s="538">
        <v>0.4</v>
      </c>
      <c r="BF344" s="538">
        <v>0.1</v>
      </c>
      <c r="BG344" s="538">
        <v>0.2</v>
      </c>
      <c r="BJ344" s="546"/>
      <c r="BL344" s="546"/>
    </row>
    <row r="345" ht="22.5" customHeight="1">
      <c r="A345" s="538">
        <v>344.0</v>
      </c>
      <c r="B345" s="538" t="s">
        <v>1774</v>
      </c>
      <c r="C345" s="538" t="s">
        <v>82</v>
      </c>
      <c r="D345" s="538" t="s">
        <v>1603</v>
      </c>
      <c r="E345" s="538" t="s">
        <v>331</v>
      </c>
      <c r="G345" s="538" t="s">
        <v>151</v>
      </c>
      <c r="H345" s="538" t="s">
        <v>250</v>
      </c>
      <c r="I345" s="538" t="s">
        <v>122</v>
      </c>
      <c r="J345" s="538" t="s">
        <v>406</v>
      </c>
      <c r="K345" s="538" t="s">
        <v>1777</v>
      </c>
      <c r="L345" s="538" t="s">
        <v>1778</v>
      </c>
      <c r="M345" s="538" t="s">
        <v>673</v>
      </c>
      <c r="N345" s="538" t="s">
        <v>1779</v>
      </c>
      <c r="O345" s="538" t="b">
        <v>0</v>
      </c>
      <c r="P345" s="538" t="b">
        <v>1</v>
      </c>
      <c r="Q345" s="538" t="s">
        <v>79</v>
      </c>
      <c r="R345" s="538" t="s">
        <v>331</v>
      </c>
      <c r="S345" s="538" t="s">
        <v>79</v>
      </c>
      <c r="T345" s="538" t="s">
        <v>331</v>
      </c>
      <c r="U345" s="538" t="s">
        <v>79</v>
      </c>
      <c r="V345" s="538" t="s">
        <v>331</v>
      </c>
      <c r="W345" s="538" t="s">
        <v>79</v>
      </c>
      <c r="X345" s="538" t="s">
        <v>331</v>
      </c>
      <c r="Y345" s="538" t="s">
        <v>79</v>
      </c>
      <c r="Z345" s="538" t="s">
        <v>331</v>
      </c>
      <c r="AA345" s="538" t="s">
        <v>79</v>
      </c>
      <c r="AB345" s="538" t="s">
        <v>331</v>
      </c>
      <c r="AC345" s="538" t="s">
        <v>79</v>
      </c>
      <c r="AD345" s="538" t="s">
        <v>331</v>
      </c>
      <c r="AE345" s="538" t="s">
        <v>79</v>
      </c>
      <c r="AF345" s="538" t="s">
        <v>331</v>
      </c>
      <c r="AG345" s="538" t="s">
        <v>79</v>
      </c>
      <c r="AH345" s="538" t="s">
        <v>331</v>
      </c>
      <c r="AI345" s="538" t="s">
        <v>79</v>
      </c>
      <c r="AJ345" s="538" t="s">
        <v>331</v>
      </c>
      <c r="AK345" s="538" t="s">
        <v>79</v>
      </c>
      <c r="AL345" s="538" t="s">
        <v>331</v>
      </c>
      <c r="AM345" s="538" t="s">
        <v>79</v>
      </c>
      <c r="AN345" s="538" t="s">
        <v>331</v>
      </c>
      <c r="AO345" s="538" t="s">
        <v>79</v>
      </c>
      <c r="AP345" s="538" t="s">
        <v>331</v>
      </c>
      <c r="AQ345" s="538" t="s">
        <v>73</v>
      </c>
      <c r="AS345" s="538">
        <v>3.295255917E9</v>
      </c>
      <c r="AT345" s="538">
        <v>1.628322562E9</v>
      </c>
      <c r="AU345" s="538">
        <v>212.0</v>
      </c>
      <c r="AV345" s="538" t="s">
        <v>47</v>
      </c>
      <c r="AZ345" s="538">
        <v>1.0</v>
      </c>
      <c r="BA345" s="538">
        <v>1.0</v>
      </c>
      <c r="BB345" s="538">
        <v>1.0</v>
      </c>
      <c r="BC345" s="538">
        <v>1.0</v>
      </c>
      <c r="BD345" s="538">
        <v>1.0</v>
      </c>
      <c r="BE345" s="538">
        <v>1.0</v>
      </c>
      <c r="BF345" s="538">
        <v>1.25</v>
      </c>
      <c r="BG345" s="538">
        <v>1.5</v>
      </c>
      <c r="BH345" s="538">
        <v>1.75</v>
      </c>
      <c r="BI345" s="538">
        <v>2.0</v>
      </c>
      <c r="BJ345" s="546"/>
      <c r="BL345" s="546"/>
    </row>
    <row r="346" ht="22.5" customHeight="1">
      <c r="A346" s="538">
        <v>345.0</v>
      </c>
      <c r="B346" s="538" t="s">
        <v>110</v>
      </c>
      <c r="C346" s="538" t="s">
        <v>84</v>
      </c>
      <c r="D346" s="538" t="s">
        <v>1780</v>
      </c>
      <c r="E346" s="538" t="s">
        <v>214</v>
      </c>
      <c r="F346" s="538" t="s">
        <v>950</v>
      </c>
      <c r="G346" s="538" t="s">
        <v>239</v>
      </c>
      <c r="H346" s="538" t="s">
        <v>222</v>
      </c>
      <c r="I346" s="538" t="s">
        <v>122</v>
      </c>
      <c r="J346" s="538" t="s">
        <v>379</v>
      </c>
      <c r="K346" s="538" t="s">
        <v>1781</v>
      </c>
      <c r="L346" s="538" t="s">
        <v>1782</v>
      </c>
      <c r="M346" s="538" t="s">
        <v>1783</v>
      </c>
      <c r="N346" s="538" t="s">
        <v>661</v>
      </c>
      <c r="O346" s="538" t="b">
        <v>1</v>
      </c>
      <c r="P346" s="538" t="b">
        <v>1</v>
      </c>
      <c r="Q346" s="538" t="s">
        <v>75</v>
      </c>
      <c r="R346" s="538" t="s">
        <v>342</v>
      </c>
      <c r="S346" s="538" t="s">
        <v>75</v>
      </c>
      <c r="T346" s="538" t="s">
        <v>342</v>
      </c>
      <c r="U346" s="538" t="s">
        <v>79</v>
      </c>
      <c r="V346" s="538" t="s">
        <v>950</v>
      </c>
      <c r="W346" s="538" t="s">
        <v>79</v>
      </c>
      <c r="X346" s="538" t="s">
        <v>950</v>
      </c>
      <c r="Y346" s="538" t="s">
        <v>79</v>
      </c>
      <c r="Z346" s="538" t="s">
        <v>950</v>
      </c>
      <c r="AA346" s="538" t="s">
        <v>79</v>
      </c>
      <c r="AB346" s="538" t="s">
        <v>950</v>
      </c>
      <c r="AC346" s="538" t="s">
        <v>79</v>
      </c>
      <c r="AD346" s="538" t="s">
        <v>950</v>
      </c>
      <c r="AE346" s="538" t="s">
        <v>79</v>
      </c>
      <c r="AF346" s="538" t="s">
        <v>950</v>
      </c>
      <c r="AG346" s="538" t="s">
        <v>79</v>
      </c>
      <c r="AH346" s="538" t="s">
        <v>950</v>
      </c>
      <c r="AI346" s="538" t="s">
        <v>79</v>
      </c>
      <c r="AJ346" s="538" t="s">
        <v>950</v>
      </c>
      <c r="AK346" s="538" t="s">
        <v>79</v>
      </c>
      <c r="AL346" s="538" t="s">
        <v>950</v>
      </c>
      <c r="AM346" s="538" t="s">
        <v>79</v>
      </c>
      <c r="AN346" s="538" t="s">
        <v>950</v>
      </c>
      <c r="AO346" s="538" t="s">
        <v>79</v>
      </c>
      <c r="AP346" s="538" t="s">
        <v>214</v>
      </c>
      <c r="AQ346" s="538" t="s">
        <v>79</v>
      </c>
      <c r="AR346" s="538" t="s">
        <v>214</v>
      </c>
      <c r="AS346" s="538">
        <v>1.381531883E9</v>
      </c>
      <c r="AT346" s="538">
        <v>1.310878702E9</v>
      </c>
      <c r="AU346" s="538">
        <v>220.0</v>
      </c>
      <c r="AV346" s="538" t="s">
        <v>47</v>
      </c>
      <c r="AY346" s="538" t="s">
        <v>342</v>
      </c>
      <c r="AZ346" s="538">
        <v>0.2</v>
      </c>
      <c r="BA346" s="538">
        <v>0.2</v>
      </c>
      <c r="BB346" s="538">
        <v>0.4</v>
      </c>
      <c r="BE346" s="538">
        <v>1.0</v>
      </c>
      <c r="BF346" s="538">
        <v>1.0</v>
      </c>
      <c r="BG346" s="538">
        <v>1.0</v>
      </c>
      <c r="BJ346" s="546"/>
      <c r="BL346" s="546"/>
    </row>
    <row r="347" ht="22.5" customHeight="1">
      <c r="A347" s="538">
        <v>346.0</v>
      </c>
      <c r="B347" s="538" t="s">
        <v>110</v>
      </c>
      <c r="C347" s="538" t="s">
        <v>82</v>
      </c>
      <c r="D347" s="538" t="s">
        <v>1780</v>
      </c>
      <c r="E347" s="538" t="s">
        <v>112</v>
      </c>
      <c r="F347" s="538" t="s">
        <v>1784</v>
      </c>
      <c r="G347" s="538" t="s">
        <v>118</v>
      </c>
      <c r="H347" s="538" t="s">
        <v>250</v>
      </c>
      <c r="I347" s="538" t="s">
        <v>122</v>
      </c>
      <c r="J347" s="538" t="s">
        <v>114</v>
      </c>
      <c r="K347" s="538" t="s">
        <v>1785</v>
      </c>
      <c r="L347" s="538" t="s">
        <v>1786</v>
      </c>
      <c r="M347" s="538" t="s">
        <v>673</v>
      </c>
      <c r="N347" s="538" t="s">
        <v>1787</v>
      </c>
      <c r="O347" s="538" t="b">
        <v>0</v>
      </c>
      <c r="P347" s="538" t="b">
        <v>1</v>
      </c>
      <c r="Q347" s="538" t="s">
        <v>75</v>
      </c>
      <c r="R347" s="538" t="s">
        <v>1788</v>
      </c>
      <c r="S347" s="538" t="s">
        <v>75</v>
      </c>
      <c r="T347" s="538" t="s">
        <v>1788</v>
      </c>
      <c r="U347" s="538" t="s">
        <v>79</v>
      </c>
      <c r="V347" s="538" t="s">
        <v>1784</v>
      </c>
      <c r="W347" s="538" t="s">
        <v>79</v>
      </c>
      <c r="X347" s="538" t="s">
        <v>1784</v>
      </c>
      <c r="Y347" s="538" t="s">
        <v>79</v>
      </c>
      <c r="Z347" s="538" t="s">
        <v>1784</v>
      </c>
      <c r="AA347" s="538" t="s">
        <v>79</v>
      </c>
      <c r="AB347" s="538" t="s">
        <v>1784</v>
      </c>
      <c r="AC347" s="538" t="s">
        <v>79</v>
      </c>
      <c r="AD347" s="538" t="s">
        <v>1784</v>
      </c>
      <c r="AE347" s="538" t="s">
        <v>79</v>
      </c>
      <c r="AF347" s="538" t="s">
        <v>1784</v>
      </c>
      <c r="AG347" s="538" t="s">
        <v>79</v>
      </c>
      <c r="AH347" s="538" t="s">
        <v>1784</v>
      </c>
      <c r="AI347" s="538" t="s">
        <v>79</v>
      </c>
      <c r="AJ347" s="538" t="s">
        <v>1784</v>
      </c>
      <c r="AK347" s="538" t="s">
        <v>79</v>
      </c>
      <c r="AL347" s="538" t="s">
        <v>1784</v>
      </c>
      <c r="AM347" s="538" t="s">
        <v>79</v>
      </c>
      <c r="AN347" s="538" t="s">
        <v>1784</v>
      </c>
      <c r="AO347" s="538" t="s">
        <v>79</v>
      </c>
      <c r="AP347" s="538" t="s">
        <v>112</v>
      </c>
      <c r="AQ347" s="538" t="s">
        <v>79</v>
      </c>
      <c r="AR347" s="538" t="s">
        <v>112</v>
      </c>
      <c r="AS347" s="538">
        <v>2.187582501E9</v>
      </c>
      <c r="AT347" s="538">
        <v>1.310878702E9</v>
      </c>
      <c r="AU347" s="538">
        <v>220.0</v>
      </c>
      <c r="AV347" s="538" t="s">
        <v>47</v>
      </c>
      <c r="AX347" s="538" t="s">
        <v>437</v>
      </c>
      <c r="AY347" s="538" t="s">
        <v>1788</v>
      </c>
      <c r="AZ347" s="538">
        <v>1.0</v>
      </c>
      <c r="BA347" s="538">
        <v>1.0</v>
      </c>
      <c r="BB347" s="538">
        <v>1.0</v>
      </c>
      <c r="BC347" s="538">
        <v>1.0</v>
      </c>
      <c r="BD347" s="538">
        <v>1.0</v>
      </c>
      <c r="BE347" s="538">
        <v>0.25</v>
      </c>
      <c r="BF347" s="538">
        <v>0.29</v>
      </c>
      <c r="BG347" s="538">
        <v>0.35</v>
      </c>
      <c r="BH347" s="538">
        <v>0.42</v>
      </c>
      <c r="BI347" s="538">
        <v>0.5</v>
      </c>
      <c r="BJ347" s="546"/>
      <c r="BL347" s="546"/>
    </row>
    <row r="348" ht="22.5" customHeight="1">
      <c r="A348" s="538">
        <v>347.0</v>
      </c>
      <c r="B348" s="538" t="s">
        <v>1789</v>
      </c>
      <c r="C348" s="538" t="s">
        <v>84</v>
      </c>
      <c r="D348" s="538" t="s">
        <v>1780</v>
      </c>
      <c r="E348" s="538" t="s">
        <v>218</v>
      </c>
      <c r="F348" s="538" t="s">
        <v>1790</v>
      </c>
      <c r="G348" s="538" t="s">
        <v>239</v>
      </c>
      <c r="H348" s="538" t="s">
        <v>222</v>
      </c>
      <c r="I348" s="538" t="s">
        <v>189</v>
      </c>
      <c r="K348" s="538" t="s">
        <v>1791</v>
      </c>
      <c r="L348" s="538" t="s">
        <v>1792</v>
      </c>
      <c r="M348" s="538" t="s">
        <v>661</v>
      </c>
      <c r="N348" s="538" t="s">
        <v>1270</v>
      </c>
      <c r="O348" s="538" t="b">
        <v>0</v>
      </c>
      <c r="P348" s="538" t="b">
        <v>1</v>
      </c>
      <c r="Q348" s="538" t="s">
        <v>75</v>
      </c>
      <c r="R348" s="538" t="s">
        <v>1793</v>
      </c>
      <c r="S348" s="538" t="s">
        <v>75</v>
      </c>
      <c r="T348" s="538" t="s">
        <v>1793</v>
      </c>
      <c r="U348" s="538" t="s">
        <v>79</v>
      </c>
      <c r="V348" s="538" t="s">
        <v>1790</v>
      </c>
      <c r="W348" s="538" t="s">
        <v>79</v>
      </c>
      <c r="X348" s="538" t="s">
        <v>1790</v>
      </c>
      <c r="Y348" s="538" t="s">
        <v>79</v>
      </c>
      <c r="Z348" s="538" t="s">
        <v>1790</v>
      </c>
      <c r="AA348" s="538" t="s">
        <v>79</v>
      </c>
      <c r="AB348" s="538" t="s">
        <v>1790</v>
      </c>
      <c r="AC348" s="538" t="s">
        <v>79</v>
      </c>
      <c r="AD348" s="538" t="s">
        <v>1790</v>
      </c>
      <c r="AE348" s="538" t="s">
        <v>79</v>
      </c>
      <c r="AF348" s="538" t="s">
        <v>1790</v>
      </c>
      <c r="AG348" s="538" t="s">
        <v>79</v>
      </c>
      <c r="AH348" s="538" t="s">
        <v>1790</v>
      </c>
      <c r="AI348" s="538" t="s">
        <v>79</v>
      </c>
      <c r="AJ348" s="538" t="s">
        <v>1790</v>
      </c>
      <c r="AK348" s="538" t="s">
        <v>79</v>
      </c>
      <c r="AL348" s="538" t="s">
        <v>1790</v>
      </c>
      <c r="AM348" s="538" t="s">
        <v>79</v>
      </c>
      <c r="AN348" s="538" t="s">
        <v>1790</v>
      </c>
      <c r="AO348" s="538" t="s">
        <v>79</v>
      </c>
      <c r="AP348" s="538" t="s">
        <v>218</v>
      </c>
      <c r="AQ348" s="538" t="s">
        <v>79</v>
      </c>
      <c r="AR348" s="538" t="s">
        <v>218</v>
      </c>
      <c r="AS348" s="538">
        <v>2.779404384E9</v>
      </c>
      <c r="AT348" s="538">
        <v>3.681781473E9</v>
      </c>
      <c r="AU348" s="538">
        <v>221.0</v>
      </c>
      <c r="AV348" s="538" t="s">
        <v>46</v>
      </c>
      <c r="AX348" s="538" t="s">
        <v>437</v>
      </c>
      <c r="AY348" s="538" t="s">
        <v>1793</v>
      </c>
      <c r="AZ348" s="538">
        <v>1.0</v>
      </c>
      <c r="BA348" s="538">
        <v>1.0</v>
      </c>
      <c r="BB348" s="538">
        <v>1.0</v>
      </c>
      <c r="BE348" s="538">
        <v>0.05</v>
      </c>
      <c r="BF348" s="538">
        <v>0.05</v>
      </c>
      <c r="BG348" s="538">
        <v>0.1</v>
      </c>
      <c r="BJ348" s="546"/>
      <c r="BL348" s="546"/>
    </row>
    <row r="349" ht="22.5" customHeight="1">
      <c r="A349" s="538">
        <v>348.0</v>
      </c>
      <c r="B349" s="538" t="s">
        <v>1789</v>
      </c>
      <c r="C349" s="538" t="s">
        <v>82</v>
      </c>
      <c r="D349" s="538" t="s">
        <v>1780</v>
      </c>
      <c r="E349" s="538" t="s">
        <v>292</v>
      </c>
      <c r="F349" s="538" t="s">
        <v>1784</v>
      </c>
      <c r="G349" s="538" t="s">
        <v>239</v>
      </c>
      <c r="H349" s="538" t="s">
        <v>250</v>
      </c>
      <c r="I349" s="538" t="s">
        <v>155</v>
      </c>
      <c r="K349" s="538" t="s">
        <v>1794</v>
      </c>
      <c r="L349" s="538" t="s">
        <v>1795</v>
      </c>
      <c r="M349" s="538" t="s">
        <v>673</v>
      </c>
      <c r="N349" s="538" t="s">
        <v>1796</v>
      </c>
      <c r="O349" s="538" t="b">
        <v>0</v>
      </c>
      <c r="P349" s="538" t="b">
        <v>1</v>
      </c>
      <c r="Q349" s="538" t="s">
        <v>75</v>
      </c>
      <c r="R349" s="538" t="s">
        <v>1788</v>
      </c>
      <c r="S349" s="538" t="s">
        <v>75</v>
      </c>
      <c r="T349" s="538" t="s">
        <v>1788</v>
      </c>
      <c r="U349" s="538" t="s">
        <v>79</v>
      </c>
      <c r="V349" s="538" t="s">
        <v>1784</v>
      </c>
      <c r="W349" s="538" t="s">
        <v>79</v>
      </c>
      <c r="X349" s="538" t="s">
        <v>1784</v>
      </c>
      <c r="Y349" s="538" t="s">
        <v>79</v>
      </c>
      <c r="Z349" s="538" t="s">
        <v>1784</v>
      </c>
      <c r="AA349" s="538" t="s">
        <v>79</v>
      </c>
      <c r="AB349" s="538" t="s">
        <v>1784</v>
      </c>
      <c r="AC349" s="538" t="s">
        <v>79</v>
      </c>
      <c r="AD349" s="538" t="s">
        <v>1784</v>
      </c>
      <c r="AE349" s="538" t="s">
        <v>79</v>
      </c>
      <c r="AF349" s="538" t="s">
        <v>1784</v>
      </c>
      <c r="AG349" s="538" t="s">
        <v>79</v>
      </c>
      <c r="AH349" s="538" t="s">
        <v>1784</v>
      </c>
      <c r="AI349" s="538" t="s">
        <v>79</v>
      </c>
      <c r="AJ349" s="538" t="s">
        <v>1784</v>
      </c>
      <c r="AK349" s="538" t="s">
        <v>79</v>
      </c>
      <c r="AL349" s="538" t="s">
        <v>1784</v>
      </c>
      <c r="AM349" s="538" t="s">
        <v>79</v>
      </c>
      <c r="AN349" s="538" t="s">
        <v>1784</v>
      </c>
      <c r="AO349" s="538" t="s">
        <v>79</v>
      </c>
      <c r="AP349" s="538" t="s">
        <v>292</v>
      </c>
      <c r="AQ349" s="538" t="s">
        <v>79</v>
      </c>
      <c r="AR349" s="538" t="s">
        <v>292</v>
      </c>
      <c r="AS349" s="538">
        <v>9.88061493E8</v>
      </c>
      <c r="AT349" s="538">
        <v>3.681781473E9</v>
      </c>
      <c r="AU349" s="538">
        <v>221.0</v>
      </c>
      <c r="AV349" s="538" t="s">
        <v>46</v>
      </c>
      <c r="AX349" s="538" t="s">
        <v>437</v>
      </c>
      <c r="AY349" s="538" t="s">
        <v>1788</v>
      </c>
      <c r="AZ349" s="538">
        <v>1.0</v>
      </c>
      <c r="BA349" s="538">
        <v>1.0</v>
      </c>
      <c r="BB349" s="538">
        <v>1.0</v>
      </c>
      <c r="BC349" s="538">
        <v>1.0</v>
      </c>
      <c r="BD349" s="538">
        <v>1.0</v>
      </c>
      <c r="BE349" s="538">
        <v>0.3</v>
      </c>
      <c r="BF349" s="538">
        <v>0.35</v>
      </c>
      <c r="BG349" s="538">
        <v>0.42</v>
      </c>
      <c r="BH349" s="538">
        <v>0.5</v>
      </c>
      <c r="BI349" s="538">
        <v>0.6</v>
      </c>
      <c r="BJ349" s="546"/>
      <c r="BL349" s="546"/>
    </row>
    <row r="350" ht="22.5" customHeight="1">
      <c r="A350" s="538">
        <v>349.0</v>
      </c>
      <c r="B350" s="538" t="s">
        <v>1797</v>
      </c>
      <c r="C350" s="538" t="s">
        <v>84</v>
      </c>
      <c r="D350" s="538" t="s">
        <v>1780</v>
      </c>
      <c r="E350" s="538" t="s">
        <v>292</v>
      </c>
      <c r="F350" s="538" t="s">
        <v>1784</v>
      </c>
      <c r="G350" s="538" t="s">
        <v>212</v>
      </c>
      <c r="H350" s="538" t="s">
        <v>250</v>
      </c>
      <c r="I350" s="538" t="s">
        <v>155</v>
      </c>
      <c r="K350" s="538" t="s">
        <v>1798</v>
      </c>
      <c r="L350" s="538" t="s">
        <v>1799</v>
      </c>
      <c r="M350" s="538" t="s">
        <v>661</v>
      </c>
      <c r="N350" s="538" t="s">
        <v>1800</v>
      </c>
      <c r="O350" s="538" t="b">
        <v>0</v>
      </c>
      <c r="P350" s="538" t="b">
        <v>1</v>
      </c>
      <c r="Q350" s="538" t="s">
        <v>75</v>
      </c>
      <c r="R350" s="538" t="s">
        <v>1788</v>
      </c>
      <c r="S350" s="538" t="s">
        <v>75</v>
      </c>
      <c r="T350" s="538" t="s">
        <v>1788</v>
      </c>
      <c r="U350" s="538" t="s">
        <v>79</v>
      </c>
      <c r="V350" s="538" t="s">
        <v>1784</v>
      </c>
      <c r="W350" s="538" t="s">
        <v>79</v>
      </c>
      <c r="X350" s="538" t="s">
        <v>1784</v>
      </c>
      <c r="Y350" s="538" t="s">
        <v>79</v>
      </c>
      <c r="Z350" s="538" t="s">
        <v>1784</v>
      </c>
      <c r="AA350" s="538" t="s">
        <v>79</v>
      </c>
      <c r="AB350" s="538" t="s">
        <v>1784</v>
      </c>
      <c r="AC350" s="538" t="s">
        <v>79</v>
      </c>
      <c r="AD350" s="538" t="s">
        <v>1784</v>
      </c>
      <c r="AE350" s="538" t="s">
        <v>79</v>
      </c>
      <c r="AF350" s="538" t="s">
        <v>1784</v>
      </c>
      <c r="AG350" s="538" t="s">
        <v>79</v>
      </c>
      <c r="AH350" s="538" t="s">
        <v>1784</v>
      </c>
      <c r="AI350" s="538" t="s">
        <v>79</v>
      </c>
      <c r="AJ350" s="538" t="s">
        <v>1784</v>
      </c>
      <c r="AK350" s="538" t="s">
        <v>79</v>
      </c>
      <c r="AL350" s="538" t="s">
        <v>1784</v>
      </c>
      <c r="AM350" s="538" t="s">
        <v>79</v>
      </c>
      <c r="AN350" s="538" t="s">
        <v>1784</v>
      </c>
      <c r="AO350" s="538" t="s">
        <v>79</v>
      </c>
      <c r="AP350" s="538" t="s">
        <v>292</v>
      </c>
      <c r="AQ350" s="538" t="s">
        <v>79</v>
      </c>
      <c r="AR350" s="538" t="s">
        <v>292</v>
      </c>
      <c r="AS350" s="538">
        <v>2.54323065E9</v>
      </c>
      <c r="AT350" s="538">
        <v>2.613379706E9</v>
      </c>
      <c r="AU350" s="538">
        <v>222.0</v>
      </c>
      <c r="AV350" s="538" t="s">
        <v>46</v>
      </c>
      <c r="AX350" s="538" t="s">
        <v>437</v>
      </c>
      <c r="AY350" s="538" t="s">
        <v>1788</v>
      </c>
      <c r="AZ350" s="538">
        <v>1.0</v>
      </c>
      <c r="BA350" s="538">
        <v>1.0</v>
      </c>
      <c r="BB350" s="538">
        <v>1.0</v>
      </c>
      <c r="BE350" s="538">
        <v>0.02</v>
      </c>
      <c r="BF350" s="538">
        <v>0.02</v>
      </c>
      <c r="BG350" s="538">
        <v>0.03</v>
      </c>
      <c r="BJ350" s="546"/>
      <c r="BL350" s="546"/>
    </row>
    <row r="351" ht="22.5" customHeight="1">
      <c r="A351" s="538">
        <v>350.0</v>
      </c>
      <c r="B351" s="538" t="s">
        <v>1797</v>
      </c>
      <c r="C351" s="538" t="s">
        <v>82</v>
      </c>
      <c r="D351" s="538" t="s">
        <v>1780</v>
      </c>
      <c r="E351" s="538" t="s">
        <v>295</v>
      </c>
      <c r="F351" s="538" t="s">
        <v>1784</v>
      </c>
      <c r="G351" s="538" t="s">
        <v>212</v>
      </c>
      <c r="H351" s="538" t="s">
        <v>222</v>
      </c>
      <c r="I351" s="538" t="s">
        <v>201</v>
      </c>
      <c r="J351" s="538" t="s">
        <v>367</v>
      </c>
      <c r="K351" s="538" t="s">
        <v>1801</v>
      </c>
      <c r="L351" s="538" t="s">
        <v>1802</v>
      </c>
      <c r="M351" s="538" t="s">
        <v>673</v>
      </c>
      <c r="N351" s="538" t="s">
        <v>1787</v>
      </c>
      <c r="O351" s="538" t="b">
        <v>0</v>
      </c>
      <c r="P351" s="538" t="b">
        <v>1</v>
      </c>
      <c r="Q351" s="538" t="s">
        <v>75</v>
      </c>
      <c r="R351" s="538" t="s">
        <v>1788</v>
      </c>
      <c r="S351" s="538" t="s">
        <v>75</v>
      </c>
      <c r="T351" s="538" t="s">
        <v>1788</v>
      </c>
      <c r="U351" s="538" t="s">
        <v>79</v>
      </c>
      <c r="V351" s="538" t="s">
        <v>1784</v>
      </c>
      <c r="W351" s="538" t="s">
        <v>79</v>
      </c>
      <c r="X351" s="538" t="s">
        <v>1784</v>
      </c>
      <c r="Y351" s="538" t="s">
        <v>79</v>
      </c>
      <c r="Z351" s="538" t="s">
        <v>1784</v>
      </c>
      <c r="AA351" s="538" t="s">
        <v>79</v>
      </c>
      <c r="AB351" s="538" t="s">
        <v>1784</v>
      </c>
      <c r="AC351" s="538" t="s">
        <v>79</v>
      </c>
      <c r="AD351" s="538" t="s">
        <v>1784</v>
      </c>
      <c r="AE351" s="538" t="s">
        <v>79</v>
      </c>
      <c r="AF351" s="538" t="s">
        <v>1784</v>
      </c>
      <c r="AG351" s="538" t="s">
        <v>79</v>
      </c>
      <c r="AH351" s="538" t="s">
        <v>1784</v>
      </c>
      <c r="AI351" s="538" t="s">
        <v>79</v>
      </c>
      <c r="AJ351" s="538" t="s">
        <v>1784</v>
      </c>
      <c r="AK351" s="538" t="s">
        <v>79</v>
      </c>
      <c r="AL351" s="538" t="s">
        <v>1784</v>
      </c>
      <c r="AM351" s="538" t="s">
        <v>79</v>
      </c>
      <c r="AN351" s="538" t="s">
        <v>1784</v>
      </c>
      <c r="AO351" s="538" t="s">
        <v>79</v>
      </c>
      <c r="AP351" s="538" t="s">
        <v>295</v>
      </c>
      <c r="AQ351" s="538" t="s">
        <v>79</v>
      </c>
      <c r="AR351" s="538" t="s">
        <v>295</v>
      </c>
      <c r="AS351" s="538">
        <v>1.272288893E9</v>
      </c>
      <c r="AT351" s="538">
        <v>2.613379706E9</v>
      </c>
      <c r="AU351" s="538">
        <v>222.0</v>
      </c>
      <c r="AV351" s="538" t="s">
        <v>46</v>
      </c>
      <c r="AX351" s="538" t="s">
        <v>437</v>
      </c>
      <c r="AY351" s="538" t="s">
        <v>1788</v>
      </c>
      <c r="AZ351" s="538">
        <v>1.0</v>
      </c>
      <c r="BA351" s="538">
        <v>1.0</v>
      </c>
      <c r="BB351" s="538">
        <v>1.0</v>
      </c>
      <c r="BC351" s="538">
        <v>1.0</v>
      </c>
      <c r="BD351" s="538">
        <v>1.0</v>
      </c>
      <c r="BE351" s="538">
        <v>0.25</v>
      </c>
      <c r="BF351" s="538">
        <v>0.29</v>
      </c>
      <c r="BG351" s="538">
        <v>0.35</v>
      </c>
      <c r="BH351" s="538">
        <v>0.42</v>
      </c>
      <c r="BI351" s="538">
        <v>0.5</v>
      </c>
      <c r="BJ351" s="546"/>
      <c r="BL351" s="546"/>
    </row>
    <row r="352" ht="22.5" customHeight="1">
      <c r="A352" s="538">
        <v>351.0</v>
      </c>
      <c r="B352" s="538" t="s">
        <v>1803</v>
      </c>
      <c r="C352" s="538" t="s">
        <v>84</v>
      </c>
      <c r="D352" s="538" t="s">
        <v>1804</v>
      </c>
      <c r="E352" s="538" t="s">
        <v>223</v>
      </c>
      <c r="F352" s="538" t="s">
        <v>365</v>
      </c>
      <c r="G352" s="538" t="s">
        <v>163</v>
      </c>
      <c r="H352" s="538" t="s">
        <v>250</v>
      </c>
      <c r="I352" s="538" t="s">
        <v>176</v>
      </c>
      <c r="J352" s="538" t="s">
        <v>397</v>
      </c>
      <c r="K352" s="538" t="s">
        <v>1805</v>
      </c>
      <c r="L352" s="538" t="s">
        <v>1806</v>
      </c>
      <c r="M352" s="538" t="s">
        <v>661</v>
      </c>
      <c r="N352" s="538" t="s">
        <v>1807</v>
      </c>
      <c r="O352" s="538" t="b">
        <v>0</v>
      </c>
      <c r="P352" s="538" t="b">
        <v>1</v>
      </c>
      <c r="Q352" s="538" t="s">
        <v>79</v>
      </c>
      <c r="R352" s="538" t="s">
        <v>365</v>
      </c>
      <c r="S352" s="538" t="s">
        <v>79</v>
      </c>
      <c r="T352" s="538" t="s">
        <v>365</v>
      </c>
      <c r="U352" s="538" t="s">
        <v>79</v>
      </c>
      <c r="V352" s="538" t="s">
        <v>365</v>
      </c>
      <c r="W352" s="538" t="s">
        <v>79</v>
      </c>
      <c r="X352" s="538" t="s">
        <v>365</v>
      </c>
      <c r="Y352" s="538" t="s">
        <v>79</v>
      </c>
      <c r="Z352" s="538" t="s">
        <v>365</v>
      </c>
      <c r="AA352" s="538" t="s">
        <v>79</v>
      </c>
      <c r="AB352" s="538" t="s">
        <v>365</v>
      </c>
      <c r="AC352" s="538" t="s">
        <v>73</v>
      </c>
      <c r="AE352" s="538" t="s">
        <v>73</v>
      </c>
      <c r="AG352" s="538" t="s">
        <v>79</v>
      </c>
      <c r="AH352" s="538" t="s">
        <v>365</v>
      </c>
      <c r="AI352" s="538" t="s">
        <v>79</v>
      </c>
      <c r="AJ352" s="538" t="s">
        <v>365</v>
      </c>
      <c r="AK352" s="538" t="s">
        <v>79</v>
      </c>
      <c r="AL352" s="538" t="s">
        <v>365</v>
      </c>
      <c r="AM352" s="538" t="s">
        <v>79</v>
      </c>
      <c r="AN352" s="538" t="s">
        <v>365</v>
      </c>
      <c r="AO352" s="538" t="s">
        <v>79</v>
      </c>
      <c r="AP352" s="538" t="s">
        <v>223</v>
      </c>
      <c r="AQ352" s="538" t="s">
        <v>79</v>
      </c>
      <c r="AR352" s="538" t="s">
        <v>223</v>
      </c>
      <c r="AS352" s="538">
        <v>3.663862053E9</v>
      </c>
      <c r="AT352" s="538">
        <v>2.178926216E9</v>
      </c>
      <c r="AU352" s="538">
        <v>213.0</v>
      </c>
      <c r="AV352" s="538" t="s">
        <v>47</v>
      </c>
      <c r="AZ352" s="538">
        <v>1.0</v>
      </c>
      <c r="BA352" s="538">
        <v>1.0</v>
      </c>
      <c r="BB352" s="538">
        <v>1.0</v>
      </c>
      <c r="BE352" s="538">
        <v>4.0</v>
      </c>
      <c r="BF352" s="538">
        <v>1.0</v>
      </c>
      <c r="BG352" s="538">
        <v>5.0</v>
      </c>
      <c r="BJ352" s="546"/>
      <c r="BL352" s="546"/>
    </row>
    <row r="353" ht="22.5" customHeight="1">
      <c r="A353" s="538">
        <v>352.0</v>
      </c>
      <c r="B353" s="538" t="s">
        <v>1803</v>
      </c>
      <c r="C353" s="538" t="s">
        <v>82</v>
      </c>
      <c r="D353" s="538" t="s">
        <v>1804</v>
      </c>
      <c r="E353" s="538" t="s">
        <v>292</v>
      </c>
      <c r="F353" s="538" t="s">
        <v>365</v>
      </c>
      <c r="G353" s="538" t="s">
        <v>239</v>
      </c>
      <c r="H353" s="538" t="s">
        <v>250</v>
      </c>
      <c r="I353" s="538" t="s">
        <v>155</v>
      </c>
      <c r="K353" s="538" t="s">
        <v>1808</v>
      </c>
      <c r="L353" s="538" t="s">
        <v>1809</v>
      </c>
      <c r="M353" s="538" t="s">
        <v>673</v>
      </c>
      <c r="N353" s="538" t="s">
        <v>1810</v>
      </c>
      <c r="O353" s="538" t="b">
        <v>0</v>
      </c>
      <c r="P353" s="538" t="b">
        <v>1</v>
      </c>
      <c r="Q353" s="538" t="s">
        <v>79</v>
      </c>
      <c r="R353" s="538" t="s">
        <v>365</v>
      </c>
      <c r="S353" s="538" t="s">
        <v>79</v>
      </c>
      <c r="T353" s="538" t="s">
        <v>365</v>
      </c>
      <c r="U353" s="538" t="s">
        <v>79</v>
      </c>
      <c r="V353" s="538" t="s">
        <v>365</v>
      </c>
      <c r="W353" s="538" t="s">
        <v>79</v>
      </c>
      <c r="X353" s="538" t="s">
        <v>365</v>
      </c>
      <c r="Y353" s="538" t="s">
        <v>79</v>
      </c>
      <c r="Z353" s="538" t="s">
        <v>365</v>
      </c>
      <c r="AA353" s="538" t="s">
        <v>79</v>
      </c>
      <c r="AB353" s="538" t="s">
        <v>365</v>
      </c>
      <c r="AC353" s="538" t="s">
        <v>73</v>
      </c>
      <c r="AE353" s="538" t="s">
        <v>73</v>
      </c>
      <c r="AG353" s="538" t="s">
        <v>79</v>
      </c>
      <c r="AH353" s="538" t="s">
        <v>365</v>
      </c>
      <c r="AI353" s="538" t="s">
        <v>79</v>
      </c>
      <c r="AJ353" s="538" t="s">
        <v>365</v>
      </c>
      <c r="AK353" s="538" t="s">
        <v>79</v>
      </c>
      <c r="AL353" s="538" t="s">
        <v>365</v>
      </c>
      <c r="AM353" s="538" t="s">
        <v>79</v>
      </c>
      <c r="AN353" s="538" t="s">
        <v>365</v>
      </c>
      <c r="AO353" s="538" t="s">
        <v>79</v>
      </c>
      <c r="AP353" s="538" t="s">
        <v>292</v>
      </c>
      <c r="AQ353" s="538" t="s">
        <v>79</v>
      </c>
      <c r="AR353" s="538" t="s">
        <v>292</v>
      </c>
      <c r="AS353" s="538">
        <v>2.210405629E9</v>
      </c>
      <c r="AT353" s="538">
        <v>2.178926216E9</v>
      </c>
      <c r="AU353" s="538">
        <v>213.0</v>
      </c>
      <c r="AV353" s="538" t="s">
        <v>47</v>
      </c>
      <c r="AZ353" s="538">
        <v>1.0</v>
      </c>
      <c r="BA353" s="538">
        <v>1.0</v>
      </c>
      <c r="BB353" s="538">
        <v>1.0</v>
      </c>
      <c r="BC353" s="538">
        <v>1.0</v>
      </c>
      <c r="BD353" s="538">
        <v>1.0</v>
      </c>
      <c r="BE353" s="538">
        <v>0.03</v>
      </c>
      <c r="BF353" s="538">
        <v>0.04</v>
      </c>
      <c r="BG353" s="538">
        <v>0.06</v>
      </c>
      <c r="BH353" s="538">
        <v>0.08</v>
      </c>
      <c r="BI353" s="538">
        <v>0.12</v>
      </c>
      <c r="BJ353" s="546"/>
      <c r="BL353" s="546"/>
    </row>
    <row r="354" ht="22.5" customHeight="1">
      <c r="A354" s="538">
        <v>353.0</v>
      </c>
      <c r="B354" s="538" t="s">
        <v>1811</v>
      </c>
      <c r="C354" s="538" t="s">
        <v>84</v>
      </c>
      <c r="D354" s="538" t="s">
        <v>1804</v>
      </c>
      <c r="E354" s="538" t="s">
        <v>292</v>
      </c>
      <c r="F354" s="538" t="s">
        <v>1812</v>
      </c>
      <c r="G354" s="538" t="s">
        <v>239</v>
      </c>
      <c r="H354" s="538" t="s">
        <v>222</v>
      </c>
      <c r="I354" s="538" t="s">
        <v>201</v>
      </c>
      <c r="J354" s="538" t="s">
        <v>275</v>
      </c>
      <c r="K354" s="538" t="s">
        <v>1813</v>
      </c>
      <c r="L354" s="538" t="s">
        <v>1814</v>
      </c>
      <c r="M354" s="538" t="s">
        <v>661</v>
      </c>
      <c r="N354" s="538" t="s">
        <v>1815</v>
      </c>
      <c r="O354" s="538" t="b">
        <v>0</v>
      </c>
      <c r="P354" s="538" t="b">
        <v>1</v>
      </c>
      <c r="Q354" s="538" t="s">
        <v>79</v>
      </c>
      <c r="R354" s="538" t="s">
        <v>1812</v>
      </c>
      <c r="S354" s="538" t="s">
        <v>79</v>
      </c>
      <c r="T354" s="538" t="s">
        <v>1812</v>
      </c>
      <c r="U354" s="538" t="s">
        <v>79</v>
      </c>
      <c r="V354" s="538" t="s">
        <v>365</v>
      </c>
      <c r="W354" s="538" t="s">
        <v>79</v>
      </c>
      <c r="X354" s="538" t="s">
        <v>365</v>
      </c>
      <c r="Y354" s="538" t="s">
        <v>79</v>
      </c>
      <c r="Z354" s="538" t="s">
        <v>365</v>
      </c>
      <c r="AA354" s="538" t="s">
        <v>79</v>
      </c>
      <c r="AB354" s="538" t="s">
        <v>365</v>
      </c>
      <c r="AC354" s="538" t="s">
        <v>75</v>
      </c>
      <c r="AD354" s="538" t="s">
        <v>1816</v>
      </c>
      <c r="AE354" s="538" t="s">
        <v>75</v>
      </c>
      <c r="AF354" s="538" t="s">
        <v>1816</v>
      </c>
      <c r="AG354" s="538" t="s">
        <v>79</v>
      </c>
      <c r="AH354" s="538" t="s">
        <v>365</v>
      </c>
      <c r="AI354" s="538" t="s">
        <v>79</v>
      </c>
      <c r="AJ354" s="538" t="s">
        <v>1812</v>
      </c>
      <c r="AK354" s="538" t="s">
        <v>79</v>
      </c>
      <c r="AL354" s="538" t="s">
        <v>1812</v>
      </c>
      <c r="AM354" s="538" t="s">
        <v>79</v>
      </c>
      <c r="AN354" s="538" t="s">
        <v>1812</v>
      </c>
      <c r="AO354" s="538" t="s">
        <v>79</v>
      </c>
      <c r="AP354" s="538" t="s">
        <v>292</v>
      </c>
      <c r="AQ354" s="538" t="s">
        <v>79</v>
      </c>
      <c r="AR354" s="538" t="s">
        <v>292</v>
      </c>
      <c r="AS354" s="538">
        <v>3.15263807E9</v>
      </c>
      <c r="AT354" s="538">
        <v>1.80486983E8</v>
      </c>
      <c r="AU354" s="538">
        <v>216.0</v>
      </c>
      <c r="AV354" s="538" t="s">
        <v>46</v>
      </c>
      <c r="AY354" s="538" t="s">
        <v>1816</v>
      </c>
      <c r="AZ354" s="538">
        <v>1.0</v>
      </c>
      <c r="BA354" s="538">
        <v>1.0</v>
      </c>
      <c r="BB354" s="538">
        <v>1.0</v>
      </c>
      <c r="BE354" s="538">
        <v>0.02</v>
      </c>
      <c r="BF354" s="538">
        <v>0.01</v>
      </c>
      <c r="BG354" s="538">
        <v>0.02</v>
      </c>
      <c r="BJ354" s="546"/>
      <c r="BL354" s="546"/>
    </row>
    <row r="355" ht="22.5" customHeight="1">
      <c r="A355" s="538">
        <v>354.0</v>
      </c>
      <c r="B355" s="538" t="s">
        <v>1811</v>
      </c>
      <c r="C355" s="538" t="s">
        <v>82</v>
      </c>
      <c r="D355" s="538" t="s">
        <v>1804</v>
      </c>
      <c r="E355" s="538" t="s">
        <v>223</v>
      </c>
      <c r="F355" s="538" t="s">
        <v>365</v>
      </c>
      <c r="G355" s="538" t="s">
        <v>221</v>
      </c>
      <c r="H355" s="538" t="s">
        <v>222</v>
      </c>
      <c r="I355" s="538" t="s">
        <v>183</v>
      </c>
      <c r="J355" s="538" t="s">
        <v>393</v>
      </c>
      <c r="K355" s="538" t="s">
        <v>1817</v>
      </c>
      <c r="L355" s="538" t="s">
        <v>1818</v>
      </c>
      <c r="M355" s="538" t="s">
        <v>673</v>
      </c>
      <c r="N355" s="538" t="s">
        <v>1819</v>
      </c>
      <c r="O355" s="538" t="b">
        <v>0</v>
      </c>
      <c r="P355" s="538" t="b">
        <v>1</v>
      </c>
      <c r="Q355" s="538" t="s">
        <v>79</v>
      </c>
      <c r="R355" s="538" t="s">
        <v>365</v>
      </c>
      <c r="S355" s="538" t="s">
        <v>79</v>
      </c>
      <c r="T355" s="538" t="s">
        <v>365</v>
      </c>
      <c r="U355" s="538" t="s">
        <v>79</v>
      </c>
      <c r="V355" s="538" t="s">
        <v>365</v>
      </c>
      <c r="W355" s="538" t="s">
        <v>79</v>
      </c>
      <c r="X355" s="538" t="s">
        <v>365</v>
      </c>
      <c r="Y355" s="538" t="s">
        <v>79</v>
      </c>
      <c r="Z355" s="538" t="s">
        <v>365</v>
      </c>
      <c r="AA355" s="538" t="s">
        <v>79</v>
      </c>
      <c r="AB355" s="538" t="s">
        <v>365</v>
      </c>
      <c r="AC355" s="538" t="s">
        <v>73</v>
      </c>
      <c r="AE355" s="538" t="s">
        <v>73</v>
      </c>
      <c r="AG355" s="538" t="s">
        <v>79</v>
      </c>
      <c r="AH355" s="538" t="s">
        <v>365</v>
      </c>
      <c r="AI355" s="538" t="s">
        <v>79</v>
      </c>
      <c r="AJ355" s="538" t="s">
        <v>365</v>
      </c>
      <c r="AK355" s="538" t="s">
        <v>79</v>
      </c>
      <c r="AL355" s="538" t="s">
        <v>365</v>
      </c>
      <c r="AM355" s="538" t="s">
        <v>79</v>
      </c>
      <c r="AN355" s="538" t="s">
        <v>365</v>
      </c>
      <c r="AO355" s="538" t="s">
        <v>79</v>
      </c>
      <c r="AP355" s="538" t="s">
        <v>223</v>
      </c>
      <c r="AQ355" s="538" t="s">
        <v>79</v>
      </c>
      <c r="AR355" s="538" t="s">
        <v>223</v>
      </c>
      <c r="AS355" s="538">
        <v>2.108234991E9</v>
      </c>
      <c r="AT355" s="538">
        <v>1.80486983E8</v>
      </c>
      <c r="AU355" s="538">
        <v>216.0</v>
      </c>
      <c r="AV355" s="538" t="s">
        <v>46</v>
      </c>
      <c r="AZ355" s="538">
        <v>1.0</v>
      </c>
      <c r="BA355" s="538">
        <v>1.0</v>
      </c>
      <c r="BB355" s="538">
        <v>1.0</v>
      </c>
      <c r="BC355" s="538">
        <v>1.0</v>
      </c>
      <c r="BD355" s="538">
        <v>1.0</v>
      </c>
      <c r="BE355" s="538">
        <v>0.1</v>
      </c>
      <c r="BF355" s="538">
        <v>0.13</v>
      </c>
      <c r="BG355" s="538">
        <v>0.18</v>
      </c>
      <c r="BH355" s="538">
        <v>0.25</v>
      </c>
      <c r="BI355" s="538">
        <v>0.35</v>
      </c>
      <c r="BJ355" s="546"/>
      <c r="BL355" s="546"/>
    </row>
    <row r="356" ht="22.5" customHeight="1">
      <c r="A356" s="538">
        <v>355.0</v>
      </c>
      <c r="B356" s="538" t="s">
        <v>1820</v>
      </c>
      <c r="C356" s="538" t="s">
        <v>82</v>
      </c>
      <c r="D356" s="538" t="s">
        <v>1804</v>
      </c>
      <c r="E356" s="538" t="s">
        <v>112</v>
      </c>
      <c r="F356" s="538" t="s">
        <v>365</v>
      </c>
      <c r="G356" s="538" t="s">
        <v>239</v>
      </c>
      <c r="H356" s="538" t="s">
        <v>250</v>
      </c>
      <c r="I356" s="538" t="s">
        <v>122</v>
      </c>
      <c r="J356" s="538" t="s">
        <v>367</v>
      </c>
      <c r="K356" s="538" t="s">
        <v>1821</v>
      </c>
      <c r="L356" s="538" t="s">
        <v>1822</v>
      </c>
      <c r="M356" s="538" t="s">
        <v>763</v>
      </c>
      <c r="N356" s="538" t="s">
        <v>673</v>
      </c>
      <c r="O356" s="538" t="b">
        <v>1</v>
      </c>
      <c r="P356" s="538" t="b">
        <v>1</v>
      </c>
      <c r="Q356" s="538" t="s">
        <v>79</v>
      </c>
      <c r="R356" s="538" t="s">
        <v>365</v>
      </c>
      <c r="S356" s="538" t="s">
        <v>79</v>
      </c>
      <c r="T356" s="538" t="s">
        <v>365</v>
      </c>
      <c r="U356" s="538" t="s">
        <v>79</v>
      </c>
      <c r="V356" s="538" t="s">
        <v>365</v>
      </c>
      <c r="W356" s="538" t="s">
        <v>79</v>
      </c>
      <c r="X356" s="538" t="s">
        <v>365</v>
      </c>
      <c r="Y356" s="538" t="s">
        <v>79</v>
      </c>
      <c r="Z356" s="538" t="s">
        <v>365</v>
      </c>
      <c r="AA356" s="538" t="s">
        <v>79</v>
      </c>
      <c r="AB356" s="538" t="s">
        <v>365</v>
      </c>
      <c r="AC356" s="538" t="s">
        <v>73</v>
      </c>
      <c r="AE356" s="538" t="s">
        <v>73</v>
      </c>
      <c r="AG356" s="538" t="s">
        <v>79</v>
      </c>
      <c r="AH356" s="538" t="s">
        <v>365</v>
      </c>
      <c r="AI356" s="538" t="s">
        <v>79</v>
      </c>
      <c r="AJ356" s="538" t="s">
        <v>365</v>
      </c>
      <c r="AK356" s="538" t="s">
        <v>79</v>
      </c>
      <c r="AL356" s="538" t="s">
        <v>365</v>
      </c>
      <c r="AM356" s="538" t="s">
        <v>79</v>
      </c>
      <c r="AN356" s="538" t="s">
        <v>365</v>
      </c>
      <c r="AO356" s="538" t="s">
        <v>79</v>
      </c>
      <c r="AP356" s="538" t="s">
        <v>112</v>
      </c>
      <c r="AQ356" s="538" t="s">
        <v>79</v>
      </c>
      <c r="AR356" s="538" t="s">
        <v>112</v>
      </c>
      <c r="AS356" s="538">
        <v>3.396349483E9</v>
      </c>
      <c r="AT356" s="538">
        <v>2.871265794E9</v>
      </c>
      <c r="AU356" s="538">
        <v>215.0</v>
      </c>
      <c r="AV356" s="538" t="s">
        <v>46</v>
      </c>
      <c r="AZ356" s="538">
        <v>0.25</v>
      </c>
      <c r="BA356" s="538">
        <v>0.3</v>
      </c>
      <c r="BB356" s="538">
        <v>0.35</v>
      </c>
      <c r="BC356" s="538">
        <v>0.4</v>
      </c>
      <c r="BD356" s="538">
        <v>0.5</v>
      </c>
      <c r="BE356" s="538">
        <v>1.0</v>
      </c>
      <c r="BF356" s="538">
        <v>1.0</v>
      </c>
      <c r="BG356" s="538">
        <v>1.0</v>
      </c>
      <c r="BH356" s="538">
        <v>1.0</v>
      </c>
      <c r="BI356" s="538">
        <v>1.0</v>
      </c>
      <c r="BJ356" s="546"/>
      <c r="BL356" s="546"/>
    </row>
    <row r="357" ht="22.5" customHeight="1">
      <c r="A357" s="538">
        <v>356.0</v>
      </c>
      <c r="B357" s="538" t="s">
        <v>1820</v>
      </c>
      <c r="C357" s="538" t="s">
        <v>86</v>
      </c>
      <c r="D357" s="538" t="s">
        <v>1804</v>
      </c>
      <c r="E357" s="538" t="s">
        <v>400</v>
      </c>
      <c r="G357" s="538" t="s">
        <v>151</v>
      </c>
      <c r="H357" s="538" t="s">
        <v>250</v>
      </c>
      <c r="I357" s="538" t="s">
        <v>122</v>
      </c>
      <c r="K357" s="538" t="s">
        <v>1823</v>
      </c>
      <c r="L357" s="538" t="s">
        <v>1824</v>
      </c>
      <c r="M357" s="538" t="s">
        <v>673</v>
      </c>
      <c r="N357" s="538" t="s">
        <v>1747</v>
      </c>
      <c r="O357" s="538" t="b">
        <v>0</v>
      </c>
      <c r="P357" s="538" t="b">
        <v>1</v>
      </c>
      <c r="Q357" s="538" t="s">
        <v>79</v>
      </c>
      <c r="R357" s="538" t="s">
        <v>400</v>
      </c>
      <c r="S357" s="538" t="s">
        <v>79</v>
      </c>
      <c r="T357" s="538" t="s">
        <v>400</v>
      </c>
      <c r="U357" s="538" t="s">
        <v>79</v>
      </c>
      <c r="V357" s="538" t="s">
        <v>400</v>
      </c>
      <c r="W357" s="538" t="s">
        <v>79</v>
      </c>
      <c r="X357" s="538" t="s">
        <v>400</v>
      </c>
      <c r="Y357" s="538" t="s">
        <v>79</v>
      </c>
      <c r="Z357" s="538" t="s">
        <v>400</v>
      </c>
      <c r="AA357" s="538" t="s">
        <v>79</v>
      </c>
      <c r="AB357" s="538" t="s">
        <v>400</v>
      </c>
      <c r="AC357" s="538" t="s">
        <v>79</v>
      </c>
      <c r="AD357" s="538" t="s">
        <v>400</v>
      </c>
      <c r="AE357" s="538" t="s">
        <v>79</v>
      </c>
      <c r="AF357" s="538" t="s">
        <v>400</v>
      </c>
      <c r="AG357" s="538" t="s">
        <v>79</v>
      </c>
      <c r="AH357" s="538" t="s">
        <v>400</v>
      </c>
      <c r="AI357" s="538" t="s">
        <v>79</v>
      </c>
      <c r="AJ357" s="538" t="s">
        <v>400</v>
      </c>
      <c r="AK357" s="538" t="s">
        <v>79</v>
      </c>
      <c r="AL357" s="538" t="s">
        <v>400</v>
      </c>
      <c r="AM357" s="538" t="s">
        <v>79</v>
      </c>
      <c r="AN357" s="538" t="s">
        <v>400</v>
      </c>
      <c r="AO357" s="538" t="s">
        <v>79</v>
      </c>
      <c r="AP357" s="538" t="s">
        <v>400</v>
      </c>
      <c r="AQ357" s="538" t="s">
        <v>73</v>
      </c>
      <c r="AS357" s="538">
        <v>2.665059133E9</v>
      </c>
      <c r="AT357" s="538">
        <v>2.871265794E9</v>
      </c>
      <c r="AU357" s="538">
        <v>215.0</v>
      </c>
      <c r="AV357" s="538" t="s">
        <v>46</v>
      </c>
      <c r="AZ357" s="538">
        <v>1.0</v>
      </c>
      <c r="BA357" s="538">
        <v>1.0</v>
      </c>
      <c r="BB357" s="538">
        <v>1.0</v>
      </c>
      <c r="BC357" s="538">
        <v>1.0</v>
      </c>
      <c r="BD357" s="538">
        <v>1.0</v>
      </c>
      <c r="BE357" s="538">
        <v>0.7</v>
      </c>
      <c r="BF357" s="538">
        <v>0.8</v>
      </c>
      <c r="BG357" s="538">
        <v>1.0</v>
      </c>
      <c r="BH357" s="538">
        <v>1.2</v>
      </c>
      <c r="BI357" s="538">
        <v>1.5</v>
      </c>
      <c r="BJ357" s="546"/>
      <c r="BK357" s="547"/>
      <c r="BL357" s="546"/>
    </row>
    <row r="358" ht="22.5" customHeight="1">
      <c r="A358" s="538">
        <v>357.0</v>
      </c>
      <c r="B358" s="538" t="s">
        <v>1825</v>
      </c>
      <c r="C358" s="538" t="s">
        <v>84</v>
      </c>
      <c r="D358" s="538" t="s">
        <v>1826</v>
      </c>
      <c r="E358" s="538" t="s">
        <v>214</v>
      </c>
      <c r="F358" s="538" t="s">
        <v>956</v>
      </c>
      <c r="G358" s="538" t="s">
        <v>239</v>
      </c>
      <c r="H358" s="538" t="s">
        <v>250</v>
      </c>
      <c r="I358" s="538" t="s">
        <v>122</v>
      </c>
      <c r="J358" s="538" t="s">
        <v>382</v>
      </c>
      <c r="K358" s="538" t="s">
        <v>1827</v>
      </c>
      <c r="L358" s="538" t="s">
        <v>1828</v>
      </c>
      <c r="M358" s="538" t="s">
        <v>1316</v>
      </c>
      <c r="N358" s="538" t="s">
        <v>661</v>
      </c>
      <c r="O358" s="538" t="b">
        <v>1</v>
      </c>
      <c r="P358" s="538" t="b">
        <v>1</v>
      </c>
      <c r="Q358" s="538" t="s">
        <v>75</v>
      </c>
      <c r="R358" s="538" t="s">
        <v>309</v>
      </c>
      <c r="S358" s="538" t="s">
        <v>75</v>
      </c>
      <c r="T358" s="538" t="s">
        <v>309</v>
      </c>
      <c r="U358" s="538" t="s">
        <v>79</v>
      </c>
      <c r="V358" s="538" t="s">
        <v>956</v>
      </c>
      <c r="W358" s="538" t="s">
        <v>79</v>
      </c>
      <c r="X358" s="538" t="s">
        <v>956</v>
      </c>
      <c r="Y358" s="538" t="s">
        <v>79</v>
      </c>
      <c r="Z358" s="538" t="s">
        <v>956</v>
      </c>
      <c r="AA358" s="538" t="s">
        <v>79</v>
      </c>
      <c r="AB358" s="538" t="s">
        <v>956</v>
      </c>
      <c r="AC358" s="538" t="s">
        <v>79</v>
      </c>
      <c r="AD358" s="538" t="s">
        <v>956</v>
      </c>
      <c r="AE358" s="538" t="s">
        <v>79</v>
      </c>
      <c r="AF358" s="538" t="s">
        <v>956</v>
      </c>
      <c r="AG358" s="538" t="s">
        <v>79</v>
      </c>
      <c r="AH358" s="538" t="s">
        <v>956</v>
      </c>
      <c r="AI358" s="538" t="s">
        <v>79</v>
      </c>
      <c r="AJ358" s="538" t="s">
        <v>956</v>
      </c>
      <c r="AK358" s="538" t="s">
        <v>79</v>
      </c>
      <c r="AL358" s="538" t="s">
        <v>956</v>
      </c>
      <c r="AM358" s="538" t="s">
        <v>79</v>
      </c>
      <c r="AN358" s="538" t="s">
        <v>956</v>
      </c>
      <c r="AO358" s="538" t="s">
        <v>79</v>
      </c>
      <c r="AP358" s="538" t="s">
        <v>214</v>
      </c>
      <c r="AQ358" s="538" t="s">
        <v>79</v>
      </c>
      <c r="AR358" s="538" t="s">
        <v>214</v>
      </c>
      <c r="AS358" s="538">
        <v>3.603567245E9</v>
      </c>
      <c r="AT358" s="538">
        <v>1.925563045E9</v>
      </c>
      <c r="AU358" s="538">
        <v>223.0</v>
      </c>
      <c r="AV358" s="538" t="s">
        <v>47</v>
      </c>
      <c r="AY358" s="538" t="s">
        <v>309</v>
      </c>
      <c r="AZ358" s="538">
        <v>0.2</v>
      </c>
      <c r="BA358" s="538">
        <v>0.1</v>
      </c>
      <c r="BB358" s="538">
        <v>0.4</v>
      </c>
      <c r="BE358" s="538">
        <v>1.0</v>
      </c>
      <c r="BF358" s="538">
        <v>1.0</v>
      </c>
      <c r="BG358" s="538">
        <v>1.0</v>
      </c>
      <c r="BJ358" s="546"/>
      <c r="BL358" s="546"/>
    </row>
    <row r="359" ht="22.5" customHeight="1">
      <c r="A359" s="538">
        <v>358.0</v>
      </c>
      <c r="B359" s="538" t="s">
        <v>1825</v>
      </c>
      <c r="C359" s="538" t="s">
        <v>82</v>
      </c>
      <c r="D359" s="538" t="s">
        <v>1826</v>
      </c>
      <c r="E359" s="538" t="s">
        <v>112</v>
      </c>
      <c r="F359" s="538" t="s">
        <v>1829</v>
      </c>
      <c r="G359" s="538" t="s">
        <v>239</v>
      </c>
      <c r="H359" s="538" t="s">
        <v>250</v>
      </c>
      <c r="I359" s="538" t="s">
        <v>122</v>
      </c>
      <c r="J359" s="538" t="s">
        <v>350</v>
      </c>
      <c r="K359" s="538" t="s">
        <v>1830</v>
      </c>
      <c r="L359" s="538" t="s">
        <v>1831</v>
      </c>
      <c r="M359" s="538" t="s">
        <v>673</v>
      </c>
      <c r="N359" s="538" t="s">
        <v>1832</v>
      </c>
      <c r="O359" s="538" t="b">
        <v>0</v>
      </c>
      <c r="P359" s="538" t="b">
        <v>1</v>
      </c>
      <c r="Q359" s="538" t="s">
        <v>75</v>
      </c>
      <c r="R359" s="538" t="s">
        <v>1473</v>
      </c>
      <c r="S359" s="538" t="s">
        <v>75</v>
      </c>
      <c r="T359" s="538" t="s">
        <v>1473</v>
      </c>
      <c r="U359" s="538" t="s">
        <v>79</v>
      </c>
      <c r="V359" s="538" t="s">
        <v>1829</v>
      </c>
      <c r="W359" s="538" t="s">
        <v>79</v>
      </c>
      <c r="X359" s="538" t="s">
        <v>1829</v>
      </c>
      <c r="Y359" s="538" t="s">
        <v>79</v>
      </c>
      <c r="Z359" s="538" t="s">
        <v>1829</v>
      </c>
      <c r="AA359" s="538" t="s">
        <v>79</v>
      </c>
      <c r="AB359" s="538" t="s">
        <v>1829</v>
      </c>
      <c r="AC359" s="538" t="s">
        <v>79</v>
      </c>
      <c r="AD359" s="538" t="s">
        <v>1829</v>
      </c>
      <c r="AE359" s="538" t="s">
        <v>79</v>
      </c>
      <c r="AF359" s="538" t="s">
        <v>1829</v>
      </c>
      <c r="AG359" s="538" t="s">
        <v>79</v>
      </c>
      <c r="AH359" s="538" t="s">
        <v>1829</v>
      </c>
      <c r="AI359" s="538" t="s">
        <v>79</v>
      </c>
      <c r="AJ359" s="538" t="s">
        <v>1829</v>
      </c>
      <c r="AK359" s="538" t="s">
        <v>79</v>
      </c>
      <c r="AL359" s="538" t="s">
        <v>1829</v>
      </c>
      <c r="AM359" s="538" t="s">
        <v>79</v>
      </c>
      <c r="AN359" s="538" t="s">
        <v>1829</v>
      </c>
      <c r="AO359" s="538" t="s">
        <v>79</v>
      </c>
      <c r="AP359" s="538" t="s">
        <v>112</v>
      </c>
      <c r="AQ359" s="538" t="s">
        <v>79</v>
      </c>
      <c r="AR359" s="538" t="s">
        <v>112</v>
      </c>
      <c r="AS359" s="538">
        <v>1.777728821E9</v>
      </c>
      <c r="AT359" s="538">
        <v>1.925563045E9</v>
      </c>
      <c r="AU359" s="538">
        <v>223.0</v>
      </c>
      <c r="AV359" s="538" t="s">
        <v>47</v>
      </c>
      <c r="AW359" s="538" t="s">
        <v>663</v>
      </c>
      <c r="AY359" s="538" t="s">
        <v>1473</v>
      </c>
      <c r="AZ359" s="538">
        <v>1.0</v>
      </c>
      <c r="BA359" s="538">
        <v>1.0</v>
      </c>
      <c r="BB359" s="538">
        <v>1.0</v>
      </c>
      <c r="BC359" s="538">
        <v>1.0</v>
      </c>
      <c r="BD359" s="538">
        <v>1.0</v>
      </c>
      <c r="BE359" s="538">
        <v>0.76</v>
      </c>
      <c r="BF359" s="538">
        <v>0.8</v>
      </c>
      <c r="BG359" s="538">
        <v>0.88</v>
      </c>
      <c r="BH359" s="538">
        <v>1.0</v>
      </c>
      <c r="BI359" s="538">
        <v>1.2</v>
      </c>
      <c r="BJ359" s="546"/>
      <c r="BK359" s="547"/>
      <c r="BL359" s="546"/>
    </row>
    <row r="360" ht="22.5" customHeight="1">
      <c r="A360" s="538">
        <v>359.0</v>
      </c>
      <c r="B360" s="538" t="s">
        <v>1833</v>
      </c>
      <c r="C360" s="538" t="s">
        <v>84</v>
      </c>
      <c r="D360" s="538" t="s">
        <v>1826</v>
      </c>
      <c r="E360" s="538" t="s">
        <v>223</v>
      </c>
      <c r="F360" s="538" t="s">
        <v>956</v>
      </c>
      <c r="G360" s="538" t="s">
        <v>239</v>
      </c>
      <c r="H360" s="538" t="s">
        <v>250</v>
      </c>
      <c r="I360" s="538" t="s">
        <v>122</v>
      </c>
      <c r="J360" s="538" t="s">
        <v>320</v>
      </c>
      <c r="K360" s="538" t="s">
        <v>1834</v>
      </c>
      <c r="L360" s="538" t="s">
        <v>1835</v>
      </c>
      <c r="M360" s="538" t="s">
        <v>661</v>
      </c>
      <c r="N360" s="538" t="s">
        <v>1836</v>
      </c>
      <c r="O360" s="538" t="b">
        <v>0</v>
      </c>
      <c r="P360" s="538" t="b">
        <v>1</v>
      </c>
      <c r="Q360" s="538" t="s">
        <v>75</v>
      </c>
      <c r="R360" s="538" t="s">
        <v>309</v>
      </c>
      <c r="S360" s="538" t="s">
        <v>75</v>
      </c>
      <c r="T360" s="538" t="s">
        <v>309</v>
      </c>
      <c r="U360" s="538" t="s">
        <v>79</v>
      </c>
      <c r="V360" s="538" t="s">
        <v>956</v>
      </c>
      <c r="W360" s="538" t="s">
        <v>79</v>
      </c>
      <c r="X360" s="538" t="s">
        <v>956</v>
      </c>
      <c r="Y360" s="538" t="s">
        <v>79</v>
      </c>
      <c r="Z360" s="538" t="s">
        <v>956</v>
      </c>
      <c r="AA360" s="538" t="s">
        <v>79</v>
      </c>
      <c r="AB360" s="538" t="s">
        <v>956</v>
      </c>
      <c r="AC360" s="538" t="s">
        <v>79</v>
      </c>
      <c r="AD360" s="538" t="s">
        <v>956</v>
      </c>
      <c r="AE360" s="538" t="s">
        <v>79</v>
      </c>
      <c r="AF360" s="538" t="s">
        <v>956</v>
      </c>
      <c r="AG360" s="538" t="s">
        <v>79</v>
      </c>
      <c r="AH360" s="538" t="s">
        <v>956</v>
      </c>
      <c r="AI360" s="538" t="s">
        <v>79</v>
      </c>
      <c r="AJ360" s="538" t="s">
        <v>956</v>
      </c>
      <c r="AK360" s="538" t="s">
        <v>79</v>
      </c>
      <c r="AL360" s="538" t="s">
        <v>956</v>
      </c>
      <c r="AM360" s="538" t="s">
        <v>79</v>
      </c>
      <c r="AN360" s="538" t="s">
        <v>956</v>
      </c>
      <c r="AO360" s="538" t="s">
        <v>79</v>
      </c>
      <c r="AP360" s="538" t="s">
        <v>223</v>
      </c>
      <c r="AQ360" s="538" t="s">
        <v>79</v>
      </c>
      <c r="AR360" s="538" t="s">
        <v>223</v>
      </c>
      <c r="AS360" s="538">
        <v>4.151549753E9</v>
      </c>
      <c r="AT360" s="538">
        <v>3.835531386E9</v>
      </c>
      <c r="AU360" s="538">
        <v>224.0</v>
      </c>
      <c r="AV360" s="538" t="s">
        <v>46</v>
      </c>
      <c r="AY360" s="538" t="s">
        <v>309</v>
      </c>
      <c r="AZ360" s="538">
        <v>1.0</v>
      </c>
      <c r="BA360" s="538">
        <v>1.0</v>
      </c>
      <c r="BB360" s="538">
        <v>1.0</v>
      </c>
      <c r="BE360" s="538">
        <v>0.2</v>
      </c>
      <c r="BF360" s="538">
        <v>0.15</v>
      </c>
      <c r="BG360" s="538">
        <v>0.25</v>
      </c>
      <c r="BJ360" s="546"/>
      <c r="BL360" s="546"/>
    </row>
    <row r="361" ht="22.5" customHeight="1">
      <c r="A361" s="538">
        <v>360.0</v>
      </c>
      <c r="B361" s="538" t="s">
        <v>1833</v>
      </c>
      <c r="C361" s="538" t="s">
        <v>82</v>
      </c>
      <c r="D361" s="538" t="s">
        <v>1826</v>
      </c>
      <c r="E361" s="538" t="s">
        <v>218</v>
      </c>
      <c r="F361" s="538" t="s">
        <v>1829</v>
      </c>
      <c r="G361" s="538" t="s">
        <v>239</v>
      </c>
      <c r="H361" s="538" t="s">
        <v>250</v>
      </c>
      <c r="I361" s="538" t="s">
        <v>122</v>
      </c>
      <c r="J361" s="538" t="s">
        <v>367</v>
      </c>
      <c r="K361" s="538" t="s">
        <v>1837</v>
      </c>
      <c r="L361" s="538" t="s">
        <v>1838</v>
      </c>
      <c r="M361" s="538" t="s">
        <v>673</v>
      </c>
      <c r="N361" s="538" t="s">
        <v>1839</v>
      </c>
      <c r="O361" s="538" t="b">
        <v>0</v>
      </c>
      <c r="P361" s="538" t="b">
        <v>1</v>
      </c>
      <c r="Q361" s="538" t="s">
        <v>75</v>
      </c>
      <c r="R361" s="538" t="s">
        <v>1473</v>
      </c>
      <c r="S361" s="538" t="s">
        <v>75</v>
      </c>
      <c r="T361" s="538" t="s">
        <v>1473</v>
      </c>
      <c r="U361" s="538" t="s">
        <v>79</v>
      </c>
      <c r="V361" s="538" t="s">
        <v>1829</v>
      </c>
      <c r="W361" s="538" t="s">
        <v>79</v>
      </c>
      <c r="X361" s="538" t="s">
        <v>1829</v>
      </c>
      <c r="Y361" s="538" t="s">
        <v>79</v>
      </c>
      <c r="Z361" s="538" t="s">
        <v>1829</v>
      </c>
      <c r="AA361" s="538" t="s">
        <v>79</v>
      </c>
      <c r="AB361" s="538" t="s">
        <v>1829</v>
      </c>
      <c r="AC361" s="538" t="s">
        <v>79</v>
      </c>
      <c r="AD361" s="538" t="s">
        <v>1829</v>
      </c>
      <c r="AE361" s="538" t="s">
        <v>79</v>
      </c>
      <c r="AF361" s="538" t="s">
        <v>1829</v>
      </c>
      <c r="AG361" s="538" t="s">
        <v>79</v>
      </c>
      <c r="AH361" s="538" t="s">
        <v>1829</v>
      </c>
      <c r="AI361" s="538" t="s">
        <v>79</v>
      </c>
      <c r="AJ361" s="538" t="s">
        <v>1829</v>
      </c>
      <c r="AK361" s="538" t="s">
        <v>79</v>
      </c>
      <c r="AL361" s="538" t="s">
        <v>1829</v>
      </c>
      <c r="AM361" s="538" t="s">
        <v>79</v>
      </c>
      <c r="AN361" s="538" t="s">
        <v>1829</v>
      </c>
      <c r="AO361" s="538" t="s">
        <v>79</v>
      </c>
      <c r="AP361" s="538" t="s">
        <v>218</v>
      </c>
      <c r="AQ361" s="538" t="s">
        <v>79</v>
      </c>
      <c r="AR361" s="538" t="s">
        <v>218</v>
      </c>
      <c r="AS361" s="538">
        <v>3.744176993E9</v>
      </c>
      <c r="AT361" s="538">
        <v>3.835531386E9</v>
      </c>
      <c r="AU361" s="538">
        <v>224.0</v>
      </c>
      <c r="AV361" s="538" t="s">
        <v>46</v>
      </c>
      <c r="AW361" s="538" t="s">
        <v>663</v>
      </c>
      <c r="AY361" s="538" t="s">
        <v>1473</v>
      </c>
      <c r="AZ361" s="538">
        <v>1.0</v>
      </c>
      <c r="BA361" s="538">
        <v>1.0</v>
      </c>
      <c r="BB361" s="538">
        <v>1.0</v>
      </c>
      <c r="BC361" s="538">
        <v>1.0</v>
      </c>
      <c r="BD361" s="538">
        <v>1.0</v>
      </c>
      <c r="BE361" s="538">
        <v>0.53</v>
      </c>
      <c r="BF361" s="538">
        <v>0.55</v>
      </c>
      <c r="BG361" s="538">
        <v>0.62</v>
      </c>
      <c r="BH361" s="538">
        <v>0.7</v>
      </c>
      <c r="BI361" s="538">
        <v>0.8</v>
      </c>
      <c r="BJ361" s="546"/>
      <c r="BL361" s="546"/>
    </row>
    <row r="362" ht="22.5" customHeight="1">
      <c r="A362" s="538">
        <v>361.0</v>
      </c>
      <c r="B362" s="538" t="s">
        <v>1840</v>
      </c>
      <c r="C362" s="538" t="s">
        <v>84</v>
      </c>
      <c r="D362" s="538" t="s">
        <v>1826</v>
      </c>
      <c r="E362" s="538" t="s">
        <v>226</v>
      </c>
      <c r="F362" s="538" t="s">
        <v>1841</v>
      </c>
      <c r="G362" s="538" t="s">
        <v>163</v>
      </c>
      <c r="H362" s="538" t="s">
        <v>153</v>
      </c>
      <c r="I362" s="538" t="s">
        <v>155</v>
      </c>
      <c r="K362" s="538" t="s">
        <v>1842</v>
      </c>
      <c r="L362" s="538" t="s">
        <v>1843</v>
      </c>
      <c r="M362" s="538" t="s">
        <v>1844</v>
      </c>
      <c r="N362" s="538" t="s">
        <v>1845</v>
      </c>
      <c r="O362" s="538" t="b">
        <v>1</v>
      </c>
      <c r="P362" s="538" t="b">
        <v>1</v>
      </c>
      <c r="Q362" s="538" t="s">
        <v>75</v>
      </c>
      <c r="R362" s="538" t="s">
        <v>309</v>
      </c>
      <c r="S362" s="538" t="s">
        <v>75</v>
      </c>
      <c r="T362" s="538" t="s">
        <v>309</v>
      </c>
      <c r="U362" s="538" t="s">
        <v>79</v>
      </c>
      <c r="V362" s="538" t="s">
        <v>1841</v>
      </c>
      <c r="W362" s="538" t="s">
        <v>79</v>
      </c>
      <c r="X362" s="538" t="s">
        <v>1841</v>
      </c>
      <c r="Y362" s="538" t="s">
        <v>79</v>
      </c>
      <c r="Z362" s="538" t="s">
        <v>1841</v>
      </c>
      <c r="AA362" s="538" t="s">
        <v>79</v>
      </c>
      <c r="AB362" s="538" t="s">
        <v>1841</v>
      </c>
      <c r="AC362" s="538" t="s">
        <v>79</v>
      </c>
      <c r="AD362" s="538" t="s">
        <v>1841</v>
      </c>
      <c r="AE362" s="538" t="s">
        <v>79</v>
      </c>
      <c r="AF362" s="538" t="s">
        <v>1841</v>
      </c>
      <c r="AG362" s="538" t="s">
        <v>79</v>
      </c>
      <c r="AH362" s="538" t="s">
        <v>1841</v>
      </c>
      <c r="AI362" s="538" t="s">
        <v>79</v>
      </c>
      <c r="AJ362" s="538" t="s">
        <v>1841</v>
      </c>
      <c r="AK362" s="538" t="s">
        <v>79</v>
      </c>
      <c r="AL362" s="538" t="s">
        <v>1841</v>
      </c>
      <c r="AM362" s="538" t="s">
        <v>79</v>
      </c>
      <c r="AN362" s="538" t="s">
        <v>1841</v>
      </c>
      <c r="AO362" s="538" t="s">
        <v>79</v>
      </c>
      <c r="AP362" s="538" t="s">
        <v>226</v>
      </c>
      <c r="AQ362" s="538" t="s">
        <v>79</v>
      </c>
      <c r="AR362" s="538" t="s">
        <v>226</v>
      </c>
      <c r="AS362" s="538">
        <v>2.77564302E9</v>
      </c>
      <c r="AT362" s="538">
        <v>1.860865109E9</v>
      </c>
      <c r="AU362" s="538">
        <v>225.0</v>
      </c>
      <c r="AV362" s="538" t="s">
        <v>46</v>
      </c>
      <c r="AY362" s="538" t="s">
        <v>309</v>
      </c>
      <c r="AZ362" s="538">
        <v>0.1</v>
      </c>
      <c r="BA362" s="538">
        <v>0.1</v>
      </c>
      <c r="BB362" s="538">
        <v>0.15</v>
      </c>
      <c r="BE362" s="538">
        <v>3.0</v>
      </c>
      <c r="BF362" s="538">
        <v>0.0</v>
      </c>
      <c r="BG362" s="538">
        <v>0.0</v>
      </c>
      <c r="BJ362" s="546"/>
      <c r="BL362" s="546"/>
    </row>
    <row r="363" ht="22.5" customHeight="1">
      <c r="A363" s="538">
        <v>362.0</v>
      </c>
      <c r="B363" s="538" t="s">
        <v>1840</v>
      </c>
      <c r="C363" s="538" t="s">
        <v>82</v>
      </c>
      <c r="D363" s="538" t="s">
        <v>1826</v>
      </c>
      <c r="E363" s="538" t="s">
        <v>292</v>
      </c>
      <c r="F363" s="538" t="s">
        <v>1829</v>
      </c>
      <c r="G363" s="538" t="s">
        <v>239</v>
      </c>
      <c r="H363" s="538" t="s">
        <v>222</v>
      </c>
      <c r="I363" s="538" t="s">
        <v>201</v>
      </c>
      <c r="J363" s="538" t="s">
        <v>367</v>
      </c>
      <c r="K363" s="538" t="s">
        <v>1846</v>
      </c>
      <c r="L363" s="538" t="s">
        <v>1847</v>
      </c>
      <c r="M363" s="538" t="s">
        <v>673</v>
      </c>
      <c r="N363" s="538" t="s">
        <v>1848</v>
      </c>
      <c r="O363" s="538" t="b">
        <v>0</v>
      </c>
      <c r="P363" s="538" t="b">
        <v>1</v>
      </c>
      <c r="Q363" s="538" t="s">
        <v>75</v>
      </c>
      <c r="R363" s="538" t="s">
        <v>1473</v>
      </c>
      <c r="S363" s="538" t="s">
        <v>75</v>
      </c>
      <c r="T363" s="538" t="s">
        <v>1473</v>
      </c>
      <c r="U363" s="538" t="s">
        <v>79</v>
      </c>
      <c r="V363" s="538" t="s">
        <v>1829</v>
      </c>
      <c r="W363" s="538" t="s">
        <v>79</v>
      </c>
      <c r="X363" s="538" t="s">
        <v>1829</v>
      </c>
      <c r="Y363" s="538" t="s">
        <v>79</v>
      </c>
      <c r="Z363" s="538" t="s">
        <v>1829</v>
      </c>
      <c r="AA363" s="538" t="s">
        <v>79</v>
      </c>
      <c r="AB363" s="538" t="s">
        <v>1829</v>
      </c>
      <c r="AC363" s="538" t="s">
        <v>79</v>
      </c>
      <c r="AD363" s="538" t="s">
        <v>1829</v>
      </c>
      <c r="AE363" s="538" t="s">
        <v>79</v>
      </c>
      <c r="AF363" s="538" t="s">
        <v>1829</v>
      </c>
      <c r="AG363" s="538" t="s">
        <v>79</v>
      </c>
      <c r="AH363" s="538" t="s">
        <v>1829</v>
      </c>
      <c r="AI363" s="538" t="s">
        <v>79</v>
      </c>
      <c r="AJ363" s="538" t="s">
        <v>1829</v>
      </c>
      <c r="AK363" s="538" t="s">
        <v>79</v>
      </c>
      <c r="AL363" s="538" t="s">
        <v>1829</v>
      </c>
      <c r="AM363" s="538" t="s">
        <v>79</v>
      </c>
      <c r="AN363" s="538" t="s">
        <v>1829</v>
      </c>
      <c r="AO363" s="538" t="s">
        <v>79</v>
      </c>
      <c r="AP363" s="538" t="s">
        <v>292</v>
      </c>
      <c r="AQ363" s="538" t="s">
        <v>79</v>
      </c>
      <c r="AR363" s="538" t="s">
        <v>292</v>
      </c>
      <c r="AS363" s="538">
        <v>2.006290587E9</v>
      </c>
      <c r="AT363" s="538">
        <v>1.860865109E9</v>
      </c>
      <c r="AU363" s="538">
        <v>225.0</v>
      </c>
      <c r="AV363" s="538" t="s">
        <v>46</v>
      </c>
      <c r="AW363" s="538" t="s">
        <v>663</v>
      </c>
      <c r="AY363" s="538" t="s">
        <v>1473</v>
      </c>
      <c r="AZ363" s="538">
        <v>1.0</v>
      </c>
      <c r="BA363" s="538">
        <v>1.0</v>
      </c>
      <c r="BB363" s="538">
        <v>1.0</v>
      </c>
      <c r="BC363" s="538">
        <v>1.0</v>
      </c>
      <c r="BD363" s="538">
        <v>1.0</v>
      </c>
      <c r="BE363" s="538">
        <v>0.52</v>
      </c>
      <c r="BF363" s="538">
        <v>0.57</v>
      </c>
      <c r="BG363" s="538">
        <v>0.63</v>
      </c>
      <c r="BH363" s="538">
        <v>0.7</v>
      </c>
      <c r="BI363" s="538">
        <v>0.78</v>
      </c>
      <c r="BJ363" s="546"/>
      <c r="BL363" s="546"/>
    </row>
    <row r="364" ht="22.5" customHeight="1">
      <c r="A364" s="538">
        <v>363.0</v>
      </c>
      <c r="B364" s="538" t="s">
        <v>1849</v>
      </c>
      <c r="C364" s="538" t="s">
        <v>84</v>
      </c>
      <c r="D364" s="538" t="s">
        <v>1804</v>
      </c>
      <c r="E364" s="538" t="s">
        <v>231</v>
      </c>
      <c r="F364" s="538" t="s">
        <v>288</v>
      </c>
      <c r="G364" s="538" t="s">
        <v>163</v>
      </c>
      <c r="H364" s="538" t="s">
        <v>250</v>
      </c>
      <c r="I364" s="538" t="s">
        <v>176</v>
      </c>
      <c r="J364" s="538" t="s">
        <v>397</v>
      </c>
      <c r="K364" s="538" t="s">
        <v>1850</v>
      </c>
      <c r="L364" s="538" t="s">
        <v>1851</v>
      </c>
      <c r="M364" s="538" t="s">
        <v>661</v>
      </c>
      <c r="N364" s="538" t="s">
        <v>1852</v>
      </c>
      <c r="O364" s="538" t="b">
        <v>0</v>
      </c>
      <c r="P364" s="538" t="b">
        <v>1</v>
      </c>
      <c r="Q364" s="538" t="s">
        <v>79</v>
      </c>
      <c r="R364" s="538" t="s">
        <v>288</v>
      </c>
      <c r="S364" s="538" t="s">
        <v>79</v>
      </c>
      <c r="T364" s="538" t="s">
        <v>288</v>
      </c>
      <c r="U364" s="538" t="s">
        <v>79</v>
      </c>
      <c r="V364" s="538" t="s">
        <v>288</v>
      </c>
      <c r="W364" s="538" t="s">
        <v>79</v>
      </c>
      <c r="X364" s="538" t="s">
        <v>288</v>
      </c>
      <c r="Y364" s="538" t="s">
        <v>79</v>
      </c>
      <c r="Z364" s="538" t="s">
        <v>288</v>
      </c>
      <c r="AA364" s="538" t="s">
        <v>79</v>
      </c>
      <c r="AB364" s="538" t="s">
        <v>288</v>
      </c>
      <c r="AC364" s="538" t="s">
        <v>73</v>
      </c>
      <c r="AE364" s="538" t="s">
        <v>79</v>
      </c>
      <c r="AF364" s="538" t="s">
        <v>288</v>
      </c>
      <c r="AG364" s="538" t="s">
        <v>79</v>
      </c>
      <c r="AH364" s="538" t="s">
        <v>288</v>
      </c>
      <c r="AI364" s="538" t="s">
        <v>79</v>
      </c>
      <c r="AJ364" s="538" t="s">
        <v>288</v>
      </c>
      <c r="AK364" s="538" t="s">
        <v>79</v>
      </c>
      <c r="AL364" s="538" t="s">
        <v>288</v>
      </c>
      <c r="AM364" s="538" t="s">
        <v>79</v>
      </c>
      <c r="AN364" s="538" t="s">
        <v>288</v>
      </c>
      <c r="AO364" s="538" t="s">
        <v>79</v>
      </c>
      <c r="AP364" s="538" t="s">
        <v>231</v>
      </c>
      <c r="AQ364" s="538" t="s">
        <v>79</v>
      </c>
      <c r="AR364" s="538" t="s">
        <v>231</v>
      </c>
      <c r="AS364" s="538">
        <v>3.902853214E9</v>
      </c>
      <c r="AT364" s="538">
        <v>1.916661181E9</v>
      </c>
      <c r="AU364" s="538">
        <v>218.0</v>
      </c>
      <c r="AV364" s="538" t="s">
        <v>47</v>
      </c>
      <c r="AZ364" s="538">
        <v>1.0</v>
      </c>
      <c r="BA364" s="538">
        <v>1.0</v>
      </c>
      <c r="BB364" s="538">
        <v>1.0</v>
      </c>
      <c r="BE364" s="538">
        <v>7.0</v>
      </c>
      <c r="BF364" s="538">
        <v>1.75</v>
      </c>
      <c r="BG364" s="538">
        <v>3.5</v>
      </c>
      <c r="BJ364" s="546"/>
      <c r="BL364" s="546"/>
    </row>
    <row r="365" ht="22.5" customHeight="1">
      <c r="A365" s="538">
        <v>364.0</v>
      </c>
      <c r="B365" s="538" t="s">
        <v>1849</v>
      </c>
      <c r="C365" s="538" t="s">
        <v>82</v>
      </c>
      <c r="D365" s="538" t="s">
        <v>1804</v>
      </c>
      <c r="E365" s="538" t="s">
        <v>218</v>
      </c>
      <c r="F365" s="538" t="s">
        <v>288</v>
      </c>
      <c r="G365" s="538" t="s">
        <v>163</v>
      </c>
      <c r="H365" s="538" t="s">
        <v>250</v>
      </c>
      <c r="I365" s="538" t="s">
        <v>176</v>
      </c>
      <c r="J365" s="538" t="s">
        <v>397</v>
      </c>
      <c r="K365" s="538" t="s">
        <v>1853</v>
      </c>
      <c r="L365" s="538" t="s">
        <v>1854</v>
      </c>
      <c r="M365" s="538" t="s">
        <v>673</v>
      </c>
      <c r="N365" s="538" t="s">
        <v>1855</v>
      </c>
      <c r="O365" s="538" t="b">
        <v>0</v>
      </c>
      <c r="P365" s="538" t="b">
        <v>1</v>
      </c>
      <c r="Q365" s="538" t="s">
        <v>79</v>
      </c>
      <c r="R365" s="538" t="s">
        <v>288</v>
      </c>
      <c r="S365" s="538" t="s">
        <v>79</v>
      </c>
      <c r="T365" s="538" t="s">
        <v>288</v>
      </c>
      <c r="U365" s="538" t="s">
        <v>79</v>
      </c>
      <c r="V365" s="538" t="s">
        <v>288</v>
      </c>
      <c r="W365" s="538" t="s">
        <v>79</v>
      </c>
      <c r="X365" s="538" t="s">
        <v>288</v>
      </c>
      <c r="Y365" s="538" t="s">
        <v>79</v>
      </c>
      <c r="Z365" s="538" t="s">
        <v>288</v>
      </c>
      <c r="AA365" s="538" t="s">
        <v>79</v>
      </c>
      <c r="AB365" s="538" t="s">
        <v>288</v>
      </c>
      <c r="AC365" s="538" t="s">
        <v>73</v>
      </c>
      <c r="AE365" s="538" t="s">
        <v>79</v>
      </c>
      <c r="AF365" s="538" t="s">
        <v>288</v>
      </c>
      <c r="AG365" s="538" t="s">
        <v>79</v>
      </c>
      <c r="AH365" s="538" t="s">
        <v>288</v>
      </c>
      <c r="AI365" s="538" t="s">
        <v>79</v>
      </c>
      <c r="AJ365" s="538" t="s">
        <v>288</v>
      </c>
      <c r="AK365" s="538" t="s">
        <v>79</v>
      </c>
      <c r="AL365" s="538" t="s">
        <v>288</v>
      </c>
      <c r="AM365" s="538" t="s">
        <v>79</v>
      </c>
      <c r="AN365" s="538" t="s">
        <v>288</v>
      </c>
      <c r="AO365" s="538" t="s">
        <v>79</v>
      </c>
      <c r="AP365" s="538" t="s">
        <v>218</v>
      </c>
      <c r="AQ365" s="538" t="s">
        <v>79</v>
      </c>
      <c r="AR365" s="538" t="s">
        <v>218</v>
      </c>
      <c r="AS365" s="538">
        <v>1.999054927E9</v>
      </c>
      <c r="AT365" s="538">
        <v>1.916661181E9</v>
      </c>
      <c r="AU365" s="538">
        <v>218.0</v>
      </c>
      <c r="AV365" s="538" t="s">
        <v>47</v>
      </c>
      <c r="AZ365" s="538">
        <v>1.0</v>
      </c>
      <c r="BA365" s="538">
        <v>1.0</v>
      </c>
      <c r="BB365" s="538">
        <v>1.0</v>
      </c>
      <c r="BC365" s="538">
        <v>1.0</v>
      </c>
      <c r="BD365" s="538">
        <v>1.0</v>
      </c>
      <c r="BE365" s="538">
        <v>3.0</v>
      </c>
      <c r="BF365" s="538">
        <v>4.5</v>
      </c>
      <c r="BG365" s="538">
        <v>6.5</v>
      </c>
      <c r="BH365" s="538">
        <v>9.0</v>
      </c>
      <c r="BI365" s="538">
        <v>12.0</v>
      </c>
      <c r="BJ365" s="546"/>
      <c r="BL365" s="546"/>
    </row>
    <row r="366" ht="22.5" customHeight="1">
      <c r="A366" s="538">
        <v>365.0</v>
      </c>
      <c r="B366" s="538" t="s">
        <v>1856</v>
      </c>
      <c r="C366" s="538" t="s">
        <v>82</v>
      </c>
      <c r="D366" s="538" t="s">
        <v>1804</v>
      </c>
      <c r="E366" s="538" t="s">
        <v>223</v>
      </c>
      <c r="F366" s="538" t="s">
        <v>288</v>
      </c>
      <c r="G366" s="538" t="s">
        <v>163</v>
      </c>
      <c r="H366" s="538" t="s">
        <v>250</v>
      </c>
      <c r="I366" s="538" t="s">
        <v>122</v>
      </c>
      <c r="K366" s="538" t="s">
        <v>1857</v>
      </c>
      <c r="L366" s="538" t="s">
        <v>1857</v>
      </c>
      <c r="M366" s="538" t="s">
        <v>673</v>
      </c>
      <c r="N366" s="538" t="s">
        <v>775</v>
      </c>
      <c r="O366" s="538" t="b">
        <v>0</v>
      </c>
      <c r="P366" s="538" t="b">
        <v>1</v>
      </c>
      <c r="Q366" s="538" t="s">
        <v>79</v>
      </c>
      <c r="R366" s="538" t="s">
        <v>288</v>
      </c>
      <c r="S366" s="538" t="s">
        <v>79</v>
      </c>
      <c r="T366" s="538" t="s">
        <v>288</v>
      </c>
      <c r="U366" s="538" t="s">
        <v>79</v>
      </c>
      <c r="V366" s="538" t="s">
        <v>288</v>
      </c>
      <c r="W366" s="538" t="s">
        <v>79</v>
      </c>
      <c r="X366" s="538" t="s">
        <v>288</v>
      </c>
      <c r="Y366" s="538" t="s">
        <v>79</v>
      </c>
      <c r="Z366" s="538" t="s">
        <v>288</v>
      </c>
      <c r="AA366" s="538" t="s">
        <v>79</v>
      </c>
      <c r="AB366" s="538" t="s">
        <v>288</v>
      </c>
      <c r="AC366" s="538" t="s">
        <v>73</v>
      </c>
      <c r="AE366" s="538" t="s">
        <v>79</v>
      </c>
      <c r="AF366" s="538" t="s">
        <v>288</v>
      </c>
      <c r="AG366" s="538" t="s">
        <v>79</v>
      </c>
      <c r="AH366" s="538" t="s">
        <v>288</v>
      </c>
      <c r="AI366" s="538" t="s">
        <v>79</v>
      </c>
      <c r="AJ366" s="538" t="s">
        <v>288</v>
      </c>
      <c r="AK366" s="538" t="s">
        <v>79</v>
      </c>
      <c r="AL366" s="538" t="s">
        <v>288</v>
      </c>
      <c r="AM366" s="538" t="s">
        <v>79</v>
      </c>
      <c r="AN366" s="538" t="s">
        <v>288</v>
      </c>
      <c r="AO366" s="538" t="s">
        <v>79</v>
      </c>
      <c r="AP366" s="538" t="s">
        <v>223</v>
      </c>
      <c r="AQ366" s="538" t="s">
        <v>79</v>
      </c>
      <c r="AR366" s="538" t="s">
        <v>223</v>
      </c>
      <c r="AS366" s="538">
        <v>3.2910202E8</v>
      </c>
      <c r="AT366" s="538">
        <v>1.028718336E9</v>
      </c>
      <c r="AU366" s="538">
        <v>231.0</v>
      </c>
      <c r="AV366" s="538" t="s">
        <v>47</v>
      </c>
      <c r="AZ366" s="538">
        <v>1.0</v>
      </c>
      <c r="BA366" s="538">
        <v>1.0</v>
      </c>
      <c r="BB366" s="538">
        <v>1.0</v>
      </c>
      <c r="BC366" s="538">
        <v>1.0</v>
      </c>
      <c r="BD366" s="538">
        <v>1.0</v>
      </c>
      <c r="BE366" s="538">
        <v>0.4</v>
      </c>
      <c r="BF366" s="538">
        <v>0.5</v>
      </c>
      <c r="BG366" s="538">
        <v>0.6</v>
      </c>
      <c r="BH366" s="538">
        <v>0.8</v>
      </c>
      <c r="BI366" s="538">
        <v>1.0</v>
      </c>
      <c r="BJ366" s="546"/>
      <c r="BL366" s="546"/>
    </row>
    <row r="367" ht="22.5" customHeight="1">
      <c r="A367" s="538">
        <v>366.0</v>
      </c>
      <c r="B367" s="538" t="s">
        <v>1856</v>
      </c>
      <c r="C367" s="538" t="s">
        <v>86</v>
      </c>
      <c r="D367" s="538" t="s">
        <v>1804</v>
      </c>
      <c r="E367" s="538" t="s">
        <v>295</v>
      </c>
      <c r="G367" s="538" t="s">
        <v>151</v>
      </c>
      <c r="H367" s="538" t="s">
        <v>250</v>
      </c>
      <c r="I367" s="538" t="s">
        <v>155</v>
      </c>
      <c r="K367" s="538" t="s">
        <v>1858</v>
      </c>
      <c r="L367" s="538" t="s">
        <v>1858</v>
      </c>
      <c r="M367" s="538" t="s">
        <v>673</v>
      </c>
      <c r="N367" s="538" t="s">
        <v>1859</v>
      </c>
      <c r="O367" s="538" t="b">
        <v>0</v>
      </c>
      <c r="P367" s="538" t="b">
        <v>1</v>
      </c>
      <c r="Q367" s="538" t="s">
        <v>73</v>
      </c>
      <c r="S367" s="538" t="s">
        <v>73</v>
      </c>
      <c r="U367" s="538" t="s">
        <v>73</v>
      </c>
      <c r="W367" s="538" t="s">
        <v>73</v>
      </c>
      <c r="Y367" s="538" t="s">
        <v>73</v>
      </c>
      <c r="AA367" s="538" t="s">
        <v>73</v>
      </c>
      <c r="AC367" s="538" t="s">
        <v>73</v>
      </c>
      <c r="AE367" s="538" t="s">
        <v>73</v>
      </c>
      <c r="AG367" s="538" t="s">
        <v>73</v>
      </c>
      <c r="AI367" s="538" t="s">
        <v>73</v>
      </c>
      <c r="AK367" s="538" t="s">
        <v>73</v>
      </c>
      <c r="AM367" s="538" t="s">
        <v>73</v>
      </c>
      <c r="AO367" s="538" t="s">
        <v>79</v>
      </c>
      <c r="AP367" s="538" t="s">
        <v>295</v>
      </c>
      <c r="AQ367" s="538" t="s">
        <v>79</v>
      </c>
      <c r="AR367" s="538" t="s">
        <v>295</v>
      </c>
      <c r="AS367" s="538">
        <v>3.392361409E9</v>
      </c>
      <c r="AT367" s="538">
        <v>1.028718336E9</v>
      </c>
      <c r="AU367" s="538">
        <v>231.0</v>
      </c>
      <c r="AV367" s="538" t="s">
        <v>47</v>
      </c>
      <c r="AZ367" s="538">
        <v>1.0</v>
      </c>
      <c r="BA367" s="538">
        <v>1.0</v>
      </c>
      <c r="BB367" s="538">
        <v>1.0</v>
      </c>
      <c r="BC367" s="538">
        <v>1.0</v>
      </c>
      <c r="BD367" s="538">
        <v>1.0</v>
      </c>
      <c r="BE367" s="538">
        <v>0.2</v>
      </c>
      <c r="BF367" s="538">
        <v>0.25</v>
      </c>
      <c r="BG367" s="538">
        <v>0.35</v>
      </c>
      <c r="BH367" s="538">
        <v>0.45</v>
      </c>
      <c r="BI367" s="538">
        <v>0.6</v>
      </c>
      <c r="BJ367" s="546"/>
      <c r="BL367" s="546"/>
    </row>
    <row r="368" ht="22.5" customHeight="1">
      <c r="A368" s="538">
        <v>367.0</v>
      </c>
      <c r="B368" s="538" t="s">
        <v>1860</v>
      </c>
      <c r="C368" s="538" t="s">
        <v>84</v>
      </c>
      <c r="D368" s="538" t="s">
        <v>1804</v>
      </c>
      <c r="E368" s="538" t="s">
        <v>295</v>
      </c>
      <c r="F368" s="538" t="s">
        <v>288</v>
      </c>
      <c r="G368" s="538" t="s">
        <v>163</v>
      </c>
      <c r="H368" s="538" t="s">
        <v>250</v>
      </c>
      <c r="I368" s="538" t="s">
        <v>155</v>
      </c>
      <c r="K368" s="538" t="s">
        <v>1861</v>
      </c>
      <c r="L368" s="538" t="s">
        <v>1861</v>
      </c>
      <c r="M368" s="538" t="s">
        <v>661</v>
      </c>
      <c r="N368" s="538" t="s">
        <v>1190</v>
      </c>
      <c r="O368" s="538" t="b">
        <v>0</v>
      </c>
      <c r="P368" s="538" t="b">
        <v>1</v>
      </c>
      <c r="Q368" s="538" t="s">
        <v>79</v>
      </c>
      <c r="R368" s="538" t="s">
        <v>288</v>
      </c>
      <c r="S368" s="538" t="s">
        <v>79</v>
      </c>
      <c r="T368" s="538" t="s">
        <v>288</v>
      </c>
      <c r="U368" s="538" t="s">
        <v>79</v>
      </c>
      <c r="V368" s="538" t="s">
        <v>288</v>
      </c>
      <c r="W368" s="538" t="s">
        <v>79</v>
      </c>
      <c r="X368" s="538" t="s">
        <v>288</v>
      </c>
      <c r="Y368" s="538" t="s">
        <v>79</v>
      </c>
      <c r="Z368" s="538" t="s">
        <v>288</v>
      </c>
      <c r="AA368" s="538" t="s">
        <v>79</v>
      </c>
      <c r="AB368" s="538" t="s">
        <v>288</v>
      </c>
      <c r="AC368" s="538" t="s">
        <v>73</v>
      </c>
      <c r="AE368" s="538" t="s">
        <v>79</v>
      </c>
      <c r="AF368" s="538" t="s">
        <v>288</v>
      </c>
      <c r="AG368" s="538" t="s">
        <v>79</v>
      </c>
      <c r="AH368" s="538" t="s">
        <v>288</v>
      </c>
      <c r="AI368" s="538" t="s">
        <v>79</v>
      </c>
      <c r="AJ368" s="538" t="s">
        <v>288</v>
      </c>
      <c r="AK368" s="538" t="s">
        <v>79</v>
      </c>
      <c r="AL368" s="538" t="s">
        <v>288</v>
      </c>
      <c r="AM368" s="538" t="s">
        <v>79</v>
      </c>
      <c r="AN368" s="538" t="s">
        <v>288</v>
      </c>
      <c r="AO368" s="538" t="s">
        <v>79</v>
      </c>
      <c r="AP368" s="538" t="s">
        <v>295</v>
      </c>
      <c r="AQ368" s="538" t="s">
        <v>79</v>
      </c>
      <c r="AR368" s="538" t="s">
        <v>295</v>
      </c>
      <c r="AS368" s="538">
        <v>2.897000131E9</v>
      </c>
      <c r="AT368" s="538">
        <v>2.62001435E9</v>
      </c>
      <c r="AU368" s="538">
        <v>217.0</v>
      </c>
      <c r="AV368" s="538" t="s">
        <v>46</v>
      </c>
      <c r="AZ368" s="538">
        <v>1.0</v>
      </c>
      <c r="BA368" s="538">
        <v>1.0</v>
      </c>
      <c r="BB368" s="538">
        <v>1.0</v>
      </c>
      <c r="BE368" s="538">
        <v>0.5</v>
      </c>
      <c r="BF368" s="538">
        <v>0.25</v>
      </c>
      <c r="BG368" s="538">
        <v>0.5</v>
      </c>
      <c r="BJ368" s="546"/>
      <c r="BL368" s="546"/>
    </row>
    <row r="369" ht="22.5" customHeight="1">
      <c r="A369" s="538">
        <v>368.0</v>
      </c>
      <c r="B369" s="538" t="s">
        <v>1860</v>
      </c>
      <c r="C369" s="538" t="s">
        <v>82</v>
      </c>
      <c r="D369" s="538" t="s">
        <v>1804</v>
      </c>
      <c r="E369" s="538" t="s">
        <v>292</v>
      </c>
      <c r="F369" s="538" t="s">
        <v>288</v>
      </c>
      <c r="G369" s="538" t="s">
        <v>163</v>
      </c>
      <c r="H369" s="538" t="s">
        <v>250</v>
      </c>
      <c r="I369" s="538" t="s">
        <v>155</v>
      </c>
      <c r="K369" s="538" t="s">
        <v>1862</v>
      </c>
      <c r="L369" s="538" t="s">
        <v>1862</v>
      </c>
      <c r="M369" s="538" t="s">
        <v>673</v>
      </c>
      <c r="N369" s="538" t="s">
        <v>1859</v>
      </c>
      <c r="O369" s="538" t="b">
        <v>0</v>
      </c>
      <c r="P369" s="538" t="b">
        <v>1</v>
      </c>
      <c r="Q369" s="538" t="s">
        <v>79</v>
      </c>
      <c r="R369" s="538" t="s">
        <v>288</v>
      </c>
      <c r="S369" s="538" t="s">
        <v>79</v>
      </c>
      <c r="T369" s="538" t="s">
        <v>288</v>
      </c>
      <c r="U369" s="538" t="s">
        <v>79</v>
      </c>
      <c r="V369" s="538" t="s">
        <v>288</v>
      </c>
      <c r="W369" s="538" t="s">
        <v>79</v>
      </c>
      <c r="X369" s="538" t="s">
        <v>288</v>
      </c>
      <c r="Y369" s="538" t="s">
        <v>79</v>
      </c>
      <c r="Z369" s="538" t="s">
        <v>288</v>
      </c>
      <c r="AA369" s="538" t="s">
        <v>79</v>
      </c>
      <c r="AB369" s="538" t="s">
        <v>288</v>
      </c>
      <c r="AC369" s="538" t="s">
        <v>73</v>
      </c>
      <c r="AE369" s="538" t="s">
        <v>79</v>
      </c>
      <c r="AF369" s="538" t="s">
        <v>288</v>
      </c>
      <c r="AG369" s="538" t="s">
        <v>79</v>
      </c>
      <c r="AH369" s="538" t="s">
        <v>288</v>
      </c>
      <c r="AI369" s="538" t="s">
        <v>79</v>
      </c>
      <c r="AJ369" s="538" t="s">
        <v>288</v>
      </c>
      <c r="AK369" s="538" t="s">
        <v>79</v>
      </c>
      <c r="AL369" s="538" t="s">
        <v>288</v>
      </c>
      <c r="AM369" s="538" t="s">
        <v>79</v>
      </c>
      <c r="AN369" s="538" t="s">
        <v>288</v>
      </c>
      <c r="AO369" s="538" t="s">
        <v>79</v>
      </c>
      <c r="AP369" s="538" t="s">
        <v>292</v>
      </c>
      <c r="AQ369" s="538" t="s">
        <v>79</v>
      </c>
      <c r="AR369" s="538" t="s">
        <v>292</v>
      </c>
      <c r="AS369" s="538">
        <v>2.6631076E9</v>
      </c>
      <c r="AT369" s="538">
        <v>2.62001435E9</v>
      </c>
      <c r="AU369" s="538">
        <v>217.0</v>
      </c>
      <c r="AV369" s="538" t="s">
        <v>46</v>
      </c>
      <c r="AZ369" s="538">
        <v>1.0</v>
      </c>
      <c r="BA369" s="538">
        <v>1.0</v>
      </c>
      <c r="BB369" s="538">
        <v>1.0</v>
      </c>
      <c r="BC369" s="538">
        <v>1.0</v>
      </c>
      <c r="BD369" s="538">
        <v>1.0</v>
      </c>
      <c r="BE369" s="538">
        <v>0.2</v>
      </c>
      <c r="BF369" s="538">
        <v>0.25</v>
      </c>
      <c r="BG369" s="538">
        <v>0.35</v>
      </c>
      <c r="BH369" s="538">
        <v>0.45</v>
      </c>
      <c r="BI369" s="538">
        <v>0.6</v>
      </c>
      <c r="BJ369" s="546"/>
      <c r="BL369" s="546"/>
    </row>
    <row r="370" ht="22.5" customHeight="1">
      <c r="A370" s="538">
        <v>369.0</v>
      </c>
      <c r="B370" s="538" t="s">
        <v>1863</v>
      </c>
      <c r="C370" s="538" t="s">
        <v>82</v>
      </c>
      <c r="D370" s="538" t="s">
        <v>1804</v>
      </c>
      <c r="E370" s="538" t="s">
        <v>369</v>
      </c>
      <c r="F370" s="538" t="s">
        <v>285</v>
      </c>
      <c r="G370" s="538" t="s">
        <v>163</v>
      </c>
      <c r="H370" s="538" t="s">
        <v>222</v>
      </c>
      <c r="I370" s="538" t="s">
        <v>201</v>
      </c>
      <c r="K370" s="538" t="s">
        <v>1864</v>
      </c>
      <c r="L370" s="538" t="s">
        <v>1864</v>
      </c>
      <c r="M370" s="538" t="s">
        <v>673</v>
      </c>
      <c r="N370" s="538" t="s">
        <v>1865</v>
      </c>
      <c r="O370" s="538" t="b">
        <v>0</v>
      </c>
      <c r="P370" s="538" t="b">
        <v>1</v>
      </c>
      <c r="Q370" s="538" t="s">
        <v>79</v>
      </c>
      <c r="R370" s="538" t="s">
        <v>285</v>
      </c>
      <c r="S370" s="538" t="s">
        <v>79</v>
      </c>
      <c r="T370" s="538" t="s">
        <v>285</v>
      </c>
      <c r="U370" s="538" t="s">
        <v>79</v>
      </c>
      <c r="V370" s="538" t="s">
        <v>285</v>
      </c>
      <c r="W370" s="538" t="s">
        <v>79</v>
      </c>
      <c r="X370" s="538" t="s">
        <v>285</v>
      </c>
      <c r="Y370" s="538" t="s">
        <v>79</v>
      </c>
      <c r="Z370" s="538" t="s">
        <v>285</v>
      </c>
      <c r="AA370" s="538" t="s">
        <v>79</v>
      </c>
      <c r="AB370" s="538" t="s">
        <v>285</v>
      </c>
      <c r="AC370" s="538" t="s">
        <v>79</v>
      </c>
      <c r="AD370" s="538" t="s">
        <v>285</v>
      </c>
      <c r="AE370" s="538" t="s">
        <v>79</v>
      </c>
      <c r="AF370" s="538" t="s">
        <v>285</v>
      </c>
      <c r="AG370" s="538" t="s">
        <v>73</v>
      </c>
      <c r="AI370" s="538" t="s">
        <v>79</v>
      </c>
      <c r="AJ370" s="538" t="s">
        <v>285</v>
      </c>
      <c r="AK370" s="538" t="s">
        <v>79</v>
      </c>
      <c r="AL370" s="538" t="s">
        <v>285</v>
      </c>
      <c r="AM370" s="538" t="s">
        <v>79</v>
      </c>
      <c r="AN370" s="538" t="s">
        <v>285</v>
      </c>
      <c r="AO370" s="538" t="s">
        <v>79</v>
      </c>
      <c r="AP370" s="538" t="s">
        <v>369</v>
      </c>
      <c r="AQ370" s="538" t="s">
        <v>79</v>
      </c>
      <c r="AR370" s="538" t="s">
        <v>369</v>
      </c>
      <c r="AS370" s="538">
        <v>2.34251988E8</v>
      </c>
      <c r="AT370" s="538">
        <v>3.39027623E8</v>
      </c>
      <c r="AU370" s="538">
        <v>226.0</v>
      </c>
      <c r="AV370" s="538" t="s">
        <v>46</v>
      </c>
      <c r="AZ370" s="538">
        <v>1.0</v>
      </c>
      <c r="BA370" s="538">
        <v>1.0</v>
      </c>
      <c r="BB370" s="538">
        <v>1.0</v>
      </c>
      <c r="BC370" s="538">
        <v>1.0</v>
      </c>
      <c r="BD370" s="538">
        <v>1.0</v>
      </c>
      <c r="BE370" s="538">
        <v>0.04</v>
      </c>
      <c r="BF370" s="538">
        <v>0.05</v>
      </c>
      <c r="BG370" s="538">
        <v>0.06</v>
      </c>
      <c r="BH370" s="538">
        <v>0.08</v>
      </c>
      <c r="BI370" s="538">
        <v>0.1</v>
      </c>
      <c r="BJ370" s="546"/>
      <c r="BL370" s="546"/>
    </row>
    <row r="371" ht="22.5" customHeight="1">
      <c r="A371" s="538">
        <v>370.0</v>
      </c>
      <c r="B371" s="538" t="s">
        <v>1863</v>
      </c>
      <c r="C371" s="538" t="s">
        <v>86</v>
      </c>
      <c r="D371" s="538" t="s">
        <v>1804</v>
      </c>
      <c r="E371" s="538" t="s">
        <v>292</v>
      </c>
      <c r="F371" s="538" t="s">
        <v>248</v>
      </c>
      <c r="G371" s="538" t="s">
        <v>163</v>
      </c>
      <c r="H371" s="538" t="s">
        <v>222</v>
      </c>
      <c r="I371" s="538" t="s">
        <v>201</v>
      </c>
      <c r="K371" s="538" t="s">
        <v>1866</v>
      </c>
      <c r="L371" s="538" t="s">
        <v>1866</v>
      </c>
      <c r="M371" s="538" t="s">
        <v>673</v>
      </c>
      <c r="N371" s="538" t="s">
        <v>1694</v>
      </c>
      <c r="O371" s="538" t="b">
        <v>0</v>
      </c>
      <c r="P371" s="538" t="b">
        <v>1</v>
      </c>
      <c r="Q371" s="538" t="s">
        <v>73</v>
      </c>
      <c r="S371" s="538" t="s">
        <v>73</v>
      </c>
      <c r="U371" s="538" t="s">
        <v>79</v>
      </c>
      <c r="V371" s="538" t="s">
        <v>248</v>
      </c>
      <c r="W371" s="538" t="s">
        <v>79</v>
      </c>
      <c r="X371" s="538" t="s">
        <v>248</v>
      </c>
      <c r="Y371" s="538" t="s">
        <v>79</v>
      </c>
      <c r="Z371" s="538" t="s">
        <v>248</v>
      </c>
      <c r="AA371" s="538" t="s">
        <v>79</v>
      </c>
      <c r="AB371" s="538" t="s">
        <v>248</v>
      </c>
      <c r="AC371" s="538" t="s">
        <v>79</v>
      </c>
      <c r="AD371" s="538" t="s">
        <v>248</v>
      </c>
      <c r="AE371" s="538" t="s">
        <v>79</v>
      </c>
      <c r="AF371" s="538" t="s">
        <v>248</v>
      </c>
      <c r="AG371" s="538" t="s">
        <v>79</v>
      </c>
      <c r="AH371" s="538" t="s">
        <v>248</v>
      </c>
      <c r="AI371" s="538" t="s">
        <v>79</v>
      </c>
      <c r="AJ371" s="538" t="s">
        <v>248</v>
      </c>
      <c r="AK371" s="538" t="s">
        <v>79</v>
      </c>
      <c r="AL371" s="538" t="s">
        <v>248</v>
      </c>
      <c r="AM371" s="538" t="s">
        <v>79</v>
      </c>
      <c r="AN371" s="538" t="s">
        <v>248</v>
      </c>
      <c r="AO371" s="538" t="s">
        <v>79</v>
      </c>
      <c r="AP371" s="538" t="s">
        <v>292</v>
      </c>
      <c r="AQ371" s="538" t="s">
        <v>79</v>
      </c>
      <c r="AR371" s="538" t="s">
        <v>292</v>
      </c>
      <c r="AS371" s="538">
        <v>4.121832941E9</v>
      </c>
      <c r="AT371" s="538">
        <v>3.39027623E8</v>
      </c>
      <c r="AU371" s="538">
        <v>226.0</v>
      </c>
      <c r="AV371" s="538" t="s">
        <v>46</v>
      </c>
      <c r="AZ371" s="538">
        <v>1.0</v>
      </c>
      <c r="BA371" s="538">
        <v>1.0</v>
      </c>
      <c r="BB371" s="538">
        <v>1.0</v>
      </c>
      <c r="BC371" s="538">
        <v>1.0</v>
      </c>
      <c r="BD371" s="538">
        <v>1.0</v>
      </c>
      <c r="BE371" s="538">
        <v>0.1</v>
      </c>
      <c r="BF371" s="538">
        <v>0.15</v>
      </c>
      <c r="BG371" s="538">
        <v>0.2</v>
      </c>
      <c r="BH371" s="538">
        <v>0.25</v>
      </c>
      <c r="BI371" s="538">
        <v>0.35</v>
      </c>
      <c r="BJ371" s="546"/>
      <c r="BL371" s="546"/>
    </row>
    <row r="372" ht="22.5" customHeight="1">
      <c r="A372" s="538">
        <v>371.0</v>
      </c>
      <c r="B372" s="538" t="s">
        <v>1867</v>
      </c>
      <c r="C372" s="538" t="s">
        <v>82</v>
      </c>
      <c r="D372" s="538" t="s">
        <v>1283</v>
      </c>
      <c r="E372" s="538" t="s">
        <v>319</v>
      </c>
      <c r="G372" s="538" t="s">
        <v>151</v>
      </c>
      <c r="H372" s="538" t="s">
        <v>250</v>
      </c>
      <c r="I372" s="538" t="s">
        <v>122</v>
      </c>
      <c r="K372" s="538" t="s">
        <v>1868</v>
      </c>
      <c r="L372" s="538" t="s">
        <v>1869</v>
      </c>
      <c r="M372" s="538" t="s">
        <v>673</v>
      </c>
      <c r="N372" s="538" t="s">
        <v>794</v>
      </c>
      <c r="O372" s="538" t="b">
        <v>0</v>
      </c>
      <c r="P372" s="538" t="b">
        <v>1</v>
      </c>
      <c r="Q372" s="538" t="s">
        <v>79</v>
      </c>
      <c r="R372" s="538" t="s">
        <v>319</v>
      </c>
      <c r="S372" s="538" t="s">
        <v>79</v>
      </c>
      <c r="T372" s="538" t="s">
        <v>319</v>
      </c>
      <c r="U372" s="538" t="s">
        <v>79</v>
      </c>
      <c r="V372" s="538" t="s">
        <v>319</v>
      </c>
      <c r="W372" s="538" t="s">
        <v>79</v>
      </c>
      <c r="X372" s="538" t="s">
        <v>319</v>
      </c>
      <c r="Y372" s="538" t="s">
        <v>79</v>
      </c>
      <c r="Z372" s="538" t="s">
        <v>319</v>
      </c>
      <c r="AA372" s="538" t="s">
        <v>79</v>
      </c>
      <c r="AB372" s="538" t="s">
        <v>319</v>
      </c>
      <c r="AC372" s="538" t="s">
        <v>79</v>
      </c>
      <c r="AD372" s="538" t="s">
        <v>319</v>
      </c>
      <c r="AE372" s="538" t="s">
        <v>79</v>
      </c>
      <c r="AF372" s="538" t="s">
        <v>319</v>
      </c>
      <c r="AG372" s="538" t="s">
        <v>79</v>
      </c>
      <c r="AH372" s="538" t="s">
        <v>319</v>
      </c>
      <c r="AI372" s="538" t="s">
        <v>79</v>
      </c>
      <c r="AJ372" s="538" t="s">
        <v>319</v>
      </c>
      <c r="AK372" s="538" t="s">
        <v>79</v>
      </c>
      <c r="AL372" s="538" t="s">
        <v>319</v>
      </c>
      <c r="AM372" s="538" t="s">
        <v>79</v>
      </c>
      <c r="AN372" s="538" t="s">
        <v>319</v>
      </c>
      <c r="AO372" s="538" t="s">
        <v>79</v>
      </c>
      <c r="AP372" s="538" t="s">
        <v>319</v>
      </c>
      <c r="AQ372" s="538" t="s">
        <v>73</v>
      </c>
      <c r="AS372" s="538">
        <v>4.27986703E9</v>
      </c>
      <c r="AT372" s="538">
        <v>4.29076494E9</v>
      </c>
      <c r="AU372" s="538">
        <v>232.0</v>
      </c>
      <c r="AV372" s="538" t="s">
        <v>47</v>
      </c>
      <c r="AZ372" s="538">
        <v>1.0</v>
      </c>
      <c r="BA372" s="538">
        <v>1.0</v>
      </c>
      <c r="BB372" s="538">
        <v>1.0</v>
      </c>
      <c r="BC372" s="538">
        <v>1.0</v>
      </c>
      <c r="BD372" s="538">
        <v>1.0</v>
      </c>
      <c r="BE372" s="538">
        <v>0.05</v>
      </c>
      <c r="BF372" s="538">
        <v>0.07</v>
      </c>
      <c r="BG372" s="538">
        <v>0.09</v>
      </c>
      <c r="BH372" s="538">
        <v>0.12</v>
      </c>
      <c r="BI372" s="538">
        <v>0.15</v>
      </c>
      <c r="BJ372" s="546"/>
      <c r="BL372" s="546"/>
    </row>
    <row r="373" ht="22.5" customHeight="1">
      <c r="A373" s="538">
        <v>372.0</v>
      </c>
      <c r="B373" s="538" t="s">
        <v>1867</v>
      </c>
      <c r="C373" s="538" t="s">
        <v>86</v>
      </c>
      <c r="D373" s="538" t="s">
        <v>1283</v>
      </c>
      <c r="E373" s="538" t="s">
        <v>292</v>
      </c>
      <c r="F373" s="538" t="s">
        <v>1688</v>
      </c>
      <c r="G373" s="538" t="s">
        <v>230</v>
      </c>
      <c r="H373" s="538" t="s">
        <v>250</v>
      </c>
      <c r="I373" s="538" t="s">
        <v>155</v>
      </c>
      <c r="J373" s="538" t="s">
        <v>350</v>
      </c>
      <c r="K373" s="538" t="s">
        <v>1870</v>
      </c>
      <c r="L373" s="538" t="s">
        <v>1871</v>
      </c>
      <c r="M373" s="538" t="s">
        <v>1872</v>
      </c>
      <c r="N373" s="538" t="s">
        <v>1873</v>
      </c>
      <c r="O373" s="538" t="b">
        <v>1</v>
      </c>
      <c r="P373" s="538" t="b">
        <v>1</v>
      </c>
      <c r="Q373" s="538" t="s">
        <v>79</v>
      </c>
      <c r="R373" s="538" t="s">
        <v>228</v>
      </c>
      <c r="S373" s="538" t="s">
        <v>79</v>
      </c>
      <c r="T373" s="538" t="s">
        <v>228</v>
      </c>
      <c r="U373" s="538" t="s">
        <v>73</v>
      </c>
      <c r="W373" s="538" t="s">
        <v>73</v>
      </c>
      <c r="Y373" s="538" t="s">
        <v>79</v>
      </c>
      <c r="Z373" s="538" t="s">
        <v>228</v>
      </c>
      <c r="AA373" s="538" t="s">
        <v>73</v>
      </c>
      <c r="AC373" s="538" t="s">
        <v>79</v>
      </c>
      <c r="AD373" s="538" t="s">
        <v>377</v>
      </c>
      <c r="AE373" s="538" t="s">
        <v>79</v>
      </c>
      <c r="AF373" s="538" t="s">
        <v>377</v>
      </c>
      <c r="AG373" s="538" t="s">
        <v>79</v>
      </c>
      <c r="AH373" s="538" t="s">
        <v>228</v>
      </c>
      <c r="AI373" s="538" t="s">
        <v>79</v>
      </c>
      <c r="AJ373" s="538" t="s">
        <v>377</v>
      </c>
      <c r="AK373" s="538" t="s">
        <v>79</v>
      </c>
      <c r="AL373" s="538" t="s">
        <v>228</v>
      </c>
      <c r="AM373" s="538" t="s">
        <v>79</v>
      </c>
      <c r="AN373" s="538" t="s">
        <v>228</v>
      </c>
      <c r="AO373" s="538" t="s">
        <v>79</v>
      </c>
      <c r="AP373" s="538" t="s">
        <v>292</v>
      </c>
      <c r="AQ373" s="538" t="s">
        <v>79</v>
      </c>
      <c r="AR373" s="538" t="s">
        <v>292</v>
      </c>
      <c r="AS373" s="538">
        <v>1.120204726E9</v>
      </c>
      <c r="AT373" s="538">
        <v>4.29076494E9</v>
      </c>
      <c r="AU373" s="538">
        <v>232.0</v>
      </c>
      <c r="AV373" s="538" t="s">
        <v>47</v>
      </c>
      <c r="AZ373" s="538">
        <v>0.45</v>
      </c>
      <c r="BA373" s="538">
        <v>0.5</v>
      </c>
      <c r="BB373" s="538">
        <v>0.6</v>
      </c>
      <c r="BC373" s="538">
        <v>0.7</v>
      </c>
      <c r="BD373" s="538">
        <v>1.0</v>
      </c>
      <c r="BE373" s="538">
        <v>0.25</v>
      </c>
      <c r="BF373" s="538">
        <v>0.25</v>
      </c>
      <c r="BG373" s="538">
        <v>0.25</v>
      </c>
      <c r="BH373" s="538">
        <v>0.25</v>
      </c>
      <c r="BI373" s="538">
        <v>0.25</v>
      </c>
      <c r="BJ373" s="546"/>
      <c r="BL373" s="546"/>
    </row>
    <row r="374" ht="22.5" customHeight="1">
      <c r="A374" s="538">
        <v>373.0</v>
      </c>
      <c r="B374" s="538" t="s">
        <v>1874</v>
      </c>
      <c r="C374" s="538" t="s">
        <v>82</v>
      </c>
      <c r="D374" s="538" t="s">
        <v>1283</v>
      </c>
      <c r="E374" s="538" t="s">
        <v>298</v>
      </c>
      <c r="G374" s="538" t="s">
        <v>151</v>
      </c>
      <c r="H374" s="538" t="s">
        <v>250</v>
      </c>
      <c r="I374" s="538" t="s">
        <v>122</v>
      </c>
      <c r="K374" s="538" t="s">
        <v>1875</v>
      </c>
      <c r="L374" s="538" t="s">
        <v>1876</v>
      </c>
      <c r="M374" s="538" t="s">
        <v>673</v>
      </c>
      <c r="N374" s="538" t="s">
        <v>1877</v>
      </c>
      <c r="O374" s="538" t="b">
        <v>0</v>
      </c>
      <c r="P374" s="538" t="b">
        <v>1</v>
      </c>
      <c r="Q374" s="538" t="s">
        <v>79</v>
      </c>
      <c r="R374" s="538" t="s">
        <v>298</v>
      </c>
      <c r="S374" s="538" t="s">
        <v>79</v>
      </c>
      <c r="T374" s="538" t="s">
        <v>298</v>
      </c>
      <c r="U374" s="538" t="s">
        <v>75</v>
      </c>
      <c r="V374" s="538" t="s">
        <v>1878</v>
      </c>
      <c r="W374" s="538" t="s">
        <v>79</v>
      </c>
      <c r="X374" s="538" t="s">
        <v>298</v>
      </c>
      <c r="Y374" s="538" t="s">
        <v>79</v>
      </c>
      <c r="Z374" s="538" t="s">
        <v>298</v>
      </c>
      <c r="AA374" s="538" t="s">
        <v>79</v>
      </c>
      <c r="AB374" s="538" t="s">
        <v>298</v>
      </c>
      <c r="AC374" s="538" t="s">
        <v>75</v>
      </c>
      <c r="AD374" s="538" t="s">
        <v>1878</v>
      </c>
      <c r="AE374" s="538" t="s">
        <v>75</v>
      </c>
      <c r="AF374" s="538" t="s">
        <v>1878</v>
      </c>
      <c r="AG374" s="538" t="s">
        <v>79</v>
      </c>
      <c r="AH374" s="538" t="s">
        <v>298</v>
      </c>
      <c r="AI374" s="538" t="s">
        <v>79</v>
      </c>
      <c r="AJ374" s="538" t="s">
        <v>298</v>
      </c>
      <c r="AK374" s="538" t="s">
        <v>79</v>
      </c>
      <c r="AL374" s="538" t="s">
        <v>298</v>
      </c>
      <c r="AM374" s="538" t="s">
        <v>79</v>
      </c>
      <c r="AN374" s="538" t="s">
        <v>298</v>
      </c>
      <c r="AO374" s="538" t="s">
        <v>73</v>
      </c>
      <c r="AQ374" s="538" t="s">
        <v>79</v>
      </c>
      <c r="AR374" s="538" t="s">
        <v>298</v>
      </c>
      <c r="AS374" s="538">
        <v>1.14889367E9</v>
      </c>
      <c r="AT374" s="538">
        <v>1.442833808E9</v>
      </c>
      <c r="AU374" s="538">
        <v>233.0</v>
      </c>
      <c r="AV374" s="538" t="s">
        <v>46</v>
      </c>
      <c r="AY374" s="538" t="s">
        <v>298</v>
      </c>
      <c r="AZ374" s="538">
        <v>1.0</v>
      </c>
      <c r="BA374" s="538">
        <v>1.0</v>
      </c>
      <c r="BB374" s="538">
        <v>1.0</v>
      </c>
      <c r="BC374" s="538">
        <v>1.0</v>
      </c>
      <c r="BD374" s="538">
        <v>1.0</v>
      </c>
      <c r="BE374" s="538">
        <v>0.05</v>
      </c>
      <c r="BF374" s="538">
        <v>0.07</v>
      </c>
      <c r="BG374" s="538">
        <v>0.09</v>
      </c>
      <c r="BH374" s="538">
        <v>0.15</v>
      </c>
      <c r="BI374" s="538">
        <v>0.2</v>
      </c>
      <c r="BJ374" s="546"/>
      <c r="BL374" s="546"/>
    </row>
    <row r="375" ht="22.5" customHeight="1">
      <c r="A375" s="538">
        <v>374.0</v>
      </c>
      <c r="B375" s="538" t="s">
        <v>1874</v>
      </c>
      <c r="C375" s="538" t="s">
        <v>86</v>
      </c>
      <c r="D375" s="538" t="s">
        <v>1283</v>
      </c>
      <c r="E375" s="538" t="s">
        <v>207</v>
      </c>
      <c r="G375" s="538" t="s">
        <v>151</v>
      </c>
      <c r="H375" s="538" t="s">
        <v>250</v>
      </c>
      <c r="I375" s="538" t="s">
        <v>122</v>
      </c>
      <c r="K375" s="538" t="s">
        <v>1879</v>
      </c>
      <c r="L375" s="538" t="s">
        <v>1880</v>
      </c>
      <c r="M375" s="538" t="s">
        <v>673</v>
      </c>
      <c r="N375" s="538" t="s">
        <v>1881</v>
      </c>
      <c r="O375" s="538" t="b">
        <v>0</v>
      </c>
      <c r="P375" s="538" t="b">
        <v>1</v>
      </c>
      <c r="Q375" s="538" t="s">
        <v>79</v>
      </c>
      <c r="R375" s="538" t="s">
        <v>207</v>
      </c>
      <c r="S375" s="538" t="s">
        <v>79</v>
      </c>
      <c r="T375" s="538" t="s">
        <v>207</v>
      </c>
      <c r="U375" s="538" t="s">
        <v>75</v>
      </c>
      <c r="V375" s="538" t="s">
        <v>1878</v>
      </c>
      <c r="W375" s="538" t="s">
        <v>79</v>
      </c>
      <c r="X375" s="538" t="s">
        <v>207</v>
      </c>
      <c r="Y375" s="538" t="s">
        <v>79</v>
      </c>
      <c r="Z375" s="538" t="s">
        <v>207</v>
      </c>
      <c r="AA375" s="538" t="s">
        <v>79</v>
      </c>
      <c r="AB375" s="538" t="s">
        <v>207</v>
      </c>
      <c r="AC375" s="538" t="s">
        <v>79</v>
      </c>
      <c r="AD375" s="538" t="s">
        <v>207</v>
      </c>
      <c r="AE375" s="538" t="s">
        <v>79</v>
      </c>
      <c r="AF375" s="538" t="s">
        <v>207</v>
      </c>
      <c r="AG375" s="538" t="s">
        <v>79</v>
      </c>
      <c r="AH375" s="538" t="s">
        <v>207</v>
      </c>
      <c r="AI375" s="538" t="s">
        <v>79</v>
      </c>
      <c r="AJ375" s="538" t="s">
        <v>207</v>
      </c>
      <c r="AK375" s="538" t="s">
        <v>79</v>
      </c>
      <c r="AL375" s="538" t="s">
        <v>207</v>
      </c>
      <c r="AM375" s="538" t="s">
        <v>79</v>
      </c>
      <c r="AN375" s="538" t="s">
        <v>207</v>
      </c>
      <c r="AO375" s="538" t="s">
        <v>73</v>
      </c>
      <c r="AQ375" s="538" t="s">
        <v>79</v>
      </c>
      <c r="AR375" s="538" t="s">
        <v>207</v>
      </c>
      <c r="AS375" s="538">
        <v>6.95016552E8</v>
      </c>
      <c r="AT375" s="538">
        <v>1.442833808E9</v>
      </c>
      <c r="AU375" s="538">
        <v>233.0</v>
      </c>
      <c r="AV375" s="538" t="s">
        <v>46</v>
      </c>
      <c r="AY375" s="538" t="s">
        <v>207</v>
      </c>
      <c r="AZ375" s="538">
        <v>1.0</v>
      </c>
      <c r="BA375" s="538">
        <v>1.0</v>
      </c>
      <c r="BB375" s="538">
        <v>1.0</v>
      </c>
      <c r="BC375" s="538">
        <v>1.0</v>
      </c>
      <c r="BD375" s="538">
        <v>1.0</v>
      </c>
      <c r="BE375" s="538">
        <v>0.1</v>
      </c>
      <c r="BF375" s="538">
        <v>0.15</v>
      </c>
      <c r="BG375" s="538">
        <v>0.2</v>
      </c>
      <c r="BH375" s="538">
        <v>0.3</v>
      </c>
      <c r="BI375" s="538">
        <v>0.5</v>
      </c>
      <c r="BJ375" s="546"/>
      <c r="BL375" s="546"/>
    </row>
    <row r="376" ht="22.5" customHeight="1">
      <c r="A376" s="538">
        <v>375.0</v>
      </c>
      <c r="B376" s="538" t="s">
        <v>1882</v>
      </c>
      <c r="C376" s="538" t="s">
        <v>82</v>
      </c>
      <c r="D376" s="538" t="s">
        <v>1283</v>
      </c>
      <c r="E376" s="538" t="s">
        <v>292</v>
      </c>
      <c r="F376" s="538" t="s">
        <v>1883</v>
      </c>
      <c r="G376" s="538" t="s">
        <v>230</v>
      </c>
      <c r="H376" s="538" t="s">
        <v>250</v>
      </c>
      <c r="I376" s="538" t="s">
        <v>155</v>
      </c>
      <c r="J376" s="538" t="s">
        <v>266</v>
      </c>
      <c r="K376" s="538" t="s">
        <v>1884</v>
      </c>
      <c r="L376" s="538" t="s">
        <v>1885</v>
      </c>
      <c r="M376" s="538" t="s">
        <v>673</v>
      </c>
      <c r="N376" s="538" t="s">
        <v>1886</v>
      </c>
      <c r="O376" s="538" t="b">
        <v>0</v>
      </c>
      <c r="P376" s="538" t="b">
        <v>1</v>
      </c>
      <c r="Q376" s="538" t="s">
        <v>79</v>
      </c>
      <c r="R376" s="538" t="s">
        <v>1883</v>
      </c>
      <c r="S376" s="538" t="s">
        <v>79</v>
      </c>
      <c r="T376" s="538" t="s">
        <v>1883</v>
      </c>
      <c r="U376" s="538" t="s">
        <v>79</v>
      </c>
      <c r="V376" s="538" t="s">
        <v>288</v>
      </c>
      <c r="W376" s="538" t="s">
        <v>79</v>
      </c>
      <c r="X376" s="538" t="s">
        <v>288</v>
      </c>
      <c r="Y376" s="538" t="s">
        <v>79</v>
      </c>
      <c r="Z376" s="538" t="s">
        <v>288</v>
      </c>
      <c r="AA376" s="538" t="s">
        <v>79</v>
      </c>
      <c r="AB376" s="538" t="s">
        <v>288</v>
      </c>
      <c r="AC376" s="538" t="s">
        <v>75</v>
      </c>
      <c r="AD376" s="538" t="s">
        <v>1326</v>
      </c>
      <c r="AE376" s="538" t="s">
        <v>79</v>
      </c>
      <c r="AF376" s="538" t="s">
        <v>288</v>
      </c>
      <c r="AG376" s="538" t="s">
        <v>79</v>
      </c>
      <c r="AH376" s="538" t="s">
        <v>288</v>
      </c>
      <c r="AI376" s="538" t="s">
        <v>79</v>
      </c>
      <c r="AJ376" s="538" t="s">
        <v>1883</v>
      </c>
      <c r="AK376" s="538" t="s">
        <v>79</v>
      </c>
      <c r="AL376" s="538" t="s">
        <v>1883</v>
      </c>
      <c r="AM376" s="538" t="s">
        <v>79</v>
      </c>
      <c r="AN376" s="538" t="s">
        <v>1883</v>
      </c>
      <c r="AO376" s="538" t="s">
        <v>79</v>
      </c>
      <c r="AP376" s="538" t="s">
        <v>292</v>
      </c>
      <c r="AQ376" s="538" t="s">
        <v>79</v>
      </c>
      <c r="AR376" s="538" t="s">
        <v>292</v>
      </c>
      <c r="AS376" s="538">
        <v>7.27010413E8</v>
      </c>
      <c r="AT376" s="538">
        <v>1.203492497E9</v>
      </c>
      <c r="AU376" s="538">
        <v>234.0</v>
      </c>
      <c r="AV376" s="538" t="s">
        <v>47</v>
      </c>
      <c r="AY376" s="538" t="s">
        <v>1326</v>
      </c>
      <c r="AZ376" s="538">
        <v>1.0</v>
      </c>
      <c r="BA376" s="538">
        <v>1.0</v>
      </c>
      <c r="BB376" s="538">
        <v>1.0</v>
      </c>
      <c r="BC376" s="538">
        <v>1.0</v>
      </c>
      <c r="BD376" s="538">
        <v>1.0</v>
      </c>
      <c r="BE376" s="538">
        <v>0.02</v>
      </c>
      <c r="BF376" s="538">
        <v>0.03</v>
      </c>
      <c r="BG376" s="538">
        <v>0.04</v>
      </c>
      <c r="BH376" s="538">
        <v>0.05</v>
      </c>
      <c r="BI376" s="538">
        <v>0.07</v>
      </c>
      <c r="BJ376" s="546"/>
      <c r="BL376" s="546"/>
    </row>
    <row r="377" ht="22.5" customHeight="1">
      <c r="A377" s="538">
        <v>376.0</v>
      </c>
      <c r="B377" s="538" t="s">
        <v>1882</v>
      </c>
      <c r="C377" s="538" t="s">
        <v>86</v>
      </c>
      <c r="D377" s="538" t="s">
        <v>1283</v>
      </c>
      <c r="E377" s="538" t="s">
        <v>231</v>
      </c>
      <c r="F377" s="538" t="s">
        <v>1887</v>
      </c>
      <c r="G377" s="538" t="s">
        <v>239</v>
      </c>
      <c r="H377" s="538" t="s">
        <v>250</v>
      </c>
      <c r="I377" s="538" t="s">
        <v>122</v>
      </c>
      <c r="K377" s="538" t="s">
        <v>1888</v>
      </c>
      <c r="L377" s="538" t="s">
        <v>1889</v>
      </c>
      <c r="M377" s="538" t="s">
        <v>673</v>
      </c>
      <c r="N377" s="538" t="s">
        <v>1890</v>
      </c>
      <c r="O377" s="538" t="b">
        <v>0</v>
      </c>
      <c r="P377" s="538" t="b">
        <v>1</v>
      </c>
      <c r="Q377" s="538" t="s">
        <v>75</v>
      </c>
      <c r="R377" s="538" t="s">
        <v>357</v>
      </c>
      <c r="S377" s="538" t="s">
        <v>75</v>
      </c>
      <c r="T377" s="538" t="s">
        <v>357</v>
      </c>
      <c r="U377" s="538" t="s">
        <v>79</v>
      </c>
      <c r="V377" s="538" t="s">
        <v>1887</v>
      </c>
      <c r="W377" s="538" t="s">
        <v>79</v>
      </c>
      <c r="X377" s="538" t="s">
        <v>1887</v>
      </c>
      <c r="Y377" s="538" t="s">
        <v>79</v>
      </c>
      <c r="Z377" s="538" t="s">
        <v>1887</v>
      </c>
      <c r="AA377" s="538" t="s">
        <v>79</v>
      </c>
      <c r="AB377" s="538" t="s">
        <v>1887</v>
      </c>
      <c r="AC377" s="538" t="s">
        <v>79</v>
      </c>
      <c r="AD377" s="538" t="s">
        <v>1887</v>
      </c>
      <c r="AE377" s="538" t="s">
        <v>79</v>
      </c>
      <c r="AF377" s="538" t="s">
        <v>1887</v>
      </c>
      <c r="AG377" s="538" t="s">
        <v>79</v>
      </c>
      <c r="AH377" s="538" t="s">
        <v>1887</v>
      </c>
      <c r="AI377" s="538" t="s">
        <v>79</v>
      </c>
      <c r="AJ377" s="538" t="s">
        <v>1887</v>
      </c>
      <c r="AK377" s="538" t="s">
        <v>79</v>
      </c>
      <c r="AL377" s="538" t="s">
        <v>1887</v>
      </c>
      <c r="AM377" s="538" t="s">
        <v>79</v>
      </c>
      <c r="AN377" s="538" t="s">
        <v>1887</v>
      </c>
      <c r="AO377" s="538" t="s">
        <v>79</v>
      </c>
      <c r="AP377" s="538" t="s">
        <v>231</v>
      </c>
      <c r="AQ377" s="538" t="s">
        <v>79</v>
      </c>
      <c r="AR377" s="538" t="s">
        <v>231</v>
      </c>
      <c r="AS377" s="538">
        <v>2.712288625E9</v>
      </c>
      <c r="AT377" s="538">
        <v>1.203492497E9</v>
      </c>
      <c r="AU377" s="538">
        <v>234.0</v>
      </c>
      <c r="AV377" s="538" t="s">
        <v>47</v>
      </c>
      <c r="AX377" s="538" t="s">
        <v>1891</v>
      </c>
      <c r="AY377" s="538" t="s">
        <v>357</v>
      </c>
      <c r="AZ377" s="538">
        <v>1.0</v>
      </c>
      <c r="BA377" s="538">
        <v>1.0</v>
      </c>
      <c r="BB377" s="538">
        <v>1.0</v>
      </c>
      <c r="BC377" s="538">
        <v>1.0</v>
      </c>
      <c r="BD377" s="538">
        <v>1.0</v>
      </c>
      <c r="BE377" s="538">
        <v>1.5</v>
      </c>
      <c r="BF377" s="538">
        <v>2.0</v>
      </c>
      <c r="BG377" s="538">
        <v>3.0</v>
      </c>
      <c r="BH377" s="538">
        <v>4.0</v>
      </c>
      <c r="BI377" s="538">
        <v>5.0</v>
      </c>
      <c r="BJ377" s="546"/>
      <c r="BL377" s="546"/>
    </row>
    <row r="378" ht="22.5" customHeight="1">
      <c r="A378" s="538">
        <v>377.0</v>
      </c>
      <c r="B378" s="538" t="s">
        <v>1892</v>
      </c>
      <c r="C378" s="538" t="s">
        <v>82</v>
      </c>
      <c r="D378" s="538" t="s">
        <v>1283</v>
      </c>
      <c r="E378" s="538" t="s">
        <v>340</v>
      </c>
      <c r="F378" s="538" t="s">
        <v>1883</v>
      </c>
      <c r="G378" s="538" t="s">
        <v>163</v>
      </c>
      <c r="H378" s="538" t="s">
        <v>182</v>
      </c>
      <c r="I378" s="538" t="s">
        <v>122</v>
      </c>
      <c r="J378" s="538" t="s">
        <v>266</v>
      </c>
      <c r="K378" s="538" t="s">
        <v>1893</v>
      </c>
      <c r="L378" s="538" t="s">
        <v>1894</v>
      </c>
      <c r="M378" s="538" t="s">
        <v>673</v>
      </c>
      <c r="N378" s="538" t="s">
        <v>1895</v>
      </c>
      <c r="O378" s="538" t="b">
        <v>0</v>
      </c>
      <c r="P378" s="538" t="b">
        <v>1</v>
      </c>
      <c r="Q378" s="538" t="s">
        <v>79</v>
      </c>
      <c r="R378" s="538" t="s">
        <v>1883</v>
      </c>
      <c r="S378" s="538" t="s">
        <v>79</v>
      </c>
      <c r="T378" s="538" t="s">
        <v>1883</v>
      </c>
      <c r="U378" s="538" t="s">
        <v>79</v>
      </c>
      <c r="V378" s="538" t="s">
        <v>288</v>
      </c>
      <c r="W378" s="538" t="s">
        <v>79</v>
      </c>
      <c r="X378" s="538" t="s">
        <v>288</v>
      </c>
      <c r="Y378" s="538" t="s">
        <v>79</v>
      </c>
      <c r="Z378" s="538" t="s">
        <v>288</v>
      </c>
      <c r="AA378" s="538" t="s">
        <v>79</v>
      </c>
      <c r="AB378" s="538" t="s">
        <v>288</v>
      </c>
      <c r="AC378" s="538" t="s">
        <v>75</v>
      </c>
      <c r="AD378" s="538" t="s">
        <v>1326</v>
      </c>
      <c r="AE378" s="538" t="s">
        <v>79</v>
      </c>
      <c r="AF378" s="538" t="s">
        <v>288</v>
      </c>
      <c r="AG378" s="538" t="s">
        <v>79</v>
      </c>
      <c r="AH378" s="538" t="s">
        <v>288</v>
      </c>
      <c r="AI378" s="538" t="s">
        <v>79</v>
      </c>
      <c r="AJ378" s="538" t="s">
        <v>1883</v>
      </c>
      <c r="AK378" s="538" t="s">
        <v>79</v>
      </c>
      <c r="AL378" s="538" t="s">
        <v>1883</v>
      </c>
      <c r="AM378" s="538" t="s">
        <v>79</v>
      </c>
      <c r="AN378" s="538" t="s">
        <v>1883</v>
      </c>
      <c r="AO378" s="538" t="s">
        <v>79</v>
      </c>
      <c r="AP378" s="538" t="s">
        <v>340</v>
      </c>
      <c r="AQ378" s="538" t="s">
        <v>79</v>
      </c>
      <c r="AR378" s="538" t="s">
        <v>340</v>
      </c>
      <c r="AS378" s="538">
        <v>1.625902371E9</v>
      </c>
      <c r="AT378" s="538">
        <v>3.412597742E9</v>
      </c>
      <c r="AU378" s="538">
        <v>235.0</v>
      </c>
      <c r="AV378" s="538" t="s">
        <v>46</v>
      </c>
      <c r="AY378" s="538" t="s">
        <v>1326</v>
      </c>
      <c r="AZ378" s="538">
        <v>1.0</v>
      </c>
      <c r="BA378" s="538">
        <v>1.0</v>
      </c>
      <c r="BB378" s="538">
        <v>1.0</v>
      </c>
      <c r="BC378" s="538">
        <v>1.0</v>
      </c>
      <c r="BD378" s="538">
        <v>1.0</v>
      </c>
      <c r="BE378" s="538">
        <v>0.1</v>
      </c>
      <c r="BF378" s="538">
        <v>0.14</v>
      </c>
      <c r="BG378" s="538">
        <v>0.2</v>
      </c>
      <c r="BH378" s="538">
        <v>0.3</v>
      </c>
      <c r="BI378" s="538">
        <v>0.5</v>
      </c>
      <c r="BJ378" s="546"/>
      <c r="BL378" s="546"/>
    </row>
    <row r="379" ht="22.5" customHeight="1">
      <c r="A379" s="538">
        <v>378.0</v>
      </c>
      <c r="B379" s="538" t="s">
        <v>1892</v>
      </c>
      <c r="C379" s="538" t="s">
        <v>86</v>
      </c>
      <c r="D379" s="538" t="s">
        <v>1283</v>
      </c>
      <c r="E379" s="538" t="s">
        <v>214</v>
      </c>
      <c r="F379" s="538" t="s">
        <v>273</v>
      </c>
      <c r="G379" s="538" t="s">
        <v>239</v>
      </c>
      <c r="H379" s="538" t="s">
        <v>222</v>
      </c>
      <c r="I379" s="538" t="s">
        <v>122</v>
      </c>
      <c r="J379" s="538" t="s">
        <v>387</v>
      </c>
      <c r="K379" s="538" t="s">
        <v>1896</v>
      </c>
      <c r="L379" s="538" t="s">
        <v>1897</v>
      </c>
      <c r="M379" s="538" t="s">
        <v>1898</v>
      </c>
      <c r="N379" s="538" t="s">
        <v>673</v>
      </c>
      <c r="O379" s="538" t="b">
        <v>1</v>
      </c>
      <c r="P379" s="538" t="b">
        <v>1</v>
      </c>
      <c r="Q379" s="538" t="s">
        <v>75</v>
      </c>
      <c r="R379" s="538" t="s">
        <v>273</v>
      </c>
      <c r="S379" s="538" t="s">
        <v>75</v>
      </c>
      <c r="T379" s="538" t="s">
        <v>273</v>
      </c>
      <c r="U379" s="538" t="s">
        <v>75</v>
      </c>
      <c r="V379" s="538" t="s">
        <v>273</v>
      </c>
      <c r="W379" s="538" t="s">
        <v>75</v>
      </c>
      <c r="X379" s="538" t="s">
        <v>273</v>
      </c>
      <c r="Y379" s="538" t="s">
        <v>75</v>
      </c>
      <c r="Z379" s="538" t="s">
        <v>273</v>
      </c>
      <c r="AA379" s="538" t="s">
        <v>75</v>
      </c>
      <c r="AB379" s="538" t="s">
        <v>273</v>
      </c>
      <c r="AC379" s="538" t="s">
        <v>75</v>
      </c>
      <c r="AD379" s="538" t="s">
        <v>273</v>
      </c>
      <c r="AE379" s="538" t="s">
        <v>75</v>
      </c>
      <c r="AF379" s="538" t="s">
        <v>273</v>
      </c>
      <c r="AG379" s="538" t="s">
        <v>75</v>
      </c>
      <c r="AH379" s="538" t="s">
        <v>273</v>
      </c>
      <c r="AI379" s="538" t="s">
        <v>75</v>
      </c>
      <c r="AJ379" s="538" t="s">
        <v>273</v>
      </c>
      <c r="AK379" s="538" t="s">
        <v>75</v>
      </c>
      <c r="AL379" s="538" t="s">
        <v>273</v>
      </c>
      <c r="AM379" s="538" t="s">
        <v>75</v>
      </c>
      <c r="AN379" s="538" t="s">
        <v>273</v>
      </c>
      <c r="AO379" s="538" t="s">
        <v>79</v>
      </c>
      <c r="AP379" s="538" t="s">
        <v>214</v>
      </c>
      <c r="AQ379" s="538" t="s">
        <v>79</v>
      </c>
      <c r="AR379" s="538" t="s">
        <v>214</v>
      </c>
      <c r="AS379" s="538">
        <v>2.967109481E9</v>
      </c>
      <c r="AT379" s="538">
        <v>3.412597742E9</v>
      </c>
      <c r="AU379" s="538">
        <v>235.0</v>
      </c>
      <c r="AV379" s="538" t="s">
        <v>46</v>
      </c>
      <c r="AY379" s="538" t="s">
        <v>273</v>
      </c>
      <c r="AZ379" s="538">
        <v>0.4</v>
      </c>
      <c r="BA379" s="538">
        <v>0.45</v>
      </c>
      <c r="BB379" s="538">
        <v>0.5</v>
      </c>
      <c r="BC379" s="538">
        <v>0.6</v>
      </c>
      <c r="BD379" s="538">
        <v>0.7</v>
      </c>
      <c r="BE379" s="538">
        <v>1.0</v>
      </c>
      <c r="BF379" s="538">
        <v>1.0</v>
      </c>
      <c r="BG379" s="538">
        <v>1.0</v>
      </c>
      <c r="BH379" s="538">
        <v>1.0</v>
      </c>
      <c r="BI379" s="538">
        <v>1.0</v>
      </c>
      <c r="BJ379" s="546"/>
      <c r="BL379" s="546"/>
    </row>
    <row r="380" ht="22.5" customHeight="1">
      <c r="A380" s="538">
        <v>379.0</v>
      </c>
      <c r="B380" s="538" t="s">
        <v>1899</v>
      </c>
      <c r="C380" s="538" t="s">
        <v>82</v>
      </c>
      <c r="D380" s="538" t="s">
        <v>1283</v>
      </c>
      <c r="E380" s="538" t="s">
        <v>295</v>
      </c>
      <c r="F380" s="538" t="s">
        <v>1883</v>
      </c>
      <c r="G380" s="538" t="s">
        <v>239</v>
      </c>
      <c r="H380" s="538" t="s">
        <v>222</v>
      </c>
      <c r="I380" s="538" t="s">
        <v>189</v>
      </c>
      <c r="J380" s="538" t="s">
        <v>269</v>
      </c>
      <c r="K380" s="538" t="s">
        <v>1900</v>
      </c>
      <c r="L380" s="538" t="s">
        <v>1901</v>
      </c>
      <c r="M380" s="538" t="s">
        <v>673</v>
      </c>
      <c r="N380" s="538" t="s">
        <v>1902</v>
      </c>
      <c r="O380" s="538" t="b">
        <v>0</v>
      </c>
      <c r="P380" s="538" t="b">
        <v>1</v>
      </c>
      <c r="Q380" s="538" t="s">
        <v>79</v>
      </c>
      <c r="R380" s="538" t="s">
        <v>1883</v>
      </c>
      <c r="S380" s="538" t="s">
        <v>79</v>
      </c>
      <c r="T380" s="538" t="s">
        <v>1883</v>
      </c>
      <c r="U380" s="538" t="s">
        <v>79</v>
      </c>
      <c r="V380" s="538" t="s">
        <v>288</v>
      </c>
      <c r="W380" s="538" t="s">
        <v>79</v>
      </c>
      <c r="X380" s="538" t="s">
        <v>288</v>
      </c>
      <c r="Y380" s="538" t="s">
        <v>79</v>
      </c>
      <c r="Z380" s="538" t="s">
        <v>288</v>
      </c>
      <c r="AA380" s="538" t="s">
        <v>79</v>
      </c>
      <c r="AB380" s="538" t="s">
        <v>288</v>
      </c>
      <c r="AC380" s="538" t="s">
        <v>75</v>
      </c>
      <c r="AD380" s="538" t="s">
        <v>1326</v>
      </c>
      <c r="AE380" s="538" t="s">
        <v>79</v>
      </c>
      <c r="AF380" s="538" t="s">
        <v>288</v>
      </c>
      <c r="AG380" s="538" t="s">
        <v>79</v>
      </c>
      <c r="AH380" s="538" t="s">
        <v>288</v>
      </c>
      <c r="AI380" s="538" t="s">
        <v>79</v>
      </c>
      <c r="AJ380" s="538" t="s">
        <v>1883</v>
      </c>
      <c r="AK380" s="538" t="s">
        <v>79</v>
      </c>
      <c r="AL380" s="538" t="s">
        <v>1883</v>
      </c>
      <c r="AM380" s="538" t="s">
        <v>79</v>
      </c>
      <c r="AN380" s="538" t="s">
        <v>1883</v>
      </c>
      <c r="AO380" s="538" t="s">
        <v>79</v>
      </c>
      <c r="AP380" s="538" t="s">
        <v>295</v>
      </c>
      <c r="AQ380" s="538" t="s">
        <v>79</v>
      </c>
      <c r="AR380" s="538" t="s">
        <v>295</v>
      </c>
      <c r="AS380" s="538">
        <v>1.208839018E9</v>
      </c>
      <c r="AT380" s="538">
        <v>1.039950897E9</v>
      </c>
      <c r="AU380" s="538">
        <v>236.0</v>
      </c>
      <c r="AV380" s="538" t="s">
        <v>46</v>
      </c>
      <c r="AY380" s="538" t="s">
        <v>1326</v>
      </c>
      <c r="AZ380" s="538">
        <v>1.0</v>
      </c>
      <c r="BA380" s="538">
        <v>1.0</v>
      </c>
      <c r="BB380" s="538">
        <v>1.0</v>
      </c>
      <c r="BC380" s="538">
        <v>1.0</v>
      </c>
      <c r="BD380" s="538">
        <v>1.0</v>
      </c>
      <c r="BE380" s="538">
        <v>0.05</v>
      </c>
      <c r="BF380" s="538">
        <v>0.07</v>
      </c>
      <c r="BG380" s="538">
        <v>0.1</v>
      </c>
      <c r="BH380" s="538">
        <v>0.15</v>
      </c>
      <c r="BI380" s="538">
        <v>0.25</v>
      </c>
      <c r="BJ380" s="546"/>
      <c r="BL380" s="546"/>
    </row>
    <row r="381" ht="22.5" customHeight="1">
      <c r="A381" s="538">
        <v>380.0</v>
      </c>
      <c r="B381" s="538" t="s">
        <v>1899</v>
      </c>
      <c r="C381" s="538" t="s">
        <v>86</v>
      </c>
      <c r="D381" s="538" t="s">
        <v>1283</v>
      </c>
      <c r="E381" s="538" t="s">
        <v>223</v>
      </c>
      <c r="F381" s="538" t="s">
        <v>1887</v>
      </c>
      <c r="G381" s="538" t="s">
        <v>239</v>
      </c>
      <c r="H381" s="538" t="s">
        <v>250</v>
      </c>
      <c r="I381" s="538" t="s">
        <v>122</v>
      </c>
      <c r="K381" s="538" t="s">
        <v>1903</v>
      </c>
      <c r="L381" s="538" t="s">
        <v>1904</v>
      </c>
      <c r="M381" s="538" t="s">
        <v>673</v>
      </c>
      <c r="N381" s="538" t="s">
        <v>1905</v>
      </c>
      <c r="O381" s="538" t="b">
        <v>0</v>
      </c>
      <c r="P381" s="538" t="b">
        <v>1</v>
      </c>
      <c r="Q381" s="538" t="s">
        <v>75</v>
      </c>
      <c r="R381" s="538" t="s">
        <v>357</v>
      </c>
      <c r="S381" s="538" t="s">
        <v>75</v>
      </c>
      <c r="T381" s="538" t="s">
        <v>357</v>
      </c>
      <c r="U381" s="538" t="s">
        <v>79</v>
      </c>
      <c r="V381" s="538" t="s">
        <v>1887</v>
      </c>
      <c r="W381" s="538" t="s">
        <v>79</v>
      </c>
      <c r="X381" s="538" t="s">
        <v>1887</v>
      </c>
      <c r="Y381" s="538" t="s">
        <v>79</v>
      </c>
      <c r="Z381" s="538" t="s">
        <v>1887</v>
      </c>
      <c r="AA381" s="538" t="s">
        <v>79</v>
      </c>
      <c r="AB381" s="538" t="s">
        <v>1887</v>
      </c>
      <c r="AC381" s="538" t="s">
        <v>79</v>
      </c>
      <c r="AD381" s="538" t="s">
        <v>1887</v>
      </c>
      <c r="AE381" s="538" t="s">
        <v>79</v>
      </c>
      <c r="AF381" s="538" t="s">
        <v>1887</v>
      </c>
      <c r="AG381" s="538" t="s">
        <v>79</v>
      </c>
      <c r="AH381" s="538" t="s">
        <v>1887</v>
      </c>
      <c r="AI381" s="538" t="s">
        <v>79</v>
      </c>
      <c r="AJ381" s="538" t="s">
        <v>1887</v>
      </c>
      <c r="AK381" s="538" t="s">
        <v>79</v>
      </c>
      <c r="AL381" s="538" t="s">
        <v>1887</v>
      </c>
      <c r="AM381" s="538" t="s">
        <v>79</v>
      </c>
      <c r="AN381" s="538" t="s">
        <v>1887</v>
      </c>
      <c r="AO381" s="538" t="s">
        <v>79</v>
      </c>
      <c r="AP381" s="538" t="s">
        <v>223</v>
      </c>
      <c r="AQ381" s="538" t="s">
        <v>79</v>
      </c>
      <c r="AR381" s="538" t="s">
        <v>223</v>
      </c>
      <c r="AS381" s="538">
        <v>7.20203532E8</v>
      </c>
      <c r="AT381" s="538">
        <v>1.039950897E9</v>
      </c>
      <c r="AU381" s="538">
        <v>236.0</v>
      </c>
      <c r="AV381" s="538" t="s">
        <v>46</v>
      </c>
      <c r="AX381" s="538" t="s">
        <v>1891</v>
      </c>
      <c r="AY381" s="538" t="s">
        <v>357</v>
      </c>
      <c r="AZ381" s="538">
        <v>1.0</v>
      </c>
      <c r="BA381" s="538">
        <v>1.0</v>
      </c>
      <c r="BB381" s="538">
        <v>1.0</v>
      </c>
      <c r="BC381" s="538">
        <v>1.0</v>
      </c>
      <c r="BD381" s="538">
        <v>1.0</v>
      </c>
      <c r="BE381" s="538">
        <v>1.25</v>
      </c>
      <c r="BF381" s="538">
        <v>1.5</v>
      </c>
      <c r="BG381" s="538">
        <v>1.75</v>
      </c>
      <c r="BH381" s="538">
        <v>2.25</v>
      </c>
      <c r="BI381" s="538">
        <v>3.0</v>
      </c>
      <c r="BJ381" s="546"/>
      <c r="BL381" s="546"/>
    </row>
    <row r="382" ht="22.5" customHeight="1">
      <c r="A382" s="538">
        <v>381.0</v>
      </c>
      <c r="B382" s="538" t="s">
        <v>1906</v>
      </c>
      <c r="C382" s="538" t="s">
        <v>84</v>
      </c>
      <c r="D382" s="538" t="s">
        <v>1907</v>
      </c>
      <c r="E382" s="538" t="s">
        <v>214</v>
      </c>
      <c r="F382" s="538" t="s">
        <v>248</v>
      </c>
      <c r="G382" s="538" t="s">
        <v>239</v>
      </c>
      <c r="H382" s="538" t="s">
        <v>250</v>
      </c>
      <c r="I382" s="538" t="s">
        <v>122</v>
      </c>
      <c r="J382" s="538" t="s">
        <v>382</v>
      </c>
      <c r="K382" s="538" t="s">
        <v>1908</v>
      </c>
      <c r="L382" s="538" t="s">
        <v>1909</v>
      </c>
      <c r="M382" s="538" t="s">
        <v>1910</v>
      </c>
      <c r="N382" s="538" t="s">
        <v>661</v>
      </c>
      <c r="O382" s="538" t="b">
        <v>1</v>
      </c>
      <c r="P382" s="538" t="b">
        <v>1</v>
      </c>
      <c r="Q382" s="538" t="s">
        <v>73</v>
      </c>
      <c r="S382" s="538" t="s">
        <v>73</v>
      </c>
      <c r="U382" s="538" t="s">
        <v>79</v>
      </c>
      <c r="V382" s="538" t="s">
        <v>248</v>
      </c>
      <c r="W382" s="538" t="s">
        <v>79</v>
      </c>
      <c r="X382" s="538" t="s">
        <v>248</v>
      </c>
      <c r="Y382" s="538" t="s">
        <v>79</v>
      </c>
      <c r="Z382" s="538" t="s">
        <v>248</v>
      </c>
      <c r="AA382" s="538" t="s">
        <v>79</v>
      </c>
      <c r="AB382" s="538" t="s">
        <v>248</v>
      </c>
      <c r="AC382" s="538" t="s">
        <v>79</v>
      </c>
      <c r="AD382" s="538" t="s">
        <v>248</v>
      </c>
      <c r="AE382" s="538" t="s">
        <v>79</v>
      </c>
      <c r="AF382" s="538" t="s">
        <v>248</v>
      </c>
      <c r="AG382" s="538" t="s">
        <v>79</v>
      </c>
      <c r="AH382" s="538" t="s">
        <v>248</v>
      </c>
      <c r="AI382" s="538" t="s">
        <v>79</v>
      </c>
      <c r="AJ382" s="538" t="s">
        <v>248</v>
      </c>
      <c r="AK382" s="538" t="s">
        <v>79</v>
      </c>
      <c r="AL382" s="538" t="s">
        <v>248</v>
      </c>
      <c r="AM382" s="538" t="s">
        <v>79</v>
      </c>
      <c r="AN382" s="538" t="s">
        <v>248</v>
      </c>
      <c r="AO382" s="538" t="s">
        <v>79</v>
      </c>
      <c r="AP382" s="538" t="s">
        <v>214</v>
      </c>
      <c r="AQ382" s="538" t="s">
        <v>79</v>
      </c>
      <c r="AR382" s="538" t="s">
        <v>214</v>
      </c>
      <c r="AS382" s="538">
        <v>3.119262188E9</v>
      </c>
      <c r="AT382" s="538">
        <v>1.109650513E9</v>
      </c>
      <c r="AU382" s="538">
        <v>237.0</v>
      </c>
      <c r="AV382" s="538" t="s">
        <v>47</v>
      </c>
      <c r="AZ382" s="538">
        <v>0.9</v>
      </c>
      <c r="BA382" s="538">
        <v>0.01</v>
      </c>
      <c r="BB382" s="538">
        <v>0.05</v>
      </c>
      <c r="BE382" s="538">
        <v>1.0</v>
      </c>
      <c r="BF382" s="538">
        <v>1.0</v>
      </c>
      <c r="BG382" s="538">
        <v>1.0</v>
      </c>
      <c r="BJ382" s="546"/>
      <c r="BL382" s="546"/>
    </row>
    <row r="383" ht="22.5" customHeight="1">
      <c r="A383" s="538">
        <v>382.0</v>
      </c>
      <c r="B383" s="538" t="s">
        <v>1906</v>
      </c>
      <c r="C383" s="538" t="s">
        <v>82</v>
      </c>
      <c r="D383" s="538" t="s">
        <v>1907</v>
      </c>
      <c r="E383" s="538" t="s">
        <v>218</v>
      </c>
      <c r="F383" s="538" t="s">
        <v>1767</v>
      </c>
      <c r="G383" s="538" t="s">
        <v>163</v>
      </c>
      <c r="H383" s="538" t="s">
        <v>250</v>
      </c>
      <c r="I383" s="538" t="s">
        <v>122</v>
      </c>
      <c r="K383" s="538" t="s">
        <v>1911</v>
      </c>
      <c r="L383" s="538" t="s">
        <v>1912</v>
      </c>
      <c r="M383" s="538" t="s">
        <v>673</v>
      </c>
      <c r="N383" s="538" t="s">
        <v>1913</v>
      </c>
      <c r="O383" s="538" t="b">
        <v>0</v>
      </c>
      <c r="P383" s="538" t="b">
        <v>1</v>
      </c>
      <c r="Q383" s="538" t="s">
        <v>75</v>
      </c>
      <c r="R383" s="538" t="s">
        <v>225</v>
      </c>
      <c r="S383" s="538" t="s">
        <v>75</v>
      </c>
      <c r="T383" s="538" t="s">
        <v>225</v>
      </c>
      <c r="U383" s="538" t="s">
        <v>79</v>
      </c>
      <c r="V383" s="538" t="s">
        <v>1767</v>
      </c>
      <c r="W383" s="538" t="s">
        <v>79</v>
      </c>
      <c r="X383" s="538" t="s">
        <v>1767</v>
      </c>
      <c r="Y383" s="538" t="s">
        <v>79</v>
      </c>
      <c r="Z383" s="538" t="s">
        <v>1767</v>
      </c>
      <c r="AA383" s="538" t="s">
        <v>79</v>
      </c>
      <c r="AB383" s="538" t="s">
        <v>1767</v>
      </c>
      <c r="AC383" s="538" t="s">
        <v>79</v>
      </c>
      <c r="AD383" s="538" t="s">
        <v>1767</v>
      </c>
      <c r="AE383" s="538" t="s">
        <v>79</v>
      </c>
      <c r="AF383" s="538" t="s">
        <v>1767</v>
      </c>
      <c r="AG383" s="538" t="s">
        <v>79</v>
      </c>
      <c r="AH383" s="538" t="s">
        <v>1767</v>
      </c>
      <c r="AI383" s="538" t="s">
        <v>79</v>
      </c>
      <c r="AJ383" s="538" t="s">
        <v>1767</v>
      </c>
      <c r="AK383" s="538" t="s">
        <v>79</v>
      </c>
      <c r="AL383" s="538" t="s">
        <v>1767</v>
      </c>
      <c r="AM383" s="538" t="s">
        <v>79</v>
      </c>
      <c r="AN383" s="538" t="s">
        <v>1767</v>
      </c>
      <c r="AO383" s="538" t="s">
        <v>79</v>
      </c>
      <c r="AP383" s="538" t="s">
        <v>218</v>
      </c>
      <c r="AQ383" s="538" t="s">
        <v>79</v>
      </c>
      <c r="AR383" s="538" t="s">
        <v>218</v>
      </c>
      <c r="AS383" s="538">
        <v>1.747115615E9</v>
      </c>
      <c r="AT383" s="538">
        <v>1.109650513E9</v>
      </c>
      <c r="AU383" s="538">
        <v>237.0</v>
      </c>
      <c r="AV383" s="538" t="s">
        <v>47</v>
      </c>
      <c r="AY383" s="538" t="s">
        <v>225</v>
      </c>
      <c r="AZ383" s="538">
        <v>1.0</v>
      </c>
      <c r="BA383" s="538">
        <v>1.0</v>
      </c>
      <c r="BB383" s="538">
        <v>1.0</v>
      </c>
      <c r="BC383" s="538">
        <v>1.0</v>
      </c>
      <c r="BD383" s="538">
        <v>1.0</v>
      </c>
      <c r="BE383" s="538">
        <v>5.0</v>
      </c>
      <c r="BF383" s="538">
        <v>9.0</v>
      </c>
      <c r="BG383" s="538">
        <v>15.0</v>
      </c>
      <c r="BH383" s="538">
        <v>22.0</v>
      </c>
      <c r="BI383" s="538">
        <v>30.0</v>
      </c>
      <c r="BJ383" s="546"/>
      <c r="BL383" s="546"/>
    </row>
    <row r="384" ht="22.5" customHeight="1">
      <c r="A384" s="538">
        <v>383.0</v>
      </c>
      <c r="B384" s="538" t="s">
        <v>1914</v>
      </c>
      <c r="C384" s="538" t="s">
        <v>82</v>
      </c>
      <c r="D384" s="538" t="s">
        <v>1907</v>
      </c>
      <c r="E384" s="538" t="s">
        <v>295</v>
      </c>
      <c r="F384" s="538" t="s">
        <v>1688</v>
      </c>
      <c r="G384" s="538" t="s">
        <v>230</v>
      </c>
      <c r="H384" s="538" t="s">
        <v>250</v>
      </c>
      <c r="I384" s="538" t="s">
        <v>155</v>
      </c>
      <c r="K384" s="538" t="s">
        <v>1915</v>
      </c>
      <c r="L384" s="538" t="s">
        <v>1916</v>
      </c>
      <c r="M384" s="538" t="s">
        <v>673</v>
      </c>
      <c r="N384" s="538" t="s">
        <v>1917</v>
      </c>
      <c r="O384" s="538" t="b">
        <v>0</v>
      </c>
      <c r="P384" s="538" t="b">
        <v>1</v>
      </c>
      <c r="Q384" s="538" t="s">
        <v>79</v>
      </c>
      <c r="R384" s="538" t="s">
        <v>228</v>
      </c>
      <c r="S384" s="538" t="s">
        <v>79</v>
      </c>
      <c r="T384" s="538" t="s">
        <v>228</v>
      </c>
      <c r="U384" s="538" t="s">
        <v>73</v>
      </c>
      <c r="W384" s="538" t="s">
        <v>73</v>
      </c>
      <c r="Y384" s="538" t="s">
        <v>79</v>
      </c>
      <c r="Z384" s="538" t="s">
        <v>228</v>
      </c>
      <c r="AA384" s="538" t="s">
        <v>73</v>
      </c>
      <c r="AC384" s="538" t="s">
        <v>79</v>
      </c>
      <c r="AD384" s="538" t="s">
        <v>377</v>
      </c>
      <c r="AE384" s="538" t="s">
        <v>79</v>
      </c>
      <c r="AF384" s="538" t="s">
        <v>377</v>
      </c>
      <c r="AG384" s="538" t="s">
        <v>79</v>
      </c>
      <c r="AH384" s="538" t="s">
        <v>228</v>
      </c>
      <c r="AI384" s="538" t="s">
        <v>79</v>
      </c>
      <c r="AJ384" s="538" t="s">
        <v>377</v>
      </c>
      <c r="AK384" s="538" t="s">
        <v>79</v>
      </c>
      <c r="AL384" s="538" t="s">
        <v>228</v>
      </c>
      <c r="AM384" s="538" t="s">
        <v>79</v>
      </c>
      <c r="AN384" s="538" t="s">
        <v>228</v>
      </c>
      <c r="AO384" s="538" t="s">
        <v>79</v>
      </c>
      <c r="AP384" s="538" t="s">
        <v>295</v>
      </c>
      <c r="AQ384" s="538" t="s">
        <v>79</v>
      </c>
      <c r="AR384" s="538" t="s">
        <v>295</v>
      </c>
      <c r="AS384" s="538">
        <v>4.013453392E9</v>
      </c>
      <c r="AT384" s="538">
        <v>8.02343108E8</v>
      </c>
      <c r="AU384" s="538">
        <v>238.0</v>
      </c>
      <c r="AV384" s="538" t="s">
        <v>46</v>
      </c>
      <c r="AZ384" s="538">
        <v>1.0</v>
      </c>
      <c r="BA384" s="538">
        <v>1.0</v>
      </c>
      <c r="BB384" s="538">
        <v>1.0</v>
      </c>
      <c r="BC384" s="538">
        <v>1.0</v>
      </c>
      <c r="BD384" s="538">
        <v>1.0</v>
      </c>
      <c r="BE384" s="538">
        <v>0.03</v>
      </c>
      <c r="BF384" s="538">
        <v>0.04</v>
      </c>
      <c r="BG384" s="538">
        <v>0.05</v>
      </c>
      <c r="BH384" s="538">
        <v>0.06</v>
      </c>
      <c r="BI384" s="538">
        <v>0.08</v>
      </c>
      <c r="BJ384" s="546"/>
      <c r="BL384" s="546"/>
    </row>
    <row r="385" ht="22.5" customHeight="1">
      <c r="A385" s="538">
        <v>384.0</v>
      </c>
      <c r="B385" s="538" t="s">
        <v>1914</v>
      </c>
      <c r="C385" s="538" t="s">
        <v>86</v>
      </c>
      <c r="D385" s="538" t="s">
        <v>1907</v>
      </c>
      <c r="E385" s="538" t="s">
        <v>262</v>
      </c>
      <c r="G385" s="538" t="s">
        <v>151</v>
      </c>
      <c r="H385" s="538" t="s">
        <v>250</v>
      </c>
      <c r="I385" s="538" t="s">
        <v>122</v>
      </c>
      <c r="K385" s="538" t="s">
        <v>1918</v>
      </c>
      <c r="L385" s="538" t="s">
        <v>1919</v>
      </c>
      <c r="M385" s="538" t="s">
        <v>673</v>
      </c>
      <c r="N385" s="538" t="s">
        <v>1881</v>
      </c>
      <c r="O385" s="538" t="b">
        <v>0</v>
      </c>
      <c r="P385" s="538" t="b">
        <v>1</v>
      </c>
      <c r="Q385" s="538" t="s">
        <v>79</v>
      </c>
      <c r="R385" s="538" t="s">
        <v>262</v>
      </c>
      <c r="S385" s="538" t="s">
        <v>79</v>
      </c>
      <c r="T385" s="538" t="s">
        <v>262</v>
      </c>
      <c r="U385" s="538" t="s">
        <v>75</v>
      </c>
      <c r="V385" s="538" t="s">
        <v>1878</v>
      </c>
      <c r="W385" s="538" t="s">
        <v>79</v>
      </c>
      <c r="X385" s="538" t="s">
        <v>262</v>
      </c>
      <c r="Y385" s="538" t="s">
        <v>79</v>
      </c>
      <c r="Z385" s="538" t="s">
        <v>262</v>
      </c>
      <c r="AA385" s="538" t="s">
        <v>79</v>
      </c>
      <c r="AB385" s="538" t="s">
        <v>262</v>
      </c>
      <c r="AC385" s="538" t="s">
        <v>79</v>
      </c>
      <c r="AD385" s="538" t="s">
        <v>262</v>
      </c>
      <c r="AE385" s="538" t="s">
        <v>79</v>
      </c>
      <c r="AF385" s="538" t="s">
        <v>262</v>
      </c>
      <c r="AG385" s="538" t="s">
        <v>79</v>
      </c>
      <c r="AH385" s="538" t="s">
        <v>262</v>
      </c>
      <c r="AI385" s="538" t="s">
        <v>79</v>
      </c>
      <c r="AJ385" s="538" t="s">
        <v>262</v>
      </c>
      <c r="AK385" s="538" t="s">
        <v>79</v>
      </c>
      <c r="AL385" s="538" t="s">
        <v>262</v>
      </c>
      <c r="AM385" s="538" t="s">
        <v>79</v>
      </c>
      <c r="AN385" s="538" t="s">
        <v>262</v>
      </c>
      <c r="AO385" s="538" t="s">
        <v>73</v>
      </c>
      <c r="AQ385" s="538" t="s">
        <v>79</v>
      </c>
      <c r="AR385" s="538" t="s">
        <v>262</v>
      </c>
      <c r="AS385" s="538">
        <v>3.142924865E9</v>
      </c>
      <c r="AT385" s="538">
        <v>8.02343108E8</v>
      </c>
      <c r="AU385" s="538">
        <v>238.0</v>
      </c>
      <c r="AV385" s="538" t="s">
        <v>46</v>
      </c>
      <c r="AY385" s="538" t="s">
        <v>262</v>
      </c>
      <c r="AZ385" s="538">
        <v>1.0</v>
      </c>
      <c r="BA385" s="538">
        <v>1.0</v>
      </c>
      <c r="BB385" s="538">
        <v>1.0</v>
      </c>
      <c r="BC385" s="538">
        <v>1.0</v>
      </c>
      <c r="BD385" s="538">
        <v>1.0</v>
      </c>
      <c r="BE385" s="538">
        <v>0.1</v>
      </c>
      <c r="BF385" s="538">
        <v>0.15</v>
      </c>
      <c r="BG385" s="538">
        <v>0.2</v>
      </c>
      <c r="BH385" s="538">
        <v>0.3</v>
      </c>
      <c r="BI385" s="538">
        <v>0.5</v>
      </c>
      <c r="BJ385" s="546"/>
      <c r="BL385" s="546"/>
    </row>
    <row r="386" ht="22.5" customHeight="1">
      <c r="A386" s="538">
        <v>385.0</v>
      </c>
      <c r="B386" s="538" t="s">
        <v>1920</v>
      </c>
      <c r="C386" s="538" t="s">
        <v>84</v>
      </c>
      <c r="D386" s="538" t="s">
        <v>1907</v>
      </c>
      <c r="E386" s="538" t="s">
        <v>214</v>
      </c>
      <c r="F386" s="538" t="s">
        <v>248</v>
      </c>
      <c r="G386" s="538" t="s">
        <v>239</v>
      </c>
      <c r="H386" s="538" t="s">
        <v>222</v>
      </c>
      <c r="I386" s="538" t="s">
        <v>122</v>
      </c>
      <c r="J386" s="538" t="s">
        <v>379</v>
      </c>
      <c r="K386" s="538" t="s">
        <v>1921</v>
      </c>
      <c r="L386" s="538" t="s">
        <v>1922</v>
      </c>
      <c r="M386" s="538" t="s">
        <v>1910</v>
      </c>
      <c r="N386" s="538" t="s">
        <v>661</v>
      </c>
      <c r="O386" s="538" t="b">
        <v>1</v>
      </c>
      <c r="P386" s="538" t="b">
        <v>1</v>
      </c>
      <c r="Q386" s="538" t="s">
        <v>73</v>
      </c>
      <c r="S386" s="538" t="s">
        <v>73</v>
      </c>
      <c r="U386" s="538" t="s">
        <v>79</v>
      </c>
      <c r="V386" s="538" t="s">
        <v>248</v>
      </c>
      <c r="W386" s="538" t="s">
        <v>79</v>
      </c>
      <c r="X386" s="538" t="s">
        <v>248</v>
      </c>
      <c r="Y386" s="538" t="s">
        <v>79</v>
      </c>
      <c r="Z386" s="538" t="s">
        <v>248</v>
      </c>
      <c r="AA386" s="538" t="s">
        <v>79</v>
      </c>
      <c r="AB386" s="538" t="s">
        <v>248</v>
      </c>
      <c r="AC386" s="538" t="s">
        <v>79</v>
      </c>
      <c r="AD386" s="538" t="s">
        <v>248</v>
      </c>
      <c r="AE386" s="538" t="s">
        <v>79</v>
      </c>
      <c r="AF386" s="538" t="s">
        <v>248</v>
      </c>
      <c r="AG386" s="538" t="s">
        <v>79</v>
      </c>
      <c r="AH386" s="538" t="s">
        <v>248</v>
      </c>
      <c r="AI386" s="538" t="s">
        <v>79</v>
      </c>
      <c r="AJ386" s="538" t="s">
        <v>248</v>
      </c>
      <c r="AK386" s="538" t="s">
        <v>79</v>
      </c>
      <c r="AL386" s="538" t="s">
        <v>248</v>
      </c>
      <c r="AM386" s="538" t="s">
        <v>79</v>
      </c>
      <c r="AN386" s="538" t="s">
        <v>248</v>
      </c>
      <c r="AO386" s="538" t="s">
        <v>79</v>
      </c>
      <c r="AP386" s="538" t="s">
        <v>214</v>
      </c>
      <c r="AQ386" s="538" t="s">
        <v>79</v>
      </c>
      <c r="AR386" s="538" t="s">
        <v>214</v>
      </c>
      <c r="AS386" s="538">
        <v>4.9650777E8</v>
      </c>
      <c r="AT386" s="538">
        <v>3.484257385E9</v>
      </c>
      <c r="AU386" s="538">
        <v>240.0</v>
      </c>
      <c r="AV386" s="538" t="s">
        <v>47</v>
      </c>
      <c r="AZ386" s="538">
        <v>0.9</v>
      </c>
      <c r="BA386" s="538">
        <v>0.01</v>
      </c>
      <c r="BB386" s="538">
        <v>0.05</v>
      </c>
      <c r="BE386" s="538">
        <v>1.0</v>
      </c>
      <c r="BF386" s="538">
        <v>1.0</v>
      </c>
      <c r="BG386" s="538">
        <v>1.0</v>
      </c>
      <c r="BJ386" s="546"/>
      <c r="BL386" s="546"/>
    </row>
    <row r="387" ht="22.5" customHeight="1">
      <c r="A387" s="538">
        <v>386.0</v>
      </c>
      <c r="B387" s="538" t="s">
        <v>1920</v>
      </c>
      <c r="C387" s="538" t="s">
        <v>82</v>
      </c>
      <c r="D387" s="538" t="s">
        <v>1907</v>
      </c>
      <c r="E387" s="538" t="s">
        <v>218</v>
      </c>
      <c r="F387" s="538" t="s">
        <v>1923</v>
      </c>
      <c r="G387" s="538" t="s">
        <v>163</v>
      </c>
      <c r="H387" s="538" t="s">
        <v>250</v>
      </c>
      <c r="I387" s="538" t="s">
        <v>122</v>
      </c>
      <c r="K387" s="538" t="s">
        <v>1924</v>
      </c>
      <c r="L387" s="538" t="s">
        <v>1925</v>
      </c>
      <c r="M387" s="538" t="s">
        <v>673</v>
      </c>
      <c r="N387" s="538" t="s">
        <v>1913</v>
      </c>
      <c r="O387" s="538" t="b">
        <v>0</v>
      </c>
      <c r="P387" s="538" t="b">
        <v>1</v>
      </c>
      <c r="Q387" s="538" t="s">
        <v>75</v>
      </c>
      <c r="R387" s="538" t="s">
        <v>238</v>
      </c>
      <c r="S387" s="538" t="s">
        <v>75</v>
      </c>
      <c r="T387" s="538" t="s">
        <v>238</v>
      </c>
      <c r="U387" s="538" t="s">
        <v>79</v>
      </c>
      <c r="V387" s="538" t="s">
        <v>1923</v>
      </c>
      <c r="W387" s="538" t="s">
        <v>79</v>
      </c>
      <c r="X387" s="538" t="s">
        <v>1923</v>
      </c>
      <c r="Y387" s="538" t="s">
        <v>79</v>
      </c>
      <c r="Z387" s="538" t="s">
        <v>1923</v>
      </c>
      <c r="AA387" s="538" t="s">
        <v>79</v>
      </c>
      <c r="AB387" s="538" t="s">
        <v>1923</v>
      </c>
      <c r="AC387" s="538" t="s">
        <v>79</v>
      </c>
      <c r="AD387" s="538" t="s">
        <v>1923</v>
      </c>
      <c r="AE387" s="538" t="s">
        <v>79</v>
      </c>
      <c r="AF387" s="538" t="s">
        <v>1923</v>
      </c>
      <c r="AG387" s="538" t="s">
        <v>79</v>
      </c>
      <c r="AH387" s="538" t="s">
        <v>1923</v>
      </c>
      <c r="AI387" s="538" t="s">
        <v>79</v>
      </c>
      <c r="AJ387" s="538" t="s">
        <v>1923</v>
      </c>
      <c r="AK387" s="538" t="s">
        <v>79</v>
      </c>
      <c r="AL387" s="538" t="s">
        <v>1923</v>
      </c>
      <c r="AM387" s="538" t="s">
        <v>79</v>
      </c>
      <c r="AN387" s="538" t="s">
        <v>1923</v>
      </c>
      <c r="AO387" s="538" t="s">
        <v>79</v>
      </c>
      <c r="AP387" s="538" t="s">
        <v>218</v>
      </c>
      <c r="AQ387" s="538" t="s">
        <v>79</v>
      </c>
      <c r="AR387" s="538" t="s">
        <v>218</v>
      </c>
      <c r="AS387" s="538">
        <v>2.175948376E9</v>
      </c>
      <c r="AT387" s="538">
        <v>3.484257385E9</v>
      </c>
      <c r="AU387" s="538">
        <v>240.0</v>
      </c>
      <c r="AV387" s="538" t="s">
        <v>47</v>
      </c>
      <c r="AY387" s="538" t="s">
        <v>238</v>
      </c>
      <c r="AZ387" s="538">
        <v>1.0</v>
      </c>
      <c r="BA387" s="538">
        <v>1.0</v>
      </c>
      <c r="BB387" s="538">
        <v>1.0</v>
      </c>
      <c r="BC387" s="538">
        <v>1.0</v>
      </c>
      <c r="BD387" s="538">
        <v>1.0</v>
      </c>
      <c r="BE387" s="538">
        <v>5.0</v>
      </c>
      <c r="BF387" s="538">
        <v>9.0</v>
      </c>
      <c r="BG387" s="538">
        <v>15.0</v>
      </c>
      <c r="BH387" s="538">
        <v>22.0</v>
      </c>
      <c r="BI387" s="538">
        <v>30.0</v>
      </c>
      <c r="BJ387" s="546"/>
      <c r="BL387" s="546"/>
    </row>
    <row r="388" ht="22.5" customHeight="1">
      <c r="A388" s="538">
        <v>387.0</v>
      </c>
      <c r="B388" s="538" t="s">
        <v>1926</v>
      </c>
      <c r="C388" s="538" t="s">
        <v>84</v>
      </c>
      <c r="D388" s="538" t="s">
        <v>1907</v>
      </c>
      <c r="E388" s="538" t="s">
        <v>214</v>
      </c>
      <c r="F388" s="538" t="s">
        <v>248</v>
      </c>
      <c r="G388" s="538" t="s">
        <v>239</v>
      </c>
      <c r="H388" s="538" t="s">
        <v>222</v>
      </c>
      <c r="I388" s="538" t="s">
        <v>122</v>
      </c>
      <c r="J388" s="538" t="s">
        <v>376</v>
      </c>
      <c r="K388" s="538" t="s">
        <v>1927</v>
      </c>
      <c r="L388" s="538" t="s">
        <v>1928</v>
      </c>
      <c r="M388" s="538" t="s">
        <v>1910</v>
      </c>
      <c r="N388" s="538" t="s">
        <v>661</v>
      </c>
      <c r="O388" s="538" t="b">
        <v>1</v>
      </c>
      <c r="P388" s="538" t="b">
        <v>1</v>
      </c>
      <c r="Q388" s="538" t="s">
        <v>73</v>
      </c>
      <c r="S388" s="538" t="s">
        <v>73</v>
      </c>
      <c r="U388" s="538" t="s">
        <v>79</v>
      </c>
      <c r="V388" s="538" t="s">
        <v>248</v>
      </c>
      <c r="W388" s="538" t="s">
        <v>79</v>
      </c>
      <c r="X388" s="538" t="s">
        <v>248</v>
      </c>
      <c r="Y388" s="538" t="s">
        <v>79</v>
      </c>
      <c r="Z388" s="538" t="s">
        <v>248</v>
      </c>
      <c r="AA388" s="538" t="s">
        <v>79</v>
      </c>
      <c r="AB388" s="538" t="s">
        <v>248</v>
      </c>
      <c r="AC388" s="538" t="s">
        <v>79</v>
      </c>
      <c r="AD388" s="538" t="s">
        <v>248</v>
      </c>
      <c r="AE388" s="538" t="s">
        <v>79</v>
      </c>
      <c r="AF388" s="538" t="s">
        <v>248</v>
      </c>
      <c r="AG388" s="538" t="s">
        <v>79</v>
      </c>
      <c r="AH388" s="538" t="s">
        <v>248</v>
      </c>
      <c r="AI388" s="538" t="s">
        <v>79</v>
      </c>
      <c r="AJ388" s="538" t="s">
        <v>248</v>
      </c>
      <c r="AK388" s="538" t="s">
        <v>79</v>
      </c>
      <c r="AL388" s="538" t="s">
        <v>248</v>
      </c>
      <c r="AM388" s="538" t="s">
        <v>79</v>
      </c>
      <c r="AN388" s="538" t="s">
        <v>248</v>
      </c>
      <c r="AO388" s="538" t="s">
        <v>79</v>
      </c>
      <c r="AP388" s="538" t="s">
        <v>214</v>
      </c>
      <c r="AQ388" s="538" t="s">
        <v>79</v>
      </c>
      <c r="AR388" s="538" t="s">
        <v>214</v>
      </c>
      <c r="AS388" s="538">
        <v>3.774366383E9</v>
      </c>
      <c r="AT388" s="538">
        <v>2.83632482E9</v>
      </c>
      <c r="AU388" s="538">
        <v>239.0</v>
      </c>
      <c r="AV388" s="538" t="s">
        <v>47</v>
      </c>
      <c r="AZ388" s="538">
        <v>0.9</v>
      </c>
      <c r="BA388" s="538">
        <v>0.01</v>
      </c>
      <c r="BB388" s="538">
        <v>0.05</v>
      </c>
      <c r="BE388" s="538">
        <v>1.0</v>
      </c>
      <c r="BF388" s="538">
        <v>1.0</v>
      </c>
      <c r="BG388" s="538">
        <v>1.0</v>
      </c>
      <c r="BJ388" s="546"/>
      <c r="BL388" s="546"/>
    </row>
    <row r="389" ht="22.5" customHeight="1">
      <c r="A389" s="538">
        <v>388.0</v>
      </c>
      <c r="B389" s="538" t="s">
        <v>1926</v>
      </c>
      <c r="C389" s="538" t="s">
        <v>82</v>
      </c>
      <c r="D389" s="538" t="s">
        <v>1907</v>
      </c>
      <c r="E389" s="538" t="s">
        <v>218</v>
      </c>
      <c r="F389" s="538" t="s">
        <v>1929</v>
      </c>
      <c r="G389" s="538" t="s">
        <v>163</v>
      </c>
      <c r="H389" s="538" t="s">
        <v>250</v>
      </c>
      <c r="I389" s="538" t="s">
        <v>122</v>
      </c>
      <c r="K389" s="538" t="s">
        <v>1930</v>
      </c>
      <c r="L389" s="538" t="s">
        <v>1931</v>
      </c>
      <c r="M389" s="538" t="s">
        <v>673</v>
      </c>
      <c r="N389" s="538" t="s">
        <v>1913</v>
      </c>
      <c r="O389" s="538" t="b">
        <v>0</v>
      </c>
      <c r="P389" s="538" t="b">
        <v>1</v>
      </c>
      <c r="Q389" s="538" t="s">
        <v>75</v>
      </c>
      <c r="R389" s="538" t="s">
        <v>220</v>
      </c>
      <c r="S389" s="538" t="s">
        <v>75</v>
      </c>
      <c r="T389" s="538" t="s">
        <v>220</v>
      </c>
      <c r="U389" s="538" t="s">
        <v>79</v>
      </c>
      <c r="V389" s="538" t="s">
        <v>1929</v>
      </c>
      <c r="W389" s="538" t="s">
        <v>79</v>
      </c>
      <c r="X389" s="538" t="s">
        <v>1929</v>
      </c>
      <c r="Y389" s="538" t="s">
        <v>79</v>
      </c>
      <c r="Z389" s="538" t="s">
        <v>1929</v>
      </c>
      <c r="AA389" s="538" t="s">
        <v>79</v>
      </c>
      <c r="AB389" s="538" t="s">
        <v>1929</v>
      </c>
      <c r="AC389" s="538" t="s">
        <v>79</v>
      </c>
      <c r="AD389" s="538" t="s">
        <v>1929</v>
      </c>
      <c r="AE389" s="538" t="s">
        <v>79</v>
      </c>
      <c r="AF389" s="538" t="s">
        <v>1929</v>
      </c>
      <c r="AG389" s="538" t="s">
        <v>79</v>
      </c>
      <c r="AH389" s="538" t="s">
        <v>1929</v>
      </c>
      <c r="AI389" s="538" t="s">
        <v>79</v>
      </c>
      <c r="AJ389" s="538" t="s">
        <v>1929</v>
      </c>
      <c r="AK389" s="538" t="s">
        <v>79</v>
      </c>
      <c r="AL389" s="538" t="s">
        <v>1929</v>
      </c>
      <c r="AM389" s="538" t="s">
        <v>79</v>
      </c>
      <c r="AN389" s="538" t="s">
        <v>1929</v>
      </c>
      <c r="AO389" s="538" t="s">
        <v>79</v>
      </c>
      <c r="AP389" s="538" t="s">
        <v>218</v>
      </c>
      <c r="AQ389" s="538" t="s">
        <v>79</v>
      </c>
      <c r="AR389" s="538" t="s">
        <v>218</v>
      </c>
      <c r="AS389" s="538">
        <v>3.042467533E9</v>
      </c>
      <c r="AT389" s="538">
        <v>2.83632482E9</v>
      </c>
      <c r="AU389" s="538">
        <v>239.0</v>
      </c>
      <c r="AV389" s="538" t="s">
        <v>47</v>
      </c>
      <c r="AY389" s="538" t="s">
        <v>220</v>
      </c>
      <c r="AZ389" s="538">
        <v>1.0</v>
      </c>
      <c r="BA389" s="538">
        <v>1.0</v>
      </c>
      <c r="BB389" s="538">
        <v>1.0</v>
      </c>
      <c r="BC389" s="538">
        <v>1.0</v>
      </c>
      <c r="BD389" s="538">
        <v>1.0</v>
      </c>
      <c r="BE389" s="538">
        <v>5.0</v>
      </c>
      <c r="BF389" s="538">
        <v>9.0</v>
      </c>
      <c r="BG389" s="538">
        <v>15.0</v>
      </c>
      <c r="BH389" s="538">
        <v>22.0</v>
      </c>
      <c r="BI389" s="538">
        <v>30.0</v>
      </c>
      <c r="BJ389" s="546"/>
      <c r="BL389" s="546"/>
    </row>
    <row r="390" ht="22.5" customHeight="1">
      <c r="A390" s="538">
        <v>389.0</v>
      </c>
      <c r="B390" s="538" t="s">
        <v>1932</v>
      </c>
      <c r="C390" s="538" t="s">
        <v>82</v>
      </c>
      <c r="D390" s="538" t="s">
        <v>1711</v>
      </c>
      <c r="E390" s="538" t="s">
        <v>369</v>
      </c>
      <c r="F390" s="538" t="s">
        <v>1933</v>
      </c>
      <c r="G390" s="538" t="s">
        <v>239</v>
      </c>
      <c r="H390" s="538" t="s">
        <v>222</v>
      </c>
      <c r="I390" s="538" t="s">
        <v>189</v>
      </c>
      <c r="J390" s="538" t="s">
        <v>290</v>
      </c>
      <c r="K390" s="538" t="s">
        <v>1934</v>
      </c>
      <c r="L390" s="538" t="s">
        <v>1935</v>
      </c>
      <c r="M390" s="538" t="s">
        <v>673</v>
      </c>
      <c r="N390" s="538" t="s">
        <v>872</v>
      </c>
      <c r="O390" s="538" t="b">
        <v>0</v>
      </c>
      <c r="P390" s="538" t="b">
        <v>1</v>
      </c>
      <c r="Q390" s="538" t="s">
        <v>75</v>
      </c>
      <c r="R390" s="538" t="s">
        <v>1936</v>
      </c>
      <c r="S390" s="538" t="s">
        <v>79</v>
      </c>
      <c r="T390" s="538" t="s">
        <v>161</v>
      </c>
      <c r="U390" s="538" t="s">
        <v>79</v>
      </c>
      <c r="V390" s="538" t="s">
        <v>1933</v>
      </c>
      <c r="W390" s="538" t="s">
        <v>79</v>
      </c>
      <c r="X390" s="538" t="s">
        <v>1933</v>
      </c>
      <c r="Y390" s="538" t="s">
        <v>79</v>
      </c>
      <c r="Z390" s="538" t="s">
        <v>1933</v>
      </c>
      <c r="AA390" s="538" t="s">
        <v>79</v>
      </c>
      <c r="AB390" s="538" t="s">
        <v>1933</v>
      </c>
      <c r="AC390" s="538" t="s">
        <v>79</v>
      </c>
      <c r="AD390" s="538" t="s">
        <v>1933</v>
      </c>
      <c r="AE390" s="538" t="s">
        <v>79</v>
      </c>
      <c r="AF390" s="538" t="s">
        <v>1933</v>
      </c>
      <c r="AG390" s="538" t="s">
        <v>79</v>
      </c>
      <c r="AH390" s="538" t="s">
        <v>1933</v>
      </c>
      <c r="AI390" s="538" t="s">
        <v>79</v>
      </c>
      <c r="AJ390" s="538" t="s">
        <v>1933</v>
      </c>
      <c r="AK390" s="538" t="s">
        <v>79</v>
      </c>
      <c r="AL390" s="538" t="s">
        <v>1933</v>
      </c>
      <c r="AM390" s="538" t="s">
        <v>79</v>
      </c>
      <c r="AN390" s="538" t="s">
        <v>1933</v>
      </c>
      <c r="AO390" s="538" t="s">
        <v>79</v>
      </c>
      <c r="AP390" s="538" t="s">
        <v>369</v>
      </c>
      <c r="AQ390" s="538" t="s">
        <v>79</v>
      </c>
      <c r="AR390" s="538" t="s">
        <v>369</v>
      </c>
      <c r="AS390" s="538">
        <v>2.76414451E8</v>
      </c>
      <c r="AT390" s="538">
        <v>1.02277539E9</v>
      </c>
      <c r="AU390" s="538">
        <v>214.0</v>
      </c>
      <c r="AV390" s="538" t="s">
        <v>46</v>
      </c>
      <c r="AY390" s="538" t="s">
        <v>1936</v>
      </c>
      <c r="AZ390" s="538">
        <v>1.0</v>
      </c>
      <c r="BA390" s="538">
        <v>1.0</v>
      </c>
      <c r="BB390" s="538">
        <v>1.0</v>
      </c>
      <c r="BC390" s="538">
        <v>1.0</v>
      </c>
      <c r="BD390" s="538">
        <v>1.0</v>
      </c>
      <c r="BE390" s="538">
        <v>0.05</v>
      </c>
      <c r="BF390" s="538">
        <v>0.07</v>
      </c>
      <c r="BG390" s="538">
        <v>0.1</v>
      </c>
      <c r="BH390" s="538">
        <v>0.15</v>
      </c>
      <c r="BI390" s="538">
        <v>0.2</v>
      </c>
      <c r="BJ390" s="546"/>
      <c r="BL390" s="546"/>
    </row>
    <row r="391" ht="22.5" customHeight="1">
      <c r="A391" s="538">
        <v>390.0</v>
      </c>
      <c r="B391" s="538" t="s">
        <v>1932</v>
      </c>
      <c r="C391" s="538" t="s">
        <v>86</v>
      </c>
      <c r="D391" s="538" t="s">
        <v>1711</v>
      </c>
      <c r="E391" s="538" t="s">
        <v>331</v>
      </c>
      <c r="G391" s="538" t="s">
        <v>151</v>
      </c>
      <c r="H391" s="538" t="s">
        <v>250</v>
      </c>
      <c r="I391" s="538" t="s">
        <v>122</v>
      </c>
      <c r="J391" s="538" t="s">
        <v>412</v>
      </c>
      <c r="K391" s="538" t="s">
        <v>1937</v>
      </c>
      <c r="L391" s="538" t="s">
        <v>1938</v>
      </c>
      <c r="M391" s="538" t="s">
        <v>673</v>
      </c>
      <c r="N391" s="538" t="s">
        <v>1939</v>
      </c>
      <c r="O391" s="538" t="b">
        <v>0</v>
      </c>
      <c r="P391" s="538" t="b">
        <v>1</v>
      </c>
      <c r="Q391" s="538" t="s">
        <v>79</v>
      </c>
      <c r="R391" s="538" t="s">
        <v>331</v>
      </c>
      <c r="S391" s="538" t="s">
        <v>79</v>
      </c>
      <c r="T391" s="538" t="s">
        <v>331</v>
      </c>
      <c r="U391" s="538" t="s">
        <v>79</v>
      </c>
      <c r="V391" s="538" t="s">
        <v>331</v>
      </c>
      <c r="W391" s="538" t="s">
        <v>79</v>
      </c>
      <c r="X391" s="538" t="s">
        <v>331</v>
      </c>
      <c r="Y391" s="538" t="s">
        <v>79</v>
      </c>
      <c r="Z391" s="538" t="s">
        <v>331</v>
      </c>
      <c r="AA391" s="538" t="s">
        <v>79</v>
      </c>
      <c r="AB391" s="538" t="s">
        <v>331</v>
      </c>
      <c r="AC391" s="538" t="s">
        <v>79</v>
      </c>
      <c r="AD391" s="538" t="s">
        <v>331</v>
      </c>
      <c r="AE391" s="538" t="s">
        <v>79</v>
      </c>
      <c r="AF391" s="538" t="s">
        <v>331</v>
      </c>
      <c r="AG391" s="538" t="s">
        <v>79</v>
      </c>
      <c r="AH391" s="538" t="s">
        <v>331</v>
      </c>
      <c r="AI391" s="538" t="s">
        <v>79</v>
      </c>
      <c r="AJ391" s="538" t="s">
        <v>331</v>
      </c>
      <c r="AK391" s="538" t="s">
        <v>79</v>
      </c>
      <c r="AL391" s="538" t="s">
        <v>331</v>
      </c>
      <c r="AM391" s="538" t="s">
        <v>79</v>
      </c>
      <c r="AN391" s="538" t="s">
        <v>331</v>
      </c>
      <c r="AO391" s="538" t="s">
        <v>79</v>
      </c>
      <c r="AP391" s="538" t="s">
        <v>331</v>
      </c>
      <c r="AQ391" s="538" t="s">
        <v>73</v>
      </c>
      <c r="AS391" s="538">
        <v>2.060792769E9</v>
      </c>
      <c r="AT391" s="538">
        <v>1.02277539E9</v>
      </c>
      <c r="AU391" s="538">
        <v>214.0</v>
      </c>
      <c r="AV391" s="538" t="s">
        <v>46</v>
      </c>
      <c r="AZ391" s="538">
        <v>1.0</v>
      </c>
      <c r="BA391" s="538">
        <v>1.0</v>
      </c>
      <c r="BB391" s="538">
        <v>1.0</v>
      </c>
      <c r="BC391" s="538">
        <v>1.0</v>
      </c>
      <c r="BD391" s="538">
        <v>1.0</v>
      </c>
      <c r="BE391" s="538">
        <v>0.3</v>
      </c>
      <c r="BF391" s="538">
        <v>0.45</v>
      </c>
      <c r="BG391" s="538">
        <v>0.6</v>
      </c>
      <c r="BH391" s="538">
        <v>0.85</v>
      </c>
      <c r="BI391" s="538">
        <v>1.2</v>
      </c>
      <c r="BJ391" s="546"/>
      <c r="BK391" s="547"/>
      <c r="BL391" s="546"/>
    </row>
    <row r="392" ht="22.5" customHeight="1">
      <c r="A392" s="538">
        <v>391.0</v>
      </c>
      <c r="B392" s="538" t="s">
        <v>1940</v>
      </c>
      <c r="C392" s="538" t="s">
        <v>82</v>
      </c>
      <c r="D392" s="538" t="s">
        <v>1941</v>
      </c>
      <c r="E392" s="538" t="s">
        <v>223</v>
      </c>
      <c r="F392" s="538" t="s">
        <v>228</v>
      </c>
      <c r="G392" s="538" t="s">
        <v>230</v>
      </c>
      <c r="H392" s="538" t="s">
        <v>250</v>
      </c>
      <c r="I392" s="538" t="s">
        <v>176</v>
      </c>
      <c r="J392" s="538" t="s">
        <v>353</v>
      </c>
      <c r="K392" s="538" t="s">
        <v>1942</v>
      </c>
      <c r="L392" s="538" t="s">
        <v>1943</v>
      </c>
      <c r="M392" s="538" t="s">
        <v>673</v>
      </c>
      <c r="N392" s="538" t="s">
        <v>1944</v>
      </c>
      <c r="O392" s="538" t="b">
        <v>0</v>
      </c>
      <c r="P392" s="538" t="b">
        <v>1</v>
      </c>
      <c r="Q392" s="538" t="s">
        <v>79</v>
      </c>
      <c r="R392" s="538" t="s">
        <v>228</v>
      </c>
      <c r="S392" s="538" t="s">
        <v>79</v>
      </c>
      <c r="T392" s="538" t="s">
        <v>228</v>
      </c>
      <c r="U392" s="538" t="s">
        <v>73</v>
      </c>
      <c r="W392" s="538" t="s">
        <v>73</v>
      </c>
      <c r="Y392" s="538" t="s">
        <v>79</v>
      </c>
      <c r="Z392" s="538" t="s">
        <v>228</v>
      </c>
      <c r="AA392" s="538" t="s">
        <v>73</v>
      </c>
      <c r="AC392" s="538" t="s">
        <v>73</v>
      </c>
      <c r="AE392" s="538" t="s">
        <v>73</v>
      </c>
      <c r="AG392" s="538" t="s">
        <v>79</v>
      </c>
      <c r="AH392" s="538" t="s">
        <v>228</v>
      </c>
      <c r="AI392" s="538" t="s">
        <v>73</v>
      </c>
      <c r="AK392" s="538" t="s">
        <v>79</v>
      </c>
      <c r="AL392" s="538" t="s">
        <v>228</v>
      </c>
      <c r="AM392" s="538" t="s">
        <v>79</v>
      </c>
      <c r="AN392" s="538" t="s">
        <v>228</v>
      </c>
      <c r="AO392" s="538" t="s">
        <v>79</v>
      </c>
      <c r="AP392" s="538" t="s">
        <v>223</v>
      </c>
      <c r="AQ392" s="538" t="s">
        <v>79</v>
      </c>
      <c r="AR392" s="538" t="s">
        <v>223</v>
      </c>
      <c r="AS392" s="538">
        <v>2.5318848E9</v>
      </c>
      <c r="AT392" s="538">
        <v>1.421610149E9</v>
      </c>
      <c r="AU392" s="538">
        <v>241.0</v>
      </c>
      <c r="AV392" s="538" t="s">
        <v>47</v>
      </c>
      <c r="AZ392" s="538">
        <v>1.0</v>
      </c>
      <c r="BA392" s="538">
        <v>1.0</v>
      </c>
      <c r="BB392" s="538">
        <v>1.0</v>
      </c>
      <c r="BC392" s="538">
        <v>1.0</v>
      </c>
      <c r="BD392" s="538">
        <v>1.0</v>
      </c>
      <c r="BE392" s="538">
        <v>3.0</v>
      </c>
      <c r="BF392" s="538">
        <v>5.0</v>
      </c>
      <c r="BG392" s="538">
        <v>7.5</v>
      </c>
      <c r="BH392" s="538">
        <v>12.5</v>
      </c>
      <c r="BI392" s="538">
        <v>20.0</v>
      </c>
      <c r="BJ392" s="546"/>
      <c r="BL392" s="546"/>
    </row>
    <row r="393" ht="22.5" customHeight="1">
      <c r="A393" s="538">
        <v>392.0</v>
      </c>
      <c r="B393" s="538" t="s">
        <v>1940</v>
      </c>
      <c r="C393" s="538" t="s">
        <v>86</v>
      </c>
      <c r="D393" s="538" t="s">
        <v>1941</v>
      </c>
      <c r="E393" s="538" t="s">
        <v>277</v>
      </c>
      <c r="G393" s="538" t="s">
        <v>151</v>
      </c>
      <c r="H393" s="538" t="s">
        <v>250</v>
      </c>
      <c r="I393" s="538" t="s">
        <v>122</v>
      </c>
      <c r="K393" s="538" t="s">
        <v>1945</v>
      </c>
      <c r="L393" s="538" t="s">
        <v>1945</v>
      </c>
      <c r="M393" s="538" t="s">
        <v>673</v>
      </c>
      <c r="N393" s="538" t="s">
        <v>1946</v>
      </c>
      <c r="O393" s="538" t="b">
        <v>0</v>
      </c>
      <c r="P393" s="538" t="b">
        <v>1</v>
      </c>
      <c r="Q393" s="538" t="s">
        <v>79</v>
      </c>
      <c r="R393" s="538" t="s">
        <v>277</v>
      </c>
      <c r="S393" s="538" t="s">
        <v>79</v>
      </c>
      <c r="T393" s="538" t="s">
        <v>277</v>
      </c>
      <c r="U393" s="538" t="s">
        <v>73</v>
      </c>
      <c r="W393" s="538" t="s">
        <v>79</v>
      </c>
      <c r="X393" s="538" t="s">
        <v>277</v>
      </c>
      <c r="Y393" s="538" t="s">
        <v>79</v>
      </c>
      <c r="Z393" s="538" t="s">
        <v>277</v>
      </c>
      <c r="AA393" s="538" t="s">
        <v>79</v>
      </c>
      <c r="AB393" s="538" t="s">
        <v>277</v>
      </c>
      <c r="AC393" s="538" t="s">
        <v>73</v>
      </c>
      <c r="AE393" s="538" t="s">
        <v>73</v>
      </c>
      <c r="AG393" s="538" t="s">
        <v>79</v>
      </c>
      <c r="AH393" s="538" t="s">
        <v>277</v>
      </c>
      <c r="AI393" s="538" t="s">
        <v>73</v>
      </c>
      <c r="AK393" s="538" t="s">
        <v>73</v>
      </c>
      <c r="AM393" s="538" t="s">
        <v>73</v>
      </c>
      <c r="AO393" s="538" t="s">
        <v>73</v>
      </c>
      <c r="AQ393" s="538" t="s">
        <v>79</v>
      </c>
      <c r="AR393" s="538" t="s">
        <v>277</v>
      </c>
      <c r="AS393" s="538">
        <v>3.623386511E9</v>
      </c>
      <c r="AT393" s="538">
        <v>1.421610149E9</v>
      </c>
      <c r="AU393" s="538">
        <v>241.0</v>
      </c>
      <c r="AV393" s="538" t="s">
        <v>47</v>
      </c>
      <c r="AZ393" s="538">
        <v>1.0</v>
      </c>
      <c r="BA393" s="538">
        <v>1.0</v>
      </c>
      <c r="BB393" s="538">
        <v>1.0</v>
      </c>
      <c r="BC393" s="538">
        <v>1.0</v>
      </c>
      <c r="BD393" s="538">
        <v>1.0</v>
      </c>
      <c r="BE393" s="538">
        <v>0.15</v>
      </c>
      <c r="BF393" s="538">
        <v>0.2</v>
      </c>
      <c r="BG393" s="538">
        <v>0.3</v>
      </c>
      <c r="BH393" s="538">
        <v>0.35</v>
      </c>
      <c r="BI393" s="538">
        <v>0.5</v>
      </c>
      <c r="BJ393" s="546"/>
      <c r="BL393" s="546"/>
    </row>
    <row r="394" ht="22.5" customHeight="1">
      <c r="A394" s="538">
        <v>393.0</v>
      </c>
      <c r="B394" s="538" t="s">
        <v>69</v>
      </c>
      <c r="C394" s="538" t="s">
        <v>82</v>
      </c>
      <c r="D394" s="538" t="s">
        <v>1941</v>
      </c>
      <c r="E394" s="538" t="s">
        <v>231</v>
      </c>
      <c r="F394" s="538" t="s">
        <v>228</v>
      </c>
      <c r="G394" s="538" t="s">
        <v>118</v>
      </c>
      <c r="H394" s="538" t="s">
        <v>250</v>
      </c>
      <c r="I394" s="538" t="s">
        <v>176</v>
      </c>
      <c r="J394" s="538" t="s">
        <v>323</v>
      </c>
      <c r="K394" s="538" t="s">
        <v>1947</v>
      </c>
      <c r="L394" s="538" t="s">
        <v>1948</v>
      </c>
      <c r="M394" s="538" t="s">
        <v>673</v>
      </c>
      <c r="N394" s="538" t="s">
        <v>1949</v>
      </c>
      <c r="O394" s="538" t="b">
        <v>0</v>
      </c>
      <c r="P394" s="538" t="b">
        <v>1</v>
      </c>
      <c r="Q394" s="538" t="s">
        <v>79</v>
      </c>
      <c r="R394" s="538" t="s">
        <v>228</v>
      </c>
      <c r="S394" s="538" t="s">
        <v>79</v>
      </c>
      <c r="T394" s="538" t="s">
        <v>228</v>
      </c>
      <c r="U394" s="538" t="s">
        <v>73</v>
      </c>
      <c r="W394" s="538" t="s">
        <v>73</v>
      </c>
      <c r="Y394" s="538" t="s">
        <v>79</v>
      </c>
      <c r="Z394" s="538" t="s">
        <v>228</v>
      </c>
      <c r="AA394" s="538" t="s">
        <v>73</v>
      </c>
      <c r="AC394" s="538" t="s">
        <v>73</v>
      </c>
      <c r="AE394" s="538" t="s">
        <v>73</v>
      </c>
      <c r="AG394" s="538" t="s">
        <v>79</v>
      </c>
      <c r="AH394" s="538" t="s">
        <v>228</v>
      </c>
      <c r="AI394" s="538" t="s">
        <v>73</v>
      </c>
      <c r="AK394" s="538" t="s">
        <v>79</v>
      </c>
      <c r="AL394" s="538" t="s">
        <v>228</v>
      </c>
      <c r="AM394" s="538" t="s">
        <v>79</v>
      </c>
      <c r="AN394" s="538" t="s">
        <v>228</v>
      </c>
      <c r="AO394" s="538" t="s">
        <v>79</v>
      </c>
      <c r="AP394" s="538" t="s">
        <v>231</v>
      </c>
      <c r="AQ394" s="538" t="s">
        <v>79</v>
      </c>
      <c r="AR394" s="538" t="s">
        <v>231</v>
      </c>
      <c r="AS394" s="538">
        <v>3.939864485E9</v>
      </c>
      <c r="AT394" s="538">
        <v>3.8768657E7</v>
      </c>
      <c r="AU394" s="538">
        <v>242.0</v>
      </c>
      <c r="AV394" s="538" t="s">
        <v>46</v>
      </c>
      <c r="AZ394" s="538">
        <v>1.0</v>
      </c>
      <c r="BA394" s="538">
        <v>1.0</v>
      </c>
      <c r="BB394" s="538">
        <v>1.0</v>
      </c>
      <c r="BC394" s="538">
        <v>1.0</v>
      </c>
      <c r="BD394" s="538">
        <v>1.0</v>
      </c>
      <c r="BE394" s="538">
        <v>2.5</v>
      </c>
      <c r="BF394" s="538">
        <v>4.0</v>
      </c>
      <c r="BG394" s="538">
        <v>6.0</v>
      </c>
      <c r="BH394" s="538">
        <v>9.0</v>
      </c>
      <c r="BI394" s="538">
        <v>15.0</v>
      </c>
      <c r="BJ394" s="546"/>
      <c r="BL394" s="546"/>
    </row>
    <row r="395" ht="22.5" customHeight="1">
      <c r="A395" s="538">
        <v>394.0</v>
      </c>
      <c r="B395" s="538" t="s">
        <v>69</v>
      </c>
      <c r="C395" s="538" t="s">
        <v>86</v>
      </c>
      <c r="D395" s="538" t="s">
        <v>1941</v>
      </c>
      <c r="E395" s="538" t="s">
        <v>214</v>
      </c>
      <c r="F395" s="538" t="s">
        <v>228</v>
      </c>
      <c r="G395" s="538" t="s">
        <v>239</v>
      </c>
      <c r="H395" s="538" t="s">
        <v>222</v>
      </c>
      <c r="I395" s="538" t="s">
        <v>122</v>
      </c>
      <c r="J395" s="538" t="s">
        <v>344</v>
      </c>
      <c r="K395" s="538" t="s">
        <v>1950</v>
      </c>
      <c r="L395" s="538" t="s">
        <v>1950</v>
      </c>
      <c r="M395" s="538" t="s">
        <v>1951</v>
      </c>
      <c r="N395" s="538" t="s">
        <v>673</v>
      </c>
      <c r="O395" s="538" t="b">
        <v>1</v>
      </c>
      <c r="P395" s="538" t="b">
        <v>1</v>
      </c>
      <c r="Q395" s="538" t="s">
        <v>79</v>
      </c>
      <c r="R395" s="538" t="s">
        <v>228</v>
      </c>
      <c r="S395" s="538" t="s">
        <v>79</v>
      </c>
      <c r="T395" s="538" t="s">
        <v>228</v>
      </c>
      <c r="U395" s="538" t="s">
        <v>73</v>
      </c>
      <c r="W395" s="538" t="s">
        <v>73</v>
      </c>
      <c r="Y395" s="538" t="s">
        <v>79</v>
      </c>
      <c r="Z395" s="538" t="s">
        <v>228</v>
      </c>
      <c r="AA395" s="538" t="s">
        <v>73</v>
      </c>
      <c r="AC395" s="538" t="s">
        <v>73</v>
      </c>
      <c r="AE395" s="538" t="s">
        <v>73</v>
      </c>
      <c r="AG395" s="538" t="s">
        <v>79</v>
      </c>
      <c r="AH395" s="538" t="s">
        <v>228</v>
      </c>
      <c r="AI395" s="538" t="s">
        <v>73</v>
      </c>
      <c r="AK395" s="538" t="s">
        <v>79</v>
      </c>
      <c r="AL395" s="538" t="s">
        <v>228</v>
      </c>
      <c r="AM395" s="538" t="s">
        <v>79</v>
      </c>
      <c r="AN395" s="538" t="s">
        <v>228</v>
      </c>
      <c r="AO395" s="538" t="s">
        <v>79</v>
      </c>
      <c r="AP395" s="538" t="s">
        <v>214</v>
      </c>
      <c r="AQ395" s="538" t="s">
        <v>79</v>
      </c>
      <c r="AR395" s="538" t="s">
        <v>214</v>
      </c>
      <c r="AS395" s="538">
        <v>2.723314214E9</v>
      </c>
      <c r="AT395" s="538">
        <v>3.8768657E7</v>
      </c>
      <c r="AU395" s="538">
        <v>242.0</v>
      </c>
      <c r="AV395" s="538" t="s">
        <v>46</v>
      </c>
      <c r="AZ395" s="538">
        <v>0.1</v>
      </c>
      <c r="BA395" s="538">
        <v>0.15</v>
      </c>
      <c r="BB395" s="538">
        <v>0.3</v>
      </c>
      <c r="BC395" s="538">
        <v>0.6</v>
      </c>
      <c r="BD395" s="538">
        <v>1.0</v>
      </c>
      <c r="BE395" s="538">
        <v>1.0</v>
      </c>
      <c r="BF395" s="538">
        <v>1.0</v>
      </c>
      <c r="BG395" s="538">
        <v>1.0</v>
      </c>
      <c r="BH395" s="538">
        <v>1.0</v>
      </c>
      <c r="BI395" s="538">
        <v>1.0</v>
      </c>
      <c r="BJ395" s="546"/>
      <c r="BL395" s="546"/>
    </row>
    <row r="396" ht="22.5" customHeight="1">
      <c r="A396" s="538">
        <v>395.0</v>
      </c>
      <c r="B396" s="538" t="s">
        <v>1952</v>
      </c>
      <c r="C396" s="538" t="s">
        <v>84</v>
      </c>
      <c r="D396" s="538" t="s">
        <v>1941</v>
      </c>
      <c r="E396" s="538" t="s">
        <v>369</v>
      </c>
      <c r="F396" s="538" t="s">
        <v>228</v>
      </c>
      <c r="G396" s="538" t="s">
        <v>230</v>
      </c>
      <c r="H396" s="538" t="s">
        <v>250</v>
      </c>
      <c r="I396" s="538" t="s">
        <v>155</v>
      </c>
      <c r="J396" s="538" t="s">
        <v>320</v>
      </c>
      <c r="K396" s="538" t="s">
        <v>1953</v>
      </c>
      <c r="L396" s="538" t="s">
        <v>1954</v>
      </c>
      <c r="M396" s="538" t="s">
        <v>661</v>
      </c>
      <c r="N396" s="538" t="s">
        <v>1955</v>
      </c>
      <c r="O396" s="538" t="b">
        <v>0</v>
      </c>
      <c r="P396" s="538" t="b">
        <v>1</v>
      </c>
      <c r="Q396" s="538" t="s">
        <v>79</v>
      </c>
      <c r="R396" s="538" t="s">
        <v>228</v>
      </c>
      <c r="S396" s="538" t="s">
        <v>79</v>
      </c>
      <c r="T396" s="538" t="s">
        <v>228</v>
      </c>
      <c r="U396" s="538" t="s">
        <v>73</v>
      </c>
      <c r="W396" s="538" t="s">
        <v>73</v>
      </c>
      <c r="Y396" s="538" t="s">
        <v>79</v>
      </c>
      <c r="Z396" s="538" t="s">
        <v>228</v>
      </c>
      <c r="AA396" s="538" t="s">
        <v>73</v>
      </c>
      <c r="AC396" s="538" t="s">
        <v>73</v>
      </c>
      <c r="AE396" s="538" t="s">
        <v>73</v>
      </c>
      <c r="AG396" s="538" t="s">
        <v>79</v>
      </c>
      <c r="AH396" s="538" t="s">
        <v>228</v>
      </c>
      <c r="AI396" s="538" t="s">
        <v>73</v>
      </c>
      <c r="AK396" s="538" t="s">
        <v>79</v>
      </c>
      <c r="AL396" s="538" t="s">
        <v>228</v>
      </c>
      <c r="AM396" s="538" t="s">
        <v>79</v>
      </c>
      <c r="AN396" s="538" t="s">
        <v>228</v>
      </c>
      <c r="AO396" s="538" t="s">
        <v>79</v>
      </c>
      <c r="AP396" s="538" t="s">
        <v>369</v>
      </c>
      <c r="AQ396" s="538" t="s">
        <v>79</v>
      </c>
      <c r="AR396" s="538" t="s">
        <v>369</v>
      </c>
      <c r="AS396" s="538">
        <v>2.578865036E9</v>
      </c>
      <c r="AT396" s="538">
        <v>2.343910766E9</v>
      </c>
      <c r="AU396" s="538">
        <v>243.0</v>
      </c>
      <c r="AV396" s="538" t="s">
        <v>47</v>
      </c>
      <c r="AZ396" s="538">
        <v>1.0</v>
      </c>
      <c r="BA396" s="538">
        <v>1.0</v>
      </c>
      <c r="BB396" s="538">
        <v>1.0</v>
      </c>
      <c r="BE396" s="538">
        <v>0.06</v>
      </c>
      <c r="BF396" s="538">
        <v>0.07</v>
      </c>
      <c r="BG396" s="538">
        <v>0.07</v>
      </c>
      <c r="BJ396" s="546"/>
      <c r="BL396" s="546"/>
    </row>
    <row r="397" ht="22.5" customHeight="1">
      <c r="A397" s="538">
        <v>396.0</v>
      </c>
      <c r="B397" s="538" t="s">
        <v>1952</v>
      </c>
      <c r="C397" s="538" t="s">
        <v>82</v>
      </c>
      <c r="D397" s="538" t="s">
        <v>1941</v>
      </c>
      <c r="E397" s="538" t="s">
        <v>322</v>
      </c>
      <c r="F397" s="538" t="s">
        <v>228</v>
      </c>
      <c r="G397" s="538" t="s">
        <v>163</v>
      </c>
      <c r="H397" s="538" t="s">
        <v>250</v>
      </c>
      <c r="I397" s="538" t="s">
        <v>122</v>
      </c>
      <c r="K397" s="538" t="s">
        <v>1956</v>
      </c>
      <c r="L397" s="538" t="s">
        <v>1957</v>
      </c>
      <c r="M397" s="538" t="s">
        <v>673</v>
      </c>
      <c r="N397" s="538" t="s">
        <v>1881</v>
      </c>
      <c r="O397" s="538" t="b">
        <v>0</v>
      </c>
      <c r="P397" s="538" t="b">
        <v>1</v>
      </c>
      <c r="Q397" s="538" t="s">
        <v>79</v>
      </c>
      <c r="R397" s="538" t="s">
        <v>228</v>
      </c>
      <c r="S397" s="538" t="s">
        <v>79</v>
      </c>
      <c r="T397" s="538" t="s">
        <v>228</v>
      </c>
      <c r="U397" s="538" t="s">
        <v>73</v>
      </c>
      <c r="W397" s="538" t="s">
        <v>73</v>
      </c>
      <c r="Y397" s="538" t="s">
        <v>79</v>
      </c>
      <c r="Z397" s="538" t="s">
        <v>228</v>
      </c>
      <c r="AA397" s="538" t="s">
        <v>73</v>
      </c>
      <c r="AC397" s="538" t="s">
        <v>73</v>
      </c>
      <c r="AE397" s="538" t="s">
        <v>73</v>
      </c>
      <c r="AG397" s="538" t="s">
        <v>79</v>
      </c>
      <c r="AH397" s="538" t="s">
        <v>228</v>
      </c>
      <c r="AI397" s="538" t="s">
        <v>73</v>
      </c>
      <c r="AK397" s="538" t="s">
        <v>79</v>
      </c>
      <c r="AL397" s="538" t="s">
        <v>228</v>
      </c>
      <c r="AM397" s="538" t="s">
        <v>79</v>
      </c>
      <c r="AN397" s="538" t="s">
        <v>228</v>
      </c>
      <c r="AO397" s="538" t="s">
        <v>79</v>
      </c>
      <c r="AP397" s="538" t="s">
        <v>322</v>
      </c>
      <c r="AQ397" s="538" t="s">
        <v>79</v>
      </c>
      <c r="AR397" s="538" t="s">
        <v>322</v>
      </c>
      <c r="AS397" s="538">
        <v>1.307730206E9</v>
      </c>
      <c r="AT397" s="538">
        <v>2.343910766E9</v>
      </c>
      <c r="AU397" s="538">
        <v>243.0</v>
      </c>
      <c r="AV397" s="538" t="s">
        <v>47</v>
      </c>
      <c r="AZ397" s="538">
        <v>1.0</v>
      </c>
      <c r="BA397" s="538">
        <v>1.0</v>
      </c>
      <c r="BB397" s="538">
        <v>1.0</v>
      </c>
      <c r="BC397" s="538">
        <v>1.0</v>
      </c>
      <c r="BD397" s="538">
        <v>1.0</v>
      </c>
      <c r="BE397" s="538">
        <v>0.1</v>
      </c>
      <c r="BF397" s="538">
        <v>0.15</v>
      </c>
      <c r="BG397" s="538">
        <v>0.2</v>
      </c>
      <c r="BH397" s="538">
        <v>0.3</v>
      </c>
      <c r="BI397" s="538">
        <v>0.5</v>
      </c>
      <c r="BJ397" s="546"/>
      <c r="BL397" s="546"/>
    </row>
    <row r="398" ht="22.5" customHeight="1">
      <c r="A398" s="538">
        <v>397.0</v>
      </c>
      <c r="B398" s="538" t="s">
        <v>1958</v>
      </c>
      <c r="C398" s="538" t="s">
        <v>82</v>
      </c>
      <c r="D398" s="538" t="s">
        <v>1941</v>
      </c>
      <c r="E398" s="538" t="s">
        <v>295</v>
      </c>
      <c r="F398" s="538" t="s">
        <v>228</v>
      </c>
      <c r="G398" s="538" t="s">
        <v>118</v>
      </c>
      <c r="H398" s="538" t="s">
        <v>250</v>
      </c>
      <c r="I398" s="538" t="s">
        <v>155</v>
      </c>
      <c r="J398" s="538" t="s">
        <v>320</v>
      </c>
      <c r="K398" s="538" t="s">
        <v>1959</v>
      </c>
      <c r="L398" s="538" t="s">
        <v>1960</v>
      </c>
      <c r="M398" s="538" t="s">
        <v>673</v>
      </c>
      <c r="N398" s="538" t="s">
        <v>1902</v>
      </c>
      <c r="O398" s="538" t="b">
        <v>0</v>
      </c>
      <c r="P398" s="538" t="b">
        <v>1</v>
      </c>
      <c r="Q398" s="538" t="s">
        <v>79</v>
      </c>
      <c r="R398" s="538" t="s">
        <v>228</v>
      </c>
      <c r="S398" s="538" t="s">
        <v>79</v>
      </c>
      <c r="T398" s="538" t="s">
        <v>228</v>
      </c>
      <c r="U398" s="538" t="s">
        <v>73</v>
      </c>
      <c r="W398" s="538" t="s">
        <v>73</v>
      </c>
      <c r="Y398" s="538" t="s">
        <v>79</v>
      </c>
      <c r="Z398" s="538" t="s">
        <v>228</v>
      </c>
      <c r="AA398" s="538" t="s">
        <v>73</v>
      </c>
      <c r="AC398" s="538" t="s">
        <v>73</v>
      </c>
      <c r="AE398" s="538" t="s">
        <v>73</v>
      </c>
      <c r="AG398" s="538" t="s">
        <v>79</v>
      </c>
      <c r="AH398" s="538" t="s">
        <v>228</v>
      </c>
      <c r="AI398" s="538" t="s">
        <v>73</v>
      </c>
      <c r="AK398" s="538" t="s">
        <v>79</v>
      </c>
      <c r="AL398" s="538" t="s">
        <v>228</v>
      </c>
      <c r="AM398" s="538" t="s">
        <v>79</v>
      </c>
      <c r="AN398" s="538" t="s">
        <v>228</v>
      </c>
      <c r="AO398" s="538" t="s">
        <v>79</v>
      </c>
      <c r="AP398" s="538" t="s">
        <v>295</v>
      </c>
      <c r="AQ398" s="538" t="s">
        <v>79</v>
      </c>
      <c r="AR398" s="538" t="s">
        <v>295</v>
      </c>
      <c r="AS398" s="538">
        <v>2.246984954E9</v>
      </c>
      <c r="AT398" s="538">
        <v>3.849424588E9</v>
      </c>
      <c r="AU398" s="538">
        <v>245.0</v>
      </c>
      <c r="AV398" s="538" t="s">
        <v>46</v>
      </c>
      <c r="AZ398" s="538">
        <v>1.0</v>
      </c>
      <c r="BA398" s="538">
        <v>1.0</v>
      </c>
      <c r="BB398" s="538">
        <v>1.0</v>
      </c>
      <c r="BC398" s="538">
        <v>1.0</v>
      </c>
      <c r="BD398" s="538">
        <v>1.0</v>
      </c>
      <c r="BE398" s="538">
        <v>0.05</v>
      </c>
      <c r="BF398" s="538">
        <v>0.07</v>
      </c>
      <c r="BG398" s="538">
        <v>0.1</v>
      </c>
      <c r="BH398" s="538">
        <v>0.15</v>
      </c>
      <c r="BI398" s="538">
        <v>0.25</v>
      </c>
      <c r="BJ398" s="546"/>
      <c r="BL398" s="546"/>
    </row>
    <row r="399" ht="22.5" customHeight="1">
      <c r="A399" s="538">
        <v>398.0</v>
      </c>
      <c r="B399" s="538" t="s">
        <v>1958</v>
      </c>
      <c r="C399" s="538" t="s">
        <v>86</v>
      </c>
      <c r="D399" s="538" t="s">
        <v>1941</v>
      </c>
      <c r="E399" s="538" t="s">
        <v>223</v>
      </c>
      <c r="F399" s="538" t="s">
        <v>228</v>
      </c>
      <c r="G399" s="538" t="s">
        <v>163</v>
      </c>
      <c r="H399" s="538" t="s">
        <v>250</v>
      </c>
      <c r="I399" s="538" t="s">
        <v>176</v>
      </c>
      <c r="J399" s="538" t="s">
        <v>395</v>
      </c>
      <c r="K399" s="538" t="s">
        <v>1961</v>
      </c>
      <c r="L399" s="538" t="s">
        <v>1962</v>
      </c>
      <c r="M399" s="538" t="s">
        <v>673</v>
      </c>
      <c r="N399" s="538" t="s">
        <v>1963</v>
      </c>
      <c r="O399" s="538" t="b">
        <v>0</v>
      </c>
      <c r="P399" s="538" t="b">
        <v>1</v>
      </c>
      <c r="Q399" s="538" t="s">
        <v>79</v>
      </c>
      <c r="R399" s="538" t="s">
        <v>228</v>
      </c>
      <c r="S399" s="538" t="s">
        <v>79</v>
      </c>
      <c r="T399" s="538" t="s">
        <v>228</v>
      </c>
      <c r="U399" s="538" t="s">
        <v>73</v>
      </c>
      <c r="W399" s="538" t="s">
        <v>73</v>
      </c>
      <c r="Y399" s="538" t="s">
        <v>79</v>
      </c>
      <c r="Z399" s="538" t="s">
        <v>228</v>
      </c>
      <c r="AA399" s="538" t="s">
        <v>73</v>
      </c>
      <c r="AC399" s="538" t="s">
        <v>73</v>
      </c>
      <c r="AE399" s="538" t="s">
        <v>73</v>
      </c>
      <c r="AG399" s="538" t="s">
        <v>79</v>
      </c>
      <c r="AH399" s="538" t="s">
        <v>228</v>
      </c>
      <c r="AI399" s="538" t="s">
        <v>73</v>
      </c>
      <c r="AK399" s="538" t="s">
        <v>79</v>
      </c>
      <c r="AL399" s="538" t="s">
        <v>228</v>
      </c>
      <c r="AM399" s="538" t="s">
        <v>79</v>
      </c>
      <c r="AN399" s="538" t="s">
        <v>228</v>
      </c>
      <c r="AO399" s="538" t="s">
        <v>79</v>
      </c>
      <c r="AP399" s="538" t="s">
        <v>223</v>
      </c>
      <c r="AQ399" s="538" t="s">
        <v>79</v>
      </c>
      <c r="AR399" s="538" t="s">
        <v>223</v>
      </c>
      <c r="AS399" s="538">
        <v>3.192273655E9</v>
      </c>
      <c r="AT399" s="538">
        <v>3.849424588E9</v>
      </c>
      <c r="AU399" s="538">
        <v>245.0</v>
      </c>
      <c r="AV399" s="538" t="s">
        <v>46</v>
      </c>
      <c r="AZ399" s="538">
        <v>1.0</v>
      </c>
      <c r="BA399" s="538">
        <v>1.0</v>
      </c>
      <c r="BB399" s="538">
        <v>1.0</v>
      </c>
      <c r="BC399" s="538">
        <v>1.0</v>
      </c>
      <c r="BD399" s="538">
        <v>1.0</v>
      </c>
      <c r="BE399" s="538">
        <v>2.0</v>
      </c>
      <c r="BF399" s="538">
        <v>2.5</v>
      </c>
      <c r="BG399" s="538">
        <v>3.0</v>
      </c>
      <c r="BH399" s="538">
        <v>4.0</v>
      </c>
      <c r="BI399" s="538">
        <v>5.0</v>
      </c>
      <c r="BJ399" s="546"/>
      <c r="BL399" s="546"/>
    </row>
    <row r="400" ht="22.5" customHeight="1">
      <c r="A400" s="538">
        <v>399.0</v>
      </c>
      <c r="B400" s="538" t="s">
        <v>1964</v>
      </c>
      <c r="C400" s="538" t="s">
        <v>82</v>
      </c>
      <c r="D400" s="538" t="s">
        <v>1941</v>
      </c>
      <c r="E400" s="538" t="s">
        <v>298</v>
      </c>
      <c r="G400" s="538" t="s">
        <v>151</v>
      </c>
      <c r="H400" s="538" t="s">
        <v>250</v>
      </c>
      <c r="I400" s="538" t="s">
        <v>122</v>
      </c>
      <c r="K400" s="538" t="s">
        <v>1965</v>
      </c>
      <c r="L400" s="538" t="s">
        <v>1966</v>
      </c>
      <c r="M400" s="538" t="s">
        <v>673</v>
      </c>
      <c r="N400" s="538" t="s">
        <v>1967</v>
      </c>
      <c r="O400" s="538" t="b">
        <v>0</v>
      </c>
      <c r="P400" s="538" t="b">
        <v>1</v>
      </c>
      <c r="Q400" s="538" t="s">
        <v>79</v>
      </c>
      <c r="R400" s="538" t="s">
        <v>298</v>
      </c>
      <c r="S400" s="538" t="s">
        <v>79</v>
      </c>
      <c r="T400" s="538" t="s">
        <v>298</v>
      </c>
      <c r="U400" s="538" t="s">
        <v>75</v>
      </c>
      <c r="V400" s="538" t="s">
        <v>1878</v>
      </c>
      <c r="W400" s="538" t="s">
        <v>79</v>
      </c>
      <c r="X400" s="538" t="s">
        <v>298</v>
      </c>
      <c r="Y400" s="538" t="s">
        <v>79</v>
      </c>
      <c r="Z400" s="538" t="s">
        <v>298</v>
      </c>
      <c r="AA400" s="538" t="s">
        <v>79</v>
      </c>
      <c r="AB400" s="538" t="s">
        <v>298</v>
      </c>
      <c r="AC400" s="538" t="s">
        <v>75</v>
      </c>
      <c r="AD400" s="538" t="s">
        <v>1878</v>
      </c>
      <c r="AE400" s="538" t="s">
        <v>75</v>
      </c>
      <c r="AF400" s="538" t="s">
        <v>1878</v>
      </c>
      <c r="AG400" s="538" t="s">
        <v>79</v>
      </c>
      <c r="AH400" s="538" t="s">
        <v>298</v>
      </c>
      <c r="AI400" s="538" t="s">
        <v>79</v>
      </c>
      <c r="AJ400" s="538" t="s">
        <v>298</v>
      </c>
      <c r="AK400" s="538" t="s">
        <v>79</v>
      </c>
      <c r="AL400" s="538" t="s">
        <v>298</v>
      </c>
      <c r="AM400" s="538" t="s">
        <v>79</v>
      </c>
      <c r="AN400" s="538" t="s">
        <v>298</v>
      </c>
      <c r="AO400" s="538" t="s">
        <v>73</v>
      </c>
      <c r="AQ400" s="538" t="s">
        <v>79</v>
      </c>
      <c r="AR400" s="538" t="s">
        <v>298</v>
      </c>
      <c r="AS400" s="538">
        <v>3.735747219E9</v>
      </c>
      <c r="AT400" s="538">
        <v>1.458469333E9</v>
      </c>
      <c r="AU400" s="538">
        <v>244.0</v>
      </c>
      <c r="AV400" s="538" t="s">
        <v>46</v>
      </c>
      <c r="AY400" s="538" t="s">
        <v>298</v>
      </c>
      <c r="AZ400" s="538">
        <v>1.0</v>
      </c>
      <c r="BA400" s="538">
        <v>1.0</v>
      </c>
      <c r="BB400" s="538">
        <v>1.0</v>
      </c>
      <c r="BC400" s="538">
        <v>1.0</v>
      </c>
      <c r="BD400" s="538">
        <v>1.0</v>
      </c>
      <c r="BE400" s="538">
        <v>0.07</v>
      </c>
      <c r="BF400" s="538">
        <v>0.1</v>
      </c>
      <c r="BG400" s="538">
        <v>0.15</v>
      </c>
      <c r="BH400" s="538">
        <v>0.2</v>
      </c>
      <c r="BI400" s="538">
        <v>0.3</v>
      </c>
      <c r="BJ400" s="546"/>
      <c r="BL400" s="546"/>
    </row>
    <row r="401" ht="22.5" customHeight="1">
      <c r="A401" s="538">
        <v>400.0</v>
      </c>
      <c r="B401" s="538" t="s">
        <v>1964</v>
      </c>
      <c r="C401" s="538" t="s">
        <v>86</v>
      </c>
      <c r="D401" s="538" t="s">
        <v>1941</v>
      </c>
      <c r="E401" s="538" t="s">
        <v>214</v>
      </c>
      <c r="F401" s="538" t="s">
        <v>228</v>
      </c>
      <c r="G401" s="538" t="s">
        <v>239</v>
      </c>
      <c r="H401" s="538" t="s">
        <v>250</v>
      </c>
      <c r="I401" s="538" t="s">
        <v>122</v>
      </c>
      <c r="J401" s="538" t="s">
        <v>347</v>
      </c>
      <c r="K401" s="538" t="s">
        <v>1968</v>
      </c>
      <c r="L401" s="538" t="s">
        <v>1969</v>
      </c>
      <c r="M401" s="538" t="s">
        <v>1951</v>
      </c>
      <c r="N401" s="538" t="s">
        <v>673</v>
      </c>
      <c r="O401" s="538" t="b">
        <v>1</v>
      </c>
      <c r="P401" s="538" t="b">
        <v>1</v>
      </c>
      <c r="Q401" s="538" t="s">
        <v>79</v>
      </c>
      <c r="R401" s="538" t="s">
        <v>228</v>
      </c>
      <c r="S401" s="538" t="s">
        <v>79</v>
      </c>
      <c r="T401" s="538" t="s">
        <v>228</v>
      </c>
      <c r="U401" s="538" t="s">
        <v>73</v>
      </c>
      <c r="W401" s="538" t="s">
        <v>73</v>
      </c>
      <c r="Y401" s="538" t="s">
        <v>79</v>
      </c>
      <c r="Z401" s="538" t="s">
        <v>228</v>
      </c>
      <c r="AA401" s="538" t="s">
        <v>73</v>
      </c>
      <c r="AC401" s="538" t="s">
        <v>73</v>
      </c>
      <c r="AE401" s="538" t="s">
        <v>73</v>
      </c>
      <c r="AG401" s="538" t="s">
        <v>79</v>
      </c>
      <c r="AH401" s="538" t="s">
        <v>228</v>
      </c>
      <c r="AI401" s="538" t="s">
        <v>73</v>
      </c>
      <c r="AK401" s="538" t="s">
        <v>79</v>
      </c>
      <c r="AL401" s="538" t="s">
        <v>228</v>
      </c>
      <c r="AM401" s="538" t="s">
        <v>79</v>
      </c>
      <c r="AN401" s="538" t="s">
        <v>228</v>
      </c>
      <c r="AO401" s="538" t="s">
        <v>79</v>
      </c>
      <c r="AP401" s="538" t="s">
        <v>214</v>
      </c>
      <c r="AQ401" s="538" t="s">
        <v>79</v>
      </c>
      <c r="AR401" s="538" t="s">
        <v>214</v>
      </c>
      <c r="AS401" s="538">
        <v>5.68169426E8</v>
      </c>
      <c r="AT401" s="538">
        <v>1.458469333E9</v>
      </c>
      <c r="AU401" s="538">
        <v>244.0</v>
      </c>
      <c r="AV401" s="538" t="s">
        <v>46</v>
      </c>
      <c r="AZ401" s="538">
        <v>0.1</v>
      </c>
      <c r="BA401" s="538">
        <v>0.15</v>
      </c>
      <c r="BB401" s="538">
        <v>0.3</v>
      </c>
      <c r="BC401" s="538">
        <v>0.6</v>
      </c>
      <c r="BD401" s="538">
        <v>1.0</v>
      </c>
      <c r="BE401" s="538">
        <v>1.0</v>
      </c>
      <c r="BF401" s="538">
        <v>1.0</v>
      </c>
      <c r="BG401" s="538">
        <v>1.0</v>
      </c>
      <c r="BH401" s="538">
        <v>1.0</v>
      </c>
      <c r="BI401" s="538">
        <v>1.0</v>
      </c>
      <c r="BJ401" s="546"/>
      <c r="BL401" s="546"/>
    </row>
    <row r="402" ht="22.5" customHeight="1">
      <c r="A402" s="538">
        <v>401.0</v>
      </c>
      <c r="B402" s="538" t="s">
        <v>1970</v>
      </c>
      <c r="C402" s="538" t="s">
        <v>84</v>
      </c>
      <c r="D402" s="538" t="s">
        <v>1941</v>
      </c>
      <c r="E402" s="538" t="s">
        <v>112</v>
      </c>
      <c r="F402" s="538" t="s">
        <v>365</v>
      </c>
      <c r="G402" s="538" t="s">
        <v>163</v>
      </c>
      <c r="H402" s="538" t="s">
        <v>250</v>
      </c>
      <c r="I402" s="538" t="s">
        <v>122</v>
      </c>
      <c r="K402" s="538" t="s">
        <v>1971</v>
      </c>
      <c r="L402" s="538" t="s">
        <v>1972</v>
      </c>
      <c r="M402" s="538" t="s">
        <v>661</v>
      </c>
      <c r="N402" s="538" t="s">
        <v>1973</v>
      </c>
      <c r="O402" s="538" t="b">
        <v>0</v>
      </c>
      <c r="P402" s="538" t="b">
        <v>1</v>
      </c>
      <c r="Q402" s="538" t="s">
        <v>79</v>
      </c>
      <c r="R402" s="538" t="s">
        <v>365</v>
      </c>
      <c r="S402" s="538" t="s">
        <v>79</v>
      </c>
      <c r="T402" s="538" t="s">
        <v>365</v>
      </c>
      <c r="U402" s="538" t="s">
        <v>79</v>
      </c>
      <c r="V402" s="538" t="s">
        <v>365</v>
      </c>
      <c r="W402" s="538" t="s">
        <v>79</v>
      </c>
      <c r="X402" s="538" t="s">
        <v>365</v>
      </c>
      <c r="Y402" s="538" t="s">
        <v>79</v>
      </c>
      <c r="Z402" s="538" t="s">
        <v>365</v>
      </c>
      <c r="AA402" s="538" t="s">
        <v>79</v>
      </c>
      <c r="AB402" s="538" t="s">
        <v>365</v>
      </c>
      <c r="AC402" s="538" t="s">
        <v>73</v>
      </c>
      <c r="AE402" s="538" t="s">
        <v>73</v>
      </c>
      <c r="AG402" s="538" t="s">
        <v>79</v>
      </c>
      <c r="AH402" s="538" t="s">
        <v>365</v>
      </c>
      <c r="AI402" s="538" t="s">
        <v>79</v>
      </c>
      <c r="AJ402" s="538" t="s">
        <v>365</v>
      </c>
      <c r="AK402" s="538" t="s">
        <v>79</v>
      </c>
      <c r="AL402" s="538" t="s">
        <v>365</v>
      </c>
      <c r="AM402" s="538" t="s">
        <v>79</v>
      </c>
      <c r="AN402" s="538" t="s">
        <v>365</v>
      </c>
      <c r="AO402" s="538" t="s">
        <v>79</v>
      </c>
      <c r="AP402" s="538" t="s">
        <v>112</v>
      </c>
      <c r="AQ402" s="538" t="s">
        <v>79</v>
      </c>
      <c r="AR402" s="538" t="s">
        <v>112</v>
      </c>
      <c r="AS402" s="538">
        <v>3.134526441E9</v>
      </c>
      <c r="AT402" s="538">
        <v>3.838190976E9</v>
      </c>
      <c r="AU402" s="538">
        <v>246.0</v>
      </c>
      <c r="AV402" s="538" t="s">
        <v>47</v>
      </c>
      <c r="AZ402" s="538">
        <v>1.0</v>
      </c>
      <c r="BA402" s="538">
        <v>1.0</v>
      </c>
      <c r="BB402" s="538">
        <v>1.0</v>
      </c>
      <c r="BE402" s="538">
        <v>0.4</v>
      </c>
      <c r="BF402" s="538">
        <v>0.3</v>
      </c>
      <c r="BG402" s="538">
        <v>0.3</v>
      </c>
      <c r="BJ402" s="546"/>
      <c r="BL402" s="546"/>
    </row>
    <row r="403" ht="22.5" customHeight="1">
      <c r="A403" s="538">
        <v>402.0</v>
      </c>
      <c r="B403" s="538" t="s">
        <v>1970</v>
      </c>
      <c r="C403" s="538" t="s">
        <v>82</v>
      </c>
      <c r="D403" s="538" t="s">
        <v>1941</v>
      </c>
      <c r="E403" s="538" t="s">
        <v>292</v>
      </c>
      <c r="F403" s="538" t="s">
        <v>365</v>
      </c>
      <c r="G403" s="538" t="s">
        <v>221</v>
      </c>
      <c r="H403" s="538" t="s">
        <v>250</v>
      </c>
      <c r="I403" s="538" t="s">
        <v>155</v>
      </c>
      <c r="J403" s="538" t="s">
        <v>350</v>
      </c>
      <c r="K403" s="538" t="s">
        <v>1974</v>
      </c>
      <c r="L403" s="538" t="s">
        <v>1975</v>
      </c>
      <c r="M403" s="538" t="s">
        <v>673</v>
      </c>
      <c r="N403" s="538" t="s">
        <v>1976</v>
      </c>
      <c r="O403" s="538" t="b">
        <v>0</v>
      </c>
      <c r="P403" s="538" t="b">
        <v>1</v>
      </c>
      <c r="Q403" s="538" t="s">
        <v>79</v>
      </c>
      <c r="R403" s="538" t="s">
        <v>365</v>
      </c>
      <c r="S403" s="538" t="s">
        <v>79</v>
      </c>
      <c r="T403" s="538" t="s">
        <v>365</v>
      </c>
      <c r="U403" s="538" t="s">
        <v>79</v>
      </c>
      <c r="V403" s="538" t="s">
        <v>365</v>
      </c>
      <c r="W403" s="538" t="s">
        <v>79</v>
      </c>
      <c r="X403" s="538" t="s">
        <v>365</v>
      </c>
      <c r="Y403" s="538" t="s">
        <v>79</v>
      </c>
      <c r="Z403" s="538" t="s">
        <v>365</v>
      </c>
      <c r="AA403" s="538" t="s">
        <v>79</v>
      </c>
      <c r="AB403" s="538" t="s">
        <v>365</v>
      </c>
      <c r="AC403" s="538" t="s">
        <v>73</v>
      </c>
      <c r="AE403" s="538" t="s">
        <v>73</v>
      </c>
      <c r="AG403" s="538" t="s">
        <v>79</v>
      </c>
      <c r="AH403" s="538" t="s">
        <v>365</v>
      </c>
      <c r="AI403" s="538" t="s">
        <v>79</v>
      </c>
      <c r="AJ403" s="538" t="s">
        <v>365</v>
      </c>
      <c r="AK403" s="538" t="s">
        <v>79</v>
      </c>
      <c r="AL403" s="538" t="s">
        <v>365</v>
      </c>
      <c r="AM403" s="538" t="s">
        <v>79</v>
      </c>
      <c r="AN403" s="538" t="s">
        <v>365</v>
      </c>
      <c r="AO403" s="538" t="s">
        <v>79</v>
      </c>
      <c r="AP403" s="538" t="s">
        <v>292</v>
      </c>
      <c r="AQ403" s="538" t="s">
        <v>79</v>
      </c>
      <c r="AR403" s="538" t="s">
        <v>292</v>
      </c>
      <c r="AS403" s="538">
        <v>2.858479175E9</v>
      </c>
      <c r="AT403" s="538">
        <v>3.838190976E9</v>
      </c>
      <c r="AU403" s="538">
        <v>246.0</v>
      </c>
      <c r="AV403" s="538" t="s">
        <v>47</v>
      </c>
      <c r="AZ403" s="538">
        <v>1.0</v>
      </c>
      <c r="BA403" s="538">
        <v>1.0</v>
      </c>
      <c r="BB403" s="538">
        <v>1.0</v>
      </c>
      <c r="BC403" s="538">
        <v>1.0</v>
      </c>
      <c r="BD403" s="538">
        <v>1.0</v>
      </c>
      <c r="BE403" s="538">
        <v>0.08</v>
      </c>
      <c r="BF403" s="538">
        <v>0.12</v>
      </c>
      <c r="BG403" s="538">
        <v>0.16</v>
      </c>
      <c r="BH403" s="538">
        <v>0.22</v>
      </c>
      <c r="BI403" s="538">
        <v>0.3</v>
      </c>
      <c r="BJ403" s="546"/>
      <c r="BL403" s="546"/>
    </row>
    <row r="404" ht="22.5" customHeight="1">
      <c r="A404" s="538">
        <v>403.0</v>
      </c>
      <c r="B404" s="538" t="s">
        <v>1977</v>
      </c>
      <c r="C404" s="538" t="s">
        <v>82</v>
      </c>
      <c r="D404" s="538" t="s">
        <v>1941</v>
      </c>
      <c r="E404" s="538" t="s">
        <v>258</v>
      </c>
      <c r="G404" s="538" t="s">
        <v>151</v>
      </c>
      <c r="H404" s="538" t="s">
        <v>250</v>
      </c>
      <c r="I404" s="538" t="s">
        <v>122</v>
      </c>
      <c r="K404" s="538" t="s">
        <v>1978</v>
      </c>
      <c r="L404" s="538" t="s">
        <v>1979</v>
      </c>
      <c r="M404" s="538" t="s">
        <v>673</v>
      </c>
      <c r="N404" s="538" t="s">
        <v>1980</v>
      </c>
      <c r="O404" s="538" t="b">
        <v>0</v>
      </c>
      <c r="P404" s="538" t="b">
        <v>1</v>
      </c>
      <c r="Q404" s="538" t="s">
        <v>79</v>
      </c>
      <c r="R404" s="538" t="s">
        <v>258</v>
      </c>
      <c r="S404" s="538" t="s">
        <v>79</v>
      </c>
      <c r="T404" s="538" t="s">
        <v>258</v>
      </c>
      <c r="U404" s="538" t="s">
        <v>79</v>
      </c>
      <c r="V404" s="538" t="s">
        <v>258</v>
      </c>
      <c r="W404" s="538" t="s">
        <v>79</v>
      </c>
      <c r="X404" s="538" t="s">
        <v>258</v>
      </c>
      <c r="Y404" s="538" t="s">
        <v>79</v>
      </c>
      <c r="Z404" s="538" t="s">
        <v>258</v>
      </c>
      <c r="AA404" s="538" t="s">
        <v>79</v>
      </c>
      <c r="AB404" s="538" t="s">
        <v>258</v>
      </c>
      <c r="AC404" s="538" t="s">
        <v>79</v>
      </c>
      <c r="AD404" s="538" t="s">
        <v>258</v>
      </c>
      <c r="AE404" s="538" t="s">
        <v>75</v>
      </c>
      <c r="AF404" s="538" t="s">
        <v>1878</v>
      </c>
      <c r="AG404" s="538" t="s">
        <v>79</v>
      </c>
      <c r="AH404" s="538" t="s">
        <v>258</v>
      </c>
      <c r="AI404" s="538" t="s">
        <v>79</v>
      </c>
      <c r="AJ404" s="538" t="s">
        <v>258</v>
      </c>
      <c r="AK404" s="538" t="s">
        <v>79</v>
      </c>
      <c r="AL404" s="538" t="s">
        <v>258</v>
      </c>
      <c r="AM404" s="538" t="s">
        <v>79</v>
      </c>
      <c r="AN404" s="538" t="s">
        <v>258</v>
      </c>
      <c r="AO404" s="538" t="s">
        <v>73</v>
      </c>
      <c r="AQ404" s="538" t="s">
        <v>79</v>
      </c>
      <c r="AR404" s="538" t="s">
        <v>258</v>
      </c>
      <c r="AS404" s="538">
        <v>6.71418104E8</v>
      </c>
      <c r="AT404" s="538">
        <v>2.120397875E9</v>
      </c>
      <c r="AU404" s="538">
        <v>247.0</v>
      </c>
      <c r="AV404" s="538" t="s">
        <v>46</v>
      </c>
      <c r="AY404" s="538" t="s">
        <v>258</v>
      </c>
      <c r="AZ404" s="538">
        <v>1.0</v>
      </c>
      <c r="BA404" s="538">
        <v>1.0</v>
      </c>
      <c r="BB404" s="538">
        <v>1.0</v>
      </c>
      <c r="BC404" s="538">
        <v>1.0</v>
      </c>
      <c r="BD404" s="538">
        <v>1.0</v>
      </c>
      <c r="BE404" s="538">
        <v>0.8</v>
      </c>
      <c r="BF404" s="538">
        <v>1.0</v>
      </c>
      <c r="BG404" s="538">
        <v>1.3</v>
      </c>
      <c r="BH404" s="538">
        <v>1.6</v>
      </c>
      <c r="BI404" s="538">
        <v>2.0</v>
      </c>
      <c r="BJ404" s="546"/>
      <c r="BL404" s="546"/>
    </row>
    <row r="405" ht="22.5" customHeight="1">
      <c r="A405" s="538">
        <v>404.0</v>
      </c>
      <c r="B405" s="538" t="s">
        <v>1977</v>
      </c>
      <c r="C405" s="538" t="s">
        <v>86</v>
      </c>
      <c r="D405" s="538" t="s">
        <v>1941</v>
      </c>
      <c r="E405" s="538" t="s">
        <v>265</v>
      </c>
      <c r="F405" s="538" t="s">
        <v>339</v>
      </c>
      <c r="G405" s="538" t="s">
        <v>151</v>
      </c>
      <c r="H405" s="538" t="s">
        <v>250</v>
      </c>
      <c r="I405" s="538" t="s">
        <v>122</v>
      </c>
      <c r="K405" s="538" t="s">
        <v>1981</v>
      </c>
      <c r="L405" s="538" t="s">
        <v>1982</v>
      </c>
      <c r="M405" s="538" t="s">
        <v>673</v>
      </c>
      <c r="N405" s="538" t="s">
        <v>1983</v>
      </c>
      <c r="O405" s="538" t="b">
        <v>0</v>
      </c>
      <c r="P405" s="538" t="b">
        <v>1</v>
      </c>
      <c r="Q405" s="538" t="s">
        <v>79</v>
      </c>
      <c r="R405" s="538" t="s">
        <v>265</v>
      </c>
      <c r="S405" s="538" t="s">
        <v>79</v>
      </c>
      <c r="T405" s="538" t="s">
        <v>265</v>
      </c>
      <c r="U405" s="538" t="s">
        <v>79</v>
      </c>
      <c r="V405" s="538" t="s">
        <v>265</v>
      </c>
      <c r="W405" s="538" t="s">
        <v>79</v>
      </c>
      <c r="X405" s="538" t="s">
        <v>265</v>
      </c>
      <c r="Y405" s="538" t="s">
        <v>79</v>
      </c>
      <c r="Z405" s="538" t="s">
        <v>265</v>
      </c>
      <c r="AA405" s="538" t="s">
        <v>79</v>
      </c>
      <c r="AB405" s="538" t="s">
        <v>265</v>
      </c>
      <c r="AC405" s="538" t="s">
        <v>79</v>
      </c>
      <c r="AD405" s="538" t="s">
        <v>265</v>
      </c>
      <c r="AE405" s="538" t="s">
        <v>79</v>
      </c>
      <c r="AF405" s="538" t="s">
        <v>265</v>
      </c>
      <c r="AG405" s="538" t="s">
        <v>79</v>
      </c>
      <c r="AH405" s="538" t="s">
        <v>265</v>
      </c>
      <c r="AI405" s="538" t="s">
        <v>79</v>
      </c>
      <c r="AJ405" s="538" t="s">
        <v>265</v>
      </c>
      <c r="AK405" s="538" t="s">
        <v>79</v>
      </c>
      <c r="AL405" s="538" t="s">
        <v>265</v>
      </c>
      <c r="AM405" s="538" t="s">
        <v>79</v>
      </c>
      <c r="AN405" s="538" t="s">
        <v>265</v>
      </c>
      <c r="AO405" s="538" t="s">
        <v>79</v>
      </c>
      <c r="AP405" s="538" t="s">
        <v>265</v>
      </c>
      <c r="AQ405" s="538" t="s">
        <v>73</v>
      </c>
      <c r="AS405" s="538">
        <v>3.2740695E7</v>
      </c>
      <c r="AT405" s="538">
        <v>2.120397875E9</v>
      </c>
      <c r="AU405" s="538">
        <v>247.0</v>
      </c>
      <c r="AV405" s="538" t="s">
        <v>46</v>
      </c>
      <c r="AZ405" s="538">
        <v>1.0</v>
      </c>
      <c r="BA405" s="538">
        <v>1.0</v>
      </c>
      <c r="BB405" s="538">
        <v>1.0</v>
      </c>
      <c r="BC405" s="538">
        <v>1.0</v>
      </c>
      <c r="BD405" s="538">
        <v>1.0</v>
      </c>
      <c r="BE405" s="538">
        <v>1.0</v>
      </c>
      <c r="BF405" s="538">
        <v>1.5</v>
      </c>
      <c r="BG405" s="538">
        <v>2.2</v>
      </c>
      <c r="BH405" s="538">
        <v>3.0</v>
      </c>
      <c r="BI405" s="538">
        <v>4.0</v>
      </c>
      <c r="BJ405" s="546"/>
      <c r="BL405" s="546"/>
    </row>
    <row r="406" ht="22.5" customHeight="1">
      <c r="A406" s="538">
        <v>405.0</v>
      </c>
      <c r="B406" s="538" t="s">
        <v>1984</v>
      </c>
      <c r="C406" s="538" t="s">
        <v>82</v>
      </c>
      <c r="D406" s="538" t="s">
        <v>1941</v>
      </c>
      <c r="E406" s="538" t="s">
        <v>295</v>
      </c>
      <c r="F406" s="538" t="s">
        <v>365</v>
      </c>
      <c r="G406" s="538" t="s">
        <v>163</v>
      </c>
      <c r="H406" s="538" t="s">
        <v>250</v>
      </c>
      <c r="I406" s="538" t="s">
        <v>155</v>
      </c>
      <c r="K406" s="538" t="s">
        <v>1985</v>
      </c>
      <c r="L406" s="538" t="s">
        <v>1986</v>
      </c>
      <c r="M406" s="538" t="s">
        <v>673</v>
      </c>
      <c r="N406" s="538" t="s">
        <v>1980</v>
      </c>
      <c r="O406" s="538" t="b">
        <v>0</v>
      </c>
      <c r="P406" s="538" t="b">
        <v>1</v>
      </c>
      <c r="Q406" s="538" t="s">
        <v>79</v>
      </c>
      <c r="R406" s="538" t="s">
        <v>365</v>
      </c>
      <c r="S406" s="538" t="s">
        <v>79</v>
      </c>
      <c r="T406" s="538" t="s">
        <v>365</v>
      </c>
      <c r="U406" s="538" t="s">
        <v>79</v>
      </c>
      <c r="V406" s="538" t="s">
        <v>365</v>
      </c>
      <c r="W406" s="538" t="s">
        <v>79</v>
      </c>
      <c r="X406" s="538" t="s">
        <v>365</v>
      </c>
      <c r="Y406" s="538" t="s">
        <v>79</v>
      </c>
      <c r="Z406" s="538" t="s">
        <v>365</v>
      </c>
      <c r="AA406" s="538" t="s">
        <v>79</v>
      </c>
      <c r="AB406" s="538" t="s">
        <v>365</v>
      </c>
      <c r="AC406" s="538" t="s">
        <v>73</v>
      </c>
      <c r="AE406" s="538" t="s">
        <v>73</v>
      </c>
      <c r="AG406" s="538" t="s">
        <v>79</v>
      </c>
      <c r="AH406" s="538" t="s">
        <v>365</v>
      </c>
      <c r="AI406" s="538" t="s">
        <v>79</v>
      </c>
      <c r="AJ406" s="538" t="s">
        <v>365</v>
      </c>
      <c r="AK406" s="538" t="s">
        <v>79</v>
      </c>
      <c r="AL406" s="538" t="s">
        <v>365</v>
      </c>
      <c r="AM406" s="538" t="s">
        <v>79</v>
      </c>
      <c r="AN406" s="538" t="s">
        <v>365</v>
      </c>
      <c r="AO406" s="538" t="s">
        <v>79</v>
      </c>
      <c r="AP406" s="538" t="s">
        <v>295</v>
      </c>
      <c r="AQ406" s="538" t="s">
        <v>79</v>
      </c>
      <c r="AR406" s="538" t="s">
        <v>295</v>
      </c>
      <c r="AS406" s="538">
        <v>2.900232706E9</v>
      </c>
      <c r="AT406" s="538">
        <v>2.037089464E9</v>
      </c>
      <c r="AU406" s="538">
        <v>248.0</v>
      </c>
      <c r="AV406" s="538" t="s">
        <v>47</v>
      </c>
      <c r="AZ406" s="538">
        <v>1.0</v>
      </c>
      <c r="BA406" s="538">
        <v>1.0</v>
      </c>
      <c r="BB406" s="538">
        <v>1.0</v>
      </c>
      <c r="BC406" s="538">
        <v>1.0</v>
      </c>
      <c r="BD406" s="538">
        <v>1.0</v>
      </c>
      <c r="BE406" s="538">
        <v>0.8</v>
      </c>
      <c r="BF406" s="538">
        <v>1.0</v>
      </c>
      <c r="BG406" s="538">
        <v>1.3</v>
      </c>
      <c r="BH406" s="538">
        <v>1.6</v>
      </c>
      <c r="BI406" s="538">
        <v>2.0</v>
      </c>
      <c r="BJ406" s="546"/>
      <c r="BL406" s="546"/>
    </row>
    <row r="407" ht="22.5" customHeight="1">
      <c r="A407" s="538">
        <v>406.0</v>
      </c>
      <c r="B407" s="538" t="s">
        <v>1984</v>
      </c>
      <c r="C407" s="538" t="s">
        <v>86</v>
      </c>
      <c r="D407" s="538" t="s">
        <v>1941</v>
      </c>
      <c r="E407" s="538" t="s">
        <v>322</v>
      </c>
      <c r="F407" s="538" t="s">
        <v>248</v>
      </c>
      <c r="G407" s="538" t="s">
        <v>163</v>
      </c>
      <c r="H407" s="538" t="s">
        <v>250</v>
      </c>
      <c r="I407" s="538" t="s">
        <v>122</v>
      </c>
      <c r="K407" s="538" t="s">
        <v>1987</v>
      </c>
      <c r="L407" s="538" t="s">
        <v>1988</v>
      </c>
      <c r="M407" s="538" t="s">
        <v>673</v>
      </c>
      <c r="N407" s="538" t="s">
        <v>1989</v>
      </c>
      <c r="O407" s="538" t="b">
        <v>0</v>
      </c>
      <c r="P407" s="538" t="b">
        <v>1</v>
      </c>
      <c r="Q407" s="538" t="s">
        <v>73</v>
      </c>
      <c r="S407" s="538" t="s">
        <v>73</v>
      </c>
      <c r="U407" s="538" t="s">
        <v>79</v>
      </c>
      <c r="V407" s="538" t="s">
        <v>248</v>
      </c>
      <c r="W407" s="538" t="s">
        <v>79</v>
      </c>
      <c r="X407" s="538" t="s">
        <v>248</v>
      </c>
      <c r="Y407" s="538" t="s">
        <v>79</v>
      </c>
      <c r="Z407" s="538" t="s">
        <v>248</v>
      </c>
      <c r="AA407" s="538" t="s">
        <v>79</v>
      </c>
      <c r="AB407" s="538" t="s">
        <v>248</v>
      </c>
      <c r="AC407" s="538" t="s">
        <v>79</v>
      </c>
      <c r="AD407" s="538" t="s">
        <v>248</v>
      </c>
      <c r="AE407" s="538" t="s">
        <v>79</v>
      </c>
      <c r="AF407" s="538" t="s">
        <v>248</v>
      </c>
      <c r="AG407" s="538" t="s">
        <v>79</v>
      </c>
      <c r="AH407" s="538" t="s">
        <v>248</v>
      </c>
      <c r="AI407" s="538" t="s">
        <v>79</v>
      </c>
      <c r="AJ407" s="538" t="s">
        <v>248</v>
      </c>
      <c r="AK407" s="538" t="s">
        <v>79</v>
      </c>
      <c r="AL407" s="538" t="s">
        <v>248</v>
      </c>
      <c r="AM407" s="538" t="s">
        <v>79</v>
      </c>
      <c r="AN407" s="538" t="s">
        <v>248</v>
      </c>
      <c r="AO407" s="538" t="s">
        <v>79</v>
      </c>
      <c r="AP407" s="538" t="s">
        <v>322</v>
      </c>
      <c r="AQ407" s="538" t="s">
        <v>79</v>
      </c>
      <c r="AR407" s="538" t="s">
        <v>322</v>
      </c>
      <c r="AS407" s="538">
        <v>2.632569419E9</v>
      </c>
      <c r="AT407" s="538">
        <v>2.037089464E9</v>
      </c>
      <c r="AU407" s="538">
        <v>248.0</v>
      </c>
      <c r="AV407" s="538" t="s">
        <v>47</v>
      </c>
      <c r="AZ407" s="538">
        <v>1.0</v>
      </c>
      <c r="BA407" s="538">
        <v>1.0</v>
      </c>
      <c r="BB407" s="538">
        <v>1.0</v>
      </c>
      <c r="BC407" s="538">
        <v>1.0</v>
      </c>
      <c r="BD407" s="538">
        <v>1.0</v>
      </c>
      <c r="BE407" s="538">
        <v>0.12</v>
      </c>
      <c r="BF407" s="538">
        <v>0.18</v>
      </c>
      <c r="BG407" s="538">
        <v>0.26</v>
      </c>
      <c r="BH407" s="538">
        <v>0.36</v>
      </c>
      <c r="BI407" s="538">
        <v>0.5</v>
      </c>
      <c r="BJ407" s="546"/>
      <c r="BL407" s="546"/>
    </row>
    <row r="408" ht="22.5" customHeight="1">
      <c r="A408" s="538">
        <v>407.0</v>
      </c>
      <c r="B408" s="538" t="s">
        <v>1990</v>
      </c>
      <c r="C408" s="538" t="s">
        <v>82</v>
      </c>
      <c r="D408" s="538" t="s">
        <v>1941</v>
      </c>
      <c r="E408" s="538" t="s">
        <v>396</v>
      </c>
      <c r="F408" s="538" t="s">
        <v>339</v>
      </c>
      <c r="G408" s="538" t="s">
        <v>151</v>
      </c>
      <c r="H408" s="538" t="s">
        <v>250</v>
      </c>
      <c r="I408" s="538" t="s">
        <v>122</v>
      </c>
      <c r="K408" s="538" t="s">
        <v>1991</v>
      </c>
      <c r="L408" s="538" t="s">
        <v>1992</v>
      </c>
      <c r="M408" s="538" t="s">
        <v>673</v>
      </c>
      <c r="N408" s="538" t="s">
        <v>1993</v>
      </c>
      <c r="O408" s="538" t="b">
        <v>0</v>
      </c>
      <c r="P408" s="538" t="b">
        <v>1</v>
      </c>
      <c r="Q408" s="538" t="s">
        <v>79</v>
      </c>
      <c r="R408" s="538" t="s">
        <v>396</v>
      </c>
      <c r="S408" s="538" t="s">
        <v>79</v>
      </c>
      <c r="T408" s="538" t="s">
        <v>396</v>
      </c>
      <c r="U408" s="538" t="s">
        <v>79</v>
      </c>
      <c r="V408" s="538" t="s">
        <v>396</v>
      </c>
      <c r="W408" s="538" t="s">
        <v>79</v>
      </c>
      <c r="X408" s="538" t="s">
        <v>396</v>
      </c>
      <c r="Y408" s="538" t="s">
        <v>79</v>
      </c>
      <c r="Z408" s="538" t="s">
        <v>396</v>
      </c>
      <c r="AA408" s="538" t="s">
        <v>79</v>
      </c>
      <c r="AB408" s="538" t="s">
        <v>396</v>
      </c>
      <c r="AC408" s="538" t="s">
        <v>79</v>
      </c>
      <c r="AD408" s="538" t="s">
        <v>396</v>
      </c>
      <c r="AE408" s="538" t="s">
        <v>79</v>
      </c>
      <c r="AF408" s="538" t="s">
        <v>396</v>
      </c>
      <c r="AG408" s="538" t="s">
        <v>79</v>
      </c>
      <c r="AH408" s="538" t="s">
        <v>396</v>
      </c>
      <c r="AI408" s="538" t="s">
        <v>79</v>
      </c>
      <c r="AJ408" s="538" t="s">
        <v>396</v>
      </c>
      <c r="AK408" s="538" t="s">
        <v>79</v>
      </c>
      <c r="AL408" s="538" t="s">
        <v>396</v>
      </c>
      <c r="AM408" s="538" t="s">
        <v>79</v>
      </c>
      <c r="AN408" s="538" t="s">
        <v>396</v>
      </c>
      <c r="AO408" s="538" t="s">
        <v>79</v>
      </c>
      <c r="AP408" s="538" t="s">
        <v>396</v>
      </c>
      <c r="AQ408" s="538" t="s">
        <v>73</v>
      </c>
      <c r="AS408" s="538">
        <v>2.36960987E8</v>
      </c>
      <c r="AT408" s="538">
        <v>4.97650232E8</v>
      </c>
      <c r="AU408" s="538">
        <v>249.0</v>
      </c>
      <c r="AV408" s="538" t="s">
        <v>46</v>
      </c>
      <c r="AZ408" s="538">
        <v>1.0</v>
      </c>
      <c r="BA408" s="538">
        <v>1.0</v>
      </c>
      <c r="BB408" s="538">
        <v>1.0</v>
      </c>
      <c r="BC408" s="538">
        <v>1.0</v>
      </c>
      <c r="BD408" s="538">
        <v>1.0</v>
      </c>
      <c r="BE408" s="538">
        <v>0.4</v>
      </c>
      <c r="BF408" s="538">
        <v>0.55</v>
      </c>
      <c r="BG408" s="538">
        <v>0.75</v>
      </c>
      <c r="BH408" s="538">
        <v>1.0</v>
      </c>
      <c r="BI408" s="538">
        <v>1.3</v>
      </c>
      <c r="BJ408" s="546"/>
      <c r="BK408" s="547"/>
      <c r="BL408" s="546"/>
    </row>
    <row r="409" ht="22.5" customHeight="1">
      <c r="A409" s="538">
        <v>408.0</v>
      </c>
      <c r="B409" s="538" t="s">
        <v>1990</v>
      </c>
      <c r="C409" s="538" t="s">
        <v>86</v>
      </c>
      <c r="D409" s="538" t="s">
        <v>1941</v>
      </c>
      <c r="E409" s="538" t="s">
        <v>214</v>
      </c>
      <c r="F409" s="538" t="s">
        <v>1994</v>
      </c>
      <c r="G409" s="538" t="s">
        <v>239</v>
      </c>
      <c r="H409" s="538" t="s">
        <v>222</v>
      </c>
      <c r="I409" s="538" t="s">
        <v>122</v>
      </c>
      <c r="J409" s="538" t="s">
        <v>341</v>
      </c>
      <c r="K409" s="538" t="s">
        <v>1995</v>
      </c>
      <c r="L409" s="538" t="s">
        <v>1996</v>
      </c>
      <c r="M409" s="538" t="s">
        <v>1951</v>
      </c>
      <c r="N409" s="538" t="s">
        <v>673</v>
      </c>
      <c r="O409" s="538" t="b">
        <v>1</v>
      </c>
      <c r="P409" s="538" t="b">
        <v>1</v>
      </c>
      <c r="Q409" s="538" t="s">
        <v>79</v>
      </c>
      <c r="R409" s="538" t="s">
        <v>1994</v>
      </c>
      <c r="S409" s="538" t="s">
        <v>79</v>
      </c>
      <c r="T409" s="538" t="s">
        <v>1994</v>
      </c>
      <c r="U409" s="538" t="s">
        <v>75</v>
      </c>
      <c r="V409" s="538" t="s">
        <v>348</v>
      </c>
      <c r="W409" s="538" t="s">
        <v>75</v>
      </c>
      <c r="X409" s="538" t="s">
        <v>348</v>
      </c>
      <c r="Y409" s="538" t="s">
        <v>79</v>
      </c>
      <c r="Z409" s="538" t="s">
        <v>1994</v>
      </c>
      <c r="AA409" s="538" t="s">
        <v>75</v>
      </c>
      <c r="AB409" s="538" t="s">
        <v>348</v>
      </c>
      <c r="AC409" s="538" t="s">
        <v>75</v>
      </c>
      <c r="AD409" s="538" t="s">
        <v>348</v>
      </c>
      <c r="AE409" s="538" t="s">
        <v>75</v>
      </c>
      <c r="AF409" s="538" t="s">
        <v>348</v>
      </c>
      <c r="AG409" s="538" t="s">
        <v>79</v>
      </c>
      <c r="AH409" s="538" t="s">
        <v>1994</v>
      </c>
      <c r="AI409" s="538" t="s">
        <v>75</v>
      </c>
      <c r="AJ409" s="538" t="s">
        <v>348</v>
      </c>
      <c r="AK409" s="538" t="s">
        <v>79</v>
      </c>
      <c r="AL409" s="538" t="s">
        <v>1994</v>
      </c>
      <c r="AM409" s="538" t="s">
        <v>79</v>
      </c>
      <c r="AN409" s="538" t="s">
        <v>1994</v>
      </c>
      <c r="AO409" s="538" t="s">
        <v>79</v>
      </c>
      <c r="AP409" s="538" t="s">
        <v>214</v>
      </c>
      <c r="AQ409" s="538" t="s">
        <v>79</v>
      </c>
      <c r="AR409" s="538" t="s">
        <v>214</v>
      </c>
      <c r="AS409" s="538">
        <v>1.091333371E9</v>
      </c>
      <c r="AT409" s="538">
        <v>4.97650232E8</v>
      </c>
      <c r="AU409" s="538">
        <v>249.0</v>
      </c>
      <c r="AV409" s="538" t="s">
        <v>46</v>
      </c>
      <c r="AY409" s="538" t="s">
        <v>348</v>
      </c>
      <c r="AZ409" s="538">
        <v>0.1</v>
      </c>
      <c r="BA409" s="538">
        <v>0.15</v>
      </c>
      <c r="BB409" s="538">
        <v>0.3</v>
      </c>
      <c r="BC409" s="538">
        <v>0.6</v>
      </c>
      <c r="BD409" s="538">
        <v>1.0</v>
      </c>
      <c r="BE409" s="538">
        <v>1.0</v>
      </c>
      <c r="BF409" s="538">
        <v>1.0</v>
      </c>
      <c r="BG409" s="538">
        <v>1.0</v>
      </c>
      <c r="BH409" s="538">
        <v>1.0</v>
      </c>
      <c r="BI409" s="538">
        <v>1.0</v>
      </c>
      <c r="BJ409" s="546"/>
      <c r="BL409" s="546"/>
    </row>
    <row r="410" ht="22.5" customHeight="1">
      <c r="A410" s="538">
        <v>409.0</v>
      </c>
      <c r="B410" s="538" t="s">
        <v>1997</v>
      </c>
      <c r="C410" s="538" t="s">
        <v>84</v>
      </c>
      <c r="D410" s="538" t="s">
        <v>1656</v>
      </c>
      <c r="E410" s="538" t="s">
        <v>112</v>
      </c>
      <c r="F410" s="538" t="s">
        <v>248</v>
      </c>
      <c r="G410" s="538" t="s">
        <v>163</v>
      </c>
      <c r="H410" s="538" t="s">
        <v>250</v>
      </c>
      <c r="I410" s="538" t="s">
        <v>122</v>
      </c>
      <c r="K410" s="538" t="s">
        <v>1998</v>
      </c>
      <c r="L410" s="538" t="s">
        <v>1999</v>
      </c>
      <c r="M410" s="538" t="s">
        <v>661</v>
      </c>
      <c r="N410" s="538" t="s">
        <v>2000</v>
      </c>
      <c r="O410" s="538" t="b">
        <v>0</v>
      </c>
      <c r="P410" s="538" t="b">
        <v>1</v>
      </c>
      <c r="Q410" s="538" t="s">
        <v>73</v>
      </c>
      <c r="S410" s="538" t="s">
        <v>73</v>
      </c>
      <c r="U410" s="538" t="s">
        <v>79</v>
      </c>
      <c r="V410" s="538" t="s">
        <v>248</v>
      </c>
      <c r="W410" s="538" t="s">
        <v>79</v>
      </c>
      <c r="X410" s="538" t="s">
        <v>248</v>
      </c>
      <c r="Y410" s="538" t="s">
        <v>79</v>
      </c>
      <c r="Z410" s="538" t="s">
        <v>248</v>
      </c>
      <c r="AA410" s="538" t="s">
        <v>79</v>
      </c>
      <c r="AB410" s="538" t="s">
        <v>248</v>
      </c>
      <c r="AC410" s="538" t="s">
        <v>79</v>
      </c>
      <c r="AD410" s="538" t="s">
        <v>248</v>
      </c>
      <c r="AE410" s="538" t="s">
        <v>79</v>
      </c>
      <c r="AF410" s="538" t="s">
        <v>248</v>
      </c>
      <c r="AG410" s="538" t="s">
        <v>79</v>
      </c>
      <c r="AH410" s="538" t="s">
        <v>248</v>
      </c>
      <c r="AI410" s="538" t="s">
        <v>79</v>
      </c>
      <c r="AJ410" s="538" t="s">
        <v>248</v>
      </c>
      <c r="AK410" s="538" t="s">
        <v>79</v>
      </c>
      <c r="AL410" s="538" t="s">
        <v>248</v>
      </c>
      <c r="AM410" s="538" t="s">
        <v>79</v>
      </c>
      <c r="AN410" s="538" t="s">
        <v>248</v>
      </c>
      <c r="AO410" s="538" t="s">
        <v>79</v>
      </c>
      <c r="AP410" s="538" t="s">
        <v>112</v>
      </c>
      <c r="AQ410" s="538" t="s">
        <v>79</v>
      </c>
      <c r="AR410" s="538" t="s">
        <v>112</v>
      </c>
      <c r="AS410" s="538">
        <v>1.950989344E9</v>
      </c>
      <c r="AT410" s="538">
        <v>1.116563882E9</v>
      </c>
      <c r="AU410" s="538">
        <v>251.0</v>
      </c>
      <c r="AV410" s="538" t="s">
        <v>47</v>
      </c>
      <c r="AZ410" s="538">
        <v>1.0</v>
      </c>
      <c r="BA410" s="538">
        <v>1.0</v>
      </c>
      <c r="BB410" s="538">
        <v>1.0</v>
      </c>
      <c r="BE410" s="538">
        <v>1.0</v>
      </c>
      <c r="BF410" s="538">
        <v>0.01</v>
      </c>
      <c r="BG410" s="538">
        <v>0.05</v>
      </c>
      <c r="BJ410" s="546"/>
      <c r="BL410" s="546"/>
    </row>
    <row r="411" ht="22.5" customHeight="1">
      <c r="A411" s="538">
        <v>410.0</v>
      </c>
      <c r="B411" s="538" t="s">
        <v>1997</v>
      </c>
      <c r="C411" s="538" t="s">
        <v>82</v>
      </c>
      <c r="D411" s="538" t="s">
        <v>1656</v>
      </c>
      <c r="E411" s="538" t="s">
        <v>322</v>
      </c>
      <c r="F411" s="538" t="s">
        <v>2001</v>
      </c>
      <c r="G411" s="538" t="s">
        <v>239</v>
      </c>
      <c r="H411" s="538" t="s">
        <v>250</v>
      </c>
      <c r="I411" s="538" t="s">
        <v>122</v>
      </c>
      <c r="J411" s="538" t="s">
        <v>320</v>
      </c>
      <c r="K411" s="538" t="s">
        <v>2002</v>
      </c>
      <c r="L411" s="538" t="s">
        <v>2003</v>
      </c>
      <c r="M411" s="538" t="s">
        <v>673</v>
      </c>
      <c r="N411" s="538" t="s">
        <v>2004</v>
      </c>
      <c r="O411" s="538" t="b">
        <v>0</v>
      </c>
      <c r="P411" s="538" t="b">
        <v>1</v>
      </c>
      <c r="Q411" s="538" t="s">
        <v>75</v>
      </c>
      <c r="R411" s="538" t="s">
        <v>388</v>
      </c>
      <c r="S411" s="538" t="s">
        <v>75</v>
      </c>
      <c r="T411" s="538" t="s">
        <v>388</v>
      </c>
      <c r="U411" s="538" t="s">
        <v>79</v>
      </c>
      <c r="V411" s="538" t="s">
        <v>2001</v>
      </c>
      <c r="W411" s="538" t="s">
        <v>79</v>
      </c>
      <c r="X411" s="538" t="s">
        <v>2001</v>
      </c>
      <c r="Y411" s="538" t="s">
        <v>79</v>
      </c>
      <c r="Z411" s="538" t="s">
        <v>2001</v>
      </c>
      <c r="AA411" s="538" t="s">
        <v>79</v>
      </c>
      <c r="AB411" s="538" t="s">
        <v>2001</v>
      </c>
      <c r="AC411" s="538" t="s">
        <v>79</v>
      </c>
      <c r="AD411" s="538" t="s">
        <v>2001</v>
      </c>
      <c r="AE411" s="538" t="s">
        <v>79</v>
      </c>
      <c r="AF411" s="538" t="s">
        <v>2001</v>
      </c>
      <c r="AG411" s="538" t="s">
        <v>79</v>
      </c>
      <c r="AH411" s="538" t="s">
        <v>2001</v>
      </c>
      <c r="AI411" s="538" t="s">
        <v>79</v>
      </c>
      <c r="AJ411" s="538" t="s">
        <v>2001</v>
      </c>
      <c r="AK411" s="538" t="s">
        <v>79</v>
      </c>
      <c r="AL411" s="538" t="s">
        <v>2001</v>
      </c>
      <c r="AM411" s="538" t="s">
        <v>79</v>
      </c>
      <c r="AN411" s="538" t="s">
        <v>2001</v>
      </c>
      <c r="AO411" s="538" t="s">
        <v>79</v>
      </c>
      <c r="AP411" s="538" t="s">
        <v>322</v>
      </c>
      <c r="AQ411" s="538" t="s">
        <v>79</v>
      </c>
      <c r="AR411" s="538" t="s">
        <v>322</v>
      </c>
      <c r="AS411" s="538">
        <v>4.131039971E9</v>
      </c>
      <c r="AT411" s="538">
        <v>1.116563882E9</v>
      </c>
      <c r="AU411" s="538">
        <v>251.0</v>
      </c>
      <c r="AV411" s="538" t="s">
        <v>47</v>
      </c>
      <c r="AX411" s="538" t="s">
        <v>2005</v>
      </c>
      <c r="AY411" s="538" t="s">
        <v>388</v>
      </c>
      <c r="AZ411" s="538">
        <v>1.0</v>
      </c>
      <c r="BA411" s="538">
        <v>1.0</v>
      </c>
      <c r="BB411" s="538">
        <v>1.0</v>
      </c>
      <c r="BC411" s="538">
        <v>1.0</v>
      </c>
      <c r="BD411" s="538">
        <v>1.0</v>
      </c>
      <c r="BE411" s="538">
        <v>0.6</v>
      </c>
      <c r="BF411" s="538">
        <v>0.75</v>
      </c>
      <c r="BG411" s="538">
        <v>0.9</v>
      </c>
      <c r="BH411" s="538">
        <v>1.1</v>
      </c>
      <c r="BI411" s="538">
        <v>1.3</v>
      </c>
      <c r="BJ411" s="546"/>
      <c r="BK411" s="547"/>
      <c r="BL411" s="546"/>
    </row>
    <row r="412" ht="22.5" customHeight="1">
      <c r="A412" s="538">
        <v>411.0</v>
      </c>
      <c r="B412" s="538" t="s">
        <v>2006</v>
      </c>
      <c r="C412" s="538" t="s">
        <v>82</v>
      </c>
      <c r="D412" s="538" t="s">
        <v>1826</v>
      </c>
      <c r="E412" s="538" t="s">
        <v>322</v>
      </c>
      <c r="F412" s="538" t="s">
        <v>1829</v>
      </c>
      <c r="G412" s="538" t="s">
        <v>239</v>
      </c>
      <c r="H412" s="538" t="s">
        <v>250</v>
      </c>
      <c r="I412" s="538" t="s">
        <v>122</v>
      </c>
      <c r="J412" s="538" t="s">
        <v>320</v>
      </c>
      <c r="K412" s="538" t="s">
        <v>2007</v>
      </c>
      <c r="L412" s="538" t="s">
        <v>2008</v>
      </c>
      <c r="M412" s="538" t="s">
        <v>673</v>
      </c>
      <c r="N412" s="538" t="s">
        <v>2004</v>
      </c>
      <c r="O412" s="538" t="b">
        <v>0</v>
      </c>
      <c r="P412" s="538" t="b">
        <v>1</v>
      </c>
      <c r="Q412" s="538" t="s">
        <v>75</v>
      </c>
      <c r="R412" s="538" t="s">
        <v>1473</v>
      </c>
      <c r="S412" s="538" t="s">
        <v>75</v>
      </c>
      <c r="T412" s="538" t="s">
        <v>1473</v>
      </c>
      <c r="U412" s="538" t="s">
        <v>79</v>
      </c>
      <c r="V412" s="538" t="s">
        <v>1829</v>
      </c>
      <c r="W412" s="538" t="s">
        <v>79</v>
      </c>
      <c r="X412" s="538" t="s">
        <v>1829</v>
      </c>
      <c r="Y412" s="538" t="s">
        <v>79</v>
      </c>
      <c r="Z412" s="538" t="s">
        <v>1829</v>
      </c>
      <c r="AA412" s="538" t="s">
        <v>79</v>
      </c>
      <c r="AB412" s="538" t="s">
        <v>1829</v>
      </c>
      <c r="AC412" s="538" t="s">
        <v>79</v>
      </c>
      <c r="AD412" s="538" t="s">
        <v>1829</v>
      </c>
      <c r="AE412" s="538" t="s">
        <v>79</v>
      </c>
      <c r="AF412" s="538" t="s">
        <v>1829</v>
      </c>
      <c r="AG412" s="538" t="s">
        <v>79</v>
      </c>
      <c r="AH412" s="538" t="s">
        <v>1829</v>
      </c>
      <c r="AI412" s="538" t="s">
        <v>79</v>
      </c>
      <c r="AJ412" s="538" t="s">
        <v>1829</v>
      </c>
      <c r="AK412" s="538" t="s">
        <v>79</v>
      </c>
      <c r="AL412" s="538" t="s">
        <v>1829</v>
      </c>
      <c r="AM412" s="538" t="s">
        <v>79</v>
      </c>
      <c r="AN412" s="538" t="s">
        <v>1829</v>
      </c>
      <c r="AO412" s="538" t="s">
        <v>79</v>
      </c>
      <c r="AP412" s="538" t="s">
        <v>322</v>
      </c>
      <c r="AQ412" s="538" t="s">
        <v>79</v>
      </c>
      <c r="AR412" s="538" t="s">
        <v>322</v>
      </c>
      <c r="AS412" s="538">
        <v>2.997969719E9</v>
      </c>
      <c r="AT412" s="538">
        <v>2.852482387E9</v>
      </c>
      <c r="AU412" s="538">
        <v>253.0</v>
      </c>
      <c r="AV412" s="538" t="s">
        <v>47</v>
      </c>
      <c r="AW412" s="538" t="s">
        <v>663</v>
      </c>
      <c r="AY412" s="538" t="s">
        <v>1473</v>
      </c>
      <c r="AZ412" s="538">
        <v>1.0</v>
      </c>
      <c r="BA412" s="538">
        <v>1.0</v>
      </c>
      <c r="BB412" s="538">
        <v>1.0</v>
      </c>
      <c r="BC412" s="538">
        <v>1.0</v>
      </c>
      <c r="BD412" s="538">
        <v>1.0</v>
      </c>
      <c r="BE412" s="538">
        <v>0.6</v>
      </c>
      <c r="BF412" s="538">
        <v>0.75</v>
      </c>
      <c r="BG412" s="538">
        <v>0.9</v>
      </c>
      <c r="BH412" s="538">
        <v>1.1</v>
      </c>
      <c r="BI412" s="538">
        <v>1.3</v>
      </c>
      <c r="BJ412" s="546"/>
      <c r="BK412" s="547"/>
      <c r="BL412" s="546"/>
    </row>
    <row r="413" ht="22.5" customHeight="1">
      <c r="A413" s="538">
        <v>412.0</v>
      </c>
      <c r="B413" s="538" t="s">
        <v>2006</v>
      </c>
      <c r="C413" s="538" t="s">
        <v>86</v>
      </c>
      <c r="D413" s="538" t="s">
        <v>1826</v>
      </c>
      <c r="E413" s="538" t="s">
        <v>325</v>
      </c>
      <c r="F413" s="538" t="s">
        <v>1784</v>
      </c>
      <c r="G413" s="538" t="s">
        <v>239</v>
      </c>
      <c r="H413" s="538" t="s">
        <v>250</v>
      </c>
      <c r="I413" s="538" t="s">
        <v>155</v>
      </c>
      <c r="J413" s="538" t="s">
        <v>320</v>
      </c>
      <c r="K413" s="538" t="s">
        <v>2009</v>
      </c>
      <c r="L413" s="538" t="s">
        <v>2010</v>
      </c>
      <c r="M413" s="538" t="s">
        <v>673</v>
      </c>
      <c r="N413" s="538" t="s">
        <v>2011</v>
      </c>
      <c r="O413" s="538" t="b">
        <v>0</v>
      </c>
      <c r="P413" s="538" t="b">
        <v>1</v>
      </c>
      <c r="Q413" s="538" t="s">
        <v>75</v>
      </c>
      <c r="R413" s="538" t="s">
        <v>1788</v>
      </c>
      <c r="S413" s="538" t="s">
        <v>75</v>
      </c>
      <c r="T413" s="538" t="s">
        <v>1788</v>
      </c>
      <c r="U413" s="538" t="s">
        <v>79</v>
      </c>
      <c r="V413" s="538" t="s">
        <v>1784</v>
      </c>
      <c r="W413" s="538" t="s">
        <v>79</v>
      </c>
      <c r="X413" s="538" t="s">
        <v>1784</v>
      </c>
      <c r="Y413" s="538" t="s">
        <v>79</v>
      </c>
      <c r="Z413" s="538" t="s">
        <v>1784</v>
      </c>
      <c r="AA413" s="538" t="s">
        <v>79</v>
      </c>
      <c r="AB413" s="538" t="s">
        <v>1784</v>
      </c>
      <c r="AC413" s="538" t="s">
        <v>79</v>
      </c>
      <c r="AD413" s="538" t="s">
        <v>1784</v>
      </c>
      <c r="AE413" s="538" t="s">
        <v>79</v>
      </c>
      <c r="AF413" s="538" t="s">
        <v>1784</v>
      </c>
      <c r="AG413" s="538" t="s">
        <v>79</v>
      </c>
      <c r="AH413" s="538" t="s">
        <v>1784</v>
      </c>
      <c r="AI413" s="538" t="s">
        <v>79</v>
      </c>
      <c r="AJ413" s="538" t="s">
        <v>1784</v>
      </c>
      <c r="AK413" s="538" t="s">
        <v>79</v>
      </c>
      <c r="AL413" s="538" t="s">
        <v>1784</v>
      </c>
      <c r="AM413" s="538" t="s">
        <v>79</v>
      </c>
      <c r="AN413" s="538" t="s">
        <v>1784</v>
      </c>
      <c r="AO413" s="538" t="s">
        <v>79</v>
      </c>
      <c r="AP413" s="538" t="s">
        <v>325</v>
      </c>
      <c r="AQ413" s="538" t="s">
        <v>79</v>
      </c>
      <c r="AR413" s="538" t="s">
        <v>325</v>
      </c>
      <c r="AS413" s="538">
        <v>1.458247623E9</v>
      </c>
      <c r="AT413" s="538">
        <v>2.852482387E9</v>
      </c>
      <c r="AU413" s="538">
        <v>253.0</v>
      </c>
      <c r="AV413" s="538" t="s">
        <v>47</v>
      </c>
      <c r="AX413" s="538" t="s">
        <v>437</v>
      </c>
      <c r="AY413" s="538" t="s">
        <v>1788</v>
      </c>
      <c r="AZ413" s="538">
        <v>1.0</v>
      </c>
      <c r="BA413" s="538">
        <v>1.0</v>
      </c>
      <c r="BB413" s="538">
        <v>1.0</v>
      </c>
      <c r="BC413" s="538">
        <v>1.0</v>
      </c>
      <c r="BD413" s="538">
        <v>1.0</v>
      </c>
      <c r="BE413" s="538">
        <v>0.4</v>
      </c>
      <c r="BF413" s="538">
        <v>0.5</v>
      </c>
      <c r="BG413" s="538">
        <v>0.65</v>
      </c>
      <c r="BH413" s="538">
        <v>0.85</v>
      </c>
      <c r="BI413" s="538">
        <v>1.0</v>
      </c>
      <c r="BJ413" s="546"/>
      <c r="BL413" s="546"/>
    </row>
    <row r="414" ht="22.5" customHeight="1">
      <c r="A414" s="538">
        <v>413.0</v>
      </c>
      <c r="B414" s="538" t="s">
        <v>2012</v>
      </c>
      <c r="C414" s="538" t="s">
        <v>82</v>
      </c>
      <c r="D414" s="538" t="s">
        <v>1780</v>
      </c>
      <c r="E414" s="538" t="s">
        <v>322</v>
      </c>
      <c r="F414" s="538" t="s">
        <v>1784</v>
      </c>
      <c r="G414" s="538" t="s">
        <v>239</v>
      </c>
      <c r="H414" s="538" t="s">
        <v>250</v>
      </c>
      <c r="I414" s="538" t="s">
        <v>122</v>
      </c>
      <c r="J414" s="538" t="s">
        <v>320</v>
      </c>
      <c r="K414" s="538" t="s">
        <v>2013</v>
      </c>
      <c r="L414" s="538" t="s">
        <v>2014</v>
      </c>
      <c r="M414" s="538" t="s">
        <v>673</v>
      </c>
      <c r="N414" s="538" t="s">
        <v>2004</v>
      </c>
      <c r="O414" s="538" t="b">
        <v>0</v>
      </c>
      <c r="P414" s="538" t="b">
        <v>1</v>
      </c>
      <c r="Q414" s="538" t="s">
        <v>75</v>
      </c>
      <c r="R414" s="538" t="s">
        <v>1788</v>
      </c>
      <c r="S414" s="538" t="s">
        <v>75</v>
      </c>
      <c r="T414" s="538" t="s">
        <v>1788</v>
      </c>
      <c r="U414" s="538" t="s">
        <v>79</v>
      </c>
      <c r="V414" s="538" t="s">
        <v>1784</v>
      </c>
      <c r="W414" s="538" t="s">
        <v>79</v>
      </c>
      <c r="X414" s="538" t="s">
        <v>1784</v>
      </c>
      <c r="Y414" s="538" t="s">
        <v>79</v>
      </c>
      <c r="Z414" s="538" t="s">
        <v>1784</v>
      </c>
      <c r="AA414" s="538" t="s">
        <v>79</v>
      </c>
      <c r="AB414" s="538" t="s">
        <v>1784</v>
      </c>
      <c r="AC414" s="538" t="s">
        <v>79</v>
      </c>
      <c r="AD414" s="538" t="s">
        <v>1784</v>
      </c>
      <c r="AE414" s="538" t="s">
        <v>79</v>
      </c>
      <c r="AF414" s="538" t="s">
        <v>1784</v>
      </c>
      <c r="AG414" s="538" t="s">
        <v>79</v>
      </c>
      <c r="AH414" s="538" t="s">
        <v>1784</v>
      </c>
      <c r="AI414" s="538" t="s">
        <v>79</v>
      </c>
      <c r="AJ414" s="538" t="s">
        <v>1784</v>
      </c>
      <c r="AK414" s="538" t="s">
        <v>79</v>
      </c>
      <c r="AL414" s="538" t="s">
        <v>1784</v>
      </c>
      <c r="AM414" s="538" t="s">
        <v>79</v>
      </c>
      <c r="AN414" s="538" t="s">
        <v>1784</v>
      </c>
      <c r="AO414" s="538" t="s">
        <v>79</v>
      </c>
      <c r="AP414" s="538" t="s">
        <v>322</v>
      </c>
      <c r="AQ414" s="538" t="s">
        <v>79</v>
      </c>
      <c r="AR414" s="538" t="s">
        <v>322</v>
      </c>
      <c r="AS414" s="538">
        <v>2.795968688E9</v>
      </c>
      <c r="AT414" s="538">
        <v>3.4588229E9</v>
      </c>
      <c r="AU414" s="538">
        <v>252.0</v>
      </c>
      <c r="AV414" s="538" t="s">
        <v>47</v>
      </c>
      <c r="AX414" s="538" t="s">
        <v>437</v>
      </c>
      <c r="AY414" s="538" t="s">
        <v>1788</v>
      </c>
      <c r="AZ414" s="538">
        <v>1.0</v>
      </c>
      <c r="BA414" s="538">
        <v>1.0</v>
      </c>
      <c r="BB414" s="538">
        <v>1.0</v>
      </c>
      <c r="BC414" s="538">
        <v>1.0</v>
      </c>
      <c r="BD414" s="538">
        <v>1.0</v>
      </c>
      <c r="BE414" s="538">
        <v>0.6</v>
      </c>
      <c r="BF414" s="538">
        <v>0.75</v>
      </c>
      <c r="BG414" s="538">
        <v>0.9</v>
      </c>
      <c r="BH414" s="538">
        <v>1.1</v>
      </c>
      <c r="BI414" s="538">
        <v>1.3</v>
      </c>
      <c r="BJ414" s="546"/>
      <c r="BK414" s="547"/>
      <c r="BL414" s="546"/>
    </row>
    <row r="415" ht="22.5" customHeight="1">
      <c r="A415" s="538">
        <v>414.0</v>
      </c>
      <c r="B415" s="538" t="s">
        <v>2012</v>
      </c>
      <c r="C415" s="538" t="s">
        <v>86</v>
      </c>
      <c r="D415" s="538" t="s">
        <v>1780</v>
      </c>
      <c r="E415" s="538" t="s">
        <v>325</v>
      </c>
      <c r="F415" s="538" t="s">
        <v>1750</v>
      </c>
      <c r="G415" s="538" t="s">
        <v>239</v>
      </c>
      <c r="H415" s="538" t="s">
        <v>250</v>
      </c>
      <c r="I415" s="538" t="s">
        <v>155</v>
      </c>
      <c r="J415" s="538" t="s">
        <v>320</v>
      </c>
      <c r="K415" s="538" t="s">
        <v>2015</v>
      </c>
      <c r="L415" s="538" t="s">
        <v>2016</v>
      </c>
      <c r="M415" s="538" t="s">
        <v>673</v>
      </c>
      <c r="N415" s="538" t="s">
        <v>2011</v>
      </c>
      <c r="O415" s="538" t="b">
        <v>0</v>
      </c>
      <c r="P415" s="538" t="b">
        <v>1</v>
      </c>
      <c r="Q415" s="538" t="s">
        <v>75</v>
      </c>
      <c r="R415" s="538" t="s">
        <v>1754</v>
      </c>
      <c r="S415" s="538" t="s">
        <v>75</v>
      </c>
      <c r="T415" s="538" t="s">
        <v>1754</v>
      </c>
      <c r="U415" s="538" t="s">
        <v>79</v>
      </c>
      <c r="V415" s="538" t="s">
        <v>1750</v>
      </c>
      <c r="W415" s="538" t="s">
        <v>79</v>
      </c>
      <c r="X415" s="538" t="s">
        <v>1750</v>
      </c>
      <c r="Y415" s="538" t="s">
        <v>79</v>
      </c>
      <c r="Z415" s="538" t="s">
        <v>1750</v>
      </c>
      <c r="AA415" s="538" t="s">
        <v>79</v>
      </c>
      <c r="AB415" s="538" t="s">
        <v>1750</v>
      </c>
      <c r="AC415" s="538" t="s">
        <v>79</v>
      </c>
      <c r="AD415" s="538" t="s">
        <v>1750</v>
      </c>
      <c r="AE415" s="538" t="s">
        <v>79</v>
      </c>
      <c r="AF415" s="538" t="s">
        <v>1750</v>
      </c>
      <c r="AG415" s="538" t="s">
        <v>79</v>
      </c>
      <c r="AH415" s="538" t="s">
        <v>1750</v>
      </c>
      <c r="AI415" s="538" t="s">
        <v>79</v>
      </c>
      <c r="AJ415" s="538" t="s">
        <v>1750</v>
      </c>
      <c r="AK415" s="538" t="s">
        <v>79</v>
      </c>
      <c r="AL415" s="538" t="s">
        <v>1750</v>
      </c>
      <c r="AM415" s="538" t="s">
        <v>79</v>
      </c>
      <c r="AN415" s="538" t="s">
        <v>1750</v>
      </c>
      <c r="AO415" s="538" t="s">
        <v>79</v>
      </c>
      <c r="AP415" s="538" t="s">
        <v>325</v>
      </c>
      <c r="AQ415" s="538" t="s">
        <v>79</v>
      </c>
      <c r="AR415" s="538" t="s">
        <v>325</v>
      </c>
      <c r="AS415" s="538">
        <v>3.479467907E9</v>
      </c>
      <c r="AT415" s="538">
        <v>3.4588229E9</v>
      </c>
      <c r="AU415" s="538">
        <v>252.0</v>
      </c>
      <c r="AV415" s="538" t="s">
        <v>47</v>
      </c>
      <c r="AX415" s="538" t="s">
        <v>760</v>
      </c>
      <c r="AY415" s="538" t="s">
        <v>1754</v>
      </c>
      <c r="AZ415" s="538">
        <v>1.0</v>
      </c>
      <c r="BA415" s="538">
        <v>1.0</v>
      </c>
      <c r="BB415" s="538">
        <v>1.0</v>
      </c>
      <c r="BC415" s="538">
        <v>1.0</v>
      </c>
      <c r="BD415" s="538">
        <v>1.0</v>
      </c>
      <c r="BE415" s="538">
        <v>0.4</v>
      </c>
      <c r="BF415" s="538">
        <v>0.5</v>
      </c>
      <c r="BG415" s="538">
        <v>0.65</v>
      </c>
      <c r="BH415" s="538">
        <v>0.85</v>
      </c>
      <c r="BI415" s="538">
        <v>1.0</v>
      </c>
      <c r="BJ415" s="546"/>
      <c r="BL415" s="546"/>
    </row>
    <row r="416" ht="22.5" customHeight="1">
      <c r="A416" s="538">
        <v>415.0</v>
      </c>
      <c r="B416" s="538" t="s">
        <v>2017</v>
      </c>
      <c r="C416" s="538" t="s">
        <v>82</v>
      </c>
      <c r="D416" s="538" t="s">
        <v>1749</v>
      </c>
      <c r="E416" s="538" t="s">
        <v>322</v>
      </c>
      <c r="F416" s="538" t="s">
        <v>1750</v>
      </c>
      <c r="G416" s="538" t="s">
        <v>239</v>
      </c>
      <c r="H416" s="538" t="s">
        <v>250</v>
      </c>
      <c r="I416" s="538" t="s">
        <v>122</v>
      </c>
      <c r="J416" s="538" t="s">
        <v>320</v>
      </c>
      <c r="K416" s="538" t="s">
        <v>2018</v>
      </c>
      <c r="L416" s="538" t="s">
        <v>2019</v>
      </c>
      <c r="M416" s="538" t="s">
        <v>673</v>
      </c>
      <c r="N416" s="538" t="s">
        <v>2004</v>
      </c>
      <c r="O416" s="538" t="b">
        <v>0</v>
      </c>
      <c r="P416" s="538" t="b">
        <v>1</v>
      </c>
      <c r="Q416" s="538" t="s">
        <v>75</v>
      </c>
      <c r="R416" s="538" t="s">
        <v>1754</v>
      </c>
      <c r="S416" s="538" t="s">
        <v>75</v>
      </c>
      <c r="T416" s="538" t="s">
        <v>1754</v>
      </c>
      <c r="U416" s="538" t="s">
        <v>79</v>
      </c>
      <c r="V416" s="538" t="s">
        <v>1750</v>
      </c>
      <c r="W416" s="538" t="s">
        <v>79</v>
      </c>
      <c r="X416" s="538" t="s">
        <v>1750</v>
      </c>
      <c r="Y416" s="538" t="s">
        <v>79</v>
      </c>
      <c r="Z416" s="538" t="s">
        <v>1750</v>
      </c>
      <c r="AA416" s="538" t="s">
        <v>79</v>
      </c>
      <c r="AB416" s="538" t="s">
        <v>1750</v>
      </c>
      <c r="AC416" s="538" t="s">
        <v>79</v>
      </c>
      <c r="AD416" s="538" t="s">
        <v>1750</v>
      </c>
      <c r="AE416" s="538" t="s">
        <v>79</v>
      </c>
      <c r="AF416" s="538" t="s">
        <v>1750</v>
      </c>
      <c r="AG416" s="538" t="s">
        <v>79</v>
      </c>
      <c r="AH416" s="538" t="s">
        <v>1750</v>
      </c>
      <c r="AI416" s="538" t="s">
        <v>79</v>
      </c>
      <c r="AJ416" s="538" t="s">
        <v>1750</v>
      </c>
      <c r="AK416" s="538" t="s">
        <v>79</v>
      </c>
      <c r="AL416" s="538" t="s">
        <v>1750</v>
      </c>
      <c r="AM416" s="538" t="s">
        <v>79</v>
      </c>
      <c r="AN416" s="538" t="s">
        <v>1750</v>
      </c>
      <c r="AO416" s="538" t="s">
        <v>79</v>
      </c>
      <c r="AP416" s="538" t="s">
        <v>322</v>
      </c>
      <c r="AQ416" s="538" t="s">
        <v>79</v>
      </c>
      <c r="AR416" s="538" t="s">
        <v>322</v>
      </c>
      <c r="AS416" s="538">
        <v>3.055093161E9</v>
      </c>
      <c r="AT416" s="538">
        <v>4.151676212E9</v>
      </c>
      <c r="AU416" s="538">
        <v>254.0</v>
      </c>
      <c r="AV416" s="538" t="s">
        <v>47</v>
      </c>
      <c r="AX416" s="538" t="s">
        <v>760</v>
      </c>
      <c r="AY416" s="538" t="s">
        <v>1754</v>
      </c>
      <c r="AZ416" s="538">
        <v>1.0</v>
      </c>
      <c r="BA416" s="538">
        <v>1.0</v>
      </c>
      <c r="BB416" s="538">
        <v>1.0</v>
      </c>
      <c r="BC416" s="538">
        <v>1.0</v>
      </c>
      <c r="BD416" s="538">
        <v>1.0</v>
      </c>
      <c r="BE416" s="538">
        <v>0.6</v>
      </c>
      <c r="BF416" s="538">
        <v>0.75</v>
      </c>
      <c r="BG416" s="538">
        <v>0.9</v>
      </c>
      <c r="BH416" s="538">
        <v>1.1</v>
      </c>
      <c r="BI416" s="538">
        <v>1.3</v>
      </c>
      <c r="BJ416" s="546"/>
      <c r="BK416" s="547"/>
      <c r="BL416" s="546"/>
    </row>
    <row r="417" ht="22.5" customHeight="1">
      <c r="A417" s="538">
        <v>416.0</v>
      </c>
      <c r="B417" s="538" t="s">
        <v>2017</v>
      </c>
      <c r="C417" s="538" t="s">
        <v>86</v>
      </c>
      <c r="D417" s="538" t="s">
        <v>1749</v>
      </c>
      <c r="E417" s="538" t="s">
        <v>325</v>
      </c>
      <c r="F417" s="538" t="s">
        <v>1829</v>
      </c>
      <c r="G417" s="538" t="s">
        <v>239</v>
      </c>
      <c r="H417" s="538" t="s">
        <v>250</v>
      </c>
      <c r="I417" s="538" t="s">
        <v>155</v>
      </c>
      <c r="J417" s="538" t="s">
        <v>320</v>
      </c>
      <c r="K417" s="538" t="s">
        <v>2020</v>
      </c>
      <c r="L417" s="538" t="s">
        <v>2021</v>
      </c>
      <c r="M417" s="538" t="s">
        <v>673</v>
      </c>
      <c r="N417" s="538" t="s">
        <v>2011</v>
      </c>
      <c r="O417" s="538" t="b">
        <v>0</v>
      </c>
      <c r="P417" s="538" t="b">
        <v>1</v>
      </c>
      <c r="Q417" s="538" t="s">
        <v>75</v>
      </c>
      <c r="R417" s="538" t="s">
        <v>1473</v>
      </c>
      <c r="S417" s="538" t="s">
        <v>75</v>
      </c>
      <c r="T417" s="538" t="s">
        <v>1473</v>
      </c>
      <c r="U417" s="538" t="s">
        <v>79</v>
      </c>
      <c r="V417" s="538" t="s">
        <v>1829</v>
      </c>
      <c r="W417" s="538" t="s">
        <v>79</v>
      </c>
      <c r="X417" s="538" t="s">
        <v>1829</v>
      </c>
      <c r="Y417" s="538" t="s">
        <v>79</v>
      </c>
      <c r="Z417" s="538" t="s">
        <v>1829</v>
      </c>
      <c r="AA417" s="538" t="s">
        <v>79</v>
      </c>
      <c r="AB417" s="538" t="s">
        <v>1829</v>
      </c>
      <c r="AC417" s="538" t="s">
        <v>79</v>
      </c>
      <c r="AD417" s="538" t="s">
        <v>1829</v>
      </c>
      <c r="AE417" s="538" t="s">
        <v>79</v>
      </c>
      <c r="AF417" s="538" t="s">
        <v>1829</v>
      </c>
      <c r="AG417" s="538" t="s">
        <v>79</v>
      </c>
      <c r="AH417" s="538" t="s">
        <v>1829</v>
      </c>
      <c r="AI417" s="538" t="s">
        <v>79</v>
      </c>
      <c r="AJ417" s="538" t="s">
        <v>1829</v>
      </c>
      <c r="AK417" s="538" t="s">
        <v>79</v>
      </c>
      <c r="AL417" s="538" t="s">
        <v>1829</v>
      </c>
      <c r="AM417" s="538" t="s">
        <v>79</v>
      </c>
      <c r="AN417" s="538" t="s">
        <v>1829</v>
      </c>
      <c r="AO417" s="538" t="s">
        <v>79</v>
      </c>
      <c r="AP417" s="538" t="s">
        <v>325</v>
      </c>
      <c r="AQ417" s="538" t="s">
        <v>79</v>
      </c>
      <c r="AR417" s="538" t="s">
        <v>325</v>
      </c>
      <c r="AS417" s="538">
        <v>2.855453718E9</v>
      </c>
      <c r="AT417" s="538">
        <v>4.151676212E9</v>
      </c>
      <c r="AU417" s="538">
        <v>254.0</v>
      </c>
      <c r="AV417" s="538" t="s">
        <v>47</v>
      </c>
      <c r="AW417" s="538" t="s">
        <v>663</v>
      </c>
      <c r="AY417" s="538" t="s">
        <v>1473</v>
      </c>
      <c r="AZ417" s="538">
        <v>1.0</v>
      </c>
      <c r="BA417" s="538">
        <v>1.0</v>
      </c>
      <c r="BB417" s="538">
        <v>1.0</v>
      </c>
      <c r="BC417" s="538">
        <v>1.0</v>
      </c>
      <c r="BD417" s="538">
        <v>1.0</v>
      </c>
      <c r="BE417" s="538">
        <v>0.4</v>
      </c>
      <c r="BF417" s="538">
        <v>0.5</v>
      </c>
      <c r="BG417" s="538">
        <v>0.65</v>
      </c>
      <c r="BH417" s="538">
        <v>0.85</v>
      </c>
      <c r="BI417" s="538">
        <v>1.0</v>
      </c>
      <c r="BJ417" s="546"/>
      <c r="BL417" s="546"/>
    </row>
    <row r="418" ht="22.5" customHeight="1">
      <c r="A418" s="538">
        <v>417.0</v>
      </c>
      <c r="B418" s="538" t="s">
        <v>2022</v>
      </c>
      <c r="C418" s="538" t="s">
        <v>82</v>
      </c>
      <c r="D418" s="538" t="s">
        <v>1656</v>
      </c>
      <c r="E418" s="538" t="s">
        <v>210</v>
      </c>
      <c r="F418" s="538" t="s">
        <v>248</v>
      </c>
      <c r="G418" s="538" t="s">
        <v>239</v>
      </c>
      <c r="H418" s="538" t="s">
        <v>222</v>
      </c>
      <c r="I418" s="538" t="s">
        <v>197</v>
      </c>
      <c r="J418" s="538" t="s">
        <v>317</v>
      </c>
      <c r="K418" s="538" t="s">
        <v>2023</v>
      </c>
      <c r="L418" s="538" t="s">
        <v>2024</v>
      </c>
      <c r="M418" s="538" t="s">
        <v>2025</v>
      </c>
      <c r="N418" s="538" t="s">
        <v>673</v>
      </c>
      <c r="O418" s="538" t="b">
        <v>1</v>
      </c>
      <c r="P418" s="538" t="b">
        <v>1</v>
      </c>
      <c r="Q418" s="538" t="s">
        <v>73</v>
      </c>
      <c r="S418" s="538" t="s">
        <v>73</v>
      </c>
      <c r="U418" s="538" t="s">
        <v>79</v>
      </c>
      <c r="V418" s="538" t="s">
        <v>248</v>
      </c>
      <c r="W418" s="538" t="s">
        <v>79</v>
      </c>
      <c r="X418" s="538" t="s">
        <v>248</v>
      </c>
      <c r="Y418" s="538" t="s">
        <v>79</v>
      </c>
      <c r="Z418" s="538" t="s">
        <v>248</v>
      </c>
      <c r="AA418" s="538" t="s">
        <v>79</v>
      </c>
      <c r="AB418" s="538" t="s">
        <v>248</v>
      </c>
      <c r="AC418" s="538" t="s">
        <v>79</v>
      </c>
      <c r="AD418" s="538" t="s">
        <v>248</v>
      </c>
      <c r="AE418" s="538" t="s">
        <v>79</v>
      </c>
      <c r="AF418" s="538" t="s">
        <v>248</v>
      </c>
      <c r="AG418" s="538" t="s">
        <v>79</v>
      </c>
      <c r="AH418" s="538" t="s">
        <v>248</v>
      </c>
      <c r="AI418" s="538" t="s">
        <v>79</v>
      </c>
      <c r="AJ418" s="538" t="s">
        <v>248</v>
      </c>
      <c r="AK418" s="538" t="s">
        <v>79</v>
      </c>
      <c r="AL418" s="538" t="s">
        <v>248</v>
      </c>
      <c r="AM418" s="538" t="s">
        <v>79</v>
      </c>
      <c r="AN418" s="538" t="s">
        <v>248</v>
      </c>
      <c r="AO418" s="538" t="s">
        <v>79</v>
      </c>
      <c r="AP418" s="538" t="s">
        <v>210</v>
      </c>
      <c r="AQ418" s="538" t="s">
        <v>79</v>
      </c>
      <c r="AR418" s="538" t="s">
        <v>210</v>
      </c>
      <c r="AS418" s="538">
        <v>1.275347566E9</v>
      </c>
      <c r="AT418" s="538">
        <v>3.013113875E9</v>
      </c>
      <c r="AU418" s="538">
        <v>255.0</v>
      </c>
      <c r="AV418" s="538" t="s">
        <v>47</v>
      </c>
      <c r="AZ418" s="538">
        <v>0.4</v>
      </c>
      <c r="BA418" s="538">
        <v>0.45</v>
      </c>
      <c r="BB418" s="538">
        <v>0.55</v>
      </c>
      <c r="BC418" s="538">
        <v>0.75</v>
      </c>
      <c r="BD418" s="538">
        <v>1.0</v>
      </c>
      <c r="BE418" s="538">
        <v>1.0</v>
      </c>
      <c r="BF418" s="538">
        <v>1.0</v>
      </c>
      <c r="BG418" s="538">
        <v>1.0</v>
      </c>
      <c r="BH418" s="538">
        <v>1.0</v>
      </c>
      <c r="BI418" s="538">
        <v>1.0</v>
      </c>
      <c r="BJ418" s="546"/>
      <c r="BL418" s="546"/>
    </row>
    <row r="419" ht="22.5" customHeight="1">
      <c r="A419" s="538">
        <v>418.0</v>
      </c>
      <c r="B419" s="538" t="s">
        <v>2022</v>
      </c>
      <c r="C419" s="538" t="s">
        <v>86</v>
      </c>
      <c r="D419" s="538" t="s">
        <v>1656</v>
      </c>
      <c r="E419" s="538" t="s">
        <v>325</v>
      </c>
      <c r="F419" s="538" t="s">
        <v>248</v>
      </c>
      <c r="G419" s="538" t="s">
        <v>239</v>
      </c>
      <c r="H419" s="538" t="s">
        <v>250</v>
      </c>
      <c r="I419" s="538" t="s">
        <v>155</v>
      </c>
      <c r="J419" s="538" t="s">
        <v>320</v>
      </c>
      <c r="K419" s="538" t="s">
        <v>2026</v>
      </c>
      <c r="L419" s="538" t="s">
        <v>2027</v>
      </c>
      <c r="M419" s="538" t="s">
        <v>673</v>
      </c>
      <c r="N419" s="538" t="s">
        <v>2028</v>
      </c>
      <c r="O419" s="538" t="b">
        <v>0</v>
      </c>
      <c r="P419" s="538" t="b">
        <v>1</v>
      </c>
      <c r="Q419" s="538" t="s">
        <v>73</v>
      </c>
      <c r="S419" s="538" t="s">
        <v>73</v>
      </c>
      <c r="U419" s="538" t="s">
        <v>79</v>
      </c>
      <c r="V419" s="538" t="s">
        <v>248</v>
      </c>
      <c r="W419" s="538" t="s">
        <v>79</v>
      </c>
      <c r="X419" s="538" t="s">
        <v>248</v>
      </c>
      <c r="Y419" s="538" t="s">
        <v>79</v>
      </c>
      <c r="Z419" s="538" t="s">
        <v>248</v>
      </c>
      <c r="AA419" s="538" t="s">
        <v>79</v>
      </c>
      <c r="AB419" s="538" t="s">
        <v>248</v>
      </c>
      <c r="AC419" s="538" t="s">
        <v>79</v>
      </c>
      <c r="AD419" s="538" t="s">
        <v>248</v>
      </c>
      <c r="AE419" s="538" t="s">
        <v>79</v>
      </c>
      <c r="AF419" s="538" t="s">
        <v>248</v>
      </c>
      <c r="AG419" s="538" t="s">
        <v>79</v>
      </c>
      <c r="AH419" s="538" t="s">
        <v>248</v>
      </c>
      <c r="AI419" s="538" t="s">
        <v>79</v>
      </c>
      <c r="AJ419" s="538" t="s">
        <v>248</v>
      </c>
      <c r="AK419" s="538" t="s">
        <v>79</v>
      </c>
      <c r="AL419" s="538" t="s">
        <v>248</v>
      </c>
      <c r="AM419" s="538" t="s">
        <v>79</v>
      </c>
      <c r="AN419" s="538" t="s">
        <v>248</v>
      </c>
      <c r="AO419" s="538" t="s">
        <v>79</v>
      </c>
      <c r="AP419" s="538" t="s">
        <v>325</v>
      </c>
      <c r="AQ419" s="538" t="s">
        <v>79</v>
      </c>
      <c r="AR419" s="538" t="s">
        <v>325</v>
      </c>
      <c r="AS419" s="538">
        <v>1166803.0</v>
      </c>
      <c r="AT419" s="538">
        <v>3.013113875E9</v>
      </c>
      <c r="AU419" s="538">
        <v>255.0</v>
      </c>
      <c r="AV419" s="538" t="s">
        <v>47</v>
      </c>
      <c r="AZ419" s="538">
        <v>1.0</v>
      </c>
      <c r="BA419" s="538">
        <v>1.0</v>
      </c>
      <c r="BB419" s="538">
        <v>1.0</v>
      </c>
      <c r="BC419" s="538">
        <v>1.0</v>
      </c>
      <c r="BD419" s="538">
        <v>1.0</v>
      </c>
      <c r="BE419" s="538">
        <v>0.5</v>
      </c>
      <c r="BF419" s="538">
        <v>0.8</v>
      </c>
      <c r="BG419" s="538">
        <v>1.2</v>
      </c>
      <c r="BH419" s="538">
        <v>1.8</v>
      </c>
      <c r="BI419" s="538">
        <v>2.5</v>
      </c>
      <c r="BJ419" s="546"/>
      <c r="BK419" s="547"/>
      <c r="BL419" s="546"/>
    </row>
    <row r="420" ht="22.5" customHeight="1">
      <c r="A420" s="538">
        <v>419.0</v>
      </c>
      <c r="B420" s="538" t="s">
        <v>2029</v>
      </c>
      <c r="C420" s="538" t="s">
        <v>82</v>
      </c>
      <c r="D420" s="538" t="s">
        <v>1656</v>
      </c>
      <c r="E420" s="538" t="s">
        <v>265</v>
      </c>
      <c r="G420" s="538" t="s">
        <v>151</v>
      </c>
      <c r="H420" s="538" t="s">
        <v>250</v>
      </c>
      <c r="I420" s="538" t="s">
        <v>122</v>
      </c>
      <c r="K420" s="538" t="s">
        <v>2030</v>
      </c>
      <c r="L420" s="538" t="s">
        <v>2031</v>
      </c>
      <c r="M420" s="538" t="s">
        <v>673</v>
      </c>
      <c r="N420" s="538" t="s">
        <v>2032</v>
      </c>
      <c r="O420" s="538" t="b">
        <v>0</v>
      </c>
      <c r="P420" s="538" t="b">
        <v>1</v>
      </c>
      <c r="Q420" s="538" t="s">
        <v>79</v>
      </c>
      <c r="R420" s="538" t="s">
        <v>265</v>
      </c>
      <c r="S420" s="538" t="s">
        <v>79</v>
      </c>
      <c r="T420" s="538" t="s">
        <v>265</v>
      </c>
      <c r="U420" s="538" t="s">
        <v>79</v>
      </c>
      <c r="V420" s="538" t="s">
        <v>265</v>
      </c>
      <c r="W420" s="538" t="s">
        <v>79</v>
      </c>
      <c r="X420" s="538" t="s">
        <v>265</v>
      </c>
      <c r="Y420" s="538" t="s">
        <v>79</v>
      </c>
      <c r="Z420" s="538" t="s">
        <v>265</v>
      </c>
      <c r="AA420" s="538" t="s">
        <v>79</v>
      </c>
      <c r="AB420" s="538" t="s">
        <v>265</v>
      </c>
      <c r="AC420" s="538" t="s">
        <v>79</v>
      </c>
      <c r="AD420" s="538" t="s">
        <v>265</v>
      </c>
      <c r="AE420" s="538" t="s">
        <v>79</v>
      </c>
      <c r="AF420" s="538" t="s">
        <v>265</v>
      </c>
      <c r="AG420" s="538" t="s">
        <v>79</v>
      </c>
      <c r="AH420" s="538" t="s">
        <v>265</v>
      </c>
      <c r="AI420" s="538" t="s">
        <v>79</v>
      </c>
      <c r="AJ420" s="538" t="s">
        <v>265</v>
      </c>
      <c r="AK420" s="538" t="s">
        <v>79</v>
      </c>
      <c r="AL420" s="538" t="s">
        <v>265</v>
      </c>
      <c r="AM420" s="538" t="s">
        <v>79</v>
      </c>
      <c r="AN420" s="538" t="s">
        <v>265</v>
      </c>
      <c r="AO420" s="538" t="s">
        <v>79</v>
      </c>
      <c r="AP420" s="538" t="s">
        <v>265</v>
      </c>
      <c r="AQ420" s="538" t="s">
        <v>73</v>
      </c>
      <c r="AS420" s="538">
        <v>1.928045499E9</v>
      </c>
      <c r="AT420" s="538">
        <v>3.423547423E9</v>
      </c>
      <c r="AU420" s="538">
        <v>256.0</v>
      </c>
      <c r="AV420" s="538" t="s">
        <v>46</v>
      </c>
      <c r="AZ420" s="538">
        <v>1.0</v>
      </c>
      <c r="BA420" s="538">
        <v>1.0</v>
      </c>
      <c r="BB420" s="538">
        <v>1.0</v>
      </c>
      <c r="BC420" s="538">
        <v>1.0</v>
      </c>
      <c r="BD420" s="538">
        <v>1.0</v>
      </c>
      <c r="BE420" s="538">
        <v>0.2</v>
      </c>
      <c r="BF420" s="538">
        <v>0.35</v>
      </c>
      <c r="BG420" s="538">
        <v>0.4</v>
      </c>
      <c r="BH420" s="538">
        <v>0.45</v>
      </c>
      <c r="BI420" s="538">
        <v>0.55</v>
      </c>
      <c r="BJ420" s="546"/>
      <c r="BL420" s="546"/>
    </row>
    <row r="421" ht="22.5" customHeight="1">
      <c r="A421" s="538">
        <v>420.0</v>
      </c>
      <c r="B421" s="538" t="s">
        <v>2029</v>
      </c>
      <c r="C421" s="538" t="s">
        <v>86</v>
      </c>
      <c r="D421" s="538" t="s">
        <v>1656</v>
      </c>
      <c r="E421" s="538" t="s">
        <v>298</v>
      </c>
      <c r="G421" s="538" t="s">
        <v>151</v>
      </c>
      <c r="H421" s="538" t="s">
        <v>250</v>
      </c>
      <c r="I421" s="538" t="s">
        <v>122</v>
      </c>
      <c r="K421" s="538" t="s">
        <v>2033</v>
      </c>
      <c r="L421" s="538" t="s">
        <v>2034</v>
      </c>
      <c r="M421" s="538" t="s">
        <v>673</v>
      </c>
      <c r="N421" s="538" t="s">
        <v>866</v>
      </c>
      <c r="O421" s="538" t="b">
        <v>0</v>
      </c>
      <c r="P421" s="538" t="b">
        <v>1</v>
      </c>
      <c r="Q421" s="538" t="s">
        <v>79</v>
      </c>
      <c r="R421" s="538" t="s">
        <v>298</v>
      </c>
      <c r="S421" s="538" t="s">
        <v>79</v>
      </c>
      <c r="T421" s="538" t="s">
        <v>298</v>
      </c>
      <c r="U421" s="538" t="s">
        <v>75</v>
      </c>
      <c r="V421" s="538" t="s">
        <v>1878</v>
      </c>
      <c r="W421" s="538" t="s">
        <v>79</v>
      </c>
      <c r="X421" s="538" t="s">
        <v>298</v>
      </c>
      <c r="Y421" s="538" t="s">
        <v>79</v>
      </c>
      <c r="Z421" s="538" t="s">
        <v>298</v>
      </c>
      <c r="AA421" s="538" t="s">
        <v>79</v>
      </c>
      <c r="AB421" s="538" t="s">
        <v>298</v>
      </c>
      <c r="AC421" s="538" t="s">
        <v>75</v>
      </c>
      <c r="AD421" s="538" t="s">
        <v>1878</v>
      </c>
      <c r="AE421" s="538" t="s">
        <v>75</v>
      </c>
      <c r="AF421" s="538" t="s">
        <v>1878</v>
      </c>
      <c r="AG421" s="538" t="s">
        <v>79</v>
      </c>
      <c r="AH421" s="538" t="s">
        <v>298</v>
      </c>
      <c r="AI421" s="538" t="s">
        <v>79</v>
      </c>
      <c r="AJ421" s="538" t="s">
        <v>298</v>
      </c>
      <c r="AK421" s="538" t="s">
        <v>79</v>
      </c>
      <c r="AL421" s="538" t="s">
        <v>298</v>
      </c>
      <c r="AM421" s="538" t="s">
        <v>79</v>
      </c>
      <c r="AN421" s="538" t="s">
        <v>298</v>
      </c>
      <c r="AO421" s="538" t="s">
        <v>73</v>
      </c>
      <c r="AQ421" s="538" t="s">
        <v>79</v>
      </c>
      <c r="AR421" s="538" t="s">
        <v>298</v>
      </c>
      <c r="AS421" s="538">
        <v>2.910275817E9</v>
      </c>
      <c r="AT421" s="538">
        <v>3.423547423E9</v>
      </c>
      <c r="AU421" s="538">
        <v>256.0</v>
      </c>
      <c r="AV421" s="538" t="s">
        <v>46</v>
      </c>
      <c r="AY421" s="538" t="s">
        <v>298</v>
      </c>
      <c r="AZ421" s="538">
        <v>1.0</v>
      </c>
      <c r="BA421" s="538">
        <v>1.0</v>
      </c>
      <c r="BB421" s="538">
        <v>1.0</v>
      </c>
      <c r="BC421" s="538">
        <v>1.0</v>
      </c>
      <c r="BD421" s="538">
        <v>1.0</v>
      </c>
      <c r="BE421" s="538">
        <v>0.1</v>
      </c>
      <c r="BF421" s="538">
        <v>0.2</v>
      </c>
      <c r="BG421" s="538">
        <v>0.3</v>
      </c>
      <c r="BH421" s="538">
        <v>0.4</v>
      </c>
      <c r="BI421" s="538">
        <v>0.5</v>
      </c>
      <c r="BJ421" s="546"/>
      <c r="BL421" s="546"/>
    </row>
    <row r="422" ht="22.5" customHeight="1">
      <c r="A422" s="538">
        <v>421.0</v>
      </c>
      <c r="B422" s="538" t="s">
        <v>2035</v>
      </c>
      <c r="C422" s="538" t="s">
        <v>84</v>
      </c>
      <c r="D422" s="538" t="s">
        <v>2036</v>
      </c>
      <c r="E422" s="538" t="s">
        <v>277</v>
      </c>
      <c r="G422" s="538" t="s">
        <v>151</v>
      </c>
      <c r="H422" s="538" t="s">
        <v>250</v>
      </c>
      <c r="I422" s="538" t="s">
        <v>122</v>
      </c>
      <c r="K422" s="538" t="s">
        <v>2037</v>
      </c>
      <c r="L422" s="538" t="s">
        <v>2038</v>
      </c>
      <c r="M422" s="538" t="s">
        <v>661</v>
      </c>
      <c r="N422" s="538" t="s">
        <v>2039</v>
      </c>
      <c r="O422" s="538" t="b">
        <v>0</v>
      </c>
      <c r="P422" s="538" t="b">
        <v>1</v>
      </c>
      <c r="Q422" s="538" t="s">
        <v>79</v>
      </c>
      <c r="R422" s="538" t="s">
        <v>277</v>
      </c>
      <c r="S422" s="538" t="s">
        <v>79</v>
      </c>
      <c r="T422" s="538" t="s">
        <v>277</v>
      </c>
      <c r="U422" s="538" t="s">
        <v>73</v>
      </c>
      <c r="W422" s="538" t="s">
        <v>79</v>
      </c>
      <c r="X422" s="538" t="s">
        <v>277</v>
      </c>
      <c r="Y422" s="538" t="s">
        <v>79</v>
      </c>
      <c r="Z422" s="538" t="s">
        <v>277</v>
      </c>
      <c r="AA422" s="538" t="s">
        <v>79</v>
      </c>
      <c r="AB422" s="538" t="s">
        <v>277</v>
      </c>
      <c r="AC422" s="538" t="s">
        <v>73</v>
      </c>
      <c r="AE422" s="538" t="s">
        <v>73</v>
      </c>
      <c r="AG422" s="538" t="s">
        <v>79</v>
      </c>
      <c r="AH422" s="538" t="s">
        <v>277</v>
      </c>
      <c r="AI422" s="538" t="s">
        <v>73</v>
      </c>
      <c r="AK422" s="538" t="s">
        <v>73</v>
      </c>
      <c r="AM422" s="538" t="s">
        <v>73</v>
      </c>
      <c r="AO422" s="538" t="s">
        <v>73</v>
      </c>
      <c r="AQ422" s="538" t="s">
        <v>79</v>
      </c>
      <c r="AR422" s="538" t="s">
        <v>277</v>
      </c>
      <c r="AS422" s="538">
        <v>3.330196976E9</v>
      </c>
      <c r="AT422" s="538">
        <v>2.852124874E9</v>
      </c>
      <c r="AU422" s="538">
        <v>257.0</v>
      </c>
      <c r="AV422" s="538" t="s">
        <v>47</v>
      </c>
      <c r="AZ422" s="538">
        <v>1.0</v>
      </c>
      <c r="BA422" s="538">
        <v>1.0</v>
      </c>
      <c r="BB422" s="538">
        <v>1.0</v>
      </c>
      <c r="BE422" s="538">
        <v>0.6</v>
      </c>
      <c r="BF422" s="538">
        <v>0.2</v>
      </c>
      <c r="BG422" s="538">
        <v>0.4</v>
      </c>
      <c r="BJ422" s="546"/>
      <c r="BL422" s="546"/>
    </row>
    <row r="423" ht="22.5" customHeight="1">
      <c r="A423" s="538">
        <v>422.0</v>
      </c>
      <c r="B423" s="538" t="s">
        <v>2035</v>
      </c>
      <c r="C423" s="538" t="s">
        <v>82</v>
      </c>
      <c r="D423" s="538" t="s">
        <v>2036</v>
      </c>
      <c r="E423" s="538" t="s">
        <v>322</v>
      </c>
      <c r="F423" s="538" t="s">
        <v>1688</v>
      </c>
      <c r="G423" s="538" t="s">
        <v>221</v>
      </c>
      <c r="H423" s="538" t="s">
        <v>250</v>
      </c>
      <c r="I423" s="538" t="s">
        <v>122</v>
      </c>
      <c r="J423" s="538" t="s">
        <v>367</v>
      </c>
      <c r="K423" s="538" t="s">
        <v>2040</v>
      </c>
      <c r="L423" s="538" t="s">
        <v>2041</v>
      </c>
      <c r="M423" s="538" t="s">
        <v>673</v>
      </c>
      <c r="N423" s="538" t="s">
        <v>2042</v>
      </c>
      <c r="O423" s="538" t="b">
        <v>0</v>
      </c>
      <c r="P423" s="538" t="b">
        <v>1</v>
      </c>
      <c r="Q423" s="538" t="s">
        <v>79</v>
      </c>
      <c r="R423" s="538" t="s">
        <v>228</v>
      </c>
      <c r="S423" s="538" t="s">
        <v>79</v>
      </c>
      <c r="T423" s="538" t="s">
        <v>228</v>
      </c>
      <c r="U423" s="538" t="s">
        <v>73</v>
      </c>
      <c r="W423" s="538" t="s">
        <v>73</v>
      </c>
      <c r="Y423" s="538" t="s">
        <v>79</v>
      </c>
      <c r="Z423" s="538" t="s">
        <v>228</v>
      </c>
      <c r="AA423" s="538" t="s">
        <v>73</v>
      </c>
      <c r="AC423" s="538" t="s">
        <v>79</v>
      </c>
      <c r="AD423" s="538" t="s">
        <v>377</v>
      </c>
      <c r="AE423" s="538" t="s">
        <v>79</v>
      </c>
      <c r="AF423" s="538" t="s">
        <v>377</v>
      </c>
      <c r="AG423" s="538" t="s">
        <v>79</v>
      </c>
      <c r="AH423" s="538" t="s">
        <v>228</v>
      </c>
      <c r="AI423" s="538" t="s">
        <v>79</v>
      </c>
      <c r="AJ423" s="538" t="s">
        <v>377</v>
      </c>
      <c r="AK423" s="538" t="s">
        <v>79</v>
      </c>
      <c r="AL423" s="538" t="s">
        <v>228</v>
      </c>
      <c r="AM423" s="538" t="s">
        <v>79</v>
      </c>
      <c r="AN423" s="538" t="s">
        <v>228</v>
      </c>
      <c r="AO423" s="538" t="s">
        <v>79</v>
      </c>
      <c r="AP423" s="538" t="s">
        <v>322</v>
      </c>
      <c r="AQ423" s="538" t="s">
        <v>79</v>
      </c>
      <c r="AR423" s="538" t="s">
        <v>322</v>
      </c>
      <c r="AS423" s="538">
        <v>2.171230488E9</v>
      </c>
      <c r="AT423" s="538">
        <v>2.852124874E9</v>
      </c>
      <c r="AU423" s="538">
        <v>257.0</v>
      </c>
      <c r="AV423" s="538" t="s">
        <v>47</v>
      </c>
      <c r="AZ423" s="538">
        <v>1.0</v>
      </c>
      <c r="BA423" s="538">
        <v>1.0</v>
      </c>
      <c r="BB423" s="538">
        <v>1.0</v>
      </c>
      <c r="BC423" s="538">
        <v>1.0</v>
      </c>
      <c r="BD423" s="538">
        <v>1.0</v>
      </c>
      <c r="BE423" s="538">
        <v>0.03</v>
      </c>
      <c r="BF423" s="538">
        <v>0.05</v>
      </c>
      <c r="BG423" s="538">
        <v>0.07</v>
      </c>
      <c r="BH423" s="538">
        <v>0.1</v>
      </c>
      <c r="BI423" s="538">
        <v>0.15</v>
      </c>
      <c r="BJ423" s="546"/>
      <c r="BL423" s="546"/>
    </row>
    <row r="424" ht="22.5" customHeight="1">
      <c r="A424" s="538">
        <v>423.0</v>
      </c>
      <c r="B424" s="538" t="s">
        <v>2043</v>
      </c>
      <c r="C424" s="538" t="s">
        <v>86</v>
      </c>
      <c r="D424" s="538" t="s">
        <v>2036</v>
      </c>
      <c r="E424" s="538" t="s">
        <v>265</v>
      </c>
      <c r="G424" s="538" t="s">
        <v>151</v>
      </c>
      <c r="H424" s="538" t="s">
        <v>250</v>
      </c>
      <c r="I424" s="538" t="s">
        <v>122</v>
      </c>
      <c r="K424" s="538" t="s">
        <v>2044</v>
      </c>
      <c r="L424" s="538" t="s">
        <v>2045</v>
      </c>
      <c r="M424" s="538" t="s">
        <v>673</v>
      </c>
      <c r="N424" s="538" t="s">
        <v>2046</v>
      </c>
      <c r="O424" s="538" t="b">
        <v>0</v>
      </c>
      <c r="P424" s="538" t="b">
        <v>1</v>
      </c>
      <c r="Q424" s="538" t="s">
        <v>79</v>
      </c>
      <c r="R424" s="538" t="s">
        <v>265</v>
      </c>
      <c r="S424" s="538" t="s">
        <v>79</v>
      </c>
      <c r="T424" s="538" t="s">
        <v>265</v>
      </c>
      <c r="U424" s="538" t="s">
        <v>79</v>
      </c>
      <c r="V424" s="538" t="s">
        <v>265</v>
      </c>
      <c r="W424" s="538" t="s">
        <v>79</v>
      </c>
      <c r="X424" s="538" t="s">
        <v>265</v>
      </c>
      <c r="Y424" s="538" t="s">
        <v>79</v>
      </c>
      <c r="Z424" s="538" t="s">
        <v>265</v>
      </c>
      <c r="AA424" s="538" t="s">
        <v>79</v>
      </c>
      <c r="AB424" s="538" t="s">
        <v>265</v>
      </c>
      <c r="AC424" s="538" t="s">
        <v>79</v>
      </c>
      <c r="AD424" s="538" t="s">
        <v>265</v>
      </c>
      <c r="AE424" s="538" t="s">
        <v>79</v>
      </c>
      <c r="AF424" s="538" t="s">
        <v>265</v>
      </c>
      <c r="AG424" s="538" t="s">
        <v>79</v>
      </c>
      <c r="AH424" s="538" t="s">
        <v>265</v>
      </c>
      <c r="AI424" s="538" t="s">
        <v>79</v>
      </c>
      <c r="AJ424" s="538" t="s">
        <v>265</v>
      </c>
      <c r="AK424" s="538" t="s">
        <v>79</v>
      </c>
      <c r="AL424" s="538" t="s">
        <v>265</v>
      </c>
      <c r="AM424" s="538" t="s">
        <v>79</v>
      </c>
      <c r="AN424" s="538" t="s">
        <v>265</v>
      </c>
      <c r="AO424" s="538" t="s">
        <v>79</v>
      </c>
      <c r="AP424" s="538" t="s">
        <v>265</v>
      </c>
      <c r="AQ424" s="538" t="s">
        <v>73</v>
      </c>
      <c r="AS424" s="538">
        <v>1.868996366E9</v>
      </c>
      <c r="AT424" s="538">
        <v>2.397371699E9</v>
      </c>
      <c r="AU424" s="538">
        <v>258.0</v>
      </c>
      <c r="AV424" s="538" t="s">
        <v>46</v>
      </c>
      <c r="AZ424" s="538">
        <v>1.0</v>
      </c>
      <c r="BA424" s="538">
        <v>1.0</v>
      </c>
      <c r="BB424" s="538">
        <v>1.0</v>
      </c>
      <c r="BC424" s="538">
        <v>1.0</v>
      </c>
      <c r="BD424" s="538">
        <v>1.0</v>
      </c>
      <c r="BE424" s="538">
        <v>0.2</v>
      </c>
      <c r="BF424" s="538">
        <v>0.3</v>
      </c>
      <c r="BG424" s="538">
        <v>0.4</v>
      </c>
      <c r="BH424" s="538">
        <v>0.55</v>
      </c>
      <c r="BI424" s="538">
        <v>0.7</v>
      </c>
      <c r="BJ424" s="546"/>
      <c r="BL424" s="546"/>
    </row>
    <row r="425" ht="22.5" customHeight="1">
      <c r="A425" s="538">
        <v>424.0</v>
      </c>
      <c r="B425" s="538" t="s">
        <v>2043</v>
      </c>
      <c r="C425" s="538" t="s">
        <v>82</v>
      </c>
      <c r="D425" s="538" t="s">
        <v>2036</v>
      </c>
      <c r="E425" s="538" t="s">
        <v>322</v>
      </c>
      <c r="F425" s="538" t="s">
        <v>1688</v>
      </c>
      <c r="G425" s="538" t="s">
        <v>163</v>
      </c>
      <c r="H425" s="538" t="s">
        <v>250</v>
      </c>
      <c r="I425" s="538" t="s">
        <v>122</v>
      </c>
      <c r="K425" s="538" t="s">
        <v>2047</v>
      </c>
      <c r="L425" s="538" t="s">
        <v>2048</v>
      </c>
      <c r="M425" s="538" t="s">
        <v>673</v>
      </c>
      <c r="N425" s="538" t="s">
        <v>737</v>
      </c>
      <c r="O425" s="538" t="b">
        <v>0</v>
      </c>
      <c r="P425" s="538" t="b">
        <v>1</v>
      </c>
      <c r="Q425" s="538" t="s">
        <v>79</v>
      </c>
      <c r="R425" s="538" t="s">
        <v>228</v>
      </c>
      <c r="S425" s="538" t="s">
        <v>79</v>
      </c>
      <c r="T425" s="538" t="s">
        <v>228</v>
      </c>
      <c r="U425" s="538" t="s">
        <v>73</v>
      </c>
      <c r="W425" s="538" t="s">
        <v>73</v>
      </c>
      <c r="Y425" s="538" t="s">
        <v>79</v>
      </c>
      <c r="Z425" s="538" t="s">
        <v>228</v>
      </c>
      <c r="AA425" s="538" t="s">
        <v>73</v>
      </c>
      <c r="AC425" s="538" t="s">
        <v>79</v>
      </c>
      <c r="AD425" s="538" t="s">
        <v>377</v>
      </c>
      <c r="AE425" s="538" t="s">
        <v>79</v>
      </c>
      <c r="AF425" s="538" t="s">
        <v>377</v>
      </c>
      <c r="AG425" s="538" t="s">
        <v>79</v>
      </c>
      <c r="AH425" s="538" t="s">
        <v>228</v>
      </c>
      <c r="AI425" s="538" t="s">
        <v>79</v>
      </c>
      <c r="AJ425" s="538" t="s">
        <v>377</v>
      </c>
      <c r="AK425" s="538" t="s">
        <v>79</v>
      </c>
      <c r="AL425" s="538" t="s">
        <v>228</v>
      </c>
      <c r="AM425" s="538" t="s">
        <v>79</v>
      </c>
      <c r="AN425" s="538" t="s">
        <v>228</v>
      </c>
      <c r="AO425" s="538" t="s">
        <v>79</v>
      </c>
      <c r="AP425" s="538" t="s">
        <v>322</v>
      </c>
      <c r="AQ425" s="538" t="s">
        <v>79</v>
      </c>
      <c r="AR425" s="538" t="s">
        <v>322</v>
      </c>
      <c r="AS425" s="538">
        <v>1.705525993E9</v>
      </c>
      <c r="AT425" s="538">
        <v>2.397371699E9</v>
      </c>
      <c r="AU425" s="538">
        <v>258.0</v>
      </c>
      <c r="AV425" s="538" t="s">
        <v>46</v>
      </c>
      <c r="AZ425" s="538">
        <v>1.0</v>
      </c>
      <c r="BA425" s="538">
        <v>1.0</v>
      </c>
      <c r="BB425" s="538">
        <v>1.0</v>
      </c>
      <c r="BC425" s="538">
        <v>1.0</v>
      </c>
      <c r="BD425" s="538">
        <v>1.0</v>
      </c>
      <c r="BE425" s="538">
        <v>0.1</v>
      </c>
      <c r="BF425" s="538">
        <v>0.15</v>
      </c>
      <c r="BG425" s="538">
        <v>0.2</v>
      </c>
      <c r="BH425" s="538">
        <v>0.3</v>
      </c>
      <c r="BI425" s="538">
        <v>0.4</v>
      </c>
      <c r="BJ425" s="546"/>
      <c r="BL425" s="546"/>
    </row>
    <row r="426" ht="22.5" customHeight="1">
      <c r="A426" s="538">
        <v>425.0</v>
      </c>
      <c r="B426" s="538" t="s">
        <v>2049</v>
      </c>
      <c r="C426" s="538" t="s">
        <v>84</v>
      </c>
      <c r="D426" s="538" t="s">
        <v>2036</v>
      </c>
      <c r="E426" s="538" t="s">
        <v>319</v>
      </c>
      <c r="G426" s="538" t="s">
        <v>151</v>
      </c>
      <c r="H426" s="538" t="s">
        <v>250</v>
      </c>
      <c r="I426" s="538" t="s">
        <v>122</v>
      </c>
      <c r="K426" s="538" t="s">
        <v>2050</v>
      </c>
      <c r="L426" s="538" t="s">
        <v>1869</v>
      </c>
      <c r="M426" s="538" t="s">
        <v>661</v>
      </c>
      <c r="N426" s="538" t="s">
        <v>1593</v>
      </c>
      <c r="O426" s="538" t="b">
        <v>0</v>
      </c>
      <c r="P426" s="538" t="b">
        <v>1</v>
      </c>
      <c r="Q426" s="538" t="s">
        <v>79</v>
      </c>
      <c r="R426" s="538" t="s">
        <v>319</v>
      </c>
      <c r="S426" s="538" t="s">
        <v>79</v>
      </c>
      <c r="T426" s="538" t="s">
        <v>319</v>
      </c>
      <c r="U426" s="538" t="s">
        <v>79</v>
      </c>
      <c r="V426" s="538" t="s">
        <v>319</v>
      </c>
      <c r="W426" s="538" t="s">
        <v>79</v>
      </c>
      <c r="X426" s="538" t="s">
        <v>319</v>
      </c>
      <c r="Y426" s="538" t="s">
        <v>79</v>
      </c>
      <c r="Z426" s="538" t="s">
        <v>319</v>
      </c>
      <c r="AA426" s="538" t="s">
        <v>79</v>
      </c>
      <c r="AB426" s="538" t="s">
        <v>319</v>
      </c>
      <c r="AC426" s="538" t="s">
        <v>79</v>
      </c>
      <c r="AD426" s="538" t="s">
        <v>319</v>
      </c>
      <c r="AE426" s="538" t="s">
        <v>79</v>
      </c>
      <c r="AF426" s="538" t="s">
        <v>319</v>
      </c>
      <c r="AG426" s="538" t="s">
        <v>79</v>
      </c>
      <c r="AH426" s="538" t="s">
        <v>319</v>
      </c>
      <c r="AI426" s="538" t="s">
        <v>79</v>
      </c>
      <c r="AJ426" s="538" t="s">
        <v>319</v>
      </c>
      <c r="AK426" s="538" t="s">
        <v>79</v>
      </c>
      <c r="AL426" s="538" t="s">
        <v>319</v>
      </c>
      <c r="AM426" s="538" t="s">
        <v>79</v>
      </c>
      <c r="AN426" s="538" t="s">
        <v>319</v>
      </c>
      <c r="AO426" s="538" t="s">
        <v>79</v>
      </c>
      <c r="AP426" s="538" t="s">
        <v>319</v>
      </c>
      <c r="AQ426" s="538" t="s">
        <v>73</v>
      </c>
      <c r="AS426" s="538">
        <v>1.295176865E9</v>
      </c>
      <c r="AT426" s="538">
        <v>1.449938138E9</v>
      </c>
      <c r="AU426" s="538">
        <v>259.0</v>
      </c>
      <c r="AV426" s="538" t="s">
        <v>47</v>
      </c>
      <c r="AZ426" s="538">
        <v>1.0</v>
      </c>
      <c r="BA426" s="538">
        <v>1.0</v>
      </c>
      <c r="BB426" s="538">
        <v>1.0</v>
      </c>
      <c r="BE426" s="538">
        <v>0.5</v>
      </c>
      <c r="BF426" s="538">
        <v>0.05</v>
      </c>
      <c r="BG426" s="538">
        <v>0.1</v>
      </c>
      <c r="BJ426" s="546"/>
      <c r="BL426" s="546"/>
    </row>
    <row r="427" ht="22.5" customHeight="1">
      <c r="A427" s="538">
        <v>426.0</v>
      </c>
      <c r="B427" s="538" t="s">
        <v>2049</v>
      </c>
      <c r="C427" s="538" t="s">
        <v>82</v>
      </c>
      <c r="D427" s="538" t="s">
        <v>2036</v>
      </c>
      <c r="E427" s="538" t="s">
        <v>292</v>
      </c>
      <c r="G427" s="538" t="s">
        <v>221</v>
      </c>
      <c r="H427" s="538" t="s">
        <v>250</v>
      </c>
      <c r="I427" s="538" t="s">
        <v>155</v>
      </c>
      <c r="J427" s="538" t="s">
        <v>384</v>
      </c>
      <c r="K427" s="538" t="s">
        <v>2051</v>
      </c>
      <c r="L427" s="538" t="s">
        <v>2052</v>
      </c>
      <c r="M427" s="538" t="s">
        <v>673</v>
      </c>
      <c r="N427" s="538" t="s">
        <v>2053</v>
      </c>
      <c r="O427" s="538" t="b">
        <v>0</v>
      </c>
      <c r="P427" s="538" t="b">
        <v>1</v>
      </c>
      <c r="Q427" s="538" t="s">
        <v>73</v>
      </c>
      <c r="S427" s="538" t="s">
        <v>73</v>
      </c>
      <c r="U427" s="538" t="s">
        <v>73</v>
      </c>
      <c r="W427" s="538" t="s">
        <v>73</v>
      </c>
      <c r="Y427" s="538" t="s">
        <v>73</v>
      </c>
      <c r="AA427" s="538" t="s">
        <v>73</v>
      </c>
      <c r="AC427" s="538" t="s">
        <v>73</v>
      </c>
      <c r="AE427" s="538" t="s">
        <v>73</v>
      </c>
      <c r="AG427" s="538" t="s">
        <v>73</v>
      </c>
      <c r="AI427" s="538" t="s">
        <v>73</v>
      </c>
      <c r="AK427" s="538" t="s">
        <v>73</v>
      </c>
      <c r="AM427" s="538" t="s">
        <v>73</v>
      </c>
      <c r="AO427" s="538" t="s">
        <v>79</v>
      </c>
      <c r="AP427" s="538" t="s">
        <v>292</v>
      </c>
      <c r="AQ427" s="538" t="s">
        <v>79</v>
      </c>
      <c r="AR427" s="538" t="s">
        <v>292</v>
      </c>
      <c r="AS427" s="538">
        <v>2.481912459E9</v>
      </c>
      <c r="AT427" s="538">
        <v>1.449938138E9</v>
      </c>
      <c r="AU427" s="538">
        <v>259.0</v>
      </c>
      <c r="AV427" s="538" t="s">
        <v>47</v>
      </c>
      <c r="AZ427" s="538">
        <v>1.0</v>
      </c>
      <c r="BA427" s="538">
        <v>1.0</v>
      </c>
      <c r="BB427" s="538">
        <v>1.0</v>
      </c>
      <c r="BC427" s="538">
        <v>1.0</v>
      </c>
      <c r="BD427" s="538">
        <v>1.0</v>
      </c>
      <c r="BE427" s="538">
        <v>0.02</v>
      </c>
      <c r="BF427" s="538">
        <v>0.04</v>
      </c>
      <c r="BG427" s="538">
        <v>0.06</v>
      </c>
      <c r="BH427" s="538">
        <v>0.08</v>
      </c>
      <c r="BI427" s="538">
        <v>0.1</v>
      </c>
      <c r="BJ427" s="546"/>
      <c r="BL427" s="546"/>
    </row>
    <row r="428" ht="22.5" customHeight="1">
      <c r="A428" s="538">
        <v>427.0</v>
      </c>
      <c r="B428" s="538" t="s">
        <v>2054</v>
      </c>
      <c r="C428" s="538" t="s">
        <v>82</v>
      </c>
      <c r="D428" s="538" t="s">
        <v>2036</v>
      </c>
      <c r="E428" s="538" t="s">
        <v>366</v>
      </c>
      <c r="F428" s="538" t="s">
        <v>1688</v>
      </c>
      <c r="G428" s="538" t="s">
        <v>239</v>
      </c>
      <c r="H428" s="538" t="s">
        <v>222</v>
      </c>
      <c r="I428" s="538" t="s">
        <v>183</v>
      </c>
      <c r="J428" s="538" t="s">
        <v>393</v>
      </c>
      <c r="K428" s="538" t="s">
        <v>2055</v>
      </c>
      <c r="L428" s="538" t="s">
        <v>2056</v>
      </c>
      <c r="M428" s="538" t="s">
        <v>673</v>
      </c>
      <c r="N428" s="538" t="s">
        <v>2057</v>
      </c>
      <c r="O428" s="538" t="b">
        <v>0</v>
      </c>
      <c r="P428" s="538" t="b">
        <v>1</v>
      </c>
      <c r="Q428" s="538" t="s">
        <v>79</v>
      </c>
      <c r="R428" s="538" t="s">
        <v>228</v>
      </c>
      <c r="S428" s="538" t="s">
        <v>79</v>
      </c>
      <c r="T428" s="538" t="s">
        <v>228</v>
      </c>
      <c r="U428" s="538" t="s">
        <v>73</v>
      </c>
      <c r="W428" s="538" t="s">
        <v>73</v>
      </c>
      <c r="Y428" s="538" t="s">
        <v>79</v>
      </c>
      <c r="Z428" s="538" t="s">
        <v>228</v>
      </c>
      <c r="AA428" s="538" t="s">
        <v>73</v>
      </c>
      <c r="AC428" s="538" t="s">
        <v>79</v>
      </c>
      <c r="AD428" s="538" t="s">
        <v>377</v>
      </c>
      <c r="AE428" s="538" t="s">
        <v>79</v>
      </c>
      <c r="AF428" s="538" t="s">
        <v>377</v>
      </c>
      <c r="AG428" s="538" t="s">
        <v>79</v>
      </c>
      <c r="AH428" s="538" t="s">
        <v>228</v>
      </c>
      <c r="AI428" s="538" t="s">
        <v>79</v>
      </c>
      <c r="AJ428" s="538" t="s">
        <v>377</v>
      </c>
      <c r="AK428" s="538" t="s">
        <v>79</v>
      </c>
      <c r="AL428" s="538" t="s">
        <v>228</v>
      </c>
      <c r="AM428" s="538" t="s">
        <v>79</v>
      </c>
      <c r="AN428" s="538" t="s">
        <v>228</v>
      </c>
      <c r="AO428" s="538" t="s">
        <v>79</v>
      </c>
      <c r="AP428" s="538" t="s">
        <v>366</v>
      </c>
      <c r="AQ428" s="538" t="s">
        <v>79</v>
      </c>
      <c r="AR428" s="538" t="s">
        <v>366</v>
      </c>
      <c r="AS428" s="538">
        <v>2.298455942E9</v>
      </c>
      <c r="AT428" s="538">
        <v>5.0741564E8</v>
      </c>
      <c r="AU428" s="538">
        <v>260.0</v>
      </c>
      <c r="AV428" s="538" t="s">
        <v>46</v>
      </c>
      <c r="AZ428" s="538">
        <v>1.0</v>
      </c>
      <c r="BA428" s="538">
        <v>1.0</v>
      </c>
      <c r="BB428" s="538">
        <v>1.0</v>
      </c>
      <c r="BC428" s="538">
        <v>1.0</v>
      </c>
      <c r="BD428" s="538">
        <v>1.0</v>
      </c>
      <c r="BE428" s="538">
        <v>4.0</v>
      </c>
      <c r="BF428" s="538">
        <v>6.0</v>
      </c>
      <c r="BG428" s="538">
        <v>8.0</v>
      </c>
      <c r="BH428" s="538">
        <v>12.0</v>
      </c>
      <c r="BI428" s="538">
        <v>16.0</v>
      </c>
      <c r="BJ428" s="546"/>
      <c r="BL428" s="546"/>
    </row>
    <row r="429" ht="22.5" customHeight="1">
      <c r="A429" s="538">
        <v>428.0</v>
      </c>
      <c r="B429" s="538" t="s">
        <v>2054</v>
      </c>
      <c r="C429" s="538" t="s">
        <v>86</v>
      </c>
      <c r="D429" s="538" t="s">
        <v>2036</v>
      </c>
      <c r="E429" s="538" t="s">
        <v>295</v>
      </c>
      <c r="F429" s="538" t="s">
        <v>228</v>
      </c>
      <c r="G429" s="538" t="s">
        <v>163</v>
      </c>
      <c r="H429" s="538" t="s">
        <v>250</v>
      </c>
      <c r="I429" s="538" t="s">
        <v>155</v>
      </c>
      <c r="K429" s="538" t="s">
        <v>2058</v>
      </c>
      <c r="L429" s="538" t="s">
        <v>2059</v>
      </c>
      <c r="M429" s="538" t="s">
        <v>673</v>
      </c>
      <c r="N429" s="538" t="s">
        <v>2060</v>
      </c>
      <c r="O429" s="538" t="b">
        <v>0</v>
      </c>
      <c r="P429" s="538" t="b">
        <v>1</v>
      </c>
      <c r="Q429" s="538" t="s">
        <v>79</v>
      </c>
      <c r="R429" s="538" t="s">
        <v>228</v>
      </c>
      <c r="S429" s="538" t="s">
        <v>79</v>
      </c>
      <c r="T429" s="538" t="s">
        <v>228</v>
      </c>
      <c r="U429" s="538" t="s">
        <v>73</v>
      </c>
      <c r="W429" s="538" t="s">
        <v>73</v>
      </c>
      <c r="Y429" s="538" t="s">
        <v>79</v>
      </c>
      <c r="Z429" s="538" t="s">
        <v>228</v>
      </c>
      <c r="AA429" s="538" t="s">
        <v>73</v>
      </c>
      <c r="AC429" s="538" t="s">
        <v>73</v>
      </c>
      <c r="AE429" s="538" t="s">
        <v>73</v>
      </c>
      <c r="AG429" s="538" t="s">
        <v>79</v>
      </c>
      <c r="AH429" s="538" t="s">
        <v>228</v>
      </c>
      <c r="AI429" s="538" t="s">
        <v>73</v>
      </c>
      <c r="AK429" s="538" t="s">
        <v>79</v>
      </c>
      <c r="AL429" s="538" t="s">
        <v>228</v>
      </c>
      <c r="AM429" s="538" t="s">
        <v>79</v>
      </c>
      <c r="AN429" s="538" t="s">
        <v>228</v>
      </c>
      <c r="AO429" s="538" t="s">
        <v>79</v>
      </c>
      <c r="AP429" s="538" t="s">
        <v>295</v>
      </c>
      <c r="AQ429" s="538" t="s">
        <v>79</v>
      </c>
      <c r="AR429" s="538" t="s">
        <v>295</v>
      </c>
      <c r="AS429" s="538">
        <v>5.4855508E8</v>
      </c>
      <c r="AT429" s="538">
        <v>5.0741564E8</v>
      </c>
      <c r="AU429" s="538">
        <v>260.0</v>
      </c>
      <c r="AV429" s="538" t="s">
        <v>46</v>
      </c>
      <c r="AZ429" s="538">
        <v>1.0</v>
      </c>
      <c r="BA429" s="538">
        <v>1.0</v>
      </c>
      <c r="BB429" s="538">
        <v>1.0</v>
      </c>
      <c r="BC429" s="538">
        <v>1.0</v>
      </c>
      <c r="BD429" s="538">
        <v>1.0</v>
      </c>
      <c r="BE429" s="538">
        <v>0.2</v>
      </c>
      <c r="BF429" s="538">
        <v>0.3</v>
      </c>
      <c r="BG429" s="538">
        <v>0.45</v>
      </c>
      <c r="BH429" s="538">
        <v>0.65</v>
      </c>
      <c r="BI429" s="538">
        <v>0.9</v>
      </c>
      <c r="BJ429" s="546"/>
      <c r="BL429" s="546"/>
    </row>
    <row r="430" ht="22.5" customHeight="1">
      <c r="A430" s="538">
        <v>429.0</v>
      </c>
      <c r="B430" s="538" t="s">
        <v>2061</v>
      </c>
      <c r="C430" s="538" t="s">
        <v>82</v>
      </c>
      <c r="D430" s="538" t="s">
        <v>2062</v>
      </c>
      <c r="E430" s="538" t="s">
        <v>295</v>
      </c>
      <c r="F430" s="538" t="s">
        <v>1041</v>
      </c>
      <c r="G430" s="538" t="s">
        <v>118</v>
      </c>
      <c r="H430" s="538" t="s">
        <v>153</v>
      </c>
      <c r="I430" s="538" t="s">
        <v>201</v>
      </c>
      <c r="J430" s="538" t="s">
        <v>350</v>
      </c>
      <c r="K430" s="538" t="s">
        <v>2063</v>
      </c>
      <c r="L430" s="538" t="s">
        <v>2064</v>
      </c>
      <c r="M430" s="538" t="s">
        <v>673</v>
      </c>
      <c r="N430" s="538" t="s">
        <v>2028</v>
      </c>
      <c r="O430" s="538" t="b">
        <v>0</v>
      </c>
      <c r="P430" s="538" t="b">
        <v>1</v>
      </c>
      <c r="Q430" s="538" t="s">
        <v>73</v>
      </c>
      <c r="S430" s="538" t="s">
        <v>73</v>
      </c>
      <c r="U430" s="538" t="s">
        <v>73</v>
      </c>
      <c r="W430" s="538" t="s">
        <v>73</v>
      </c>
      <c r="Y430" s="538" t="s">
        <v>73</v>
      </c>
      <c r="AA430" s="538" t="s">
        <v>73</v>
      </c>
      <c r="AC430" s="538" t="s">
        <v>79</v>
      </c>
      <c r="AD430" s="538" t="s">
        <v>377</v>
      </c>
      <c r="AE430" s="538" t="s">
        <v>79</v>
      </c>
      <c r="AF430" s="538" t="s">
        <v>377</v>
      </c>
      <c r="AG430" s="538" t="s">
        <v>79</v>
      </c>
      <c r="AH430" s="538" t="s">
        <v>380</v>
      </c>
      <c r="AI430" s="538" t="s">
        <v>79</v>
      </c>
      <c r="AJ430" s="538" t="s">
        <v>377</v>
      </c>
      <c r="AK430" s="538" t="s">
        <v>73</v>
      </c>
      <c r="AM430" s="538" t="s">
        <v>73</v>
      </c>
      <c r="AO430" s="538" t="s">
        <v>79</v>
      </c>
      <c r="AP430" s="538" t="s">
        <v>295</v>
      </c>
      <c r="AQ430" s="538" t="s">
        <v>79</v>
      </c>
      <c r="AR430" s="538" t="s">
        <v>295</v>
      </c>
      <c r="AS430" s="538">
        <v>1.036449255E9</v>
      </c>
      <c r="AT430" s="538">
        <v>1.903302017E9</v>
      </c>
      <c r="AU430" s="538">
        <v>262.0</v>
      </c>
      <c r="AV430" s="538" t="s">
        <v>47</v>
      </c>
      <c r="AZ430" s="538">
        <v>1.0</v>
      </c>
      <c r="BA430" s="538">
        <v>1.0</v>
      </c>
      <c r="BB430" s="538">
        <v>1.0</v>
      </c>
      <c r="BC430" s="538">
        <v>1.0</v>
      </c>
      <c r="BD430" s="538">
        <v>1.0</v>
      </c>
      <c r="BE430" s="538">
        <v>0.5</v>
      </c>
      <c r="BF430" s="538">
        <v>0.8</v>
      </c>
      <c r="BG430" s="538">
        <v>1.2</v>
      </c>
      <c r="BH430" s="538">
        <v>1.8</v>
      </c>
      <c r="BI430" s="538">
        <v>2.5</v>
      </c>
      <c r="BJ430" s="546"/>
      <c r="BK430" s="547"/>
      <c r="BL430" s="546"/>
    </row>
    <row r="431" ht="22.5" customHeight="1">
      <c r="A431" s="538">
        <v>430.0</v>
      </c>
      <c r="B431" s="538" t="s">
        <v>2061</v>
      </c>
      <c r="C431" s="538" t="s">
        <v>86</v>
      </c>
      <c r="D431" s="538" t="s">
        <v>2062</v>
      </c>
      <c r="E431" s="538" t="s">
        <v>304</v>
      </c>
      <c r="G431" s="538" t="s">
        <v>151</v>
      </c>
      <c r="H431" s="538" t="s">
        <v>250</v>
      </c>
      <c r="I431" s="538" t="s">
        <v>122</v>
      </c>
      <c r="K431" s="538" t="s">
        <v>2065</v>
      </c>
      <c r="L431" s="538" t="s">
        <v>2066</v>
      </c>
      <c r="M431" s="538" t="s">
        <v>673</v>
      </c>
      <c r="N431" s="538" t="s">
        <v>2067</v>
      </c>
      <c r="O431" s="538" t="b">
        <v>0</v>
      </c>
      <c r="P431" s="538" t="b">
        <v>1</v>
      </c>
      <c r="Q431" s="538" t="s">
        <v>79</v>
      </c>
      <c r="R431" s="538" t="s">
        <v>304</v>
      </c>
      <c r="S431" s="538" t="s">
        <v>79</v>
      </c>
      <c r="T431" s="538" t="s">
        <v>304</v>
      </c>
      <c r="U431" s="538" t="s">
        <v>75</v>
      </c>
      <c r="V431" s="538" t="s">
        <v>1878</v>
      </c>
      <c r="W431" s="538" t="s">
        <v>79</v>
      </c>
      <c r="X431" s="538" t="s">
        <v>304</v>
      </c>
      <c r="Y431" s="538" t="s">
        <v>79</v>
      </c>
      <c r="Z431" s="538" t="s">
        <v>304</v>
      </c>
      <c r="AA431" s="538" t="s">
        <v>79</v>
      </c>
      <c r="AB431" s="538" t="s">
        <v>304</v>
      </c>
      <c r="AC431" s="538" t="s">
        <v>79</v>
      </c>
      <c r="AD431" s="538" t="s">
        <v>304</v>
      </c>
      <c r="AE431" s="538" t="s">
        <v>79</v>
      </c>
      <c r="AF431" s="538" t="s">
        <v>304</v>
      </c>
      <c r="AG431" s="538" t="s">
        <v>79</v>
      </c>
      <c r="AH431" s="538" t="s">
        <v>304</v>
      </c>
      <c r="AI431" s="538" t="s">
        <v>79</v>
      </c>
      <c r="AJ431" s="538" t="s">
        <v>304</v>
      </c>
      <c r="AK431" s="538" t="s">
        <v>79</v>
      </c>
      <c r="AL431" s="538" t="s">
        <v>304</v>
      </c>
      <c r="AM431" s="538" t="s">
        <v>79</v>
      </c>
      <c r="AN431" s="538" t="s">
        <v>304</v>
      </c>
      <c r="AO431" s="538" t="s">
        <v>73</v>
      </c>
      <c r="AQ431" s="538" t="s">
        <v>79</v>
      </c>
      <c r="AR431" s="538" t="s">
        <v>304</v>
      </c>
      <c r="AS431" s="538">
        <v>1.226535821E9</v>
      </c>
      <c r="AT431" s="538">
        <v>1.903302017E9</v>
      </c>
      <c r="AU431" s="538">
        <v>262.0</v>
      </c>
      <c r="AV431" s="538" t="s">
        <v>47</v>
      </c>
      <c r="AY431" s="538" t="s">
        <v>304</v>
      </c>
      <c r="AZ431" s="538">
        <v>1.0</v>
      </c>
      <c r="BA431" s="538">
        <v>1.0</v>
      </c>
      <c r="BB431" s="538">
        <v>1.0</v>
      </c>
      <c r="BC431" s="538">
        <v>1.0</v>
      </c>
      <c r="BD431" s="538">
        <v>1.0</v>
      </c>
      <c r="BE431" s="538">
        <v>0.3</v>
      </c>
      <c r="BF431" s="538">
        <v>0.6</v>
      </c>
      <c r="BG431" s="538">
        <v>0.8</v>
      </c>
      <c r="BH431" s="538">
        <v>1.0</v>
      </c>
      <c r="BI431" s="538">
        <v>1.5</v>
      </c>
      <c r="BJ431" s="546"/>
      <c r="BK431" s="547"/>
      <c r="BL431" s="546"/>
    </row>
    <row r="432" ht="22.5" customHeight="1">
      <c r="A432" s="538">
        <v>431.0</v>
      </c>
      <c r="B432" s="538" t="s">
        <v>2068</v>
      </c>
      <c r="C432" s="538" t="s">
        <v>82</v>
      </c>
      <c r="D432" s="538" t="s">
        <v>2062</v>
      </c>
      <c r="E432" s="538" t="s">
        <v>268</v>
      </c>
      <c r="G432" s="538" t="s">
        <v>151</v>
      </c>
      <c r="H432" s="538" t="s">
        <v>250</v>
      </c>
      <c r="I432" s="538" t="s">
        <v>122</v>
      </c>
      <c r="K432" s="538" t="s">
        <v>2069</v>
      </c>
      <c r="L432" s="538" t="s">
        <v>2069</v>
      </c>
      <c r="M432" s="538" t="s">
        <v>673</v>
      </c>
      <c r="N432" s="538" t="s">
        <v>2070</v>
      </c>
      <c r="O432" s="538" t="b">
        <v>0</v>
      </c>
      <c r="P432" s="538" t="b">
        <v>1</v>
      </c>
      <c r="Q432" s="538" t="s">
        <v>79</v>
      </c>
      <c r="R432" s="538" t="s">
        <v>268</v>
      </c>
      <c r="S432" s="538" t="s">
        <v>79</v>
      </c>
      <c r="T432" s="538" t="s">
        <v>268</v>
      </c>
      <c r="U432" s="538" t="s">
        <v>79</v>
      </c>
      <c r="V432" s="538" t="s">
        <v>268</v>
      </c>
      <c r="W432" s="538" t="s">
        <v>79</v>
      </c>
      <c r="X432" s="538" t="s">
        <v>268</v>
      </c>
      <c r="Y432" s="538" t="s">
        <v>79</v>
      </c>
      <c r="Z432" s="538" t="s">
        <v>268</v>
      </c>
      <c r="AA432" s="538" t="s">
        <v>79</v>
      </c>
      <c r="AB432" s="538" t="s">
        <v>268</v>
      </c>
      <c r="AC432" s="538" t="s">
        <v>79</v>
      </c>
      <c r="AD432" s="538" t="s">
        <v>268</v>
      </c>
      <c r="AE432" s="538" t="s">
        <v>79</v>
      </c>
      <c r="AF432" s="538" t="s">
        <v>268</v>
      </c>
      <c r="AG432" s="538" t="s">
        <v>79</v>
      </c>
      <c r="AH432" s="538" t="s">
        <v>268</v>
      </c>
      <c r="AI432" s="538" t="s">
        <v>79</v>
      </c>
      <c r="AJ432" s="538" t="s">
        <v>268</v>
      </c>
      <c r="AK432" s="538" t="s">
        <v>79</v>
      </c>
      <c r="AL432" s="538" t="s">
        <v>268</v>
      </c>
      <c r="AM432" s="538" t="s">
        <v>79</v>
      </c>
      <c r="AN432" s="538" t="s">
        <v>268</v>
      </c>
      <c r="AO432" s="538" t="s">
        <v>79</v>
      </c>
      <c r="AP432" s="538" t="s">
        <v>268</v>
      </c>
      <c r="AQ432" s="538" t="s">
        <v>73</v>
      </c>
      <c r="AS432" s="538">
        <v>3.928724152E9</v>
      </c>
      <c r="AT432" s="538">
        <v>4.11443354E9</v>
      </c>
      <c r="AU432" s="538">
        <v>261.0</v>
      </c>
      <c r="AV432" s="538" t="s">
        <v>46</v>
      </c>
      <c r="AZ432" s="538">
        <v>1.0</v>
      </c>
      <c r="BA432" s="538">
        <v>1.0</v>
      </c>
      <c r="BB432" s="538">
        <v>1.0</v>
      </c>
      <c r="BC432" s="538">
        <v>1.0</v>
      </c>
      <c r="BD432" s="538">
        <v>1.0</v>
      </c>
      <c r="BE432" s="538">
        <v>0.7</v>
      </c>
      <c r="BF432" s="538">
        <v>1.3</v>
      </c>
      <c r="BG432" s="538">
        <v>2.0</v>
      </c>
      <c r="BH432" s="538">
        <v>2.5</v>
      </c>
      <c r="BI432" s="538">
        <v>3.5</v>
      </c>
      <c r="BJ432" s="546"/>
      <c r="BK432" s="547"/>
      <c r="BL432" s="546"/>
    </row>
    <row r="433" ht="22.5" customHeight="1">
      <c r="A433" s="538">
        <v>432.0</v>
      </c>
      <c r="B433" s="538" t="s">
        <v>2068</v>
      </c>
      <c r="C433" s="538" t="s">
        <v>86</v>
      </c>
      <c r="D433" s="538" t="s">
        <v>2062</v>
      </c>
      <c r="E433" s="538" t="s">
        <v>331</v>
      </c>
      <c r="G433" s="538" t="s">
        <v>151</v>
      </c>
      <c r="H433" s="538" t="s">
        <v>250</v>
      </c>
      <c r="I433" s="538" t="s">
        <v>122</v>
      </c>
      <c r="J433" s="538" t="s">
        <v>409</v>
      </c>
      <c r="K433" s="538" t="s">
        <v>2071</v>
      </c>
      <c r="L433" s="538" t="s">
        <v>2071</v>
      </c>
      <c r="M433" s="538" t="s">
        <v>673</v>
      </c>
      <c r="N433" s="538" t="s">
        <v>2072</v>
      </c>
      <c r="O433" s="538" t="b">
        <v>0</v>
      </c>
      <c r="P433" s="538" t="b">
        <v>1</v>
      </c>
      <c r="Q433" s="538" t="s">
        <v>79</v>
      </c>
      <c r="R433" s="538" t="s">
        <v>331</v>
      </c>
      <c r="S433" s="538" t="s">
        <v>79</v>
      </c>
      <c r="T433" s="538" t="s">
        <v>331</v>
      </c>
      <c r="U433" s="538" t="s">
        <v>79</v>
      </c>
      <c r="V433" s="538" t="s">
        <v>331</v>
      </c>
      <c r="W433" s="538" t="s">
        <v>79</v>
      </c>
      <c r="X433" s="538" t="s">
        <v>331</v>
      </c>
      <c r="Y433" s="538" t="s">
        <v>79</v>
      </c>
      <c r="Z433" s="538" t="s">
        <v>331</v>
      </c>
      <c r="AA433" s="538" t="s">
        <v>79</v>
      </c>
      <c r="AB433" s="538" t="s">
        <v>331</v>
      </c>
      <c r="AC433" s="538" t="s">
        <v>79</v>
      </c>
      <c r="AD433" s="538" t="s">
        <v>331</v>
      </c>
      <c r="AE433" s="538" t="s">
        <v>79</v>
      </c>
      <c r="AF433" s="538" t="s">
        <v>331</v>
      </c>
      <c r="AG433" s="538" t="s">
        <v>79</v>
      </c>
      <c r="AH433" s="538" t="s">
        <v>331</v>
      </c>
      <c r="AI433" s="538" t="s">
        <v>79</v>
      </c>
      <c r="AJ433" s="538" t="s">
        <v>331</v>
      </c>
      <c r="AK433" s="538" t="s">
        <v>79</v>
      </c>
      <c r="AL433" s="538" t="s">
        <v>331</v>
      </c>
      <c r="AM433" s="538" t="s">
        <v>79</v>
      </c>
      <c r="AN433" s="538" t="s">
        <v>331</v>
      </c>
      <c r="AO433" s="538" t="s">
        <v>79</v>
      </c>
      <c r="AP433" s="538" t="s">
        <v>331</v>
      </c>
      <c r="AQ433" s="538" t="s">
        <v>73</v>
      </c>
      <c r="AS433" s="538">
        <v>2.260526141E9</v>
      </c>
      <c r="AT433" s="538">
        <v>4.11443354E9</v>
      </c>
      <c r="AU433" s="538">
        <v>261.0</v>
      </c>
      <c r="AV433" s="538" t="s">
        <v>46</v>
      </c>
      <c r="AZ433" s="538">
        <v>1.0</v>
      </c>
      <c r="BA433" s="538">
        <v>1.0</v>
      </c>
      <c r="BB433" s="538">
        <v>1.0</v>
      </c>
      <c r="BC433" s="538">
        <v>1.0</v>
      </c>
      <c r="BD433" s="538">
        <v>1.0</v>
      </c>
      <c r="BE433" s="538">
        <v>0.5</v>
      </c>
      <c r="BF433" s="538">
        <v>1.0</v>
      </c>
      <c r="BG433" s="538">
        <v>2.0</v>
      </c>
      <c r="BH433" s="538">
        <v>3.0</v>
      </c>
      <c r="BI433" s="538">
        <v>5.0</v>
      </c>
      <c r="BJ433" s="546"/>
      <c r="BL433" s="546"/>
    </row>
    <row r="434" ht="22.5" customHeight="1">
      <c r="A434" s="538">
        <v>433.0</v>
      </c>
      <c r="B434" s="538" t="s">
        <v>2073</v>
      </c>
      <c r="C434" s="538" t="s">
        <v>84</v>
      </c>
      <c r="D434" s="538" t="s">
        <v>2062</v>
      </c>
      <c r="E434" s="538" t="s">
        <v>404</v>
      </c>
      <c r="G434" s="538" t="s">
        <v>151</v>
      </c>
      <c r="H434" s="538" t="s">
        <v>250</v>
      </c>
      <c r="I434" s="538" t="s">
        <v>122</v>
      </c>
      <c r="K434" s="538" t="s">
        <v>2074</v>
      </c>
      <c r="L434" s="538" t="s">
        <v>2074</v>
      </c>
      <c r="M434" s="538" t="s">
        <v>661</v>
      </c>
      <c r="N434" s="538" t="s">
        <v>1465</v>
      </c>
      <c r="O434" s="538" t="b">
        <v>0</v>
      </c>
      <c r="P434" s="538" t="b">
        <v>1</v>
      </c>
      <c r="Q434" s="538" t="s">
        <v>79</v>
      </c>
      <c r="R434" s="538" t="s">
        <v>404</v>
      </c>
      <c r="S434" s="538" t="s">
        <v>79</v>
      </c>
      <c r="T434" s="538" t="s">
        <v>404</v>
      </c>
      <c r="U434" s="538" t="s">
        <v>75</v>
      </c>
      <c r="V434" s="538" t="s">
        <v>1878</v>
      </c>
      <c r="W434" s="538" t="s">
        <v>79</v>
      </c>
      <c r="X434" s="538" t="s">
        <v>404</v>
      </c>
      <c r="Y434" s="538" t="s">
        <v>79</v>
      </c>
      <c r="Z434" s="538" t="s">
        <v>404</v>
      </c>
      <c r="AA434" s="538" t="s">
        <v>79</v>
      </c>
      <c r="AB434" s="538" t="s">
        <v>404</v>
      </c>
      <c r="AC434" s="538" t="s">
        <v>79</v>
      </c>
      <c r="AD434" s="538" t="s">
        <v>404</v>
      </c>
      <c r="AE434" s="538" t="s">
        <v>79</v>
      </c>
      <c r="AF434" s="538" t="s">
        <v>404</v>
      </c>
      <c r="AG434" s="538" t="s">
        <v>79</v>
      </c>
      <c r="AH434" s="538" t="s">
        <v>404</v>
      </c>
      <c r="AI434" s="538" t="s">
        <v>79</v>
      </c>
      <c r="AJ434" s="538" t="s">
        <v>404</v>
      </c>
      <c r="AK434" s="538" t="s">
        <v>79</v>
      </c>
      <c r="AL434" s="538" t="s">
        <v>404</v>
      </c>
      <c r="AM434" s="538" t="s">
        <v>79</v>
      </c>
      <c r="AN434" s="538" t="s">
        <v>404</v>
      </c>
      <c r="AO434" s="538" t="s">
        <v>73</v>
      </c>
      <c r="AQ434" s="538" t="s">
        <v>79</v>
      </c>
      <c r="AR434" s="538" t="s">
        <v>404</v>
      </c>
      <c r="AS434" s="538">
        <v>4.50725998E8</v>
      </c>
      <c r="AT434" s="538">
        <v>2.679776436E9</v>
      </c>
      <c r="AU434" s="538">
        <v>263.0</v>
      </c>
      <c r="AV434" s="538" t="s">
        <v>47</v>
      </c>
      <c r="AY434" s="538" t="s">
        <v>404</v>
      </c>
      <c r="AZ434" s="538">
        <v>1.0</v>
      </c>
      <c r="BA434" s="538">
        <v>1.0</v>
      </c>
      <c r="BB434" s="538">
        <v>1.0</v>
      </c>
      <c r="BE434" s="538">
        <v>3.0</v>
      </c>
      <c r="BF434" s="538">
        <v>0.5</v>
      </c>
      <c r="BG434" s="538">
        <v>1.0</v>
      </c>
      <c r="BJ434" s="546"/>
      <c r="BL434" s="546"/>
    </row>
    <row r="435" ht="22.5" customHeight="1">
      <c r="A435" s="538">
        <v>434.0</v>
      </c>
      <c r="B435" s="538" t="s">
        <v>2073</v>
      </c>
      <c r="C435" s="538" t="s">
        <v>82</v>
      </c>
      <c r="D435" s="538" t="s">
        <v>2062</v>
      </c>
      <c r="E435" s="538" t="s">
        <v>295</v>
      </c>
      <c r="F435" s="538" t="s">
        <v>1041</v>
      </c>
      <c r="G435" s="538" t="s">
        <v>118</v>
      </c>
      <c r="H435" s="538" t="s">
        <v>250</v>
      </c>
      <c r="I435" s="538" t="s">
        <v>155</v>
      </c>
      <c r="J435" s="538" t="s">
        <v>350</v>
      </c>
      <c r="K435" s="538" t="s">
        <v>2075</v>
      </c>
      <c r="L435" s="538" t="s">
        <v>2076</v>
      </c>
      <c r="M435" s="538" t="s">
        <v>673</v>
      </c>
      <c r="N435" s="538" t="s">
        <v>2077</v>
      </c>
      <c r="O435" s="538" t="b">
        <v>0</v>
      </c>
      <c r="P435" s="538" t="b">
        <v>1</v>
      </c>
      <c r="Q435" s="538" t="s">
        <v>73</v>
      </c>
      <c r="S435" s="538" t="s">
        <v>73</v>
      </c>
      <c r="U435" s="538" t="s">
        <v>73</v>
      </c>
      <c r="W435" s="538" t="s">
        <v>73</v>
      </c>
      <c r="Y435" s="538" t="s">
        <v>73</v>
      </c>
      <c r="AA435" s="538" t="s">
        <v>73</v>
      </c>
      <c r="AC435" s="538" t="s">
        <v>79</v>
      </c>
      <c r="AD435" s="538" t="s">
        <v>377</v>
      </c>
      <c r="AE435" s="538" t="s">
        <v>79</v>
      </c>
      <c r="AF435" s="538" t="s">
        <v>377</v>
      </c>
      <c r="AG435" s="538" t="s">
        <v>79</v>
      </c>
      <c r="AH435" s="538" t="s">
        <v>380</v>
      </c>
      <c r="AI435" s="538" t="s">
        <v>79</v>
      </c>
      <c r="AJ435" s="538" t="s">
        <v>377</v>
      </c>
      <c r="AK435" s="538" t="s">
        <v>73</v>
      </c>
      <c r="AM435" s="538" t="s">
        <v>73</v>
      </c>
      <c r="AO435" s="538" t="s">
        <v>79</v>
      </c>
      <c r="AP435" s="538" t="s">
        <v>295</v>
      </c>
      <c r="AQ435" s="538" t="s">
        <v>79</v>
      </c>
      <c r="AR435" s="538" t="s">
        <v>295</v>
      </c>
      <c r="AS435" s="538">
        <v>1.001707675E9</v>
      </c>
      <c r="AT435" s="538">
        <v>2.679776436E9</v>
      </c>
      <c r="AU435" s="538">
        <v>263.0</v>
      </c>
      <c r="AV435" s="538" t="s">
        <v>47</v>
      </c>
      <c r="AZ435" s="538">
        <v>1.0</v>
      </c>
      <c r="BA435" s="538">
        <v>1.0</v>
      </c>
      <c r="BB435" s="538">
        <v>1.0</v>
      </c>
      <c r="BC435" s="538">
        <v>1.0</v>
      </c>
      <c r="BD435" s="538">
        <v>1.0</v>
      </c>
      <c r="BE435" s="538">
        <v>0.05</v>
      </c>
      <c r="BF435" s="538">
        <v>0.1</v>
      </c>
      <c r="BG435" s="538">
        <v>0.2</v>
      </c>
      <c r="BH435" s="538">
        <v>0.3</v>
      </c>
      <c r="BI435" s="538">
        <v>0.5</v>
      </c>
      <c r="BJ435" s="546"/>
      <c r="BL435" s="546"/>
    </row>
    <row r="436" ht="22.5" customHeight="1">
      <c r="A436" s="538">
        <v>435.0</v>
      </c>
      <c r="B436" s="538" t="s">
        <v>2078</v>
      </c>
      <c r="C436" s="538" t="s">
        <v>82</v>
      </c>
      <c r="D436" s="538" t="s">
        <v>2062</v>
      </c>
      <c r="E436" s="538" t="s">
        <v>400</v>
      </c>
      <c r="G436" s="538" t="s">
        <v>151</v>
      </c>
      <c r="H436" s="538" t="s">
        <v>250</v>
      </c>
      <c r="I436" s="538" t="s">
        <v>122</v>
      </c>
      <c r="K436" s="538" t="s">
        <v>2079</v>
      </c>
      <c r="L436" s="538" t="s">
        <v>2080</v>
      </c>
      <c r="M436" s="538" t="s">
        <v>673</v>
      </c>
      <c r="N436" s="538" t="s">
        <v>2081</v>
      </c>
      <c r="O436" s="538" t="b">
        <v>0</v>
      </c>
      <c r="P436" s="538" t="b">
        <v>1</v>
      </c>
      <c r="Q436" s="538" t="s">
        <v>79</v>
      </c>
      <c r="R436" s="538" t="s">
        <v>400</v>
      </c>
      <c r="S436" s="538" t="s">
        <v>79</v>
      </c>
      <c r="T436" s="538" t="s">
        <v>400</v>
      </c>
      <c r="U436" s="538" t="s">
        <v>79</v>
      </c>
      <c r="V436" s="538" t="s">
        <v>400</v>
      </c>
      <c r="W436" s="538" t="s">
        <v>79</v>
      </c>
      <c r="X436" s="538" t="s">
        <v>400</v>
      </c>
      <c r="Y436" s="538" t="s">
        <v>79</v>
      </c>
      <c r="Z436" s="538" t="s">
        <v>400</v>
      </c>
      <c r="AA436" s="538" t="s">
        <v>79</v>
      </c>
      <c r="AB436" s="538" t="s">
        <v>400</v>
      </c>
      <c r="AC436" s="538" t="s">
        <v>79</v>
      </c>
      <c r="AD436" s="538" t="s">
        <v>400</v>
      </c>
      <c r="AE436" s="538" t="s">
        <v>79</v>
      </c>
      <c r="AF436" s="538" t="s">
        <v>400</v>
      </c>
      <c r="AG436" s="538" t="s">
        <v>79</v>
      </c>
      <c r="AH436" s="538" t="s">
        <v>400</v>
      </c>
      <c r="AI436" s="538" t="s">
        <v>79</v>
      </c>
      <c r="AJ436" s="538" t="s">
        <v>400</v>
      </c>
      <c r="AK436" s="538" t="s">
        <v>79</v>
      </c>
      <c r="AL436" s="538" t="s">
        <v>400</v>
      </c>
      <c r="AM436" s="538" t="s">
        <v>79</v>
      </c>
      <c r="AN436" s="538" t="s">
        <v>400</v>
      </c>
      <c r="AO436" s="538" t="s">
        <v>79</v>
      </c>
      <c r="AP436" s="538" t="s">
        <v>400</v>
      </c>
      <c r="AQ436" s="538" t="s">
        <v>73</v>
      </c>
      <c r="AS436" s="538">
        <v>2.449610397E9</v>
      </c>
      <c r="AT436" s="538">
        <v>3.221659017E9</v>
      </c>
      <c r="AU436" s="538">
        <v>264.0</v>
      </c>
      <c r="AV436" s="538" t="s">
        <v>46</v>
      </c>
      <c r="AZ436" s="538">
        <v>1.0</v>
      </c>
      <c r="BA436" s="538">
        <v>1.0</v>
      </c>
      <c r="BB436" s="538">
        <v>1.0</v>
      </c>
      <c r="BC436" s="538">
        <v>1.0</v>
      </c>
      <c r="BD436" s="538">
        <v>1.0</v>
      </c>
      <c r="BE436" s="538">
        <v>0.6</v>
      </c>
      <c r="BF436" s="538">
        <v>0.9</v>
      </c>
      <c r="BG436" s="538">
        <v>1.2</v>
      </c>
      <c r="BH436" s="538">
        <v>1.6</v>
      </c>
      <c r="BI436" s="538">
        <v>2.0</v>
      </c>
      <c r="BJ436" s="546"/>
      <c r="BL436" s="546"/>
    </row>
    <row r="437" ht="22.5" customHeight="1">
      <c r="A437" s="538">
        <v>436.0</v>
      </c>
      <c r="B437" s="538" t="s">
        <v>2078</v>
      </c>
      <c r="C437" s="538" t="s">
        <v>86</v>
      </c>
      <c r="D437" s="538" t="s">
        <v>2062</v>
      </c>
      <c r="E437" s="538" t="s">
        <v>331</v>
      </c>
      <c r="G437" s="538" t="s">
        <v>151</v>
      </c>
      <c r="H437" s="538" t="s">
        <v>250</v>
      </c>
      <c r="I437" s="538" t="s">
        <v>122</v>
      </c>
      <c r="J437" s="538" t="s">
        <v>403</v>
      </c>
      <c r="K437" s="538" t="s">
        <v>2082</v>
      </c>
      <c r="L437" s="538" t="s">
        <v>2083</v>
      </c>
      <c r="M437" s="538" t="s">
        <v>673</v>
      </c>
      <c r="N437" s="538" t="s">
        <v>2072</v>
      </c>
      <c r="O437" s="538" t="b">
        <v>0</v>
      </c>
      <c r="P437" s="538" t="b">
        <v>1</v>
      </c>
      <c r="Q437" s="538" t="s">
        <v>79</v>
      </c>
      <c r="R437" s="538" t="s">
        <v>331</v>
      </c>
      <c r="S437" s="538" t="s">
        <v>79</v>
      </c>
      <c r="T437" s="538" t="s">
        <v>331</v>
      </c>
      <c r="U437" s="538" t="s">
        <v>79</v>
      </c>
      <c r="V437" s="538" t="s">
        <v>331</v>
      </c>
      <c r="W437" s="538" t="s">
        <v>79</v>
      </c>
      <c r="X437" s="538" t="s">
        <v>331</v>
      </c>
      <c r="Y437" s="538" t="s">
        <v>79</v>
      </c>
      <c r="Z437" s="538" t="s">
        <v>331</v>
      </c>
      <c r="AA437" s="538" t="s">
        <v>79</v>
      </c>
      <c r="AB437" s="538" t="s">
        <v>331</v>
      </c>
      <c r="AC437" s="538" t="s">
        <v>79</v>
      </c>
      <c r="AD437" s="538" t="s">
        <v>331</v>
      </c>
      <c r="AE437" s="538" t="s">
        <v>79</v>
      </c>
      <c r="AF437" s="538" t="s">
        <v>331</v>
      </c>
      <c r="AG437" s="538" t="s">
        <v>79</v>
      </c>
      <c r="AH437" s="538" t="s">
        <v>331</v>
      </c>
      <c r="AI437" s="538" t="s">
        <v>79</v>
      </c>
      <c r="AJ437" s="538" t="s">
        <v>331</v>
      </c>
      <c r="AK437" s="538" t="s">
        <v>79</v>
      </c>
      <c r="AL437" s="538" t="s">
        <v>331</v>
      </c>
      <c r="AM437" s="538" t="s">
        <v>79</v>
      </c>
      <c r="AN437" s="538" t="s">
        <v>331</v>
      </c>
      <c r="AO437" s="538" t="s">
        <v>79</v>
      </c>
      <c r="AP437" s="538" t="s">
        <v>331</v>
      </c>
      <c r="AQ437" s="538" t="s">
        <v>73</v>
      </c>
      <c r="AS437" s="538">
        <v>1.499364395E9</v>
      </c>
      <c r="AT437" s="538">
        <v>3.221659017E9</v>
      </c>
      <c r="AU437" s="538">
        <v>264.0</v>
      </c>
      <c r="AV437" s="538" t="s">
        <v>46</v>
      </c>
      <c r="AZ437" s="538">
        <v>1.0</v>
      </c>
      <c r="BA437" s="538">
        <v>1.0</v>
      </c>
      <c r="BB437" s="538">
        <v>1.0</v>
      </c>
      <c r="BC437" s="538">
        <v>1.0</v>
      </c>
      <c r="BD437" s="538">
        <v>1.0</v>
      </c>
      <c r="BE437" s="538">
        <v>0.5</v>
      </c>
      <c r="BF437" s="538">
        <v>1.0</v>
      </c>
      <c r="BG437" s="538">
        <v>2.0</v>
      </c>
      <c r="BH437" s="538">
        <v>3.0</v>
      </c>
      <c r="BI437" s="538">
        <v>5.0</v>
      </c>
      <c r="BJ437" s="546"/>
      <c r="BL437" s="546"/>
    </row>
    <row r="438" ht="22.5" customHeight="1">
      <c r="A438" s="538">
        <v>437.0</v>
      </c>
      <c r="B438" s="538" t="s">
        <v>2084</v>
      </c>
      <c r="C438" s="538" t="s">
        <v>82</v>
      </c>
      <c r="D438" s="538" t="s">
        <v>2085</v>
      </c>
      <c r="E438" s="538" t="s">
        <v>334</v>
      </c>
      <c r="G438" s="538" t="s">
        <v>151</v>
      </c>
      <c r="H438" s="538" t="s">
        <v>250</v>
      </c>
      <c r="I438" s="538" t="s">
        <v>122</v>
      </c>
      <c r="J438" s="538" t="s">
        <v>405</v>
      </c>
      <c r="K438" s="538" t="s">
        <v>2086</v>
      </c>
      <c r="L438" s="538" t="s">
        <v>2087</v>
      </c>
      <c r="M438" s="538" t="s">
        <v>673</v>
      </c>
      <c r="N438" s="538" t="s">
        <v>1902</v>
      </c>
      <c r="O438" s="538" t="b">
        <v>0</v>
      </c>
      <c r="P438" s="538" t="b">
        <v>1</v>
      </c>
      <c r="Q438" s="538" t="s">
        <v>79</v>
      </c>
      <c r="R438" s="538" t="s">
        <v>334</v>
      </c>
      <c r="S438" s="538" t="s">
        <v>79</v>
      </c>
      <c r="T438" s="538" t="s">
        <v>334</v>
      </c>
      <c r="U438" s="538" t="s">
        <v>79</v>
      </c>
      <c r="V438" s="538" t="s">
        <v>334</v>
      </c>
      <c r="W438" s="538" t="s">
        <v>79</v>
      </c>
      <c r="X438" s="538" t="s">
        <v>334</v>
      </c>
      <c r="Y438" s="538" t="s">
        <v>79</v>
      </c>
      <c r="Z438" s="538" t="s">
        <v>334</v>
      </c>
      <c r="AA438" s="538" t="s">
        <v>79</v>
      </c>
      <c r="AB438" s="538" t="s">
        <v>334</v>
      </c>
      <c r="AC438" s="538" t="s">
        <v>79</v>
      </c>
      <c r="AD438" s="538" t="s">
        <v>334</v>
      </c>
      <c r="AE438" s="538" t="s">
        <v>79</v>
      </c>
      <c r="AF438" s="538" t="s">
        <v>334</v>
      </c>
      <c r="AG438" s="538" t="s">
        <v>79</v>
      </c>
      <c r="AH438" s="538" t="s">
        <v>334</v>
      </c>
      <c r="AI438" s="538" t="s">
        <v>79</v>
      </c>
      <c r="AJ438" s="538" t="s">
        <v>334</v>
      </c>
      <c r="AK438" s="538" t="s">
        <v>79</v>
      </c>
      <c r="AL438" s="538" t="s">
        <v>334</v>
      </c>
      <c r="AM438" s="538" t="s">
        <v>79</v>
      </c>
      <c r="AN438" s="538" t="s">
        <v>334</v>
      </c>
      <c r="AO438" s="538" t="s">
        <v>79</v>
      </c>
      <c r="AP438" s="538" t="s">
        <v>334</v>
      </c>
      <c r="AQ438" s="538" t="s">
        <v>73</v>
      </c>
      <c r="AS438" s="538">
        <v>7.44425105E8</v>
      </c>
      <c r="AT438" s="538">
        <v>1.82221633E8</v>
      </c>
      <c r="AU438" s="538">
        <v>267.0</v>
      </c>
      <c r="AV438" s="538" t="s">
        <v>47</v>
      </c>
      <c r="AZ438" s="538">
        <v>1.0</v>
      </c>
      <c r="BA438" s="538">
        <v>1.0</v>
      </c>
      <c r="BB438" s="538">
        <v>1.0</v>
      </c>
      <c r="BC438" s="538">
        <v>1.0</v>
      </c>
      <c r="BD438" s="538">
        <v>1.0</v>
      </c>
      <c r="BE438" s="538">
        <v>0.05</v>
      </c>
      <c r="BF438" s="538">
        <v>0.07</v>
      </c>
      <c r="BG438" s="538">
        <v>0.1</v>
      </c>
      <c r="BH438" s="538">
        <v>0.15</v>
      </c>
      <c r="BI438" s="538">
        <v>0.25</v>
      </c>
      <c r="BJ438" s="546"/>
      <c r="BL438" s="546"/>
    </row>
    <row r="439" ht="22.5" customHeight="1">
      <c r="A439" s="538">
        <v>438.0</v>
      </c>
      <c r="B439" s="538" t="s">
        <v>2084</v>
      </c>
      <c r="C439" s="538" t="s">
        <v>86</v>
      </c>
      <c r="D439" s="538" t="s">
        <v>2085</v>
      </c>
      <c r="E439" s="538" t="s">
        <v>316</v>
      </c>
      <c r="G439" s="538" t="s">
        <v>234</v>
      </c>
      <c r="H439" s="538" t="s">
        <v>250</v>
      </c>
      <c r="I439" s="538" t="s">
        <v>122</v>
      </c>
      <c r="K439" s="538" t="s">
        <v>2088</v>
      </c>
      <c r="L439" s="538" t="s">
        <v>2089</v>
      </c>
      <c r="M439" s="538" t="s">
        <v>673</v>
      </c>
      <c r="N439" s="538" t="s">
        <v>2090</v>
      </c>
      <c r="O439" s="538" t="b">
        <v>0</v>
      </c>
      <c r="P439" s="538" t="b">
        <v>1</v>
      </c>
      <c r="Q439" s="538" t="s">
        <v>73</v>
      </c>
      <c r="S439" s="538" t="s">
        <v>73</v>
      </c>
      <c r="U439" s="538" t="s">
        <v>73</v>
      </c>
      <c r="W439" s="538" t="s">
        <v>73</v>
      </c>
      <c r="Y439" s="538" t="s">
        <v>73</v>
      </c>
      <c r="AA439" s="538" t="s">
        <v>73</v>
      </c>
      <c r="AC439" s="538" t="s">
        <v>73</v>
      </c>
      <c r="AE439" s="538" t="s">
        <v>73</v>
      </c>
      <c r="AG439" s="538" t="s">
        <v>73</v>
      </c>
      <c r="AI439" s="538" t="s">
        <v>73</v>
      </c>
      <c r="AK439" s="538" t="s">
        <v>73</v>
      </c>
      <c r="AM439" s="538" t="s">
        <v>73</v>
      </c>
      <c r="AO439" s="538" t="s">
        <v>79</v>
      </c>
      <c r="AP439" s="538" t="s">
        <v>316</v>
      </c>
      <c r="AQ439" s="538" t="s">
        <v>79</v>
      </c>
      <c r="AR439" s="538" t="s">
        <v>316</v>
      </c>
      <c r="AS439" s="538">
        <v>2.974230331E9</v>
      </c>
      <c r="AT439" s="538">
        <v>1.82221633E8</v>
      </c>
      <c r="AU439" s="538">
        <v>267.0</v>
      </c>
      <c r="AV439" s="538" t="s">
        <v>47</v>
      </c>
      <c r="AZ439" s="538">
        <v>1.0</v>
      </c>
      <c r="BA439" s="538">
        <v>1.0</v>
      </c>
      <c r="BB439" s="538">
        <v>1.0</v>
      </c>
      <c r="BC439" s="538">
        <v>1.0</v>
      </c>
      <c r="BD439" s="538">
        <v>1.0</v>
      </c>
      <c r="BE439" s="538">
        <v>0.05</v>
      </c>
      <c r="BF439" s="538">
        <v>0.1</v>
      </c>
      <c r="BG439" s="538">
        <v>0.15</v>
      </c>
      <c r="BH439" s="538">
        <v>0.2</v>
      </c>
      <c r="BI439" s="538">
        <v>0.35</v>
      </c>
      <c r="BJ439" s="546"/>
      <c r="BL439" s="546"/>
    </row>
    <row r="440" ht="22.5" customHeight="1">
      <c r="A440" s="538">
        <v>439.0</v>
      </c>
      <c r="B440" s="538" t="s">
        <v>2091</v>
      </c>
      <c r="C440" s="538" t="s">
        <v>82</v>
      </c>
      <c r="D440" s="538" t="s">
        <v>2062</v>
      </c>
      <c r="E440" s="538" t="s">
        <v>265</v>
      </c>
      <c r="G440" s="538" t="s">
        <v>151</v>
      </c>
      <c r="H440" s="538" t="s">
        <v>250</v>
      </c>
      <c r="I440" s="538" t="s">
        <v>122</v>
      </c>
      <c r="K440" s="538" t="s">
        <v>2092</v>
      </c>
      <c r="L440" s="538" t="s">
        <v>2093</v>
      </c>
      <c r="M440" s="538" t="s">
        <v>673</v>
      </c>
      <c r="N440" s="538" t="s">
        <v>2094</v>
      </c>
      <c r="O440" s="538" t="b">
        <v>0</v>
      </c>
      <c r="P440" s="538" t="b">
        <v>1</v>
      </c>
      <c r="Q440" s="538" t="s">
        <v>79</v>
      </c>
      <c r="R440" s="538" t="s">
        <v>265</v>
      </c>
      <c r="S440" s="538" t="s">
        <v>79</v>
      </c>
      <c r="T440" s="538" t="s">
        <v>265</v>
      </c>
      <c r="U440" s="538" t="s">
        <v>79</v>
      </c>
      <c r="V440" s="538" t="s">
        <v>265</v>
      </c>
      <c r="W440" s="538" t="s">
        <v>79</v>
      </c>
      <c r="X440" s="538" t="s">
        <v>265</v>
      </c>
      <c r="Y440" s="538" t="s">
        <v>79</v>
      </c>
      <c r="Z440" s="538" t="s">
        <v>265</v>
      </c>
      <c r="AA440" s="538" t="s">
        <v>79</v>
      </c>
      <c r="AB440" s="538" t="s">
        <v>265</v>
      </c>
      <c r="AC440" s="538" t="s">
        <v>79</v>
      </c>
      <c r="AD440" s="538" t="s">
        <v>265</v>
      </c>
      <c r="AE440" s="538" t="s">
        <v>79</v>
      </c>
      <c r="AF440" s="538" t="s">
        <v>265</v>
      </c>
      <c r="AG440" s="538" t="s">
        <v>79</v>
      </c>
      <c r="AH440" s="538" t="s">
        <v>265</v>
      </c>
      <c r="AI440" s="538" t="s">
        <v>79</v>
      </c>
      <c r="AJ440" s="538" t="s">
        <v>265</v>
      </c>
      <c r="AK440" s="538" t="s">
        <v>79</v>
      </c>
      <c r="AL440" s="538" t="s">
        <v>265</v>
      </c>
      <c r="AM440" s="538" t="s">
        <v>79</v>
      </c>
      <c r="AN440" s="538" t="s">
        <v>265</v>
      </c>
      <c r="AO440" s="538" t="s">
        <v>79</v>
      </c>
      <c r="AP440" s="538" t="s">
        <v>265</v>
      </c>
      <c r="AQ440" s="538" t="s">
        <v>73</v>
      </c>
      <c r="AS440" s="538">
        <v>3.603994169E9</v>
      </c>
      <c r="AT440" s="538">
        <v>1.039659244E9</v>
      </c>
      <c r="AU440" s="538">
        <v>266.0</v>
      </c>
      <c r="AV440" s="538" t="s">
        <v>46</v>
      </c>
      <c r="AZ440" s="538">
        <v>1.0</v>
      </c>
      <c r="BA440" s="538">
        <v>1.0</v>
      </c>
      <c r="BB440" s="538">
        <v>1.0</v>
      </c>
      <c r="BC440" s="538">
        <v>1.0</v>
      </c>
      <c r="BD440" s="538">
        <v>1.0</v>
      </c>
      <c r="BE440" s="538">
        <v>0.2</v>
      </c>
      <c r="BF440" s="538">
        <v>0.3</v>
      </c>
      <c r="BG440" s="538">
        <v>0.35</v>
      </c>
      <c r="BH440" s="538">
        <v>0.45</v>
      </c>
      <c r="BI440" s="538">
        <v>0.55</v>
      </c>
      <c r="BJ440" s="546"/>
      <c r="BL440" s="546"/>
    </row>
    <row r="441" ht="22.5" customHeight="1">
      <c r="A441" s="538">
        <v>440.0</v>
      </c>
      <c r="B441" s="538" t="s">
        <v>2091</v>
      </c>
      <c r="C441" s="538" t="s">
        <v>86</v>
      </c>
      <c r="D441" s="538" t="s">
        <v>2062</v>
      </c>
      <c r="E441" s="538" t="s">
        <v>331</v>
      </c>
      <c r="G441" s="538" t="s">
        <v>151</v>
      </c>
      <c r="H441" s="538" t="s">
        <v>250</v>
      </c>
      <c r="I441" s="538" t="s">
        <v>122</v>
      </c>
      <c r="J441" s="538" t="s">
        <v>419</v>
      </c>
      <c r="K441" s="538" t="s">
        <v>2095</v>
      </c>
      <c r="L441" s="538" t="s">
        <v>2096</v>
      </c>
      <c r="M441" s="538" t="s">
        <v>673</v>
      </c>
      <c r="N441" s="538" t="s">
        <v>2072</v>
      </c>
      <c r="O441" s="538" t="b">
        <v>0</v>
      </c>
      <c r="P441" s="538" t="b">
        <v>1</v>
      </c>
      <c r="Q441" s="538" t="s">
        <v>79</v>
      </c>
      <c r="R441" s="538" t="s">
        <v>331</v>
      </c>
      <c r="S441" s="538" t="s">
        <v>79</v>
      </c>
      <c r="T441" s="538" t="s">
        <v>331</v>
      </c>
      <c r="U441" s="538" t="s">
        <v>79</v>
      </c>
      <c r="V441" s="538" t="s">
        <v>331</v>
      </c>
      <c r="W441" s="538" t="s">
        <v>79</v>
      </c>
      <c r="X441" s="538" t="s">
        <v>331</v>
      </c>
      <c r="Y441" s="538" t="s">
        <v>79</v>
      </c>
      <c r="Z441" s="538" t="s">
        <v>331</v>
      </c>
      <c r="AA441" s="538" t="s">
        <v>79</v>
      </c>
      <c r="AB441" s="538" t="s">
        <v>331</v>
      </c>
      <c r="AC441" s="538" t="s">
        <v>79</v>
      </c>
      <c r="AD441" s="538" t="s">
        <v>331</v>
      </c>
      <c r="AE441" s="538" t="s">
        <v>79</v>
      </c>
      <c r="AF441" s="538" t="s">
        <v>331</v>
      </c>
      <c r="AG441" s="538" t="s">
        <v>79</v>
      </c>
      <c r="AH441" s="538" t="s">
        <v>331</v>
      </c>
      <c r="AI441" s="538" t="s">
        <v>79</v>
      </c>
      <c r="AJ441" s="538" t="s">
        <v>331</v>
      </c>
      <c r="AK441" s="538" t="s">
        <v>79</v>
      </c>
      <c r="AL441" s="538" t="s">
        <v>331</v>
      </c>
      <c r="AM441" s="538" t="s">
        <v>79</v>
      </c>
      <c r="AN441" s="538" t="s">
        <v>331</v>
      </c>
      <c r="AO441" s="538" t="s">
        <v>79</v>
      </c>
      <c r="AP441" s="538" t="s">
        <v>331</v>
      </c>
      <c r="AQ441" s="538" t="s">
        <v>73</v>
      </c>
      <c r="AS441" s="538">
        <v>2.226051516E9</v>
      </c>
      <c r="AT441" s="538">
        <v>1.039659244E9</v>
      </c>
      <c r="AU441" s="538">
        <v>266.0</v>
      </c>
      <c r="AV441" s="538" t="s">
        <v>46</v>
      </c>
      <c r="AZ441" s="538">
        <v>1.0</v>
      </c>
      <c r="BA441" s="538">
        <v>1.0</v>
      </c>
      <c r="BB441" s="538">
        <v>1.0</v>
      </c>
      <c r="BC441" s="538">
        <v>1.0</v>
      </c>
      <c r="BD441" s="538">
        <v>1.0</v>
      </c>
      <c r="BE441" s="538">
        <v>0.5</v>
      </c>
      <c r="BF441" s="538">
        <v>1.0</v>
      </c>
      <c r="BG441" s="538">
        <v>2.0</v>
      </c>
      <c r="BH441" s="538">
        <v>3.0</v>
      </c>
      <c r="BI441" s="538">
        <v>5.0</v>
      </c>
      <c r="BJ441" s="546"/>
      <c r="BL441" s="546"/>
    </row>
    <row r="442" ht="22.5" customHeight="1">
      <c r="A442" s="538">
        <v>441.0</v>
      </c>
      <c r="B442" s="538" t="s">
        <v>2097</v>
      </c>
      <c r="C442" s="538" t="s">
        <v>82</v>
      </c>
      <c r="D442" s="538" t="s">
        <v>2062</v>
      </c>
      <c r="E442" s="538" t="s">
        <v>292</v>
      </c>
      <c r="F442" s="538" t="s">
        <v>2098</v>
      </c>
      <c r="G442" s="538" t="s">
        <v>163</v>
      </c>
      <c r="H442" s="538" t="s">
        <v>222</v>
      </c>
      <c r="I442" s="538" t="s">
        <v>201</v>
      </c>
      <c r="J442" s="538" t="s">
        <v>391</v>
      </c>
      <c r="K442" s="538" t="s">
        <v>2099</v>
      </c>
      <c r="L442" s="538" t="s">
        <v>2100</v>
      </c>
      <c r="M442" s="538" t="s">
        <v>673</v>
      </c>
      <c r="N442" s="538" t="s">
        <v>1577</v>
      </c>
      <c r="O442" s="538" t="b">
        <v>0</v>
      </c>
      <c r="P442" s="538" t="b">
        <v>1</v>
      </c>
      <c r="Q442" s="538" t="s">
        <v>73</v>
      </c>
      <c r="S442" s="538" t="s">
        <v>79</v>
      </c>
      <c r="T442" s="538" t="s">
        <v>385</v>
      </c>
      <c r="U442" s="538" t="s">
        <v>73</v>
      </c>
      <c r="W442" s="538" t="s">
        <v>73</v>
      </c>
      <c r="Y442" s="538" t="s">
        <v>73</v>
      </c>
      <c r="AA442" s="538" t="s">
        <v>73</v>
      </c>
      <c r="AC442" s="538" t="s">
        <v>79</v>
      </c>
      <c r="AD442" s="538" t="s">
        <v>377</v>
      </c>
      <c r="AE442" s="538" t="s">
        <v>79</v>
      </c>
      <c r="AF442" s="538" t="s">
        <v>377</v>
      </c>
      <c r="AG442" s="538" t="s">
        <v>79</v>
      </c>
      <c r="AH442" s="538" t="s">
        <v>380</v>
      </c>
      <c r="AI442" s="538" t="s">
        <v>79</v>
      </c>
      <c r="AJ442" s="538" t="s">
        <v>377</v>
      </c>
      <c r="AK442" s="538" t="s">
        <v>73</v>
      </c>
      <c r="AM442" s="538" t="s">
        <v>73</v>
      </c>
      <c r="AO442" s="538" t="s">
        <v>79</v>
      </c>
      <c r="AP442" s="538" t="s">
        <v>292</v>
      </c>
      <c r="AQ442" s="538" t="s">
        <v>79</v>
      </c>
      <c r="AR442" s="538" t="s">
        <v>292</v>
      </c>
      <c r="AS442" s="538">
        <v>4.57058544E8</v>
      </c>
      <c r="AT442" s="538">
        <v>1.84894313E9</v>
      </c>
      <c r="AU442" s="538">
        <v>265.0</v>
      </c>
      <c r="AV442" s="538" t="s">
        <v>47</v>
      </c>
      <c r="AZ442" s="538">
        <v>1.0</v>
      </c>
      <c r="BA442" s="538">
        <v>1.0</v>
      </c>
      <c r="BB442" s="538">
        <v>1.0</v>
      </c>
      <c r="BC442" s="538">
        <v>1.0</v>
      </c>
      <c r="BD442" s="538">
        <v>1.0</v>
      </c>
      <c r="BE442" s="538">
        <v>0.45</v>
      </c>
      <c r="BF442" s="538">
        <v>0.5</v>
      </c>
      <c r="BG442" s="538">
        <v>0.6</v>
      </c>
      <c r="BH442" s="538">
        <v>0.75</v>
      </c>
      <c r="BI442" s="538">
        <v>1.0</v>
      </c>
      <c r="BJ442" s="546"/>
      <c r="BL442" s="546"/>
    </row>
    <row r="443" ht="22.5" customHeight="1">
      <c r="A443" s="538">
        <v>442.0</v>
      </c>
      <c r="B443" s="538" t="s">
        <v>2097</v>
      </c>
      <c r="C443" s="538" t="s">
        <v>86</v>
      </c>
      <c r="D443" s="538" t="s">
        <v>2062</v>
      </c>
      <c r="E443" s="538" t="s">
        <v>390</v>
      </c>
      <c r="G443" s="538" t="s">
        <v>151</v>
      </c>
      <c r="H443" s="538" t="s">
        <v>250</v>
      </c>
      <c r="I443" s="538" t="s">
        <v>122</v>
      </c>
      <c r="K443" s="538" t="s">
        <v>2101</v>
      </c>
      <c r="L443" s="538" t="s">
        <v>2102</v>
      </c>
      <c r="M443" s="538" t="s">
        <v>673</v>
      </c>
      <c r="N443" s="538" t="s">
        <v>1071</v>
      </c>
      <c r="O443" s="538" t="b">
        <v>0</v>
      </c>
      <c r="P443" s="538" t="b">
        <v>1</v>
      </c>
      <c r="Q443" s="538" t="s">
        <v>73</v>
      </c>
      <c r="S443" s="538" t="s">
        <v>73</v>
      </c>
      <c r="U443" s="538" t="s">
        <v>73</v>
      </c>
      <c r="W443" s="538" t="s">
        <v>73</v>
      </c>
      <c r="Y443" s="538" t="s">
        <v>73</v>
      </c>
      <c r="AA443" s="538" t="s">
        <v>73</v>
      </c>
      <c r="AC443" s="538" t="s">
        <v>73</v>
      </c>
      <c r="AE443" s="538" t="s">
        <v>73</v>
      </c>
      <c r="AG443" s="538" t="s">
        <v>73</v>
      </c>
      <c r="AI443" s="538" t="s">
        <v>73</v>
      </c>
      <c r="AK443" s="538" t="s">
        <v>73</v>
      </c>
      <c r="AM443" s="538" t="s">
        <v>73</v>
      </c>
      <c r="AO443" s="538" t="s">
        <v>79</v>
      </c>
      <c r="AP443" s="538" t="s">
        <v>390</v>
      </c>
      <c r="AQ443" s="538" t="s">
        <v>79</v>
      </c>
      <c r="AR443" s="538" t="s">
        <v>390</v>
      </c>
      <c r="AS443" s="538">
        <v>1.685560011E9</v>
      </c>
      <c r="AT443" s="538">
        <v>1.84894313E9</v>
      </c>
      <c r="AU443" s="538">
        <v>265.0</v>
      </c>
      <c r="AV443" s="538" t="s">
        <v>47</v>
      </c>
      <c r="AZ443" s="538">
        <v>1.0</v>
      </c>
      <c r="BA443" s="538">
        <v>1.0</v>
      </c>
      <c r="BB443" s="538">
        <v>1.0</v>
      </c>
      <c r="BC443" s="538">
        <v>1.0</v>
      </c>
      <c r="BD443" s="538">
        <v>1.0</v>
      </c>
      <c r="BE443" s="538">
        <v>0.2</v>
      </c>
      <c r="BF443" s="538">
        <v>0.4</v>
      </c>
      <c r="BG443" s="538">
        <v>0.6</v>
      </c>
      <c r="BH443" s="538">
        <v>0.8</v>
      </c>
      <c r="BI443" s="538">
        <v>1.0</v>
      </c>
      <c r="BJ443" s="546"/>
      <c r="BL443" s="546"/>
    </row>
    <row r="444" ht="22.5" customHeight="1">
      <c r="A444" s="538">
        <v>443.0</v>
      </c>
      <c r="B444" s="538" t="s">
        <v>2103</v>
      </c>
      <c r="C444" s="538" t="s">
        <v>84</v>
      </c>
      <c r="D444" s="538" t="s">
        <v>1687</v>
      </c>
      <c r="E444" s="538" t="s">
        <v>223</v>
      </c>
      <c r="F444" s="538" t="s">
        <v>1688</v>
      </c>
      <c r="G444" s="538" t="s">
        <v>163</v>
      </c>
      <c r="H444" s="538" t="s">
        <v>250</v>
      </c>
      <c r="I444" s="538" t="s">
        <v>176</v>
      </c>
      <c r="J444" s="538" t="s">
        <v>397</v>
      </c>
      <c r="K444" s="538" t="s">
        <v>2104</v>
      </c>
      <c r="L444" s="538" t="s">
        <v>2105</v>
      </c>
      <c r="M444" s="538" t="s">
        <v>661</v>
      </c>
      <c r="N444" s="538" t="s">
        <v>2106</v>
      </c>
      <c r="O444" s="538" t="b">
        <v>0</v>
      </c>
      <c r="P444" s="538" t="b">
        <v>1</v>
      </c>
      <c r="Q444" s="538" t="s">
        <v>79</v>
      </c>
      <c r="R444" s="538" t="s">
        <v>228</v>
      </c>
      <c r="S444" s="538" t="s">
        <v>79</v>
      </c>
      <c r="T444" s="538" t="s">
        <v>228</v>
      </c>
      <c r="U444" s="538" t="s">
        <v>73</v>
      </c>
      <c r="W444" s="538" t="s">
        <v>73</v>
      </c>
      <c r="Y444" s="538" t="s">
        <v>79</v>
      </c>
      <c r="Z444" s="538" t="s">
        <v>228</v>
      </c>
      <c r="AA444" s="538" t="s">
        <v>73</v>
      </c>
      <c r="AC444" s="538" t="s">
        <v>79</v>
      </c>
      <c r="AD444" s="538" t="s">
        <v>377</v>
      </c>
      <c r="AE444" s="538" t="s">
        <v>79</v>
      </c>
      <c r="AF444" s="538" t="s">
        <v>377</v>
      </c>
      <c r="AG444" s="538" t="s">
        <v>79</v>
      </c>
      <c r="AH444" s="538" t="s">
        <v>228</v>
      </c>
      <c r="AI444" s="538" t="s">
        <v>79</v>
      </c>
      <c r="AJ444" s="538" t="s">
        <v>377</v>
      </c>
      <c r="AK444" s="538" t="s">
        <v>79</v>
      </c>
      <c r="AL444" s="538" t="s">
        <v>228</v>
      </c>
      <c r="AM444" s="538" t="s">
        <v>79</v>
      </c>
      <c r="AN444" s="538" t="s">
        <v>228</v>
      </c>
      <c r="AO444" s="538" t="s">
        <v>79</v>
      </c>
      <c r="AP444" s="538" t="s">
        <v>223</v>
      </c>
      <c r="AQ444" s="538" t="s">
        <v>79</v>
      </c>
      <c r="AR444" s="538" t="s">
        <v>223</v>
      </c>
      <c r="AS444" s="538">
        <v>2.071759559E9</v>
      </c>
      <c r="AT444" s="538">
        <v>1.532505261E9</v>
      </c>
      <c r="AU444" s="538">
        <v>268.0</v>
      </c>
      <c r="AV444" s="538" t="s">
        <v>47</v>
      </c>
      <c r="AZ444" s="538">
        <v>1.0</v>
      </c>
      <c r="BA444" s="538">
        <v>1.0</v>
      </c>
      <c r="BB444" s="538">
        <v>1.0</v>
      </c>
      <c r="BE444" s="538">
        <v>15.0</v>
      </c>
      <c r="BF444" s="538">
        <v>15.0</v>
      </c>
      <c r="BG444" s="538">
        <v>25.0</v>
      </c>
      <c r="BJ444" s="546"/>
      <c r="BL444" s="546"/>
    </row>
    <row r="445" ht="22.5" customHeight="1">
      <c r="A445" s="538">
        <v>444.0</v>
      </c>
      <c r="B445" s="538" t="s">
        <v>2103</v>
      </c>
      <c r="C445" s="538" t="s">
        <v>82</v>
      </c>
      <c r="D445" s="538" t="s">
        <v>1687</v>
      </c>
      <c r="E445" s="538" t="s">
        <v>366</v>
      </c>
      <c r="F445" s="538" t="s">
        <v>1688</v>
      </c>
      <c r="G445" s="538" t="s">
        <v>239</v>
      </c>
      <c r="H445" s="538" t="s">
        <v>250</v>
      </c>
      <c r="I445" s="538" t="s">
        <v>122</v>
      </c>
      <c r="K445" s="538" t="s">
        <v>2107</v>
      </c>
      <c r="L445" s="538" t="s">
        <v>2108</v>
      </c>
      <c r="M445" s="538" t="s">
        <v>673</v>
      </c>
      <c r="N445" s="538" t="s">
        <v>2109</v>
      </c>
      <c r="O445" s="538" t="b">
        <v>0</v>
      </c>
      <c r="P445" s="538" t="b">
        <v>1</v>
      </c>
      <c r="Q445" s="538" t="s">
        <v>79</v>
      </c>
      <c r="R445" s="538" t="s">
        <v>228</v>
      </c>
      <c r="S445" s="538" t="s">
        <v>79</v>
      </c>
      <c r="T445" s="538" t="s">
        <v>228</v>
      </c>
      <c r="U445" s="538" t="s">
        <v>73</v>
      </c>
      <c r="W445" s="538" t="s">
        <v>73</v>
      </c>
      <c r="Y445" s="538" t="s">
        <v>79</v>
      </c>
      <c r="Z445" s="538" t="s">
        <v>228</v>
      </c>
      <c r="AA445" s="538" t="s">
        <v>73</v>
      </c>
      <c r="AC445" s="538" t="s">
        <v>79</v>
      </c>
      <c r="AD445" s="538" t="s">
        <v>377</v>
      </c>
      <c r="AE445" s="538" t="s">
        <v>79</v>
      </c>
      <c r="AF445" s="538" t="s">
        <v>377</v>
      </c>
      <c r="AG445" s="538" t="s">
        <v>79</v>
      </c>
      <c r="AH445" s="538" t="s">
        <v>228</v>
      </c>
      <c r="AI445" s="538" t="s">
        <v>79</v>
      </c>
      <c r="AJ445" s="538" t="s">
        <v>377</v>
      </c>
      <c r="AK445" s="538" t="s">
        <v>79</v>
      </c>
      <c r="AL445" s="538" t="s">
        <v>228</v>
      </c>
      <c r="AM445" s="538" t="s">
        <v>79</v>
      </c>
      <c r="AN445" s="538" t="s">
        <v>228</v>
      </c>
      <c r="AO445" s="538" t="s">
        <v>79</v>
      </c>
      <c r="AP445" s="538" t="s">
        <v>366</v>
      </c>
      <c r="AQ445" s="538" t="s">
        <v>79</v>
      </c>
      <c r="AR445" s="538" t="s">
        <v>366</v>
      </c>
      <c r="AS445" s="538">
        <v>3.634862157E9</v>
      </c>
      <c r="AT445" s="538">
        <v>1.532505261E9</v>
      </c>
      <c r="AU445" s="538">
        <v>268.0</v>
      </c>
      <c r="AV445" s="538" t="s">
        <v>47</v>
      </c>
      <c r="AZ445" s="538">
        <v>1.0</v>
      </c>
      <c r="BA445" s="538">
        <v>1.0</v>
      </c>
      <c r="BB445" s="538">
        <v>1.0</v>
      </c>
      <c r="BC445" s="538">
        <v>1.0</v>
      </c>
      <c r="BD445" s="538">
        <v>1.0</v>
      </c>
      <c r="BE445" s="538">
        <v>0.02</v>
      </c>
      <c r="BF445" s="538">
        <v>0.04</v>
      </c>
      <c r="BG445" s="538">
        <v>0.06</v>
      </c>
      <c r="BH445" s="538">
        <v>0.08</v>
      </c>
      <c r="BI445" s="538">
        <v>0.15</v>
      </c>
      <c r="BJ445" s="546"/>
      <c r="BL445" s="546"/>
    </row>
    <row r="446" ht="22.5" customHeight="1">
      <c r="A446" s="538">
        <v>445.0</v>
      </c>
      <c r="B446" s="538" t="s">
        <v>2110</v>
      </c>
      <c r="C446" s="538" t="s">
        <v>82</v>
      </c>
      <c r="D446" s="538" t="s">
        <v>1687</v>
      </c>
      <c r="E446" s="538" t="s">
        <v>301</v>
      </c>
      <c r="G446" s="538" t="s">
        <v>151</v>
      </c>
      <c r="H446" s="538" t="s">
        <v>250</v>
      </c>
      <c r="I446" s="538" t="s">
        <v>122</v>
      </c>
      <c r="K446" s="538" t="s">
        <v>2111</v>
      </c>
      <c r="L446" s="538" t="s">
        <v>2112</v>
      </c>
      <c r="M446" s="538" t="s">
        <v>673</v>
      </c>
      <c r="N446" s="538" t="s">
        <v>2113</v>
      </c>
      <c r="O446" s="538" t="b">
        <v>0</v>
      </c>
      <c r="P446" s="538" t="b">
        <v>1</v>
      </c>
      <c r="Q446" s="538" t="s">
        <v>79</v>
      </c>
      <c r="R446" s="538" t="s">
        <v>301</v>
      </c>
      <c r="S446" s="538" t="s">
        <v>79</v>
      </c>
      <c r="T446" s="538" t="s">
        <v>301</v>
      </c>
      <c r="U446" s="538" t="s">
        <v>75</v>
      </c>
      <c r="V446" s="538" t="s">
        <v>1878</v>
      </c>
      <c r="W446" s="538" t="s">
        <v>79</v>
      </c>
      <c r="X446" s="538" t="s">
        <v>301</v>
      </c>
      <c r="Y446" s="538" t="s">
        <v>79</v>
      </c>
      <c r="Z446" s="538" t="s">
        <v>301</v>
      </c>
      <c r="AA446" s="538" t="s">
        <v>79</v>
      </c>
      <c r="AB446" s="538" t="s">
        <v>301</v>
      </c>
      <c r="AC446" s="538" t="s">
        <v>79</v>
      </c>
      <c r="AD446" s="538" t="s">
        <v>301</v>
      </c>
      <c r="AE446" s="538" t="s">
        <v>79</v>
      </c>
      <c r="AF446" s="538" t="s">
        <v>301</v>
      </c>
      <c r="AG446" s="538" t="s">
        <v>79</v>
      </c>
      <c r="AH446" s="538" t="s">
        <v>301</v>
      </c>
      <c r="AI446" s="538" t="s">
        <v>79</v>
      </c>
      <c r="AJ446" s="538" t="s">
        <v>301</v>
      </c>
      <c r="AK446" s="538" t="s">
        <v>79</v>
      </c>
      <c r="AL446" s="538" t="s">
        <v>301</v>
      </c>
      <c r="AM446" s="538" t="s">
        <v>79</v>
      </c>
      <c r="AN446" s="538" t="s">
        <v>301</v>
      </c>
      <c r="AO446" s="538" t="s">
        <v>73</v>
      </c>
      <c r="AQ446" s="538" t="s">
        <v>79</v>
      </c>
      <c r="AR446" s="538" t="s">
        <v>301</v>
      </c>
      <c r="AS446" s="538">
        <v>1.357755834E9</v>
      </c>
      <c r="AT446" s="538">
        <v>5.97303582E8</v>
      </c>
      <c r="AU446" s="538">
        <v>270.0</v>
      </c>
      <c r="AV446" s="538" t="s">
        <v>46</v>
      </c>
      <c r="AY446" s="538" t="s">
        <v>301</v>
      </c>
      <c r="AZ446" s="538">
        <v>1.0</v>
      </c>
      <c r="BA446" s="538">
        <v>1.0</v>
      </c>
      <c r="BB446" s="538">
        <v>1.0</v>
      </c>
      <c r="BC446" s="538">
        <v>1.0</v>
      </c>
      <c r="BD446" s="538">
        <v>1.0</v>
      </c>
      <c r="BE446" s="538">
        <v>0.25</v>
      </c>
      <c r="BF446" s="538">
        <v>0.5</v>
      </c>
      <c r="BG446" s="538">
        <v>0.9</v>
      </c>
      <c r="BH446" s="538">
        <v>1.4</v>
      </c>
      <c r="BI446" s="538">
        <v>2.0</v>
      </c>
      <c r="BJ446" s="546"/>
      <c r="BL446" s="546"/>
    </row>
    <row r="447" ht="22.5" customHeight="1">
      <c r="A447" s="538">
        <v>446.0</v>
      </c>
      <c r="B447" s="538" t="s">
        <v>2110</v>
      </c>
      <c r="C447" s="538" t="s">
        <v>86</v>
      </c>
      <c r="D447" s="538" t="s">
        <v>1687</v>
      </c>
      <c r="E447" s="538" t="s">
        <v>322</v>
      </c>
      <c r="F447" s="538" t="s">
        <v>1688</v>
      </c>
      <c r="G447" s="538" t="s">
        <v>163</v>
      </c>
      <c r="H447" s="538" t="s">
        <v>250</v>
      </c>
      <c r="I447" s="538" t="s">
        <v>122</v>
      </c>
      <c r="K447" s="538" t="s">
        <v>2114</v>
      </c>
      <c r="L447" s="538" t="s">
        <v>2115</v>
      </c>
      <c r="M447" s="538" t="s">
        <v>673</v>
      </c>
      <c r="N447" s="538" t="s">
        <v>2116</v>
      </c>
      <c r="O447" s="538" t="b">
        <v>0</v>
      </c>
      <c r="P447" s="538" t="b">
        <v>1</v>
      </c>
      <c r="Q447" s="538" t="s">
        <v>79</v>
      </c>
      <c r="R447" s="538" t="s">
        <v>228</v>
      </c>
      <c r="S447" s="538" t="s">
        <v>79</v>
      </c>
      <c r="T447" s="538" t="s">
        <v>228</v>
      </c>
      <c r="U447" s="538" t="s">
        <v>73</v>
      </c>
      <c r="W447" s="538" t="s">
        <v>73</v>
      </c>
      <c r="Y447" s="538" t="s">
        <v>79</v>
      </c>
      <c r="Z447" s="538" t="s">
        <v>228</v>
      </c>
      <c r="AA447" s="538" t="s">
        <v>73</v>
      </c>
      <c r="AC447" s="538" t="s">
        <v>79</v>
      </c>
      <c r="AD447" s="538" t="s">
        <v>377</v>
      </c>
      <c r="AE447" s="538" t="s">
        <v>79</v>
      </c>
      <c r="AF447" s="538" t="s">
        <v>377</v>
      </c>
      <c r="AG447" s="538" t="s">
        <v>79</v>
      </c>
      <c r="AH447" s="538" t="s">
        <v>228</v>
      </c>
      <c r="AI447" s="538" t="s">
        <v>79</v>
      </c>
      <c r="AJ447" s="538" t="s">
        <v>377</v>
      </c>
      <c r="AK447" s="538" t="s">
        <v>79</v>
      </c>
      <c r="AL447" s="538" t="s">
        <v>228</v>
      </c>
      <c r="AM447" s="538" t="s">
        <v>79</v>
      </c>
      <c r="AN447" s="538" t="s">
        <v>228</v>
      </c>
      <c r="AO447" s="538" t="s">
        <v>79</v>
      </c>
      <c r="AP447" s="538" t="s">
        <v>322</v>
      </c>
      <c r="AQ447" s="538" t="s">
        <v>79</v>
      </c>
      <c r="AR447" s="538" t="s">
        <v>322</v>
      </c>
      <c r="AS447" s="538">
        <v>1.664636088E9</v>
      </c>
      <c r="AT447" s="538">
        <v>5.97303582E8</v>
      </c>
      <c r="AU447" s="538">
        <v>270.0</v>
      </c>
      <c r="AV447" s="538" t="s">
        <v>46</v>
      </c>
      <c r="AZ447" s="538">
        <v>1.0</v>
      </c>
      <c r="BA447" s="538">
        <v>1.0</v>
      </c>
      <c r="BB447" s="538">
        <v>1.0</v>
      </c>
      <c r="BC447" s="538">
        <v>1.0</v>
      </c>
      <c r="BD447" s="538">
        <v>1.0</v>
      </c>
      <c r="BE447" s="538">
        <v>0.05</v>
      </c>
      <c r="BF447" s="538">
        <v>0.1</v>
      </c>
      <c r="BG447" s="538">
        <v>0.15</v>
      </c>
      <c r="BH447" s="538">
        <v>0.25</v>
      </c>
      <c r="BI447" s="538">
        <v>0.4</v>
      </c>
      <c r="BJ447" s="546"/>
      <c r="BL447" s="546"/>
    </row>
    <row r="448" ht="22.5" customHeight="1">
      <c r="A448" s="538">
        <v>447.0</v>
      </c>
      <c r="B448" s="538" t="s">
        <v>2117</v>
      </c>
      <c r="C448" s="538" t="s">
        <v>84</v>
      </c>
      <c r="D448" s="538" t="s">
        <v>1687</v>
      </c>
      <c r="E448" s="538" t="s">
        <v>366</v>
      </c>
      <c r="F448" s="538" t="s">
        <v>1688</v>
      </c>
      <c r="G448" s="538" t="s">
        <v>239</v>
      </c>
      <c r="H448" s="538" t="s">
        <v>222</v>
      </c>
      <c r="I448" s="538" t="s">
        <v>189</v>
      </c>
      <c r="K448" s="538" t="s">
        <v>2118</v>
      </c>
      <c r="L448" s="538" t="s">
        <v>2118</v>
      </c>
      <c r="M448" s="538" t="s">
        <v>661</v>
      </c>
      <c r="N448" s="538" t="s">
        <v>2119</v>
      </c>
      <c r="O448" s="538" t="b">
        <v>0</v>
      </c>
      <c r="P448" s="538" t="b">
        <v>1</v>
      </c>
      <c r="Q448" s="538" t="s">
        <v>79</v>
      </c>
      <c r="R448" s="538" t="s">
        <v>228</v>
      </c>
      <c r="S448" s="538" t="s">
        <v>79</v>
      </c>
      <c r="T448" s="538" t="s">
        <v>228</v>
      </c>
      <c r="U448" s="538" t="s">
        <v>73</v>
      </c>
      <c r="W448" s="538" t="s">
        <v>73</v>
      </c>
      <c r="Y448" s="538" t="s">
        <v>79</v>
      </c>
      <c r="Z448" s="538" t="s">
        <v>228</v>
      </c>
      <c r="AA448" s="538" t="s">
        <v>73</v>
      </c>
      <c r="AC448" s="538" t="s">
        <v>79</v>
      </c>
      <c r="AD448" s="538" t="s">
        <v>377</v>
      </c>
      <c r="AE448" s="538" t="s">
        <v>79</v>
      </c>
      <c r="AF448" s="538" t="s">
        <v>377</v>
      </c>
      <c r="AG448" s="538" t="s">
        <v>79</v>
      </c>
      <c r="AH448" s="538" t="s">
        <v>228</v>
      </c>
      <c r="AI448" s="538" t="s">
        <v>79</v>
      </c>
      <c r="AJ448" s="538" t="s">
        <v>377</v>
      </c>
      <c r="AK448" s="538" t="s">
        <v>79</v>
      </c>
      <c r="AL448" s="538" t="s">
        <v>228</v>
      </c>
      <c r="AM448" s="538" t="s">
        <v>79</v>
      </c>
      <c r="AN448" s="538" t="s">
        <v>228</v>
      </c>
      <c r="AO448" s="538" t="s">
        <v>79</v>
      </c>
      <c r="AP448" s="538" t="s">
        <v>366</v>
      </c>
      <c r="AQ448" s="538" t="s">
        <v>79</v>
      </c>
      <c r="AR448" s="538" t="s">
        <v>366</v>
      </c>
      <c r="AS448" s="538">
        <v>2.86142361E9</v>
      </c>
      <c r="AT448" s="538">
        <v>1.426126747E9</v>
      </c>
      <c r="AU448" s="538">
        <v>269.0</v>
      </c>
      <c r="AV448" s="538" t="s">
        <v>47</v>
      </c>
      <c r="AZ448" s="538">
        <v>1.0</v>
      </c>
      <c r="BA448" s="538">
        <v>1.0</v>
      </c>
      <c r="BB448" s="538">
        <v>1.0</v>
      </c>
      <c r="BE448" s="538">
        <v>0.1</v>
      </c>
      <c r="BF448" s="538">
        <v>0.05</v>
      </c>
      <c r="BG448" s="538">
        <v>0.08</v>
      </c>
      <c r="BJ448" s="546"/>
      <c r="BL448" s="546"/>
    </row>
    <row r="449" ht="22.5" customHeight="1">
      <c r="A449" s="538">
        <v>448.0</v>
      </c>
      <c r="B449" s="538" t="s">
        <v>2117</v>
      </c>
      <c r="C449" s="538" t="s">
        <v>82</v>
      </c>
      <c r="D449" s="538" t="s">
        <v>1687</v>
      </c>
      <c r="E449" s="538" t="s">
        <v>295</v>
      </c>
      <c r="F449" s="538" t="s">
        <v>1688</v>
      </c>
      <c r="G449" s="538" t="s">
        <v>163</v>
      </c>
      <c r="H449" s="538" t="s">
        <v>250</v>
      </c>
      <c r="I449" s="538" t="s">
        <v>155</v>
      </c>
      <c r="K449" s="538" t="s">
        <v>2120</v>
      </c>
      <c r="L449" s="538" t="s">
        <v>2121</v>
      </c>
      <c r="M449" s="538" t="s">
        <v>673</v>
      </c>
      <c r="N449" s="538" t="s">
        <v>2122</v>
      </c>
      <c r="O449" s="538" t="b">
        <v>0</v>
      </c>
      <c r="P449" s="538" t="b">
        <v>1</v>
      </c>
      <c r="Q449" s="538" t="s">
        <v>79</v>
      </c>
      <c r="R449" s="538" t="s">
        <v>228</v>
      </c>
      <c r="S449" s="538" t="s">
        <v>79</v>
      </c>
      <c r="T449" s="538" t="s">
        <v>228</v>
      </c>
      <c r="U449" s="538" t="s">
        <v>73</v>
      </c>
      <c r="W449" s="538" t="s">
        <v>73</v>
      </c>
      <c r="Y449" s="538" t="s">
        <v>79</v>
      </c>
      <c r="Z449" s="538" t="s">
        <v>228</v>
      </c>
      <c r="AA449" s="538" t="s">
        <v>73</v>
      </c>
      <c r="AC449" s="538" t="s">
        <v>79</v>
      </c>
      <c r="AD449" s="538" t="s">
        <v>377</v>
      </c>
      <c r="AE449" s="538" t="s">
        <v>79</v>
      </c>
      <c r="AF449" s="538" t="s">
        <v>377</v>
      </c>
      <c r="AG449" s="538" t="s">
        <v>79</v>
      </c>
      <c r="AH449" s="538" t="s">
        <v>228</v>
      </c>
      <c r="AI449" s="538" t="s">
        <v>79</v>
      </c>
      <c r="AJ449" s="538" t="s">
        <v>377</v>
      </c>
      <c r="AK449" s="538" t="s">
        <v>79</v>
      </c>
      <c r="AL449" s="538" t="s">
        <v>228</v>
      </c>
      <c r="AM449" s="538" t="s">
        <v>79</v>
      </c>
      <c r="AN449" s="538" t="s">
        <v>228</v>
      </c>
      <c r="AO449" s="538" t="s">
        <v>79</v>
      </c>
      <c r="AP449" s="538" t="s">
        <v>295</v>
      </c>
      <c r="AQ449" s="538" t="s">
        <v>79</v>
      </c>
      <c r="AR449" s="538" t="s">
        <v>295</v>
      </c>
      <c r="AS449" s="538">
        <v>2.813724537E9</v>
      </c>
      <c r="AT449" s="538">
        <v>1.426126747E9</v>
      </c>
      <c r="AU449" s="538">
        <v>269.0</v>
      </c>
      <c r="AV449" s="538" t="s">
        <v>47</v>
      </c>
      <c r="AZ449" s="538">
        <v>1.0</v>
      </c>
      <c r="BA449" s="538">
        <v>1.0</v>
      </c>
      <c r="BB449" s="538">
        <v>1.0</v>
      </c>
      <c r="BC449" s="538">
        <v>1.0</v>
      </c>
      <c r="BD449" s="538">
        <v>1.0</v>
      </c>
      <c r="BE449" s="538">
        <v>0.4</v>
      </c>
      <c r="BF449" s="538">
        <v>0.9</v>
      </c>
      <c r="BG449" s="538">
        <v>1.5</v>
      </c>
      <c r="BH449" s="538">
        <v>2.3</v>
      </c>
      <c r="BI449" s="538">
        <v>3.5</v>
      </c>
      <c r="BJ449" s="546"/>
      <c r="BK449" s="547"/>
      <c r="BL449" s="546"/>
    </row>
    <row r="450" ht="22.5" customHeight="1">
      <c r="A450" s="538">
        <v>449.0</v>
      </c>
      <c r="B450" s="538" t="s">
        <v>2123</v>
      </c>
      <c r="C450" s="538" t="s">
        <v>84</v>
      </c>
      <c r="D450" s="538" t="s">
        <v>1687</v>
      </c>
      <c r="E450" s="538" t="s">
        <v>369</v>
      </c>
      <c r="F450" s="538" t="s">
        <v>1688</v>
      </c>
      <c r="G450" s="538" t="s">
        <v>163</v>
      </c>
      <c r="H450" s="538" t="s">
        <v>222</v>
      </c>
      <c r="I450" s="538" t="s">
        <v>189</v>
      </c>
      <c r="K450" s="538" t="s">
        <v>2124</v>
      </c>
      <c r="L450" s="538" t="s">
        <v>2124</v>
      </c>
      <c r="M450" s="538" t="s">
        <v>661</v>
      </c>
      <c r="N450" s="538" t="s">
        <v>2125</v>
      </c>
      <c r="O450" s="538" t="b">
        <v>0</v>
      </c>
      <c r="P450" s="538" t="b">
        <v>1</v>
      </c>
      <c r="Q450" s="538" t="s">
        <v>79</v>
      </c>
      <c r="R450" s="538" t="s">
        <v>228</v>
      </c>
      <c r="S450" s="538" t="s">
        <v>79</v>
      </c>
      <c r="T450" s="538" t="s">
        <v>228</v>
      </c>
      <c r="U450" s="538" t="s">
        <v>73</v>
      </c>
      <c r="W450" s="538" t="s">
        <v>73</v>
      </c>
      <c r="Y450" s="538" t="s">
        <v>79</v>
      </c>
      <c r="Z450" s="538" t="s">
        <v>228</v>
      </c>
      <c r="AA450" s="538" t="s">
        <v>73</v>
      </c>
      <c r="AC450" s="538" t="s">
        <v>79</v>
      </c>
      <c r="AD450" s="538" t="s">
        <v>377</v>
      </c>
      <c r="AE450" s="538" t="s">
        <v>79</v>
      </c>
      <c r="AF450" s="538" t="s">
        <v>377</v>
      </c>
      <c r="AG450" s="538" t="s">
        <v>79</v>
      </c>
      <c r="AH450" s="538" t="s">
        <v>228</v>
      </c>
      <c r="AI450" s="538" t="s">
        <v>79</v>
      </c>
      <c r="AJ450" s="538" t="s">
        <v>377</v>
      </c>
      <c r="AK450" s="538" t="s">
        <v>79</v>
      </c>
      <c r="AL450" s="538" t="s">
        <v>228</v>
      </c>
      <c r="AM450" s="538" t="s">
        <v>79</v>
      </c>
      <c r="AN450" s="538" t="s">
        <v>228</v>
      </c>
      <c r="AO450" s="538" t="s">
        <v>79</v>
      </c>
      <c r="AP450" s="538" t="s">
        <v>369</v>
      </c>
      <c r="AQ450" s="538" t="s">
        <v>79</v>
      </c>
      <c r="AR450" s="538" t="s">
        <v>369</v>
      </c>
      <c r="AS450" s="538">
        <v>3.157017944E9</v>
      </c>
      <c r="AT450" s="538">
        <v>3.294474373E9</v>
      </c>
      <c r="AU450" s="538">
        <v>272.0</v>
      </c>
      <c r="AV450" s="538" t="s">
        <v>47</v>
      </c>
      <c r="AZ450" s="538">
        <v>1.0</v>
      </c>
      <c r="BA450" s="538">
        <v>1.0</v>
      </c>
      <c r="BB450" s="538">
        <v>1.0</v>
      </c>
      <c r="BE450" s="538">
        <v>0.4</v>
      </c>
      <c r="BF450" s="538">
        <v>0.15</v>
      </c>
      <c r="BG450" s="538">
        <v>0.3</v>
      </c>
      <c r="BJ450" s="546"/>
      <c r="BL450" s="546"/>
    </row>
    <row r="451" ht="22.5" customHeight="1">
      <c r="A451" s="538">
        <v>450.0</v>
      </c>
      <c r="B451" s="538" t="s">
        <v>2123</v>
      </c>
      <c r="C451" s="538" t="s">
        <v>82</v>
      </c>
      <c r="D451" s="538" t="s">
        <v>1687</v>
      </c>
      <c r="E451" s="538" t="s">
        <v>218</v>
      </c>
      <c r="F451" s="538" t="s">
        <v>1688</v>
      </c>
      <c r="G451" s="538" t="s">
        <v>163</v>
      </c>
      <c r="H451" s="538" t="s">
        <v>250</v>
      </c>
      <c r="I451" s="538" t="s">
        <v>122</v>
      </c>
      <c r="K451" s="538" t="s">
        <v>2126</v>
      </c>
      <c r="L451" s="538" t="s">
        <v>2126</v>
      </c>
      <c r="M451" s="538" t="s">
        <v>673</v>
      </c>
      <c r="N451" s="538" t="s">
        <v>2127</v>
      </c>
      <c r="O451" s="538" t="b">
        <v>0</v>
      </c>
      <c r="P451" s="538" t="b">
        <v>1</v>
      </c>
      <c r="Q451" s="538" t="s">
        <v>79</v>
      </c>
      <c r="R451" s="538" t="s">
        <v>228</v>
      </c>
      <c r="S451" s="538" t="s">
        <v>79</v>
      </c>
      <c r="T451" s="538" t="s">
        <v>228</v>
      </c>
      <c r="U451" s="538" t="s">
        <v>73</v>
      </c>
      <c r="W451" s="538" t="s">
        <v>73</v>
      </c>
      <c r="Y451" s="538" t="s">
        <v>79</v>
      </c>
      <c r="Z451" s="538" t="s">
        <v>228</v>
      </c>
      <c r="AA451" s="538" t="s">
        <v>73</v>
      </c>
      <c r="AC451" s="538" t="s">
        <v>79</v>
      </c>
      <c r="AD451" s="538" t="s">
        <v>377</v>
      </c>
      <c r="AE451" s="538" t="s">
        <v>79</v>
      </c>
      <c r="AF451" s="538" t="s">
        <v>377</v>
      </c>
      <c r="AG451" s="538" t="s">
        <v>79</v>
      </c>
      <c r="AH451" s="538" t="s">
        <v>228</v>
      </c>
      <c r="AI451" s="538" t="s">
        <v>79</v>
      </c>
      <c r="AJ451" s="538" t="s">
        <v>377</v>
      </c>
      <c r="AK451" s="538" t="s">
        <v>79</v>
      </c>
      <c r="AL451" s="538" t="s">
        <v>228</v>
      </c>
      <c r="AM451" s="538" t="s">
        <v>79</v>
      </c>
      <c r="AN451" s="538" t="s">
        <v>228</v>
      </c>
      <c r="AO451" s="538" t="s">
        <v>79</v>
      </c>
      <c r="AP451" s="538" t="s">
        <v>218</v>
      </c>
      <c r="AQ451" s="538" t="s">
        <v>79</v>
      </c>
      <c r="AR451" s="538" t="s">
        <v>218</v>
      </c>
      <c r="AS451" s="538">
        <v>4.95017292E8</v>
      </c>
      <c r="AT451" s="538">
        <v>3.294474373E9</v>
      </c>
      <c r="AU451" s="538">
        <v>272.0</v>
      </c>
      <c r="AV451" s="538" t="s">
        <v>47</v>
      </c>
      <c r="AZ451" s="538">
        <v>1.0</v>
      </c>
      <c r="BA451" s="538">
        <v>1.0</v>
      </c>
      <c r="BB451" s="538">
        <v>1.0</v>
      </c>
      <c r="BC451" s="538">
        <v>1.0</v>
      </c>
      <c r="BD451" s="538">
        <v>1.0</v>
      </c>
      <c r="BE451" s="538">
        <v>2.0</v>
      </c>
      <c r="BF451" s="538">
        <v>6.0</v>
      </c>
      <c r="BG451" s="538">
        <v>12.0</v>
      </c>
      <c r="BH451" s="538">
        <v>20.0</v>
      </c>
      <c r="BI451" s="538">
        <v>35.0</v>
      </c>
      <c r="BJ451" s="546"/>
      <c r="BL451" s="546"/>
    </row>
    <row r="452" ht="22.5" customHeight="1">
      <c r="A452" s="538">
        <v>451.0</v>
      </c>
      <c r="B452" s="538" t="s">
        <v>2128</v>
      </c>
      <c r="C452" s="538" t="s">
        <v>82</v>
      </c>
      <c r="D452" s="538" t="s">
        <v>1687</v>
      </c>
      <c r="E452" s="538" t="s">
        <v>322</v>
      </c>
      <c r="F452" s="538" t="s">
        <v>1688</v>
      </c>
      <c r="G452" s="538" t="s">
        <v>163</v>
      </c>
      <c r="H452" s="538" t="s">
        <v>222</v>
      </c>
      <c r="I452" s="538" t="s">
        <v>201</v>
      </c>
      <c r="K452" s="538" t="s">
        <v>2129</v>
      </c>
      <c r="L452" s="538" t="s">
        <v>2130</v>
      </c>
      <c r="M452" s="538" t="s">
        <v>673</v>
      </c>
      <c r="N452" s="538" t="s">
        <v>2131</v>
      </c>
      <c r="O452" s="538" t="b">
        <v>0</v>
      </c>
      <c r="P452" s="538" t="b">
        <v>1</v>
      </c>
      <c r="Q452" s="538" t="s">
        <v>79</v>
      </c>
      <c r="R452" s="538" t="s">
        <v>228</v>
      </c>
      <c r="S452" s="538" t="s">
        <v>79</v>
      </c>
      <c r="T452" s="538" t="s">
        <v>228</v>
      </c>
      <c r="U452" s="538" t="s">
        <v>73</v>
      </c>
      <c r="W452" s="538" t="s">
        <v>73</v>
      </c>
      <c r="Y452" s="538" t="s">
        <v>79</v>
      </c>
      <c r="Z452" s="538" t="s">
        <v>228</v>
      </c>
      <c r="AA452" s="538" t="s">
        <v>73</v>
      </c>
      <c r="AC452" s="538" t="s">
        <v>79</v>
      </c>
      <c r="AD452" s="538" t="s">
        <v>377</v>
      </c>
      <c r="AE452" s="538" t="s">
        <v>79</v>
      </c>
      <c r="AF452" s="538" t="s">
        <v>377</v>
      </c>
      <c r="AG452" s="538" t="s">
        <v>79</v>
      </c>
      <c r="AH452" s="538" t="s">
        <v>228</v>
      </c>
      <c r="AI452" s="538" t="s">
        <v>79</v>
      </c>
      <c r="AJ452" s="538" t="s">
        <v>377</v>
      </c>
      <c r="AK452" s="538" t="s">
        <v>79</v>
      </c>
      <c r="AL452" s="538" t="s">
        <v>228</v>
      </c>
      <c r="AM452" s="538" t="s">
        <v>79</v>
      </c>
      <c r="AN452" s="538" t="s">
        <v>228</v>
      </c>
      <c r="AO452" s="538" t="s">
        <v>79</v>
      </c>
      <c r="AP452" s="538" t="s">
        <v>322</v>
      </c>
      <c r="AQ452" s="538" t="s">
        <v>79</v>
      </c>
      <c r="AR452" s="538" t="s">
        <v>322</v>
      </c>
      <c r="AS452" s="538">
        <v>2.59537181E8</v>
      </c>
      <c r="AT452" s="538">
        <v>3.936395808E9</v>
      </c>
      <c r="AU452" s="538">
        <v>271.0</v>
      </c>
      <c r="AV452" s="538" t="s">
        <v>46</v>
      </c>
      <c r="AZ452" s="538">
        <v>1.0</v>
      </c>
      <c r="BA452" s="538">
        <v>1.0</v>
      </c>
      <c r="BB452" s="538">
        <v>1.0</v>
      </c>
      <c r="BC452" s="538">
        <v>1.0</v>
      </c>
      <c r="BD452" s="538">
        <v>1.0</v>
      </c>
      <c r="BE452" s="538">
        <v>0.02</v>
      </c>
      <c r="BF452" s="538">
        <v>0.05</v>
      </c>
      <c r="BG452" s="538">
        <v>0.1</v>
      </c>
      <c r="BH452" s="538">
        <v>0.15</v>
      </c>
      <c r="BI452" s="538">
        <v>0.2</v>
      </c>
      <c r="BJ452" s="546"/>
      <c r="BL452" s="546"/>
    </row>
    <row r="453" ht="22.5" customHeight="1">
      <c r="A453" s="538">
        <v>452.0</v>
      </c>
      <c r="B453" s="538" t="s">
        <v>2128</v>
      </c>
      <c r="C453" s="538" t="s">
        <v>86</v>
      </c>
      <c r="D453" s="538" t="s">
        <v>1687</v>
      </c>
      <c r="E453" s="538" t="s">
        <v>325</v>
      </c>
      <c r="G453" s="538" t="s">
        <v>151</v>
      </c>
      <c r="H453" s="538" t="s">
        <v>250</v>
      </c>
      <c r="I453" s="538" t="s">
        <v>155</v>
      </c>
      <c r="K453" s="538" t="s">
        <v>2132</v>
      </c>
      <c r="L453" s="538" t="s">
        <v>2133</v>
      </c>
      <c r="M453" s="538" t="s">
        <v>673</v>
      </c>
      <c r="N453" s="538" t="s">
        <v>2134</v>
      </c>
      <c r="O453" s="538" t="b">
        <v>0</v>
      </c>
      <c r="P453" s="538" t="b">
        <v>1</v>
      </c>
      <c r="Q453" s="538" t="s">
        <v>73</v>
      </c>
      <c r="S453" s="538" t="s">
        <v>73</v>
      </c>
      <c r="U453" s="538" t="s">
        <v>73</v>
      </c>
      <c r="W453" s="538" t="s">
        <v>73</v>
      </c>
      <c r="Y453" s="538" t="s">
        <v>73</v>
      </c>
      <c r="AA453" s="538" t="s">
        <v>73</v>
      </c>
      <c r="AC453" s="538" t="s">
        <v>73</v>
      </c>
      <c r="AE453" s="538" t="s">
        <v>73</v>
      </c>
      <c r="AG453" s="538" t="s">
        <v>73</v>
      </c>
      <c r="AI453" s="538" t="s">
        <v>73</v>
      </c>
      <c r="AK453" s="538" t="s">
        <v>73</v>
      </c>
      <c r="AM453" s="538" t="s">
        <v>73</v>
      </c>
      <c r="AO453" s="538" t="s">
        <v>79</v>
      </c>
      <c r="AP453" s="538" t="s">
        <v>325</v>
      </c>
      <c r="AQ453" s="538" t="s">
        <v>79</v>
      </c>
      <c r="AR453" s="538" t="s">
        <v>325</v>
      </c>
      <c r="AS453" s="538">
        <v>5.06412383E8</v>
      </c>
      <c r="AT453" s="538">
        <v>3.936395808E9</v>
      </c>
      <c r="AU453" s="538">
        <v>271.0</v>
      </c>
      <c r="AV453" s="538" t="s">
        <v>46</v>
      </c>
      <c r="AZ453" s="538">
        <v>1.0</v>
      </c>
      <c r="BA453" s="538">
        <v>1.0</v>
      </c>
      <c r="BB453" s="538">
        <v>1.0</v>
      </c>
      <c r="BC453" s="538">
        <v>1.0</v>
      </c>
      <c r="BD453" s="538">
        <v>1.0</v>
      </c>
      <c r="BE453" s="538">
        <v>0.1</v>
      </c>
      <c r="BF453" s="538">
        <v>0.25</v>
      </c>
      <c r="BG453" s="538">
        <v>0.45</v>
      </c>
      <c r="BH453" s="538">
        <v>0.7</v>
      </c>
      <c r="BI453" s="538">
        <v>1.0</v>
      </c>
      <c r="BJ453" s="546"/>
      <c r="BL453" s="546"/>
    </row>
    <row r="454" ht="22.5" customHeight="1">
      <c r="A454" s="538">
        <v>453.0</v>
      </c>
      <c r="B454" s="538" t="s">
        <v>2135</v>
      </c>
      <c r="C454" s="538" t="s">
        <v>84</v>
      </c>
      <c r="D454" s="538" t="s">
        <v>2136</v>
      </c>
      <c r="E454" s="538" t="s">
        <v>322</v>
      </c>
      <c r="F454" s="538" t="s">
        <v>248</v>
      </c>
      <c r="G454" s="538" t="s">
        <v>239</v>
      </c>
      <c r="H454" s="538" t="s">
        <v>250</v>
      </c>
      <c r="I454" s="538" t="s">
        <v>122</v>
      </c>
      <c r="J454" s="538" t="s">
        <v>350</v>
      </c>
      <c r="K454" s="538" t="s">
        <v>2137</v>
      </c>
      <c r="L454" s="538" t="s">
        <v>2138</v>
      </c>
      <c r="M454" s="538" t="s">
        <v>661</v>
      </c>
      <c r="N454" s="538" t="s">
        <v>1190</v>
      </c>
      <c r="O454" s="538" t="b">
        <v>0</v>
      </c>
      <c r="P454" s="538" t="b">
        <v>1</v>
      </c>
      <c r="Q454" s="538" t="s">
        <v>73</v>
      </c>
      <c r="S454" s="538" t="s">
        <v>73</v>
      </c>
      <c r="U454" s="538" t="s">
        <v>79</v>
      </c>
      <c r="V454" s="538" t="s">
        <v>248</v>
      </c>
      <c r="W454" s="538" t="s">
        <v>79</v>
      </c>
      <c r="X454" s="538" t="s">
        <v>248</v>
      </c>
      <c r="Y454" s="538" t="s">
        <v>79</v>
      </c>
      <c r="Z454" s="538" t="s">
        <v>248</v>
      </c>
      <c r="AA454" s="538" t="s">
        <v>79</v>
      </c>
      <c r="AB454" s="538" t="s">
        <v>248</v>
      </c>
      <c r="AC454" s="538" t="s">
        <v>79</v>
      </c>
      <c r="AD454" s="538" t="s">
        <v>248</v>
      </c>
      <c r="AE454" s="538" t="s">
        <v>79</v>
      </c>
      <c r="AF454" s="538" t="s">
        <v>248</v>
      </c>
      <c r="AG454" s="538" t="s">
        <v>79</v>
      </c>
      <c r="AH454" s="538" t="s">
        <v>248</v>
      </c>
      <c r="AI454" s="538" t="s">
        <v>79</v>
      </c>
      <c r="AJ454" s="538" t="s">
        <v>248</v>
      </c>
      <c r="AK454" s="538" t="s">
        <v>79</v>
      </c>
      <c r="AL454" s="538" t="s">
        <v>248</v>
      </c>
      <c r="AM454" s="538" t="s">
        <v>79</v>
      </c>
      <c r="AN454" s="538" t="s">
        <v>248</v>
      </c>
      <c r="AO454" s="538" t="s">
        <v>79</v>
      </c>
      <c r="AP454" s="538" t="s">
        <v>322</v>
      </c>
      <c r="AQ454" s="538" t="s">
        <v>79</v>
      </c>
      <c r="AR454" s="538" t="s">
        <v>322</v>
      </c>
      <c r="AS454" s="538">
        <v>3.66412629E8</v>
      </c>
      <c r="AT454" s="538">
        <v>3.131537917E9</v>
      </c>
      <c r="AU454" s="538">
        <v>273.0</v>
      </c>
      <c r="AV454" s="538" t="s">
        <v>47</v>
      </c>
      <c r="AZ454" s="538">
        <v>1.0</v>
      </c>
      <c r="BA454" s="538">
        <v>1.0</v>
      </c>
      <c r="BB454" s="538">
        <v>1.0</v>
      </c>
      <c r="BE454" s="538">
        <v>0.5</v>
      </c>
      <c r="BF454" s="538">
        <v>0.25</v>
      </c>
      <c r="BG454" s="538">
        <v>0.5</v>
      </c>
      <c r="BJ454" s="546"/>
      <c r="BL454" s="546"/>
    </row>
    <row r="455" ht="22.5" customHeight="1">
      <c r="A455" s="538">
        <v>454.0</v>
      </c>
      <c r="B455" s="538" t="s">
        <v>2135</v>
      </c>
      <c r="C455" s="538" t="s">
        <v>82</v>
      </c>
      <c r="D455" s="538" t="s">
        <v>2136</v>
      </c>
      <c r="E455" s="538" t="s">
        <v>241</v>
      </c>
      <c r="F455" s="538" t="s">
        <v>2139</v>
      </c>
      <c r="G455" s="538" t="s">
        <v>239</v>
      </c>
      <c r="H455" s="538" t="s">
        <v>250</v>
      </c>
      <c r="I455" s="538" t="s">
        <v>155</v>
      </c>
      <c r="J455" s="538" t="s">
        <v>320</v>
      </c>
      <c r="K455" s="538" t="s">
        <v>2140</v>
      </c>
      <c r="L455" s="538" t="s">
        <v>2141</v>
      </c>
      <c r="M455" s="538" t="s">
        <v>673</v>
      </c>
      <c r="N455" s="538" t="s">
        <v>2142</v>
      </c>
      <c r="O455" s="538" t="b">
        <v>0</v>
      </c>
      <c r="P455" s="538" t="b">
        <v>0</v>
      </c>
      <c r="Q455" s="538" t="s">
        <v>75</v>
      </c>
      <c r="R455" s="538" t="s">
        <v>2143</v>
      </c>
      <c r="S455" s="538" t="s">
        <v>75</v>
      </c>
      <c r="T455" s="538" t="s">
        <v>2143</v>
      </c>
      <c r="U455" s="538" t="s">
        <v>79</v>
      </c>
      <c r="V455" s="538" t="s">
        <v>2139</v>
      </c>
      <c r="W455" s="538" t="s">
        <v>79</v>
      </c>
      <c r="X455" s="538" t="s">
        <v>2139</v>
      </c>
      <c r="Y455" s="538" t="s">
        <v>79</v>
      </c>
      <c r="Z455" s="538" t="s">
        <v>2139</v>
      </c>
      <c r="AA455" s="538" t="s">
        <v>79</v>
      </c>
      <c r="AB455" s="538" t="s">
        <v>2139</v>
      </c>
      <c r="AC455" s="538" t="s">
        <v>79</v>
      </c>
      <c r="AD455" s="538" t="s">
        <v>2139</v>
      </c>
      <c r="AE455" s="538" t="s">
        <v>79</v>
      </c>
      <c r="AF455" s="538" t="s">
        <v>2139</v>
      </c>
      <c r="AG455" s="538" t="s">
        <v>79</v>
      </c>
      <c r="AH455" s="538" t="s">
        <v>2139</v>
      </c>
      <c r="AI455" s="538" t="s">
        <v>79</v>
      </c>
      <c r="AJ455" s="538" t="s">
        <v>2139</v>
      </c>
      <c r="AK455" s="538" t="s">
        <v>79</v>
      </c>
      <c r="AL455" s="538" t="s">
        <v>2139</v>
      </c>
      <c r="AM455" s="538" t="s">
        <v>79</v>
      </c>
      <c r="AN455" s="538" t="s">
        <v>2139</v>
      </c>
      <c r="AO455" s="538" t="s">
        <v>79</v>
      </c>
      <c r="AP455" s="538" t="s">
        <v>241</v>
      </c>
      <c r="AQ455" s="538" t="s">
        <v>79</v>
      </c>
      <c r="AR455" s="538" t="s">
        <v>241</v>
      </c>
      <c r="AS455" s="538">
        <v>9.6790018E8</v>
      </c>
      <c r="AT455" s="538">
        <v>3.131537917E9</v>
      </c>
      <c r="AU455" s="538">
        <v>273.0</v>
      </c>
      <c r="AV455" s="538" t="s">
        <v>47</v>
      </c>
      <c r="AX455" s="538" t="s">
        <v>1891</v>
      </c>
      <c r="AY455" s="538" t="s">
        <v>2143</v>
      </c>
      <c r="AZ455" s="538">
        <v>1.0</v>
      </c>
      <c r="BA455" s="538">
        <v>1.0</v>
      </c>
      <c r="BB455" s="538">
        <v>1.0</v>
      </c>
      <c r="BC455" s="538">
        <v>1.0</v>
      </c>
      <c r="BD455" s="538">
        <v>1.0</v>
      </c>
      <c r="BE455" s="538">
        <v>10000.0</v>
      </c>
      <c r="BF455" s="538">
        <v>13000.0</v>
      </c>
      <c r="BG455" s="538">
        <v>17000.0</v>
      </c>
      <c r="BH455" s="538">
        <v>22000.0</v>
      </c>
      <c r="BI455" s="538">
        <v>30000.0</v>
      </c>
      <c r="BJ455" s="546"/>
      <c r="BL455" s="546"/>
    </row>
    <row r="456" ht="22.5" customHeight="1">
      <c r="A456" s="538">
        <v>455.0</v>
      </c>
      <c r="B456" s="538" t="s">
        <v>2144</v>
      </c>
      <c r="C456" s="538" t="s">
        <v>84</v>
      </c>
      <c r="D456" s="538" t="s">
        <v>2136</v>
      </c>
      <c r="E456" s="538" t="s">
        <v>241</v>
      </c>
      <c r="F456" s="538" t="s">
        <v>2145</v>
      </c>
      <c r="G456" s="538" t="s">
        <v>163</v>
      </c>
      <c r="H456" s="538" t="s">
        <v>250</v>
      </c>
      <c r="I456" s="538" t="s">
        <v>155</v>
      </c>
      <c r="K456" s="538" t="s">
        <v>2146</v>
      </c>
      <c r="L456" s="538" t="s">
        <v>2147</v>
      </c>
      <c r="M456" s="538" t="s">
        <v>661</v>
      </c>
      <c r="N456" s="538" t="s">
        <v>2148</v>
      </c>
      <c r="O456" s="538" t="b">
        <v>0</v>
      </c>
      <c r="P456" s="538" t="b">
        <v>0</v>
      </c>
      <c r="Q456" s="538" t="s">
        <v>75</v>
      </c>
      <c r="R456" s="538" t="s">
        <v>2149</v>
      </c>
      <c r="S456" s="538" t="s">
        <v>75</v>
      </c>
      <c r="T456" s="538" t="s">
        <v>2149</v>
      </c>
      <c r="U456" s="538" t="s">
        <v>79</v>
      </c>
      <c r="V456" s="538" t="s">
        <v>2145</v>
      </c>
      <c r="W456" s="538" t="s">
        <v>79</v>
      </c>
      <c r="X456" s="538" t="s">
        <v>2145</v>
      </c>
      <c r="Y456" s="538" t="s">
        <v>79</v>
      </c>
      <c r="Z456" s="538" t="s">
        <v>2145</v>
      </c>
      <c r="AA456" s="538" t="s">
        <v>79</v>
      </c>
      <c r="AB456" s="538" t="s">
        <v>2145</v>
      </c>
      <c r="AC456" s="538" t="s">
        <v>79</v>
      </c>
      <c r="AD456" s="538" t="s">
        <v>2145</v>
      </c>
      <c r="AE456" s="538" t="s">
        <v>79</v>
      </c>
      <c r="AF456" s="538" t="s">
        <v>2145</v>
      </c>
      <c r="AG456" s="538" t="s">
        <v>79</v>
      </c>
      <c r="AH456" s="538" t="s">
        <v>2145</v>
      </c>
      <c r="AI456" s="538" t="s">
        <v>79</v>
      </c>
      <c r="AJ456" s="538" t="s">
        <v>2145</v>
      </c>
      <c r="AK456" s="538" t="s">
        <v>79</v>
      </c>
      <c r="AL456" s="538" t="s">
        <v>2145</v>
      </c>
      <c r="AM456" s="538" t="s">
        <v>79</v>
      </c>
      <c r="AN456" s="538" t="s">
        <v>2145</v>
      </c>
      <c r="AO456" s="538" t="s">
        <v>79</v>
      </c>
      <c r="AP456" s="538" t="s">
        <v>241</v>
      </c>
      <c r="AQ456" s="538" t="s">
        <v>79</v>
      </c>
      <c r="AR456" s="538" t="s">
        <v>241</v>
      </c>
      <c r="AS456" s="538">
        <v>1.572759108E9</v>
      </c>
      <c r="AT456" s="538">
        <v>4.35759625E8</v>
      </c>
      <c r="AU456" s="538">
        <v>274.0</v>
      </c>
      <c r="AV456" s="538" t="s">
        <v>46</v>
      </c>
      <c r="AY456" s="538" t="s">
        <v>2149</v>
      </c>
      <c r="AZ456" s="538">
        <v>1.0</v>
      </c>
      <c r="BA456" s="538">
        <v>1.0</v>
      </c>
      <c r="BB456" s="538">
        <v>1.0</v>
      </c>
      <c r="BE456" s="538">
        <v>7500.0</v>
      </c>
      <c r="BF456" s="538">
        <v>3500.0</v>
      </c>
      <c r="BG456" s="538">
        <v>18750.0</v>
      </c>
      <c r="BJ456" s="546"/>
      <c r="BL456" s="546"/>
    </row>
    <row r="457" ht="22.5" customHeight="1">
      <c r="A457" s="538">
        <v>456.0</v>
      </c>
      <c r="B457" s="538" t="s">
        <v>2144</v>
      </c>
      <c r="C457" s="538" t="s">
        <v>82</v>
      </c>
      <c r="D457" s="538" t="s">
        <v>2136</v>
      </c>
      <c r="E457" s="538" t="s">
        <v>214</v>
      </c>
      <c r="G457" s="538" t="s">
        <v>239</v>
      </c>
      <c r="H457" s="538" t="s">
        <v>222</v>
      </c>
      <c r="I457" s="538" t="s">
        <v>122</v>
      </c>
      <c r="J457" s="538" t="s">
        <v>362</v>
      </c>
      <c r="K457" s="538" t="s">
        <v>2150</v>
      </c>
      <c r="L457" s="538" t="s">
        <v>2151</v>
      </c>
      <c r="M457" s="538" t="s">
        <v>2152</v>
      </c>
      <c r="N457" s="538" t="s">
        <v>673</v>
      </c>
      <c r="O457" s="538" t="b">
        <v>1</v>
      </c>
      <c r="P457" s="538" t="b">
        <v>1</v>
      </c>
      <c r="Q457" s="538" t="s">
        <v>73</v>
      </c>
      <c r="S457" s="538" t="s">
        <v>73</v>
      </c>
      <c r="U457" s="538" t="s">
        <v>73</v>
      </c>
      <c r="W457" s="538" t="s">
        <v>73</v>
      </c>
      <c r="Y457" s="538" t="s">
        <v>73</v>
      </c>
      <c r="AA457" s="538" t="s">
        <v>73</v>
      </c>
      <c r="AC457" s="538" t="s">
        <v>73</v>
      </c>
      <c r="AE457" s="538" t="s">
        <v>73</v>
      </c>
      <c r="AG457" s="538" t="s">
        <v>73</v>
      </c>
      <c r="AI457" s="538" t="s">
        <v>73</v>
      </c>
      <c r="AK457" s="538" t="s">
        <v>73</v>
      </c>
      <c r="AM457" s="538" t="s">
        <v>73</v>
      </c>
      <c r="AO457" s="538" t="s">
        <v>79</v>
      </c>
      <c r="AP457" s="538" t="s">
        <v>214</v>
      </c>
      <c r="AQ457" s="538" t="s">
        <v>79</v>
      </c>
      <c r="AR457" s="538" t="s">
        <v>214</v>
      </c>
      <c r="AS457" s="538">
        <v>3.287853792E9</v>
      </c>
      <c r="AT457" s="538">
        <v>4.35759625E8</v>
      </c>
      <c r="AU457" s="538">
        <v>274.0</v>
      </c>
      <c r="AV457" s="538" t="s">
        <v>46</v>
      </c>
      <c r="AZ457" s="538">
        <v>0.45</v>
      </c>
      <c r="BA457" s="538">
        <v>0.55</v>
      </c>
      <c r="BB457" s="538">
        <v>0.65</v>
      </c>
      <c r="BC457" s="538">
        <v>0.8</v>
      </c>
      <c r="BD457" s="538">
        <v>1.0</v>
      </c>
      <c r="BE457" s="538">
        <v>1.0</v>
      </c>
      <c r="BF457" s="538">
        <v>1.0</v>
      </c>
      <c r="BG457" s="538">
        <v>1.0</v>
      </c>
      <c r="BH457" s="538">
        <v>1.0</v>
      </c>
      <c r="BI457" s="538">
        <v>1.0</v>
      </c>
      <c r="BJ457" s="546"/>
      <c r="BL457" s="546"/>
    </row>
    <row r="458" ht="22.5" customHeight="1">
      <c r="A458" s="538">
        <v>457.0</v>
      </c>
      <c r="B458" s="538" t="s">
        <v>2153</v>
      </c>
      <c r="C458" s="538" t="s">
        <v>84</v>
      </c>
      <c r="D458" s="538" t="s">
        <v>2136</v>
      </c>
      <c r="E458" s="538" t="s">
        <v>241</v>
      </c>
      <c r="F458" s="538" t="s">
        <v>2154</v>
      </c>
      <c r="G458" s="538" t="s">
        <v>239</v>
      </c>
      <c r="H458" s="538" t="s">
        <v>250</v>
      </c>
      <c r="I458" s="538" t="s">
        <v>155</v>
      </c>
      <c r="J458" s="538" t="s">
        <v>114</v>
      </c>
      <c r="K458" s="538" t="s">
        <v>2155</v>
      </c>
      <c r="L458" s="538" t="s">
        <v>2156</v>
      </c>
      <c r="M458" s="538" t="s">
        <v>661</v>
      </c>
      <c r="N458" s="538" t="s">
        <v>2157</v>
      </c>
      <c r="O458" s="538" t="b">
        <v>0</v>
      </c>
      <c r="P458" s="538" t="b">
        <v>0</v>
      </c>
      <c r="Q458" s="538" t="s">
        <v>75</v>
      </c>
      <c r="R458" s="538" t="s">
        <v>348</v>
      </c>
      <c r="S458" s="538" t="s">
        <v>75</v>
      </c>
      <c r="T458" s="538" t="s">
        <v>348</v>
      </c>
      <c r="U458" s="538" t="s">
        <v>79</v>
      </c>
      <c r="V458" s="538" t="s">
        <v>2154</v>
      </c>
      <c r="W458" s="538" t="s">
        <v>79</v>
      </c>
      <c r="X458" s="538" t="s">
        <v>2154</v>
      </c>
      <c r="Y458" s="538" t="s">
        <v>79</v>
      </c>
      <c r="Z458" s="538" t="s">
        <v>2154</v>
      </c>
      <c r="AA458" s="538" t="s">
        <v>79</v>
      </c>
      <c r="AB458" s="538" t="s">
        <v>2154</v>
      </c>
      <c r="AC458" s="538" t="s">
        <v>79</v>
      </c>
      <c r="AD458" s="538" t="s">
        <v>2154</v>
      </c>
      <c r="AE458" s="538" t="s">
        <v>79</v>
      </c>
      <c r="AF458" s="538" t="s">
        <v>2154</v>
      </c>
      <c r="AG458" s="538" t="s">
        <v>79</v>
      </c>
      <c r="AH458" s="538" t="s">
        <v>2154</v>
      </c>
      <c r="AI458" s="538" t="s">
        <v>79</v>
      </c>
      <c r="AJ458" s="538" t="s">
        <v>2154</v>
      </c>
      <c r="AK458" s="538" t="s">
        <v>79</v>
      </c>
      <c r="AL458" s="538" t="s">
        <v>2154</v>
      </c>
      <c r="AM458" s="538" t="s">
        <v>79</v>
      </c>
      <c r="AN458" s="538" t="s">
        <v>2154</v>
      </c>
      <c r="AO458" s="538" t="s">
        <v>79</v>
      </c>
      <c r="AP458" s="538" t="s">
        <v>241</v>
      </c>
      <c r="AQ458" s="538" t="s">
        <v>79</v>
      </c>
      <c r="AR458" s="538" t="s">
        <v>241</v>
      </c>
      <c r="AS458" s="538">
        <v>3.920164717E9</v>
      </c>
      <c r="AT458" s="538">
        <v>4.2356472E9</v>
      </c>
      <c r="AU458" s="538">
        <v>275.0</v>
      </c>
      <c r="AV458" s="538" t="s">
        <v>47</v>
      </c>
      <c r="AY458" s="538" t="s">
        <v>348</v>
      </c>
      <c r="AZ458" s="538">
        <v>1.0</v>
      </c>
      <c r="BA458" s="538">
        <v>1.0</v>
      </c>
      <c r="BB458" s="538">
        <v>1.0</v>
      </c>
      <c r="BE458" s="538">
        <v>1500.0</v>
      </c>
      <c r="BF458" s="538">
        <v>1500.0</v>
      </c>
      <c r="BG458" s="538">
        <v>1500.0</v>
      </c>
      <c r="BJ458" s="546"/>
      <c r="BL458" s="546"/>
    </row>
    <row r="459" ht="22.5" customHeight="1">
      <c r="A459" s="538">
        <v>458.0</v>
      </c>
      <c r="B459" s="538" t="s">
        <v>2153</v>
      </c>
      <c r="C459" s="538" t="s">
        <v>82</v>
      </c>
      <c r="D459" s="538" t="s">
        <v>2136</v>
      </c>
      <c r="E459" s="538" t="s">
        <v>112</v>
      </c>
      <c r="F459" s="538" t="s">
        <v>1887</v>
      </c>
      <c r="G459" s="538" t="s">
        <v>239</v>
      </c>
      <c r="H459" s="538" t="s">
        <v>250</v>
      </c>
      <c r="I459" s="538" t="s">
        <v>122</v>
      </c>
      <c r="J459" s="538" t="s">
        <v>114</v>
      </c>
      <c r="K459" s="538" t="s">
        <v>2158</v>
      </c>
      <c r="L459" s="538" t="s">
        <v>2159</v>
      </c>
      <c r="M459" s="538" t="s">
        <v>673</v>
      </c>
      <c r="N459" s="538" t="s">
        <v>695</v>
      </c>
      <c r="O459" s="538" t="b">
        <v>0</v>
      </c>
      <c r="P459" s="538" t="b">
        <v>1</v>
      </c>
      <c r="Q459" s="538" t="s">
        <v>75</v>
      </c>
      <c r="R459" s="538" t="s">
        <v>357</v>
      </c>
      <c r="S459" s="538" t="s">
        <v>75</v>
      </c>
      <c r="T459" s="538" t="s">
        <v>357</v>
      </c>
      <c r="U459" s="538" t="s">
        <v>79</v>
      </c>
      <c r="V459" s="538" t="s">
        <v>1887</v>
      </c>
      <c r="W459" s="538" t="s">
        <v>79</v>
      </c>
      <c r="X459" s="538" t="s">
        <v>1887</v>
      </c>
      <c r="Y459" s="538" t="s">
        <v>79</v>
      </c>
      <c r="Z459" s="538" t="s">
        <v>1887</v>
      </c>
      <c r="AA459" s="538" t="s">
        <v>79</v>
      </c>
      <c r="AB459" s="538" t="s">
        <v>1887</v>
      </c>
      <c r="AC459" s="538" t="s">
        <v>79</v>
      </c>
      <c r="AD459" s="538" t="s">
        <v>1887</v>
      </c>
      <c r="AE459" s="538" t="s">
        <v>79</v>
      </c>
      <c r="AF459" s="538" t="s">
        <v>1887</v>
      </c>
      <c r="AG459" s="538" t="s">
        <v>79</v>
      </c>
      <c r="AH459" s="538" t="s">
        <v>1887</v>
      </c>
      <c r="AI459" s="538" t="s">
        <v>79</v>
      </c>
      <c r="AJ459" s="538" t="s">
        <v>1887</v>
      </c>
      <c r="AK459" s="538" t="s">
        <v>79</v>
      </c>
      <c r="AL459" s="538" t="s">
        <v>1887</v>
      </c>
      <c r="AM459" s="538" t="s">
        <v>79</v>
      </c>
      <c r="AN459" s="538" t="s">
        <v>1887</v>
      </c>
      <c r="AO459" s="538" t="s">
        <v>79</v>
      </c>
      <c r="AP459" s="538" t="s">
        <v>112</v>
      </c>
      <c r="AQ459" s="538" t="s">
        <v>79</v>
      </c>
      <c r="AR459" s="538" t="s">
        <v>112</v>
      </c>
      <c r="AS459" s="538">
        <v>4.188648392E9</v>
      </c>
      <c r="AT459" s="538">
        <v>4.2356472E9</v>
      </c>
      <c r="AU459" s="538">
        <v>275.0</v>
      </c>
      <c r="AV459" s="538" t="s">
        <v>47</v>
      </c>
      <c r="AX459" s="538" t="s">
        <v>1891</v>
      </c>
      <c r="AY459" s="538" t="s">
        <v>357</v>
      </c>
      <c r="AZ459" s="538">
        <v>1.0</v>
      </c>
      <c r="BA459" s="538">
        <v>1.0</v>
      </c>
      <c r="BB459" s="538">
        <v>1.0</v>
      </c>
      <c r="BC459" s="538">
        <v>1.0</v>
      </c>
      <c r="BD459" s="538">
        <v>1.0</v>
      </c>
      <c r="BE459" s="538">
        <v>0.15</v>
      </c>
      <c r="BF459" s="538">
        <v>0.2</v>
      </c>
      <c r="BG459" s="538">
        <v>0.25</v>
      </c>
      <c r="BH459" s="538">
        <v>0.3</v>
      </c>
      <c r="BI459" s="538">
        <v>0.4</v>
      </c>
      <c r="BJ459" s="546"/>
      <c r="BL459" s="546"/>
    </row>
    <row r="460" ht="22.5" customHeight="1">
      <c r="A460" s="538">
        <v>459.0</v>
      </c>
      <c r="B460" s="538" t="s">
        <v>2160</v>
      </c>
      <c r="C460" s="538" t="s">
        <v>84</v>
      </c>
      <c r="D460" s="538" t="s">
        <v>2136</v>
      </c>
      <c r="E460" s="538" t="s">
        <v>241</v>
      </c>
      <c r="F460" s="538" t="s">
        <v>2161</v>
      </c>
      <c r="G460" s="538" t="s">
        <v>163</v>
      </c>
      <c r="H460" s="538" t="s">
        <v>250</v>
      </c>
      <c r="I460" s="538" t="s">
        <v>155</v>
      </c>
      <c r="K460" s="538" t="s">
        <v>2162</v>
      </c>
      <c r="L460" s="538" t="s">
        <v>2163</v>
      </c>
      <c r="M460" s="538" t="s">
        <v>661</v>
      </c>
      <c r="N460" s="538" t="s">
        <v>2148</v>
      </c>
      <c r="O460" s="538" t="b">
        <v>0</v>
      </c>
      <c r="P460" s="538" t="b">
        <v>0</v>
      </c>
      <c r="Q460" s="538" t="s">
        <v>75</v>
      </c>
      <c r="R460" s="538" t="s">
        <v>2164</v>
      </c>
      <c r="S460" s="538" t="s">
        <v>75</v>
      </c>
      <c r="T460" s="538" t="s">
        <v>2164</v>
      </c>
      <c r="U460" s="538" t="s">
        <v>79</v>
      </c>
      <c r="V460" s="538" t="s">
        <v>2161</v>
      </c>
      <c r="W460" s="538" t="s">
        <v>79</v>
      </c>
      <c r="X460" s="538" t="s">
        <v>2161</v>
      </c>
      <c r="Y460" s="538" t="s">
        <v>79</v>
      </c>
      <c r="Z460" s="538" t="s">
        <v>2161</v>
      </c>
      <c r="AA460" s="538" t="s">
        <v>79</v>
      </c>
      <c r="AB460" s="538" t="s">
        <v>2161</v>
      </c>
      <c r="AC460" s="538" t="s">
        <v>79</v>
      </c>
      <c r="AD460" s="538" t="s">
        <v>2161</v>
      </c>
      <c r="AE460" s="538" t="s">
        <v>79</v>
      </c>
      <c r="AF460" s="538" t="s">
        <v>2161</v>
      </c>
      <c r="AG460" s="538" t="s">
        <v>79</v>
      </c>
      <c r="AH460" s="538" t="s">
        <v>2161</v>
      </c>
      <c r="AI460" s="538" t="s">
        <v>79</v>
      </c>
      <c r="AJ460" s="538" t="s">
        <v>2161</v>
      </c>
      <c r="AK460" s="538" t="s">
        <v>79</v>
      </c>
      <c r="AL460" s="538" t="s">
        <v>2161</v>
      </c>
      <c r="AM460" s="538" t="s">
        <v>79</v>
      </c>
      <c r="AN460" s="538" t="s">
        <v>2161</v>
      </c>
      <c r="AO460" s="538" t="s">
        <v>79</v>
      </c>
      <c r="AP460" s="538" t="s">
        <v>241</v>
      </c>
      <c r="AQ460" s="538" t="s">
        <v>79</v>
      </c>
      <c r="AR460" s="538" t="s">
        <v>241</v>
      </c>
      <c r="AS460" s="538">
        <v>3.716400972E9</v>
      </c>
      <c r="AT460" s="538">
        <v>9.01426684E8</v>
      </c>
      <c r="AU460" s="538">
        <v>276.0</v>
      </c>
      <c r="AV460" s="538" t="s">
        <v>46</v>
      </c>
      <c r="AY460" s="538" t="s">
        <v>2164</v>
      </c>
      <c r="AZ460" s="538">
        <v>1.0</v>
      </c>
      <c r="BA460" s="538">
        <v>1.0</v>
      </c>
      <c r="BB460" s="538">
        <v>1.0</v>
      </c>
      <c r="BE460" s="538">
        <v>7500.0</v>
      </c>
      <c r="BF460" s="538">
        <v>3500.0</v>
      </c>
      <c r="BG460" s="538">
        <v>18750.0</v>
      </c>
      <c r="BJ460" s="546"/>
      <c r="BL460" s="546"/>
    </row>
    <row r="461" ht="22.5" customHeight="1">
      <c r="A461" s="538">
        <v>460.0</v>
      </c>
      <c r="B461" s="538" t="s">
        <v>2160</v>
      </c>
      <c r="C461" s="538" t="s">
        <v>82</v>
      </c>
      <c r="D461" s="538" t="s">
        <v>2136</v>
      </c>
      <c r="E461" s="538" t="s">
        <v>218</v>
      </c>
      <c r="F461" s="538" t="s">
        <v>2165</v>
      </c>
      <c r="G461" s="538" t="s">
        <v>239</v>
      </c>
      <c r="H461" s="538" t="s">
        <v>250</v>
      </c>
      <c r="I461" s="538" t="s">
        <v>122</v>
      </c>
      <c r="J461" s="538" t="s">
        <v>320</v>
      </c>
      <c r="K461" s="538" t="s">
        <v>2166</v>
      </c>
      <c r="L461" s="538" t="s">
        <v>2167</v>
      </c>
      <c r="M461" s="538" t="s">
        <v>673</v>
      </c>
      <c r="N461" s="538" t="s">
        <v>2168</v>
      </c>
      <c r="O461" s="538" t="b">
        <v>0</v>
      </c>
      <c r="P461" s="538" t="b">
        <v>1</v>
      </c>
      <c r="Q461" s="538" t="s">
        <v>75</v>
      </c>
      <c r="R461" s="538" t="s">
        <v>2169</v>
      </c>
      <c r="S461" s="538" t="s">
        <v>75</v>
      </c>
      <c r="T461" s="538" t="s">
        <v>2169</v>
      </c>
      <c r="U461" s="538" t="s">
        <v>79</v>
      </c>
      <c r="V461" s="538" t="s">
        <v>2165</v>
      </c>
      <c r="W461" s="538" t="s">
        <v>79</v>
      </c>
      <c r="X461" s="538" t="s">
        <v>2165</v>
      </c>
      <c r="Y461" s="538" t="s">
        <v>79</v>
      </c>
      <c r="Z461" s="538" t="s">
        <v>2165</v>
      </c>
      <c r="AA461" s="538" t="s">
        <v>79</v>
      </c>
      <c r="AB461" s="538" t="s">
        <v>2165</v>
      </c>
      <c r="AC461" s="538" t="s">
        <v>79</v>
      </c>
      <c r="AD461" s="538" t="s">
        <v>2165</v>
      </c>
      <c r="AE461" s="538" t="s">
        <v>79</v>
      </c>
      <c r="AF461" s="538" t="s">
        <v>2165</v>
      </c>
      <c r="AG461" s="538" t="s">
        <v>79</v>
      </c>
      <c r="AH461" s="538" t="s">
        <v>2165</v>
      </c>
      <c r="AI461" s="538" t="s">
        <v>79</v>
      </c>
      <c r="AJ461" s="538" t="s">
        <v>2165</v>
      </c>
      <c r="AK461" s="538" t="s">
        <v>79</v>
      </c>
      <c r="AL461" s="538" t="s">
        <v>2165</v>
      </c>
      <c r="AM461" s="538" t="s">
        <v>79</v>
      </c>
      <c r="AN461" s="538" t="s">
        <v>2165</v>
      </c>
      <c r="AO461" s="538" t="s">
        <v>79</v>
      </c>
      <c r="AP461" s="538" t="s">
        <v>218</v>
      </c>
      <c r="AQ461" s="538" t="s">
        <v>79</v>
      </c>
      <c r="AR461" s="538" t="s">
        <v>218</v>
      </c>
      <c r="AS461" s="538">
        <v>1.7577042E9</v>
      </c>
      <c r="AT461" s="538">
        <v>9.01426684E8</v>
      </c>
      <c r="AU461" s="538">
        <v>276.0</v>
      </c>
      <c r="AV461" s="538" t="s">
        <v>46</v>
      </c>
      <c r="AX461" s="538" t="s">
        <v>1891</v>
      </c>
      <c r="AY461" s="538" t="s">
        <v>2169</v>
      </c>
      <c r="AZ461" s="538">
        <v>1.0</v>
      </c>
      <c r="BA461" s="538">
        <v>1.0</v>
      </c>
      <c r="BB461" s="538">
        <v>1.0</v>
      </c>
      <c r="BC461" s="538">
        <v>1.0</v>
      </c>
      <c r="BD461" s="538">
        <v>1.0</v>
      </c>
      <c r="BE461" s="538">
        <v>4.5</v>
      </c>
      <c r="BF461" s="538">
        <v>8.5</v>
      </c>
      <c r="BG461" s="538">
        <v>15.0</v>
      </c>
      <c r="BH461" s="538">
        <v>23.0</v>
      </c>
      <c r="BI461" s="538">
        <v>35.0</v>
      </c>
      <c r="BJ461" s="546"/>
      <c r="BL461" s="546"/>
    </row>
    <row r="462" ht="22.5" customHeight="1">
      <c r="A462" s="538">
        <v>461.0</v>
      </c>
      <c r="B462" s="538" t="s">
        <v>2170</v>
      </c>
      <c r="C462" s="538" t="s">
        <v>84</v>
      </c>
      <c r="D462" s="538" t="s">
        <v>2136</v>
      </c>
      <c r="E462" s="538" t="s">
        <v>241</v>
      </c>
      <c r="F462" s="538" t="s">
        <v>2171</v>
      </c>
      <c r="G462" s="538" t="s">
        <v>163</v>
      </c>
      <c r="H462" s="538" t="s">
        <v>250</v>
      </c>
      <c r="I462" s="538" t="s">
        <v>155</v>
      </c>
      <c r="K462" s="538" t="s">
        <v>2172</v>
      </c>
      <c r="L462" s="538" t="s">
        <v>2173</v>
      </c>
      <c r="M462" s="538" t="s">
        <v>661</v>
      </c>
      <c r="N462" s="538" t="s">
        <v>2148</v>
      </c>
      <c r="O462" s="538" t="b">
        <v>0</v>
      </c>
      <c r="P462" s="538" t="b">
        <v>0</v>
      </c>
      <c r="Q462" s="538" t="s">
        <v>75</v>
      </c>
      <c r="R462" s="538" t="s">
        <v>2174</v>
      </c>
      <c r="S462" s="538" t="s">
        <v>75</v>
      </c>
      <c r="T462" s="538" t="s">
        <v>2174</v>
      </c>
      <c r="U462" s="538" t="s">
        <v>79</v>
      </c>
      <c r="V462" s="538" t="s">
        <v>2171</v>
      </c>
      <c r="W462" s="538" t="s">
        <v>79</v>
      </c>
      <c r="X462" s="538" t="s">
        <v>2171</v>
      </c>
      <c r="Y462" s="538" t="s">
        <v>79</v>
      </c>
      <c r="Z462" s="538" t="s">
        <v>2171</v>
      </c>
      <c r="AA462" s="538" t="s">
        <v>79</v>
      </c>
      <c r="AB462" s="538" t="s">
        <v>2171</v>
      </c>
      <c r="AC462" s="538" t="s">
        <v>79</v>
      </c>
      <c r="AD462" s="538" t="s">
        <v>2171</v>
      </c>
      <c r="AE462" s="538" t="s">
        <v>79</v>
      </c>
      <c r="AF462" s="538" t="s">
        <v>2171</v>
      </c>
      <c r="AG462" s="538" t="s">
        <v>79</v>
      </c>
      <c r="AH462" s="538" t="s">
        <v>2171</v>
      </c>
      <c r="AI462" s="538" t="s">
        <v>79</v>
      </c>
      <c r="AJ462" s="538" t="s">
        <v>2171</v>
      </c>
      <c r="AK462" s="538" t="s">
        <v>79</v>
      </c>
      <c r="AL462" s="538" t="s">
        <v>2171</v>
      </c>
      <c r="AM462" s="538" t="s">
        <v>79</v>
      </c>
      <c r="AN462" s="538" t="s">
        <v>2171</v>
      </c>
      <c r="AO462" s="538" t="s">
        <v>79</v>
      </c>
      <c r="AP462" s="538" t="s">
        <v>241</v>
      </c>
      <c r="AQ462" s="538" t="s">
        <v>79</v>
      </c>
      <c r="AR462" s="538" t="s">
        <v>241</v>
      </c>
      <c r="AS462" s="538">
        <v>3.64094674E9</v>
      </c>
      <c r="AT462" s="538">
        <v>3.598147546E9</v>
      </c>
      <c r="AU462" s="538">
        <v>277.0</v>
      </c>
      <c r="AV462" s="538" t="s">
        <v>46</v>
      </c>
      <c r="AY462" s="538" t="s">
        <v>2174</v>
      </c>
      <c r="AZ462" s="538">
        <v>1.0</v>
      </c>
      <c r="BA462" s="538">
        <v>1.0</v>
      </c>
      <c r="BB462" s="538">
        <v>1.0</v>
      </c>
      <c r="BE462" s="538">
        <v>7500.0</v>
      </c>
      <c r="BF462" s="538">
        <v>3500.0</v>
      </c>
      <c r="BG462" s="538">
        <v>18750.0</v>
      </c>
      <c r="BJ462" s="546"/>
      <c r="BL462" s="546"/>
    </row>
    <row r="463" ht="22.5" customHeight="1">
      <c r="A463" s="538">
        <v>462.0</v>
      </c>
      <c r="B463" s="538" t="s">
        <v>2170</v>
      </c>
      <c r="C463" s="538" t="s">
        <v>82</v>
      </c>
      <c r="D463" s="538" t="s">
        <v>2136</v>
      </c>
      <c r="E463" s="538" t="s">
        <v>218</v>
      </c>
      <c r="F463" s="538" t="s">
        <v>2175</v>
      </c>
      <c r="G463" s="538" t="s">
        <v>239</v>
      </c>
      <c r="H463" s="538" t="s">
        <v>250</v>
      </c>
      <c r="I463" s="538" t="s">
        <v>122</v>
      </c>
      <c r="J463" s="538" t="s">
        <v>320</v>
      </c>
      <c r="K463" s="538" t="s">
        <v>2176</v>
      </c>
      <c r="L463" s="538" t="s">
        <v>2177</v>
      </c>
      <c r="M463" s="538" t="s">
        <v>673</v>
      </c>
      <c r="N463" s="538" t="s">
        <v>2168</v>
      </c>
      <c r="O463" s="538" t="b">
        <v>0</v>
      </c>
      <c r="P463" s="538" t="b">
        <v>1</v>
      </c>
      <c r="Q463" s="538" t="s">
        <v>75</v>
      </c>
      <c r="R463" s="538" t="s">
        <v>2178</v>
      </c>
      <c r="S463" s="538" t="s">
        <v>75</v>
      </c>
      <c r="T463" s="538" t="s">
        <v>2178</v>
      </c>
      <c r="U463" s="538" t="s">
        <v>79</v>
      </c>
      <c r="V463" s="538" t="s">
        <v>2175</v>
      </c>
      <c r="W463" s="538" t="s">
        <v>79</v>
      </c>
      <c r="X463" s="538" t="s">
        <v>2175</v>
      </c>
      <c r="Y463" s="538" t="s">
        <v>79</v>
      </c>
      <c r="Z463" s="538" t="s">
        <v>2175</v>
      </c>
      <c r="AA463" s="538" t="s">
        <v>79</v>
      </c>
      <c r="AB463" s="538" t="s">
        <v>2175</v>
      </c>
      <c r="AC463" s="538" t="s">
        <v>79</v>
      </c>
      <c r="AD463" s="538" t="s">
        <v>2175</v>
      </c>
      <c r="AE463" s="538" t="s">
        <v>79</v>
      </c>
      <c r="AF463" s="538" t="s">
        <v>2175</v>
      </c>
      <c r="AG463" s="538" t="s">
        <v>79</v>
      </c>
      <c r="AH463" s="538" t="s">
        <v>2175</v>
      </c>
      <c r="AI463" s="538" t="s">
        <v>79</v>
      </c>
      <c r="AJ463" s="538" t="s">
        <v>2175</v>
      </c>
      <c r="AK463" s="538" t="s">
        <v>79</v>
      </c>
      <c r="AL463" s="538" t="s">
        <v>2175</v>
      </c>
      <c r="AM463" s="538" t="s">
        <v>79</v>
      </c>
      <c r="AN463" s="538" t="s">
        <v>2175</v>
      </c>
      <c r="AO463" s="538" t="s">
        <v>79</v>
      </c>
      <c r="AP463" s="538" t="s">
        <v>218</v>
      </c>
      <c r="AQ463" s="538" t="s">
        <v>79</v>
      </c>
      <c r="AR463" s="538" t="s">
        <v>218</v>
      </c>
      <c r="AS463" s="538">
        <v>2.509758838E9</v>
      </c>
      <c r="AT463" s="538">
        <v>3.598147546E9</v>
      </c>
      <c r="AU463" s="538">
        <v>277.0</v>
      </c>
      <c r="AV463" s="538" t="s">
        <v>46</v>
      </c>
      <c r="AX463" s="538" t="s">
        <v>1891</v>
      </c>
      <c r="AY463" s="538" t="s">
        <v>2178</v>
      </c>
      <c r="AZ463" s="538">
        <v>1.0</v>
      </c>
      <c r="BA463" s="538">
        <v>1.0</v>
      </c>
      <c r="BB463" s="538">
        <v>1.0</v>
      </c>
      <c r="BC463" s="538">
        <v>1.0</v>
      </c>
      <c r="BD463" s="538">
        <v>1.0</v>
      </c>
      <c r="BE463" s="538">
        <v>4.5</v>
      </c>
      <c r="BF463" s="538">
        <v>8.5</v>
      </c>
      <c r="BG463" s="538">
        <v>15.0</v>
      </c>
      <c r="BH463" s="538">
        <v>23.0</v>
      </c>
      <c r="BI463" s="538">
        <v>35.0</v>
      </c>
      <c r="BJ463" s="546"/>
      <c r="BL463" s="546"/>
    </row>
    <row r="464" ht="22.5" customHeight="1">
      <c r="A464" s="538">
        <v>463.0</v>
      </c>
      <c r="B464" s="538" t="s">
        <v>2179</v>
      </c>
      <c r="C464" s="538" t="s">
        <v>84</v>
      </c>
      <c r="D464" s="538" t="s">
        <v>1493</v>
      </c>
      <c r="E464" s="538" t="s">
        <v>241</v>
      </c>
      <c r="F464" s="538" t="s">
        <v>2180</v>
      </c>
      <c r="G464" s="538" t="s">
        <v>163</v>
      </c>
      <c r="H464" s="538" t="s">
        <v>250</v>
      </c>
      <c r="I464" s="538" t="s">
        <v>155</v>
      </c>
      <c r="J464" s="538" t="s">
        <v>296</v>
      </c>
      <c r="K464" s="538" t="s">
        <v>2181</v>
      </c>
      <c r="L464" s="538" t="s">
        <v>2182</v>
      </c>
      <c r="M464" s="538" t="s">
        <v>661</v>
      </c>
      <c r="N464" s="538" t="s">
        <v>2183</v>
      </c>
      <c r="O464" s="538" t="b">
        <v>0</v>
      </c>
      <c r="P464" s="538" t="b">
        <v>0</v>
      </c>
      <c r="Q464" s="538" t="s">
        <v>79</v>
      </c>
      <c r="R464" s="538" t="s">
        <v>1994</v>
      </c>
      <c r="S464" s="538" t="s">
        <v>79</v>
      </c>
      <c r="T464" s="538" t="s">
        <v>1994</v>
      </c>
      <c r="U464" s="538" t="s">
        <v>75</v>
      </c>
      <c r="V464" s="538" t="s">
        <v>2184</v>
      </c>
      <c r="W464" s="538" t="s">
        <v>75</v>
      </c>
      <c r="X464" s="538" t="s">
        <v>2184</v>
      </c>
      <c r="Y464" s="538" t="s">
        <v>79</v>
      </c>
      <c r="Z464" s="538" t="s">
        <v>1994</v>
      </c>
      <c r="AA464" s="538" t="s">
        <v>75</v>
      </c>
      <c r="AB464" s="538" t="s">
        <v>2184</v>
      </c>
      <c r="AC464" s="538" t="s">
        <v>79</v>
      </c>
      <c r="AD464" s="538" t="s">
        <v>377</v>
      </c>
      <c r="AE464" s="538" t="s">
        <v>79</v>
      </c>
      <c r="AF464" s="538" t="s">
        <v>377</v>
      </c>
      <c r="AG464" s="538" t="s">
        <v>79</v>
      </c>
      <c r="AH464" s="538" t="s">
        <v>1994</v>
      </c>
      <c r="AI464" s="538" t="s">
        <v>79</v>
      </c>
      <c r="AJ464" s="538" t="s">
        <v>377</v>
      </c>
      <c r="AK464" s="538" t="s">
        <v>79</v>
      </c>
      <c r="AL464" s="538" t="s">
        <v>1994</v>
      </c>
      <c r="AM464" s="538" t="s">
        <v>79</v>
      </c>
      <c r="AN464" s="538" t="s">
        <v>1994</v>
      </c>
      <c r="AO464" s="538" t="s">
        <v>79</v>
      </c>
      <c r="AP464" s="538" t="s">
        <v>241</v>
      </c>
      <c r="AQ464" s="538" t="s">
        <v>79</v>
      </c>
      <c r="AR464" s="538" t="s">
        <v>241</v>
      </c>
      <c r="AS464" s="538">
        <v>1.592757008E9</v>
      </c>
      <c r="AT464" s="538">
        <v>3.64381082E9</v>
      </c>
      <c r="AU464" s="538">
        <v>278.0</v>
      </c>
      <c r="AV464" s="538" t="s">
        <v>46</v>
      </c>
      <c r="AY464" s="538" t="s">
        <v>2184</v>
      </c>
      <c r="AZ464" s="538">
        <v>1.0</v>
      </c>
      <c r="BA464" s="538">
        <v>1.0</v>
      </c>
      <c r="BB464" s="538">
        <v>1.0</v>
      </c>
      <c r="BE464" s="538">
        <v>4000.0</v>
      </c>
      <c r="BF464" s="538">
        <v>1000.0</v>
      </c>
      <c r="BG464" s="538">
        <v>3500.0</v>
      </c>
      <c r="BJ464" s="546"/>
      <c r="BL464" s="546"/>
    </row>
    <row r="465" ht="22.5" customHeight="1">
      <c r="A465" s="538">
        <v>464.0</v>
      </c>
      <c r="B465" s="538" t="s">
        <v>2179</v>
      </c>
      <c r="C465" s="538" t="s">
        <v>82</v>
      </c>
      <c r="D465" s="538" t="s">
        <v>1493</v>
      </c>
      <c r="E465" s="538" t="s">
        <v>363</v>
      </c>
      <c r="G465" s="538" t="s">
        <v>151</v>
      </c>
      <c r="H465" s="538" t="s">
        <v>250</v>
      </c>
      <c r="I465" s="538" t="s">
        <v>122</v>
      </c>
      <c r="K465" s="538" t="s">
        <v>2185</v>
      </c>
      <c r="L465" s="538" t="s">
        <v>2185</v>
      </c>
      <c r="M465" s="538" t="s">
        <v>673</v>
      </c>
      <c r="N465" s="538" t="s">
        <v>2186</v>
      </c>
      <c r="O465" s="538" t="b">
        <v>0</v>
      </c>
      <c r="P465" s="538" t="b">
        <v>1</v>
      </c>
      <c r="Q465" s="538" t="s">
        <v>73</v>
      </c>
      <c r="S465" s="538" t="s">
        <v>73</v>
      </c>
      <c r="U465" s="538" t="s">
        <v>73</v>
      </c>
      <c r="W465" s="538" t="s">
        <v>73</v>
      </c>
      <c r="Y465" s="538" t="s">
        <v>73</v>
      </c>
      <c r="AA465" s="538" t="s">
        <v>73</v>
      </c>
      <c r="AC465" s="538" t="s">
        <v>73</v>
      </c>
      <c r="AE465" s="538" t="s">
        <v>73</v>
      </c>
      <c r="AG465" s="538" t="s">
        <v>73</v>
      </c>
      <c r="AI465" s="538" t="s">
        <v>73</v>
      </c>
      <c r="AK465" s="538" t="s">
        <v>73</v>
      </c>
      <c r="AM465" s="538" t="s">
        <v>73</v>
      </c>
      <c r="AO465" s="538" t="s">
        <v>79</v>
      </c>
      <c r="AP465" s="538" t="s">
        <v>363</v>
      </c>
      <c r="AQ465" s="538" t="s">
        <v>79</v>
      </c>
      <c r="AR465" s="538" t="s">
        <v>363</v>
      </c>
      <c r="AS465" s="538">
        <v>3.074253819E9</v>
      </c>
      <c r="AT465" s="538">
        <v>3.64381082E9</v>
      </c>
      <c r="AU465" s="538">
        <v>278.0</v>
      </c>
      <c r="AV465" s="538" t="s">
        <v>46</v>
      </c>
      <c r="AZ465" s="538">
        <v>1.0</v>
      </c>
      <c r="BA465" s="538">
        <v>1.0</v>
      </c>
      <c r="BB465" s="538">
        <v>1.0</v>
      </c>
      <c r="BC465" s="538">
        <v>1.0</v>
      </c>
      <c r="BD465" s="538">
        <v>1.0</v>
      </c>
      <c r="BE465" s="538">
        <v>0.1</v>
      </c>
      <c r="BF465" s="538">
        <v>0.14</v>
      </c>
      <c r="BG465" s="538">
        <v>0.18</v>
      </c>
      <c r="BH465" s="538">
        <v>0.22</v>
      </c>
      <c r="BI465" s="538">
        <v>0.28</v>
      </c>
      <c r="BJ465" s="546"/>
      <c r="BL465" s="546"/>
    </row>
    <row r="466" ht="22.5" customHeight="1">
      <c r="A466" s="538">
        <v>465.0</v>
      </c>
      <c r="B466" s="538" t="s">
        <v>2187</v>
      </c>
      <c r="C466" s="538" t="s">
        <v>82</v>
      </c>
      <c r="D466" s="538" t="s">
        <v>2188</v>
      </c>
      <c r="E466" s="538" t="s">
        <v>322</v>
      </c>
      <c r="F466" s="538" t="s">
        <v>2189</v>
      </c>
      <c r="G466" s="538" t="s">
        <v>163</v>
      </c>
      <c r="H466" s="538" t="s">
        <v>250</v>
      </c>
      <c r="I466" s="538" t="s">
        <v>122</v>
      </c>
      <c r="K466" s="538" t="s">
        <v>2190</v>
      </c>
      <c r="L466" s="538" t="s">
        <v>2191</v>
      </c>
      <c r="M466" s="538" t="s">
        <v>673</v>
      </c>
      <c r="N466" s="538" t="s">
        <v>2192</v>
      </c>
      <c r="O466" s="538" t="b">
        <v>0</v>
      </c>
      <c r="P466" s="538" t="b">
        <v>1</v>
      </c>
      <c r="Q466" s="538" t="s">
        <v>79</v>
      </c>
      <c r="R466" s="538" t="s">
        <v>368</v>
      </c>
      <c r="S466" s="538" t="s">
        <v>79</v>
      </c>
      <c r="T466" s="538" t="s">
        <v>385</v>
      </c>
      <c r="U466" s="538" t="s">
        <v>79</v>
      </c>
      <c r="V466" s="538" t="s">
        <v>368</v>
      </c>
      <c r="W466" s="538" t="s">
        <v>79</v>
      </c>
      <c r="X466" s="538" t="s">
        <v>368</v>
      </c>
      <c r="Y466" s="538" t="s">
        <v>79</v>
      </c>
      <c r="Z466" s="538" t="s">
        <v>368</v>
      </c>
      <c r="AA466" s="538" t="s">
        <v>79</v>
      </c>
      <c r="AB466" s="538" t="s">
        <v>368</v>
      </c>
      <c r="AC466" s="538" t="s">
        <v>73</v>
      </c>
      <c r="AE466" s="538" t="s">
        <v>73</v>
      </c>
      <c r="AG466" s="538" t="s">
        <v>79</v>
      </c>
      <c r="AH466" s="538" t="s">
        <v>380</v>
      </c>
      <c r="AI466" s="538" t="s">
        <v>73</v>
      </c>
      <c r="AK466" s="538" t="s">
        <v>79</v>
      </c>
      <c r="AL466" s="538" t="s">
        <v>368</v>
      </c>
      <c r="AM466" s="538" t="s">
        <v>79</v>
      </c>
      <c r="AN466" s="538" t="s">
        <v>368</v>
      </c>
      <c r="AO466" s="538" t="s">
        <v>79</v>
      </c>
      <c r="AP466" s="538" t="s">
        <v>322</v>
      </c>
      <c r="AQ466" s="538" t="s">
        <v>79</v>
      </c>
      <c r="AR466" s="538" t="s">
        <v>322</v>
      </c>
      <c r="AS466" s="538">
        <v>2.042216827E9</v>
      </c>
      <c r="AT466" s="538">
        <v>2.339276935E9</v>
      </c>
      <c r="AU466" s="538">
        <v>281.0</v>
      </c>
      <c r="AV466" s="538" t="s">
        <v>47</v>
      </c>
      <c r="AZ466" s="538">
        <v>1.0</v>
      </c>
      <c r="BA466" s="538">
        <v>1.0</v>
      </c>
      <c r="BB466" s="538">
        <v>1.0</v>
      </c>
      <c r="BC466" s="538">
        <v>1.0</v>
      </c>
      <c r="BD466" s="538">
        <v>1.0</v>
      </c>
      <c r="BE466" s="538">
        <v>0.7</v>
      </c>
      <c r="BF466" s="538">
        <v>0.9</v>
      </c>
      <c r="BG466" s="538">
        <v>1.1</v>
      </c>
      <c r="BH466" s="538">
        <v>1.3</v>
      </c>
      <c r="BI466" s="538">
        <v>1.5</v>
      </c>
      <c r="BJ466" s="546"/>
      <c r="BK466" s="547"/>
      <c r="BL466" s="546"/>
    </row>
    <row r="467" ht="22.5" customHeight="1">
      <c r="A467" s="538">
        <v>466.0</v>
      </c>
      <c r="B467" s="538" t="s">
        <v>2187</v>
      </c>
      <c r="C467" s="538" t="s">
        <v>86</v>
      </c>
      <c r="D467" s="538" t="s">
        <v>2188</v>
      </c>
      <c r="E467" s="538" t="s">
        <v>322</v>
      </c>
      <c r="F467" s="538" t="s">
        <v>2001</v>
      </c>
      <c r="G467" s="538" t="s">
        <v>239</v>
      </c>
      <c r="H467" s="538" t="s">
        <v>250</v>
      </c>
      <c r="I467" s="538" t="s">
        <v>122</v>
      </c>
      <c r="J467" s="538" t="s">
        <v>320</v>
      </c>
      <c r="K467" s="538" t="s">
        <v>2193</v>
      </c>
      <c r="L467" s="538" t="s">
        <v>2194</v>
      </c>
      <c r="M467" s="538" t="s">
        <v>673</v>
      </c>
      <c r="N467" s="538" t="s">
        <v>2195</v>
      </c>
      <c r="O467" s="538" t="b">
        <v>0</v>
      </c>
      <c r="P467" s="538" t="b">
        <v>1</v>
      </c>
      <c r="Q467" s="538" t="s">
        <v>75</v>
      </c>
      <c r="R467" s="538" t="s">
        <v>388</v>
      </c>
      <c r="S467" s="538" t="s">
        <v>75</v>
      </c>
      <c r="T467" s="538" t="s">
        <v>388</v>
      </c>
      <c r="U467" s="538" t="s">
        <v>79</v>
      </c>
      <c r="V467" s="538" t="s">
        <v>2001</v>
      </c>
      <c r="W467" s="538" t="s">
        <v>79</v>
      </c>
      <c r="X467" s="538" t="s">
        <v>2001</v>
      </c>
      <c r="Y467" s="538" t="s">
        <v>79</v>
      </c>
      <c r="Z467" s="538" t="s">
        <v>2001</v>
      </c>
      <c r="AA467" s="538" t="s">
        <v>79</v>
      </c>
      <c r="AB467" s="538" t="s">
        <v>2001</v>
      </c>
      <c r="AC467" s="538" t="s">
        <v>79</v>
      </c>
      <c r="AD467" s="538" t="s">
        <v>2001</v>
      </c>
      <c r="AE467" s="538" t="s">
        <v>79</v>
      </c>
      <c r="AF467" s="538" t="s">
        <v>2001</v>
      </c>
      <c r="AG467" s="538" t="s">
        <v>79</v>
      </c>
      <c r="AH467" s="538" t="s">
        <v>2001</v>
      </c>
      <c r="AI467" s="538" t="s">
        <v>79</v>
      </c>
      <c r="AJ467" s="538" t="s">
        <v>2001</v>
      </c>
      <c r="AK467" s="538" t="s">
        <v>79</v>
      </c>
      <c r="AL467" s="538" t="s">
        <v>2001</v>
      </c>
      <c r="AM467" s="538" t="s">
        <v>79</v>
      </c>
      <c r="AN467" s="538" t="s">
        <v>2001</v>
      </c>
      <c r="AO467" s="538" t="s">
        <v>79</v>
      </c>
      <c r="AP467" s="538" t="s">
        <v>322</v>
      </c>
      <c r="AQ467" s="538" t="s">
        <v>79</v>
      </c>
      <c r="AR467" s="538" t="s">
        <v>322</v>
      </c>
      <c r="AS467" s="538">
        <v>2.07443867E8</v>
      </c>
      <c r="AT467" s="538">
        <v>2.339276935E9</v>
      </c>
      <c r="AU467" s="538">
        <v>281.0</v>
      </c>
      <c r="AV467" s="538" t="s">
        <v>47</v>
      </c>
      <c r="AX467" s="538" t="s">
        <v>2005</v>
      </c>
      <c r="AY467" s="538" t="s">
        <v>388</v>
      </c>
      <c r="AZ467" s="538">
        <v>1.0</v>
      </c>
      <c r="BA467" s="538">
        <v>1.0</v>
      </c>
      <c r="BB467" s="538">
        <v>1.0</v>
      </c>
      <c r="BC467" s="538">
        <v>1.0</v>
      </c>
      <c r="BD467" s="538">
        <v>1.0</v>
      </c>
      <c r="BE467" s="538">
        <v>0.3</v>
      </c>
      <c r="BF467" s="538">
        <v>0.4</v>
      </c>
      <c r="BG467" s="538">
        <v>0.5</v>
      </c>
      <c r="BH467" s="538">
        <v>0.65</v>
      </c>
      <c r="BI467" s="538">
        <v>0.8</v>
      </c>
      <c r="BJ467" s="546"/>
      <c r="BL467" s="546"/>
    </row>
    <row r="468" ht="22.5" customHeight="1">
      <c r="A468" s="538">
        <v>467.0</v>
      </c>
      <c r="B468" s="538" t="s">
        <v>2196</v>
      </c>
      <c r="C468" s="538" t="s">
        <v>84</v>
      </c>
      <c r="D468" s="538" t="s">
        <v>2188</v>
      </c>
      <c r="E468" s="538" t="s">
        <v>369</v>
      </c>
      <c r="F468" s="538" t="s">
        <v>371</v>
      </c>
      <c r="G468" s="538" t="s">
        <v>163</v>
      </c>
      <c r="H468" s="538" t="s">
        <v>222</v>
      </c>
      <c r="I468" s="538" t="s">
        <v>189</v>
      </c>
      <c r="K468" s="538" t="s">
        <v>2197</v>
      </c>
      <c r="L468" s="538" t="s">
        <v>2198</v>
      </c>
      <c r="M468" s="538" t="s">
        <v>661</v>
      </c>
      <c r="N468" s="538" t="s">
        <v>2199</v>
      </c>
      <c r="O468" s="538" t="b">
        <v>0</v>
      </c>
      <c r="P468" s="538" t="b">
        <v>1</v>
      </c>
      <c r="Q468" s="538" t="s">
        <v>79</v>
      </c>
      <c r="R468" s="538" t="s">
        <v>371</v>
      </c>
      <c r="S468" s="538" t="s">
        <v>79</v>
      </c>
      <c r="T468" s="538" t="s">
        <v>371</v>
      </c>
      <c r="U468" s="538" t="s">
        <v>79</v>
      </c>
      <c r="V468" s="538" t="s">
        <v>371</v>
      </c>
      <c r="W468" s="538" t="s">
        <v>79</v>
      </c>
      <c r="X468" s="538" t="s">
        <v>371</v>
      </c>
      <c r="Y468" s="538" t="s">
        <v>79</v>
      </c>
      <c r="Z468" s="538" t="s">
        <v>371</v>
      </c>
      <c r="AA468" s="538" t="s">
        <v>79</v>
      </c>
      <c r="AB468" s="538" t="s">
        <v>371</v>
      </c>
      <c r="AC468" s="538" t="s">
        <v>79</v>
      </c>
      <c r="AD468" s="538" t="s">
        <v>371</v>
      </c>
      <c r="AE468" s="538" t="s">
        <v>79</v>
      </c>
      <c r="AF468" s="538" t="s">
        <v>371</v>
      </c>
      <c r="AG468" s="538" t="s">
        <v>79</v>
      </c>
      <c r="AH468" s="538" t="s">
        <v>371</v>
      </c>
      <c r="AI468" s="538" t="s">
        <v>73</v>
      </c>
      <c r="AK468" s="538" t="s">
        <v>79</v>
      </c>
      <c r="AL468" s="538" t="s">
        <v>371</v>
      </c>
      <c r="AM468" s="538" t="s">
        <v>79</v>
      </c>
      <c r="AN468" s="538" t="s">
        <v>371</v>
      </c>
      <c r="AO468" s="538" t="s">
        <v>79</v>
      </c>
      <c r="AP468" s="538" t="s">
        <v>369</v>
      </c>
      <c r="AQ468" s="538" t="s">
        <v>79</v>
      </c>
      <c r="AR468" s="538" t="s">
        <v>369</v>
      </c>
      <c r="AS468" s="538">
        <v>3.429780564E9</v>
      </c>
      <c r="AT468" s="538">
        <v>2.785409233E9</v>
      </c>
      <c r="AU468" s="538">
        <v>279.0</v>
      </c>
      <c r="AV468" s="538" t="s">
        <v>47</v>
      </c>
      <c r="AZ468" s="538">
        <v>1.0</v>
      </c>
      <c r="BA468" s="538">
        <v>1.0</v>
      </c>
      <c r="BB468" s="538">
        <v>1.0</v>
      </c>
      <c r="BE468" s="538">
        <v>0.3</v>
      </c>
      <c r="BF468" s="538">
        <v>0.15</v>
      </c>
      <c r="BG468" s="538">
        <v>0.15</v>
      </c>
      <c r="BJ468" s="546"/>
      <c r="BL468" s="546"/>
    </row>
    <row r="469" ht="22.5" customHeight="1">
      <c r="A469" s="538">
        <v>468.0</v>
      </c>
      <c r="B469" s="538" t="s">
        <v>2196</v>
      </c>
      <c r="C469" s="538" t="s">
        <v>82</v>
      </c>
      <c r="D469" s="538" t="s">
        <v>2188</v>
      </c>
      <c r="E469" s="538" t="s">
        <v>241</v>
      </c>
      <c r="F469" s="538" t="s">
        <v>2200</v>
      </c>
      <c r="G469" s="538" t="s">
        <v>163</v>
      </c>
      <c r="H469" s="538" t="s">
        <v>250</v>
      </c>
      <c r="I469" s="538" t="s">
        <v>155</v>
      </c>
      <c r="K469" s="538" t="s">
        <v>2201</v>
      </c>
      <c r="L469" s="538" t="s">
        <v>2202</v>
      </c>
      <c r="M469" s="538" t="s">
        <v>673</v>
      </c>
      <c r="N469" s="538" t="s">
        <v>2203</v>
      </c>
      <c r="O469" s="538" t="b">
        <v>0</v>
      </c>
      <c r="P469" s="538" t="b">
        <v>0</v>
      </c>
      <c r="Q469" s="538" t="s">
        <v>79</v>
      </c>
      <c r="R469" s="538" t="s">
        <v>1994</v>
      </c>
      <c r="S469" s="538" t="s">
        <v>79</v>
      </c>
      <c r="T469" s="538" t="s">
        <v>1994</v>
      </c>
      <c r="U469" s="538" t="s">
        <v>75</v>
      </c>
      <c r="V469" s="538" t="s">
        <v>348</v>
      </c>
      <c r="W469" s="538" t="s">
        <v>75</v>
      </c>
      <c r="X469" s="538" t="s">
        <v>348</v>
      </c>
      <c r="Y469" s="538" t="s">
        <v>79</v>
      </c>
      <c r="Z469" s="538" t="s">
        <v>1994</v>
      </c>
      <c r="AA469" s="538" t="s">
        <v>75</v>
      </c>
      <c r="AB469" s="538" t="s">
        <v>348</v>
      </c>
      <c r="AC469" s="538" t="s">
        <v>79</v>
      </c>
      <c r="AD469" s="538" t="s">
        <v>377</v>
      </c>
      <c r="AE469" s="538" t="s">
        <v>79</v>
      </c>
      <c r="AF469" s="538" t="s">
        <v>377</v>
      </c>
      <c r="AG469" s="538" t="s">
        <v>79</v>
      </c>
      <c r="AH469" s="538" t="s">
        <v>1994</v>
      </c>
      <c r="AI469" s="538" t="s">
        <v>79</v>
      </c>
      <c r="AJ469" s="538" t="s">
        <v>377</v>
      </c>
      <c r="AK469" s="538" t="s">
        <v>79</v>
      </c>
      <c r="AL469" s="538" t="s">
        <v>1994</v>
      </c>
      <c r="AM469" s="538" t="s">
        <v>79</v>
      </c>
      <c r="AN469" s="538" t="s">
        <v>1994</v>
      </c>
      <c r="AO469" s="538" t="s">
        <v>79</v>
      </c>
      <c r="AP469" s="538" t="s">
        <v>241</v>
      </c>
      <c r="AQ469" s="538" t="s">
        <v>79</v>
      </c>
      <c r="AR469" s="538" t="s">
        <v>241</v>
      </c>
      <c r="AS469" s="538">
        <v>1.13904784E9</v>
      </c>
      <c r="AT469" s="538">
        <v>2.785409233E9</v>
      </c>
      <c r="AU469" s="538">
        <v>279.0</v>
      </c>
      <c r="AV469" s="538" t="s">
        <v>47</v>
      </c>
      <c r="AY469" s="538" t="s">
        <v>348</v>
      </c>
      <c r="AZ469" s="538">
        <v>1.0</v>
      </c>
      <c r="BA469" s="538">
        <v>1.0</v>
      </c>
      <c r="BB469" s="538">
        <v>1.0</v>
      </c>
      <c r="BC469" s="538">
        <v>1.0</v>
      </c>
      <c r="BD469" s="538">
        <v>1.0</v>
      </c>
      <c r="BE469" s="538">
        <v>2000.0</v>
      </c>
      <c r="BF469" s="538">
        <v>2500.0</v>
      </c>
      <c r="BG469" s="538">
        <v>3200.0</v>
      </c>
      <c r="BH469" s="538">
        <v>4000.0</v>
      </c>
      <c r="BI469" s="538">
        <v>5000.0</v>
      </c>
      <c r="BJ469" s="546"/>
      <c r="BL469" s="546"/>
    </row>
    <row r="470" ht="22.5" customHeight="1">
      <c r="A470" s="538">
        <v>469.0</v>
      </c>
      <c r="B470" s="538" t="s">
        <v>2204</v>
      </c>
      <c r="C470" s="538" t="s">
        <v>82</v>
      </c>
      <c r="D470" s="538" t="s">
        <v>2188</v>
      </c>
      <c r="E470" s="538" t="s">
        <v>394</v>
      </c>
      <c r="F470" s="538" t="s">
        <v>336</v>
      </c>
      <c r="G470" s="538" t="s">
        <v>151</v>
      </c>
      <c r="H470" s="538" t="s">
        <v>250</v>
      </c>
      <c r="I470" s="538" t="s">
        <v>122</v>
      </c>
      <c r="K470" s="538" t="s">
        <v>2205</v>
      </c>
      <c r="L470" s="538" t="s">
        <v>2206</v>
      </c>
      <c r="M470" s="538" t="s">
        <v>673</v>
      </c>
      <c r="N470" s="538" t="s">
        <v>2207</v>
      </c>
      <c r="O470" s="538" t="b">
        <v>0</v>
      </c>
      <c r="P470" s="538" t="b">
        <v>1</v>
      </c>
      <c r="Q470" s="538" t="s">
        <v>79</v>
      </c>
      <c r="R470" s="538" t="s">
        <v>394</v>
      </c>
      <c r="S470" s="538" t="s">
        <v>79</v>
      </c>
      <c r="T470" s="538" t="s">
        <v>394</v>
      </c>
      <c r="U470" s="538" t="s">
        <v>75</v>
      </c>
      <c r="V470" s="538" t="s">
        <v>1878</v>
      </c>
      <c r="W470" s="538" t="s">
        <v>79</v>
      </c>
      <c r="X470" s="538" t="s">
        <v>394</v>
      </c>
      <c r="Y470" s="538" t="s">
        <v>79</v>
      </c>
      <c r="Z470" s="538" t="s">
        <v>394</v>
      </c>
      <c r="AA470" s="538" t="s">
        <v>79</v>
      </c>
      <c r="AB470" s="538" t="s">
        <v>394</v>
      </c>
      <c r="AC470" s="538" t="s">
        <v>79</v>
      </c>
      <c r="AD470" s="538" t="s">
        <v>394</v>
      </c>
      <c r="AE470" s="538" t="s">
        <v>79</v>
      </c>
      <c r="AF470" s="538" t="s">
        <v>394</v>
      </c>
      <c r="AG470" s="538" t="s">
        <v>79</v>
      </c>
      <c r="AH470" s="538" t="s">
        <v>394</v>
      </c>
      <c r="AI470" s="538" t="s">
        <v>79</v>
      </c>
      <c r="AJ470" s="538" t="s">
        <v>394</v>
      </c>
      <c r="AK470" s="538" t="s">
        <v>79</v>
      </c>
      <c r="AL470" s="538" t="s">
        <v>394</v>
      </c>
      <c r="AM470" s="538" t="s">
        <v>79</v>
      </c>
      <c r="AN470" s="538" t="s">
        <v>394</v>
      </c>
      <c r="AO470" s="538" t="s">
        <v>73</v>
      </c>
      <c r="AQ470" s="538" t="s">
        <v>79</v>
      </c>
      <c r="AR470" s="538" t="s">
        <v>394</v>
      </c>
      <c r="AS470" s="538">
        <v>4.037991534E9</v>
      </c>
      <c r="AT470" s="538">
        <v>3.662189922E9</v>
      </c>
      <c r="AU470" s="538">
        <v>280.0</v>
      </c>
      <c r="AV470" s="538" t="s">
        <v>46</v>
      </c>
      <c r="AY470" s="538" t="s">
        <v>394</v>
      </c>
      <c r="AZ470" s="538">
        <v>1.0</v>
      </c>
      <c r="BA470" s="538">
        <v>1.0</v>
      </c>
      <c r="BB470" s="538">
        <v>1.0</v>
      </c>
      <c r="BC470" s="538">
        <v>1.0</v>
      </c>
      <c r="BD470" s="538">
        <v>1.0</v>
      </c>
      <c r="BE470" s="538">
        <v>1.0</v>
      </c>
      <c r="BF470" s="538">
        <v>1.2</v>
      </c>
      <c r="BG470" s="538">
        <v>1.4</v>
      </c>
      <c r="BH470" s="538">
        <v>1.6</v>
      </c>
      <c r="BI470" s="538">
        <v>2.0</v>
      </c>
      <c r="BJ470" s="546"/>
      <c r="BL470" s="546"/>
    </row>
    <row r="471" ht="22.5" customHeight="1">
      <c r="A471" s="538">
        <v>470.0</v>
      </c>
      <c r="B471" s="538" t="s">
        <v>2204</v>
      </c>
      <c r="C471" s="538" t="s">
        <v>86</v>
      </c>
      <c r="D471" s="538" t="s">
        <v>2188</v>
      </c>
      <c r="E471" s="538" t="s">
        <v>319</v>
      </c>
      <c r="G471" s="538" t="s">
        <v>151</v>
      </c>
      <c r="H471" s="538" t="s">
        <v>250</v>
      </c>
      <c r="I471" s="538" t="s">
        <v>155</v>
      </c>
      <c r="K471" s="538" t="s">
        <v>2208</v>
      </c>
      <c r="L471" s="538" t="s">
        <v>2209</v>
      </c>
      <c r="M471" s="538" t="s">
        <v>673</v>
      </c>
      <c r="N471" s="538" t="s">
        <v>2210</v>
      </c>
      <c r="O471" s="538" t="b">
        <v>0</v>
      </c>
      <c r="P471" s="538" t="b">
        <v>0</v>
      </c>
      <c r="Q471" s="538" t="s">
        <v>79</v>
      </c>
      <c r="R471" s="538" t="s">
        <v>319</v>
      </c>
      <c r="S471" s="538" t="s">
        <v>79</v>
      </c>
      <c r="T471" s="538" t="s">
        <v>319</v>
      </c>
      <c r="U471" s="538" t="s">
        <v>79</v>
      </c>
      <c r="V471" s="538" t="s">
        <v>319</v>
      </c>
      <c r="W471" s="538" t="s">
        <v>79</v>
      </c>
      <c r="X471" s="538" t="s">
        <v>319</v>
      </c>
      <c r="Y471" s="538" t="s">
        <v>79</v>
      </c>
      <c r="Z471" s="538" t="s">
        <v>319</v>
      </c>
      <c r="AA471" s="538" t="s">
        <v>79</v>
      </c>
      <c r="AB471" s="538" t="s">
        <v>319</v>
      </c>
      <c r="AC471" s="538" t="s">
        <v>79</v>
      </c>
      <c r="AD471" s="538" t="s">
        <v>319</v>
      </c>
      <c r="AE471" s="538" t="s">
        <v>79</v>
      </c>
      <c r="AF471" s="538" t="s">
        <v>319</v>
      </c>
      <c r="AG471" s="538" t="s">
        <v>79</v>
      </c>
      <c r="AH471" s="538" t="s">
        <v>319</v>
      </c>
      <c r="AI471" s="538" t="s">
        <v>79</v>
      </c>
      <c r="AJ471" s="538" t="s">
        <v>319</v>
      </c>
      <c r="AK471" s="538" t="s">
        <v>79</v>
      </c>
      <c r="AL471" s="538" t="s">
        <v>319</v>
      </c>
      <c r="AM471" s="538" t="s">
        <v>79</v>
      </c>
      <c r="AN471" s="538" t="s">
        <v>319</v>
      </c>
      <c r="AO471" s="538" t="s">
        <v>79</v>
      </c>
      <c r="AP471" s="538" t="s">
        <v>319</v>
      </c>
      <c r="AQ471" s="538" t="s">
        <v>73</v>
      </c>
      <c r="AS471" s="538">
        <v>3.611840689E9</v>
      </c>
      <c r="AT471" s="538">
        <v>3.662189922E9</v>
      </c>
      <c r="AU471" s="538">
        <v>280.0</v>
      </c>
      <c r="AV471" s="538" t="s">
        <v>46</v>
      </c>
      <c r="AZ471" s="538">
        <v>1.0</v>
      </c>
      <c r="BA471" s="538">
        <v>1.0</v>
      </c>
      <c r="BB471" s="538">
        <v>1.0</v>
      </c>
      <c r="BC471" s="538">
        <v>1.0</v>
      </c>
      <c r="BD471" s="538">
        <v>1.0</v>
      </c>
      <c r="BE471" s="538">
        <v>20.0</v>
      </c>
      <c r="BF471" s="538">
        <v>25.0</v>
      </c>
      <c r="BG471" s="538">
        <v>35.0</v>
      </c>
      <c r="BH471" s="538">
        <v>45.0</v>
      </c>
      <c r="BI471" s="538">
        <v>60.0</v>
      </c>
      <c r="BJ471" s="546"/>
      <c r="BL471" s="546"/>
    </row>
    <row r="472" ht="22.5" customHeight="1">
      <c r="A472" s="538">
        <v>471.0</v>
      </c>
      <c r="B472" s="538" t="s">
        <v>2211</v>
      </c>
      <c r="C472" s="538" t="s">
        <v>82</v>
      </c>
      <c r="D472" s="538" t="s">
        <v>2188</v>
      </c>
      <c r="E472" s="538" t="s">
        <v>352</v>
      </c>
      <c r="F472" s="538" t="s">
        <v>336</v>
      </c>
      <c r="G472" s="538" t="s">
        <v>151</v>
      </c>
      <c r="H472" s="538" t="s">
        <v>250</v>
      </c>
      <c r="I472" s="538" t="s">
        <v>155</v>
      </c>
      <c r="K472" s="538" t="s">
        <v>2212</v>
      </c>
      <c r="L472" s="538" t="s">
        <v>2213</v>
      </c>
      <c r="M472" s="538" t="s">
        <v>673</v>
      </c>
      <c r="N472" s="538" t="s">
        <v>2214</v>
      </c>
      <c r="O472" s="538" t="b">
        <v>0</v>
      </c>
      <c r="P472" s="538" t="b">
        <v>1</v>
      </c>
      <c r="Q472" s="538" t="s">
        <v>79</v>
      </c>
      <c r="R472" s="538" t="s">
        <v>352</v>
      </c>
      <c r="S472" s="538" t="s">
        <v>79</v>
      </c>
      <c r="T472" s="538" t="s">
        <v>352</v>
      </c>
      <c r="U472" s="538" t="s">
        <v>79</v>
      </c>
      <c r="V472" s="538" t="s">
        <v>352</v>
      </c>
      <c r="W472" s="538" t="s">
        <v>79</v>
      </c>
      <c r="X472" s="538" t="s">
        <v>352</v>
      </c>
      <c r="Y472" s="538" t="s">
        <v>79</v>
      </c>
      <c r="Z472" s="538" t="s">
        <v>352</v>
      </c>
      <c r="AA472" s="538" t="s">
        <v>79</v>
      </c>
      <c r="AB472" s="538" t="s">
        <v>352</v>
      </c>
      <c r="AC472" s="538" t="s">
        <v>79</v>
      </c>
      <c r="AD472" s="538" t="s">
        <v>352</v>
      </c>
      <c r="AE472" s="538" t="s">
        <v>79</v>
      </c>
      <c r="AF472" s="538" t="s">
        <v>352</v>
      </c>
      <c r="AG472" s="538" t="s">
        <v>79</v>
      </c>
      <c r="AH472" s="538" t="s">
        <v>352</v>
      </c>
      <c r="AI472" s="538" t="s">
        <v>79</v>
      </c>
      <c r="AJ472" s="538" t="s">
        <v>352</v>
      </c>
      <c r="AK472" s="538" t="s">
        <v>79</v>
      </c>
      <c r="AL472" s="538" t="s">
        <v>352</v>
      </c>
      <c r="AM472" s="538" t="s">
        <v>79</v>
      </c>
      <c r="AN472" s="538" t="s">
        <v>352</v>
      </c>
      <c r="AO472" s="538" t="s">
        <v>79</v>
      </c>
      <c r="AP472" s="538" t="s">
        <v>352</v>
      </c>
      <c r="AQ472" s="538" t="s">
        <v>73</v>
      </c>
      <c r="AS472" s="538">
        <v>9.35161406E8</v>
      </c>
      <c r="AT472" s="538">
        <v>2.729881938E9</v>
      </c>
      <c r="AU472" s="538">
        <v>288.0</v>
      </c>
      <c r="AV472" s="538" t="s">
        <v>46</v>
      </c>
      <c r="AZ472" s="538">
        <v>1.0</v>
      </c>
      <c r="BA472" s="538">
        <v>1.0</v>
      </c>
      <c r="BB472" s="538">
        <v>1.0</v>
      </c>
      <c r="BC472" s="538">
        <v>1.0</v>
      </c>
      <c r="BD472" s="538">
        <v>1.0</v>
      </c>
      <c r="BE472" s="538">
        <v>0.66</v>
      </c>
      <c r="BF472" s="538">
        <v>1.0</v>
      </c>
      <c r="BG472" s="538">
        <v>1.5</v>
      </c>
      <c r="BH472" s="538">
        <v>2.35</v>
      </c>
      <c r="BI472" s="538">
        <v>4.0</v>
      </c>
      <c r="BJ472" s="546"/>
      <c r="BL472" s="546"/>
    </row>
    <row r="473" ht="22.5" customHeight="1">
      <c r="A473" s="538">
        <v>472.0</v>
      </c>
      <c r="B473" s="538" t="s">
        <v>2211</v>
      </c>
      <c r="C473" s="538" t="s">
        <v>86</v>
      </c>
      <c r="D473" s="538" t="s">
        <v>2188</v>
      </c>
      <c r="E473" s="538" t="s">
        <v>241</v>
      </c>
      <c r="F473" s="538" t="s">
        <v>2215</v>
      </c>
      <c r="G473" s="538" t="s">
        <v>163</v>
      </c>
      <c r="H473" s="538" t="s">
        <v>250</v>
      </c>
      <c r="I473" s="538" t="s">
        <v>155</v>
      </c>
      <c r="K473" s="538" t="s">
        <v>2216</v>
      </c>
      <c r="L473" s="538" t="s">
        <v>2217</v>
      </c>
      <c r="M473" s="538" t="s">
        <v>673</v>
      </c>
      <c r="N473" s="538" t="s">
        <v>2218</v>
      </c>
      <c r="O473" s="538" t="b">
        <v>0</v>
      </c>
      <c r="P473" s="538" t="b">
        <v>0</v>
      </c>
      <c r="Q473" s="538" t="s">
        <v>79</v>
      </c>
      <c r="R473" s="538" t="s">
        <v>2215</v>
      </c>
      <c r="S473" s="538" t="s">
        <v>79</v>
      </c>
      <c r="T473" s="538" t="s">
        <v>2215</v>
      </c>
      <c r="U473" s="538" t="s">
        <v>79</v>
      </c>
      <c r="V473" s="538" t="s">
        <v>2215</v>
      </c>
      <c r="W473" s="538" t="s">
        <v>75</v>
      </c>
      <c r="X473" s="538" t="s">
        <v>348</v>
      </c>
      <c r="Y473" s="538" t="s">
        <v>79</v>
      </c>
      <c r="Z473" s="538" t="s">
        <v>2215</v>
      </c>
      <c r="AA473" s="538" t="s">
        <v>79</v>
      </c>
      <c r="AB473" s="538" t="s">
        <v>2215</v>
      </c>
      <c r="AC473" s="538" t="s">
        <v>79</v>
      </c>
      <c r="AD473" s="538" t="s">
        <v>2215</v>
      </c>
      <c r="AE473" s="538" t="s">
        <v>79</v>
      </c>
      <c r="AF473" s="538" t="s">
        <v>2215</v>
      </c>
      <c r="AG473" s="538" t="s">
        <v>79</v>
      </c>
      <c r="AH473" s="538" t="s">
        <v>2215</v>
      </c>
      <c r="AI473" s="538" t="s">
        <v>79</v>
      </c>
      <c r="AJ473" s="538" t="s">
        <v>2215</v>
      </c>
      <c r="AK473" s="538" t="s">
        <v>79</v>
      </c>
      <c r="AL473" s="538" t="s">
        <v>2215</v>
      </c>
      <c r="AM473" s="538" t="s">
        <v>79</v>
      </c>
      <c r="AN473" s="538" t="s">
        <v>2215</v>
      </c>
      <c r="AO473" s="538" t="s">
        <v>79</v>
      </c>
      <c r="AP473" s="538" t="s">
        <v>241</v>
      </c>
      <c r="AQ473" s="538" t="s">
        <v>79</v>
      </c>
      <c r="AR473" s="538" t="s">
        <v>241</v>
      </c>
      <c r="AS473" s="538">
        <v>1.863961009E9</v>
      </c>
      <c r="AT473" s="538">
        <v>2.729881938E9</v>
      </c>
      <c r="AU473" s="538">
        <v>288.0</v>
      </c>
      <c r="AV473" s="538" t="s">
        <v>46</v>
      </c>
      <c r="AY473" s="538" t="s">
        <v>348</v>
      </c>
      <c r="AZ473" s="538">
        <v>1.0</v>
      </c>
      <c r="BA473" s="538">
        <v>1.0</v>
      </c>
      <c r="BB473" s="538">
        <v>1.0</v>
      </c>
      <c r="BC473" s="538">
        <v>1.0</v>
      </c>
      <c r="BD473" s="538">
        <v>1.0</v>
      </c>
      <c r="BE473" s="538">
        <v>1000.0</v>
      </c>
      <c r="BF473" s="538">
        <v>1500.0</v>
      </c>
      <c r="BG473" s="538">
        <v>2000.0</v>
      </c>
      <c r="BH473" s="538">
        <v>2700.0</v>
      </c>
      <c r="BI473" s="538">
        <v>3500.0</v>
      </c>
      <c r="BJ473" s="546"/>
      <c r="BL473" s="546"/>
    </row>
    <row r="474" ht="22.5" customHeight="1">
      <c r="A474" s="538">
        <v>473.0</v>
      </c>
      <c r="B474" s="538" t="s">
        <v>60</v>
      </c>
      <c r="C474" s="538" t="s">
        <v>84</v>
      </c>
      <c r="D474" s="538" t="s">
        <v>2219</v>
      </c>
      <c r="E474" s="538" t="s">
        <v>328</v>
      </c>
      <c r="F474" s="538" t="s">
        <v>324</v>
      </c>
      <c r="G474" s="538" t="s">
        <v>151</v>
      </c>
      <c r="H474" s="538" t="s">
        <v>250</v>
      </c>
      <c r="I474" s="538" t="s">
        <v>122</v>
      </c>
      <c r="K474" s="538" t="s">
        <v>2220</v>
      </c>
      <c r="L474" s="538" t="s">
        <v>2221</v>
      </c>
      <c r="M474" s="538" t="s">
        <v>661</v>
      </c>
      <c r="N474" s="538" t="s">
        <v>705</v>
      </c>
      <c r="O474" s="538" t="b">
        <v>0</v>
      </c>
      <c r="P474" s="538" t="b">
        <v>1</v>
      </c>
      <c r="Q474" s="538" t="s">
        <v>79</v>
      </c>
      <c r="R474" s="538" t="s">
        <v>328</v>
      </c>
      <c r="S474" s="538" t="s">
        <v>79</v>
      </c>
      <c r="T474" s="538" t="s">
        <v>328</v>
      </c>
      <c r="U474" s="538" t="s">
        <v>79</v>
      </c>
      <c r="V474" s="538" t="s">
        <v>328</v>
      </c>
      <c r="W474" s="538" t="s">
        <v>79</v>
      </c>
      <c r="X474" s="538" t="s">
        <v>328</v>
      </c>
      <c r="Y474" s="538" t="s">
        <v>79</v>
      </c>
      <c r="Z474" s="538" t="s">
        <v>328</v>
      </c>
      <c r="AA474" s="538" t="s">
        <v>79</v>
      </c>
      <c r="AB474" s="538" t="s">
        <v>328</v>
      </c>
      <c r="AC474" s="538" t="s">
        <v>79</v>
      </c>
      <c r="AD474" s="538" t="s">
        <v>328</v>
      </c>
      <c r="AE474" s="538" t="s">
        <v>79</v>
      </c>
      <c r="AF474" s="538" t="s">
        <v>328</v>
      </c>
      <c r="AG474" s="538" t="s">
        <v>79</v>
      </c>
      <c r="AH474" s="538" t="s">
        <v>328</v>
      </c>
      <c r="AI474" s="538" t="s">
        <v>79</v>
      </c>
      <c r="AJ474" s="538" t="s">
        <v>328</v>
      </c>
      <c r="AK474" s="538" t="s">
        <v>79</v>
      </c>
      <c r="AL474" s="538" t="s">
        <v>328</v>
      </c>
      <c r="AM474" s="538" t="s">
        <v>79</v>
      </c>
      <c r="AN474" s="538" t="s">
        <v>328</v>
      </c>
      <c r="AO474" s="538" t="s">
        <v>79</v>
      </c>
      <c r="AP474" s="538" t="s">
        <v>328</v>
      </c>
      <c r="AQ474" s="538" t="s">
        <v>73</v>
      </c>
      <c r="AS474" s="538">
        <v>9.94242252E8</v>
      </c>
      <c r="AT474" s="538">
        <v>2.402639187E9</v>
      </c>
      <c r="AU474" s="538">
        <v>289.0</v>
      </c>
      <c r="AV474" s="538" t="s">
        <v>47</v>
      </c>
      <c r="AZ474" s="538">
        <v>1.0</v>
      </c>
      <c r="BA474" s="538">
        <v>1.0</v>
      </c>
      <c r="BB474" s="538">
        <v>1.0</v>
      </c>
      <c r="BE474" s="538">
        <v>1.0</v>
      </c>
      <c r="BF474" s="538">
        <v>0.0</v>
      </c>
      <c r="BG474" s="538">
        <v>0.0</v>
      </c>
      <c r="BJ474" s="546"/>
      <c r="BL474" s="546"/>
    </row>
    <row r="475" ht="22.5" customHeight="1">
      <c r="A475" s="538">
        <v>474.0</v>
      </c>
      <c r="B475" s="538" t="s">
        <v>60</v>
      </c>
      <c r="C475" s="538" t="s">
        <v>82</v>
      </c>
      <c r="D475" s="538" t="s">
        <v>2219</v>
      </c>
      <c r="E475" s="538" t="s">
        <v>392</v>
      </c>
      <c r="F475" s="538" t="s">
        <v>324</v>
      </c>
      <c r="G475" s="538" t="s">
        <v>151</v>
      </c>
      <c r="H475" s="538" t="s">
        <v>250</v>
      </c>
      <c r="I475" s="538" t="s">
        <v>155</v>
      </c>
      <c r="K475" s="538" t="s">
        <v>2222</v>
      </c>
      <c r="L475" s="538" t="s">
        <v>2223</v>
      </c>
      <c r="M475" s="538" t="s">
        <v>673</v>
      </c>
      <c r="N475" s="538" t="s">
        <v>2224</v>
      </c>
      <c r="O475" s="538" t="b">
        <v>0</v>
      </c>
      <c r="P475" s="538" t="b">
        <v>1</v>
      </c>
      <c r="Q475" s="538" t="s">
        <v>79</v>
      </c>
      <c r="R475" s="538" t="s">
        <v>324</v>
      </c>
      <c r="S475" s="538" t="s">
        <v>79</v>
      </c>
      <c r="T475" s="538" t="s">
        <v>324</v>
      </c>
      <c r="U475" s="538" t="s">
        <v>79</v>
      </c>
      <c r="V475" s="538" t="s">
        <v>324</v>
      </c>
      <c r="W475" s="538" t="s">
        <v>79</v>
      </c>
      <c r="X475" s="538" t="s">
        <v>324</v>
      </c>
      <c r="Y475" s="538" t="s">
        <v>79</v>
      </c>
      <c r="Z475" s="538" t="s">
        <v>324</v>
      </c>
      <c r="AA475" s="538" t="s">
        <v>79</v>
      </c>
      <c r="AB475" s="538" t="s">
        <v>324</v>
      </c>
      <c r="AC475" s="538" t="s">
        <v>79</v>
      </c>
      <c r="AD475" s="538" t="s">
        <v>324</v>
      </c>
      <c r="AE475" s="538" t="s">
        <v>79</v>
      </c>
      <c r="AF475" s="538" t="s">
        <v>324</v>
      </c>
      <c r="AG475" s="538" t="s">
        <v>79</v>
      </c>
      <c r="AH475" s="538" t="s">
        <v>324</v>
      </c>
      <c r="AI475" s="538" t="s">
        <v>79</v>
      </c>
      <c r="AJ475" s="538" t="s">
        <v>324</v>
      </c>
      <c r="AK475" s="538" t="s">
        <v>79</v>
      </c>
      <c r="AL475" s="538" t="s">
        <v>324</v>
      </c>
      <c r="AM475" s="538" t="s">
        <v>79</v>
      </c>
      <c r="AN475" s="538" t="s">
        <v>324</v>
      </c>
      <c r="AO475" s="538" t="s">
        <v>79</v>
      </c>
      <c r="AP475" s="538" t="s">
        <v>392</v>
      </c>
      <c r="AQ475" s="538" t="s">
        <v>79</v>
      </c>
      <c r="AR475" s="538" t="s">
        <v>392</v>
      </c>
      <c r="AS475" s="538">
        <v>1.696619996E9</v>
      </c>
      <c r="AT475" s="538">
        <v>2.402639187E9</v>
      </c>
      <c r="AU475" s="538">
        <v>289.0</v>
      </c>
      <c r="AV475" s="538" t="s">
        <v>47</v>
      </c>
      <c r="AZ475" s="538">
        <v>1.0</v>
      </c>
      <c r="BA475" s="538">
        <v>1.0</v>
      </c>
      <c r="BB475" s="538">
        <v>1.0</v>
      </c>
      <c r="BC475" s="538">
        <v>1.0</v>
      </c>
      <c r="BD475" s="538">
        <v>1.0</v>
      </c>
      <c r="BE475" s="538">
        <v>0.3</v>
      </c>
      <c r="BF475" s="538">
        <v>0.6</v>
      </c>
      <c r="BG475" s="538">
        <v>0.9</v>
      </c>
      <c r="BH475" s="538">
        <v>1.2</v>
      </c>
      <c r="BI475" s="538">
        <v>1.5</v>
      </c>
      <c r="BJ475" s="546"/>
      <c r="BK475" s="547"/>
      <c r="BL475" s="546"/>
    </row>
    <row r="476" ht="22.5" customHeight="1">
      <c r="A476" s="538">
        <v>475.0</v>
      </c>
      <c r="B476" s="538" t="s">
        <v>60</v>
      </c>
      <c r="C476" s="538" t="s">
        <v>86</v>
      </c>
      <c r="D476" s="538" t="s">
        <v>2219</v>
      </c>
      <c r="E476" s="538" t="s">
        <v>358</v>
      </c>
      <c r="G476" s="538" t="s">
        <v>151</v>
      </c>
      <c r="H476" s="538" t="s">
        <v>250</v>
      </c>
      <c r="I476" s="538" t="s">
        <v>122</v>
      </c>
      <c r="K476" s="538" t="s">
        <v>2225</v>
      </c>
      <c r="L476" s="538" t="s">
        <v>2226</v>
      </c>
      <c r="M476" s="538" t="s">
        <v>673</v>
      </c>
      <c r="N476" s="538" t="s">
        <v>2227</v>
      </c>
      <c r="O476" s="538" t="b">
        <v>0</v>
      </c>
      <c r="P476" s="538" t="b">
        <v>1</v>
      </c>
      <c r="Q476" s="538" t="s">
        <v>79</v>
      </c>
      <c r="R476" s="538" t="s">
        <v>358</v>
      </c>
      <c r="S476" s="538" t="s">
        <v>79</v>
      </c>
      <c r="T476" s="538" t="s">
        <v>358</v>
      </c>
      <c r="U476" s="538" t="s">
        <v>79</v>
      </c>
      <c r="V476" s="538" t="s">
        <v>358</v>
      </c>
      <c r="W476" s="538" t="s">
        <v>79</v>
      </c>
      <c r="X476" s="538" t="s">
        <v>358</v>
      </c>
      <c r="Y476" s="538" t="s">
        <v>79</v>
      </c>
      <c r="Z476" s="538" t="s">
        <v>358</v>
      </c>
      <c r="AA476" s="538" t="s">
        <v>79</v>
      </c>
      <c r="AB476" s="538" t="s">
        <v>358</v>
      </c>
      <c r="AC476" s="538" t="s">
        <v>79</v>
      </c>
      <c r="AD476" s="538" t="s">
        <v>358</v>
      </c>
      <c r="AE476" s="538" t="s">
        <v>79</v>
      </c>
      <c r="AF476" s="538" t="s">
        <v>358</v>
      </c>
      <c r="AG476" s="538" t="s">
        <v>79</v>
      </c>
      <c r="AH476" s="538" t="s">
        <v>358</v>
      </c>
      <c r="AI476" s="538" t="s">
        <v>79</v>
      </c>
      <c r="AJ476" s="538" t="s">
        <v>358</v>
      </c>
      <c r="AK476" s="538" t="s">
        <v>79</v>
      </c>
      <c r="AL476" s="538" t="s">
        <v>358</v>
      </c>
      <c r="AM476" s="538" t="s">
        <v>79</v>
      </c>
      <c r="AN476" s="538" t="s">
        <v>358</v>
      </c>
      <c r="AO476" s="538" t="s">
        <v>79</v>
      </c>
      <c r="AP476" s="538" t="s">
        <v>358</v>
      </c>
      <c r="AQ476" s="538" t="s">
        <v>73</v>
      </c>
      <c r="AS476" s="538">
        <v>2.492819884E9</v>
      </c>
      <c r="AT476" s="538">
        <v>2.402639187E9</v>
      </c>
      <c r="AU476" s="538">
        <v>289.0</v>
      </c>
      <c r="AV476" s="538" t="s">
        <v>47</v>
      </c>
      <c r="AZ476" s="538">
        <v>1.0</v>
      </c>
      <c r="BA476" s="538">
        <v>1.0</v>
      </c>
      <c r="BB476" s="538">
        <v>1.0</v>
      </c>
      <c r="BC476" s="538">
        <v>1.0</v>
      </c>
      <c r="BD476" s="538">
        <v>1.0</v>
      </c>
      <c r="BE476" s="538">
        <v>1.5</v>
      </c>
      <c r="BF476" s="538">
        <v>3.0</v>
      </c>
      <c r="BG476" s="538">
        <v>4.5</v>
      </c>
      <c r="BH476" s="538">
        <v>6.0</v>
      </c>
      <c r="BI476" s="538">
        <v>7.5</v>
      </c>
      <c r="BJ476" s="546"/>
      <c r="BK476" s="547"/>
      <c r="BL476" s="546"/>
    </row>
    <row r="477" ht="22.5" customHeight="1">
      <c r="A477" s="538">
        <v>476.0</v>
      </c>
      <c r="B477" s="538" t="s">
        <v>2228</v>
      </c>
      <c r="C477" s="538" t="s">
        <v>84</v>
      </c>
      <c r="D477" s="538" t="s">
        <v>2229</v>
      </c>
      <c r="E477" s="538" t="s">
        <v>277</v>
      </c>
      <c r="G477" s="538" t="s">
        <v>151</v>
      </c>
      <c r="H477" s="538" t="s">
        <v>250</v>
      </c>
      <c r="I477" s="538" t="s">
        <v>122</v>
      </c>
      <c r="K477" s="538" t="s">
        <v>2230</v>
      </c>
      <c r="L477" s="538" t="s">
        <v>2230</v>
      </c>
      <c r="M477" s="538" t="s">
        <v>661</v>
      </c>
      <c r="N477" s="538" t="s">
        <v>2039</v>
      </c>
      <c r="O477" s="538" t="b">
        <v>0</v>
      </c>
      <c r="P477" s="538" t="b">
        <v>1</v>
      </c>
      <c r="Q477" s="538" t="s">
        <v>79</v>
      </c>
      <c r="R477" s="538" t="s">
        <v>277</v>
      </c>
      <c r="S477" s="538" t="s">
        <v>79</v>
      </c>
      <c r="T477" s="538" t="s">
        <v>277</v>
      </c>
      <c r="U477" s="538" t="s">
        <v>73</v>
      </c>
      <c r="W477" s="538" t="s">
        <v>79</v>
      </c>
      <c r="X477" s="538" t="s">
        <v>277</v>
      </c>
      <c r="Y477" s="538" t="s">
        <v>79</v>
      </c>
      <c r="Z477" s="538" t="s">
        <v>277</v>
      </c>
      <c r="AA477" s="538" t="s">
        <v>79</v>
      </c>
      <c r="AB477" s="538" t="s">
        <v>277</v>
      </c>
      <c r="AC477" s="538" t="s">
        <v>73</v>
      </c>
      <c r="AE477" s="538" t="s">
        <v>73</v>
      </c>
      <c r="AG477" s="538" t="s">
        <v>79</v>
      </c>
      <c r="AH477" s="538" t="s">
        <v>277</v>
      </c>
      <c r="AI477" s="538" t="s">
        <v>73</v>
      </c>
      <c r="AK477" s="538" t="s">
        <v>73</v>
      </c>
      <c r="AM477" s="538" t="s">
        <v>73</v>
      </c>
      <c r="AO477" s="538" t="s">
        <v>73</v>
      </c>
      <c r="AQ477" s="538" t="s">
        <v>79</v>
      </c>
      <c r="AR477" s="538" t="s">
        <v>277</v>
      </c>
      <c r="AS477" s="538">
        <v>2.490941423E9</v>
      </c>
      <c r="AT477" s="538">
        <v>3.739192827E9</v>
      </c>
      <c r="AU477" s="538">
        <v>282.0</v>
      </c>
      <c r="AV477" s="538" t="s">
        <v>47</v>
      </c>
      <c r="AZ477" s="538">
        <v>1.0</v>
      </c>
      <c r="BA477" s="538">
        <v>1.0</v>
      </c>
      <c r="BB477" s="538">
        <v>1.0</v>
      </c>
      <c r="BE477" s="538">
        <v>0.6</v>
      </c>
      <c r="BF477" s="538">
        <v>0.2</v>
      </c>
      <c r="BG477" s="538">
        <v>0.4</v>
      </c>
      <c r="BJ477" s="546"/>
      <c r="BL477" s="546"/>
    </row>
    <row r="478" ht="22.5" customHeight="1">
      <c r="A478" s="538">
        <v>477.0</v>
      </c>
      <c r="B478" s="538" t="s">
        <v>2228</v>
      </c>
      <c r="C478" s="538" t="s">
        <v>82</v>
      </c>
      <c r="D478" s="538" t="s">
        <v>2229</v>
      </c>
      <c r="E478" s="538" t="s">
        <v>112</v>
      </c>
      <c r="F478" s="538" t="s">
        <v>368</v>
      </c>
      <c r="G478" s="538" t="s">
        <v>239</v>
      </c>
      <c r="H478" s="538" t="s">
        <v>250</v>
      </c>
      <c r="I478" s="538" t="s">
        <v>122</v>
      </c>
      <c r="J478" s="538" t="s">
        <v>350</v>
      </c>
      <c r="K478" s="538" t="s">
        <v>2231</v>
      </c>
      <c r="L478" s="538" t="s">
        <v>2232</v>
      </c>
      <c r="M478" s="538" t="s">
        <v>2233</v>
      </c>
      <c r="N478" s="538" t="s">
        <v>673</v>
      </c>
      <c r="O478" s="538" t="b">
        <v>1</v>
      </c>
      <c r="P478" s="538" t="b">
        <v>1</v>
      </c>
      <c r="Q478" s="538" t="s">
        <v>79</v>
      </c>
      <c r="R478" s="538" t="s">
        <v>368</v>
      </c>
      <c r="S478" s="538" t="s">
        <v>79</v>
      </c>
      <c r="T478" s="538" t="s">
        <v>368</v>
      </c>
      <c r="U478" s="538" t="s">
        <v>79</v>
      </c>
      <c r="V478" s="538" t="s">
        <v>368</v>
      </c>
      <c r="W478" s="538" t="s">
        <v>79</v>
      </c>
      <c r="X478" s="538" t="s">
        <v>368</v>
      </c>
      <c r="Y478" s="538" t="s">
        <v>79</v>
      </c>
      <c r="Z478" s="538" t="s">
        <v>368</v>
      </c>
      <c r="AA478" s="538" t="s">
        <v>79</v>
      </c>
      <c r="AB478" s="538" t="s">
        <v>368</v>
      </c>
      <c r="AC478" s="538" t="s">
        <v>73</v>
      </c>
      <c r="AE478" s="538" t="s">
        <v>73</v>
      </c>
      <c r="AG478" s="538" t="s">
        <v>79</v>
      </c>
      <c r="AH478" s="538" t="s">
        <v>368</v>
      </c>
      <c r="AI478" s="538" t="s">
        <v>73</v>
      </c>
      <c r="AK478" s="538" t="s">
        <v>79</v>
      </c>
      <c r="AL478" s="538" t="s">
        <v>368</v>
      </c>
      <c r="AM478" s="538" t="s">
        <v>79</v>
      </c>
      <c r="AN478" s="538" t="s">
        <v>368</v>
      </c>
      <c r="AO478" s="538" t="s">
        <v>79</v>
      </c>
      <c r="AP478" s="538" t="s">
        <v>112</v>
      </c>
      <c r="AQ478" s="538" t="s">
        <v>79</v>
      </c>
      <c r="AR478" s="538" t="s">
        <v>112</v>
      </c>
      <c r="AS478" s="538">
        <v>2.011733285E9</v>
      </c>
      <c r="AT478" s="538">
        <v>3.739192827E9</v>
      </c>
      <c r="AU478" s="538">
        <v>282.0</v>
      </c>
      <c r="AV478" s="538" t="s">
        <v>47</v>
      </c>
      <c r="AZ478" s="538">
        <v>0.3</v>
      </c>
      <c r="BA478" s="538">
        <v>0.4</v>
      </c>
      <c r="BB478" s="538">
        <v>0.55</v>
      </c>
      <c r="BC478" s="538">
        <v>0.75</v>
      </c>
      <c r="BD478" s="538">
        <v>1.0</v>
      </c>
      <c r="BE478" s="538">
        <v>1.0</v>
      </c>
      <c r="BF478" s="538">
        <v>1.0</v>
      </c>
      <c r="BG478" s="538">
        <v>1.0</v>
      </c>
      <c r="BH478" s="538">
        <v>1.0</v>
      </c>
      <c r="BI478" s="538">
        <v>1.0</v>
      </c>
      <c r="BJ478" s="546"/>
      <c r="BL478" s="546"/>
    </row>
    <row r="479" ht="22.5" customHeight="1">
      <c r="A479" s="538">
        <v>478.0</v>
      </c>
      <c r="B479" s="538" t="s">
        <v>2234</v>
      </c>
      <c r="C479" s="538" t="s">
        <v>82</v>
      </c>
      <c r="D479" s="538" t="s">
        <v>2229</v>
      </c>
      <c r="E479" s="538" t="s">
        <v>223</v>
      </c>
      <c r="F479" s="538" t="s">
        <v>368</v>
      </c>
      <c r="G479" s="538" t="s">
        <v>239</v>
      </c>
      <c r="H479" s="538" t="s">
        <v>222</v>
      </c>
      <c r="I479" s="538" t="s">
        <v>183</v>
      </c>
      <c r="J479" s="538" t="s">
        <v>395</v>
      </c>
      <c r="K479" s="538" t="s">
        <v>2235</v>
      </c>
      <c r="L479" s="538" t="s">
        <v>2236</v>
      </c>
      <c r="M479" s="538" t="s">
        <v>673</v>
      </c>
      <c r="N479" s="538" t="s">
        <v>2237</v>
      </c>
      <c r="O479" s="538" t="b">
        <v>0</v>
      </c>
      <c r="P479" s="538" t="b">
        <v>1</v>
      </c>
      <c r="Q479" s="538" t="s">
        <v>79</v>
      </c>
      <c r="R479" s="538" t="s">
        <v>368</v>
      </c>
      <c r="S479" s="538" t="s">
        <v>79</v>
      </c>
      <c r="T479" s="538" t="s">
        <v>368</v>
      </c>
      <c r="U479" s="538" t="s">
        <v>79</v>
      </c>
      <c r="V479" s="538" t="s">
        <v>368</v>
      </c>
      <c r="W479" s="538" t="s">
        <v>79</v>
      </c>
      <c r="X479" s="538" t="s">
        <v>368</v>
      </c>
      <c r="Y479" s="538" t="s">
        <v>79</v>
      </c>
      <c r="Z479" s="538" t="s">
        <v>368</v>
      </c>
      <c r="AA479" s="538" t="s">
        <v>79</v>
      </c>
      <c r="AB479" s="538" t="s">
        <v>368</v>
      </c>
      <c r="AC479" s="538" t="s">
        <v>73</v>
      </c>
      <c r="AE479" s="538" t="s">
        <v>73</v>
      </c>
      <c r="AG479" s="538" t="s">
        <v>79</v>
      </c>
      <c r="AH479" s="538" t="s">
        <v>368</v>
      </c>
      <c r="AI479" s="538" t="s">
        <v>73</v>
      </c>
      <c r="AK479" s="538" t="s">
        <v>79</v>
      </c>
      <c r="AL479" s="538" t="s">
        <v>368</v>
      </c>
      <c r="AM479" s="538" t="s">
        <v>79</v>
      </c>
      <c r="AN479" s="538" t="s">
        <v>368</v>
      </c>
      <c r="AO479" s="538" t="s">
        <v>79</v>
      </c>
      <c r="AP479" s="538" t="s">
        <v>223</v>
      </c>
      <c r="AQ479" s="538" t="s">
        <v>79</v>
      </c>
      <c r="AR479" s="538" t="s">
        <v>223</v>
      </c>
      <c r="AS479" s="538">
        <v>1.664195138E9</v>
      </c>
      <c r="AT479" s="538">
        <v>2.087036948E9</v>
      </c>
      <c r="AU479" s="538">
        <v>283.0</v>
      </c>
      <c r="AV479" s="538" t="s">
        <v>46</v>
      </c>
      <c r="AZ479" s="538">
        <v>1.0</v>
      </c>
      <c r="BA479" s="538">
        <v>1.0</v>
      </c>
      <c r="BB479" s="538">
        <v>1.0</v>
      </c>
      <c r="BC479" s="538">
        <v>1.0</v>
      </c>
      <c r="BD479" s="538">
        <v>1.0</v>
      </c>
      <c r="BE479" s="538">
        <v>1.0</v>
      </c>
      <c r="BF479" s="538">
        <v>2.0</v>
      </c>
      <c r="BG479" s="538">
        <v>4.0</v>
      </c>
      <c r="BH479" s="538">
        <v>7.0</v>
      </c>
      <c r="BI479" s="538">
        <v>11.0</v>
      </c>
      <c r="BJ479" s="546"/>
      <c r="BL479" s="546"/>
    </row>
    <row r="480" ht="22.5" customHeight="1">
      <c r="A480" s="538">
        <v>479.0</v>
      </c>
      <c r="B480" s="538" t="s">
        <v>2234</v>
      </c>
      <c r="C480" s="538" t="s">
        <v>86</v>
      </c>
      <c r="D480" s="538" t="s">
        <v>2229</v>
      </c>
      <c r="E480" s="538" t="s">
        <v>400</v>
      </c>
      <c r="G480" s="538" t="s">
        <v>151</v>
      </c>
      <c r="H480" s="538" t="s">
        <v>250</v>
      </c>
      <c r="I480" s="538" t="s">
        <v>122</v>
      </c>
      <c r="K480" s="538" t="s">
        <v>2238</v>
      </c>
      <c r="L480" s="538" t="s">
        <v>2239</v>
      </c>
      <c r="M480" s="538" t="s">
        <v>673</v>
      </c>
      <c r="N480" s="538" t="s">
        <v>2240</v>
      </c>
      <c r="O480" s="538" t="b">
        <v>0</v>
      </c>
      <c r="P480" s="538" t="b">
        <v>1</v>
      </c>
      <c r="Q480" s="538" t="s">
        <v>79</v>
      </c>
      <c r="R480" s="538" t="s">
        <v>400</v>
      </c>
      <c r="S480" s="538" t="s">
        <v>79</v>
      </c>
      <c r="T480" s="538" t="s">
        <v>400</v>
      </c>
      <c r="U480" s="538" t="s">
        <v>79</v>
      </c>
      <c r="V480" s="538" t="s">
        <v>400</v>
      </c>
      <c r="W480" s="538" t="s">
        <v>79</v>
      </c>
      <c r="X480" s="538" t="s">
        <v>400</v>
      </c>
      <c r="Y480" s="538" t="s">
        <v>79</v>
      </c>
      <c r="Z480" s="538" t="s">
        <v>400</v>
      </c>
      <c r="AA480" s="538" t="s">
        <v>79</v>
      </c>
      <c r="AB480" s="538" t="s">
        <v>400</v>
      </c>
      <c r="AC480" s="538" t="s">
        <v>79</v>
      </c>
      <c r="AD480" s="538" t="s">
        <v>400</v>
      </c>
      <c r="AE480" s="538" t="s">
        <v>79</v>
      </c>
      <c r="AF480" s="538" t="s">
        <v>400</v>
      </c>
      <c r="AG480" s="538" t="s">
        <v>79</v>
      </c>
      <c r="AH480" s="538" t="s">
        <v>400</v>
      </c>
      <c r="AI480" s="538" t="s">
        <v>79</v>
      </c>
      <c r="AJ480" s="538" t="s">
        <v>400</v>
      </c>
      <c r="AK480" s="538" t="s">
        <v>79</v>
      </c>
      <c r="AL480" s="538" t="s">
        <v>400</v>
      </c>
      <c r="AM480" s="538" t="s">
        <v>79</v>
      </c>
      <c r="AN480" s="538" t="s">
        <v>400</v>
      </c>
      <c r="AO480" s="538" t="s">
        <v>79</v>
      </c>
      <c r="AP480" s="538" t="s">
        <v>400</v>
      </c>
      <c r="AQ480" s="538" t="s">
        <v>73</v>
      </c>
      <c r="AS480" s="538">
        <v>3.49987507E9</v>
      </c>
      <c r="AT480" s="538">
        <v>2.087036948E9</v>
      </c>
      <c r="AU480" s="538">
        <v>283.0</v>
      </c>
      <c r="AV480" s="538" t="s">
        <v>46</v>
      </c>
      <c r="AZ480" s="538">
        <v>1.0</v>
      </c>
      <c r="BA480" s="538">
        <v>1.0</v>
      </c>
      <c r="BB480" s="538">
        <v>1.0</v>
      </c>
      <c r="BC480" s="538">
        <v>1.0</v>
      </c>
      <c r="BD480" s="538">
        <v>1.0</v>
      </c>
      <c r="BE480" s="538">
        <v>1.0</v>
      </c>
      <c r="BF480" s="538">
        <v>3.0</v>
      </c>
      <c r="BG480" s="538">
        <v>6.0</v>
      </c>
      <c r="BH480" s="538">
        <v>10.0</v>
      </c>
      <c r="BI480" s="538">
        <v>15.0</v>
      </c>
      <c r="BJ480" s="546"/>
      <c r="BL480" s="546"/>
    </row>
    <row r="481" ht="22.5" customHeight="1">
      <c r="A481" s="538">
        <v>480.0</v>
      </c>
      <c r="B481" s="538" t="s">
        <v>2241</v>
      </c>
      <c r="C481" s="538" t="s">
        <v>82</v>
      </c>
      <c r="D481" s="538" t="s">
        <v>2229</v>
      </c>
      <c r="E481" s="538" t="s">
        <v>241</v>
      </c>
      <c r="F481" s="538" t="s">
        <v>371</v>
      </c>
      <c r="G481" s="538" t="s">
        <v>163</v>
      </c>
      <c r="H481" s="538" t="s">
        <v>250</v>
      </c>
      <c r="I481" s="538" t="s">
        <v>155</v>
      </c>
      <c r="K481" s="538" t="s">
        <v>2242</v>
      </c>
      <c r="L481" s="538" t="s">
        <v>2243</v>
      </c>
      <c r="M481" s="538" t="s">
        <v>673</v>
      </c>
      <c r="N481" s="538" t="s">
        <v>2244</v>
      </c>
      <c r="O481" s="538" t="b">
        <v>0</v>
      </c>
      <c r="P481" s="538" t="b">
        <v>0</v>
      </c>
      <c r="Q481" s="538" t="s">
        <v>79</v>
      </c>
      <c r="R481" s="538" t="s">
        <v>371</v>
      </c>
      <c r="S481" s="538" t="s">
        <v>79</v>
      </c>
      <c r="T481" s="538" t="s">
        <v>371</v>
      </c>
      <c r="U481" s="538" t="s">
        <v>79</v>
      </c>
      <c r="V481" s="538" t="s">
        <v>371</v>
      </c>
      <c r="W481" s="538" t="s">
        <v>79</v>
      </c>
      <c r="X481" s="538" t="s">
        <v>371</v>
      </c>
      <c r="Y481" s="538" t="s">
        <v>79</v>
      </c>
      <c r="Z481" s="538" t="s">
        <v>371</v>
      </c>
      <c r="AA481" s="538" t="s">
        <v>79</v>
      </c>
      <c r="AB481" s="538" t="s">
        <v>371</v>
      </c>
      <c r="AC481" s="538" t="s">
        <v>79</v>
      </c>
      <c r="AD481" s="538" t="s">
        <v>371</v>
      </c>
      <c r="AE481" s="538" t="s">
        <v>79</v>
      </c>
      <c r="AF481" s="538" t="s">
        <v>371</v>
      </c>
      <c r="AG481" s="538" t="s">
        <v>79</v>
      </c>
      <c r="AH481" s="538" t="s">
        <v>371</v>
      </c>
      <c r="AI481" s="538" t="s">
        <v>73</v>
      </c>
      <c r="AK481" s="538" t="s">
        <v>79</v>
      </c>
      <c r="AL481" s="538" t="s">
        <v>371</v>
      </c>
      <c r="AM481" s="538" t="s">
        <v>79</v>
      </c>
      <c r="AN481" s="538" t="s">
        <v>371</v>
      </c>
      <c r="AO481" s="538" t="s">
        <v>79</v>
      </c>
      <c r="AP481" s="538" t="s">
        <v>241</v>
      </c>
      <c r="AQ481" s="538" t="s">
        <v>79</v>
      </c>
      <c r="AR481" s="538" t="s">
        <v>241</v>
      </c>
      <c r="AS481" s="538">
        <v>3.767792326E9</v>
      </c>
      <c r="AT481" s="538">
        <v>4.73853704E8</v>
      </c>
      <c r="AU481" s="538">
        <v>284.0</v>
      </c>
      <c r="AV481" s="538" t="s">
        <v>47</v>
      </c>
      <c r="AZ481" s="538">
        <v>1.0</v>
      </c>
      <c r="BA481" s="538">
        <v>1.0</v>
      </c>
      <c r="BB481" s="538">
        <v>1.0</v>
      </c>
      <c r="BC481" s="538">
        <v>1.0</v>
      </c>
      <c r="BD481" s="538">
        <v>1.0</v>
      </c>
      <c r="BE481" s="538">
        <v>500.0</v>
      </c>
      <c r="BF481" s="538">
        <v>1000.0</v>
      </c>
      <c r="BG481" s="538">
        <v>1500.0</v>
      </c>
      <c r="BH481" s="538">
        <v>2750.0</v>
      </c>
      <c r="BI481" s="538">
        <v>5000.0</v>
      </c>
      <c r="BJ481" s="546"/>
      <c r="BL481" s="546"/>
    </row>
    <row r="482" ht="22.5" customHeight="1">
      <c r="A482" s="538">
        <v>481.0</v>
      </c>
      <c r="B482" s="538" t="s">
        <v>2241</v>
      </c>
      <c r="C482" s="538" t="s">
        <v>86</v>
      </c>
      <c r="D482" s="538" t="s">
        <v>2229</v>
      </c>
      <c r="E482" s="538" t="s">
        <v>292</v>
      </c>
      <c r="F482" s="538" t="s">
        <v>228</v>
      </c>
      <c r="G482" s="538" t="s">
        <v>118</v>
      </c>
      <c r="H482" s="538" t="s">
        <v>250</v>
      </c>
      <c r="I482" s="538" t="s">
        <v>155</v>
      </c>
      <c r="J482" s="538" t="s">
        <v>384</v>
      </c>
      <c r="K482" s="538" t="s">
        <v>2245</v>
      </c>
      <c r="L482" s="538" t="s">
        <v>2246</v>
      </c>
      <c r="M482" s="538" t="s">
        <v>673</v>
      </c>
      <c r="N482" s="538" t="s">
        <v>2247</v>
      </c>
      <c r="O482" s="538" t="b">
        <v>0</v>
      </c>
      <c r="P482" s="538" t="b">
        <v>1</v>
      </c>
      <c r="Q482" s="538" t="s">
        <v>79</v>
      </c>
      <c r="R482" s="538" t="s">
        <v>228</v>
      </c>
      <c r="S482" s="538" t="s">
        <v>79</v>
      </c>
      <c r="T482" s="538" t="s">
        <v>228</v>
      </c>
      <c r="U482" s="538" t="s">
        <v>73</v>
      </c>
      <c r="W482" s="538" t="s">
        <v>73</v>
      </c>
      <c r="Y482" s="538" t="s">
        <v>79</v>
      </c>
      <c r="Z482" s="538" t="s">
        <v>228</v>
      </c>
      <c r="AA482" s="538" t="s">
        <v>73</v>
      </c>
      <c r="AC482" s="538" t="s">
        <v>73</v>
      </c>
      <c r="AE482" s="538" t="s">
        <v>73</v>
      </c>
      <c r="AG482" s="538" t="s">
        <v>79</v>
      </c>
      <c r="AH482" s="538" t="s">
        <v>228</v>
      </c>
      <c r="AI482" s="538" t="s">
        <v>73</v>
      </c>
      <c r="AK482" s="538" t="s">
        <v>79</v>
      </c>
      <c r="AL482" s="538" t="s">
        <v>228</v>
      </c>
      <c r="AM482" s="538" t="s">
        <v>79</v>
      </c>
      <c r="AN482" s="538" t="s">
        <v>228</v>
      </c>
      <c r="AO482" s="538" t="s">
        <v>79</v>
      </c>
      <c r="AP482" s="538" t="s">
        <v>292</v>
      </c>
      <c r="AQ482" s="538" t="s">
        <v>79</v>
      </c>
      <c r="AR482" s="538" t="s">
        <v>292</v>
      </c>
      <c r="AS482" s="538">
        <v>2.985939895E9</v>
      </c>
      <c r="AT482" s="538">
        <v>4.73853704E8</v>
      </c>
      <c r="AU482" s="538">
        <v>284.0</v>
      </c>
      <c r="AV482" s="538" t="s">
        <v>47</v>
      </c>
      <c r="AZ482" s="538">
        <v>1.0</v>
      </c>
      <c r="BA482" s="538">
        <v>1.0</v>
      </c>
      <c r="BB482" s="538">
        <v>1.0</v>
      </c>
      <c r="BC482" s="538">
        <v>1.0</v>
      </c>
      <c r="BD482" s="538">
        <v>1.0</v>
      </c>
      <c r="BE482" s="538">
        <v>0.04</v>
      </c>
      <c r="BF482" s="538">
        <v>0.05</v>
      </c>
      <c r="BG482" s="538">
        <v>0.06</v>
      </c>
      <c r="BH482" s="538">
        <v>0.08</v>
      </c>
      <c r="BI482" s="538">
        <v>0.12</v>
      </c>
      <c r="BJ482" s="546"/>
      <c r="BL482" s="546"/>
    </row>
    <row r="483" ht="22.5" customHeight="1">
      <c r="A483" s="538">
        <v>482.0</v>
      </c>
      <c r="B483" s="538" t="s">
        <v>2248</v>
      </c>
      <c r="C483" s="538" t="s">
        <v>82</v>
      </c>
      <c r="D483" s="538" t="s">
        <v>2229</v>
      </c>
      <c r="E483" s="538" t="s">
        <v>295</v>
      </c>
      <c r="F483" s="538" t="s">
        <v>228</v>
      </c>
      <c r="G483" s="538" t="s">
        <v>118</v>
      </c>
      <c r="H483" s="538" t="s">
        <v>250</v>
      </c>
      <c r="I483" s="538" t="s">
        <v>155</v>
      </c>
      <c r="J483" s="538" t="s">
        <v>384</v>
      </c>
      <c r="K483" s="538" t="s">
        <v>2249</v>
      </c>
      <c r="L483" s="538" t="s">
        <v>2250</v>
      </c>
      <c r="M483" s="538" t="s">
        <v>673</v>
      </c>
      <c r="N483" s="538" t="s">
        <v>2251</v>
      </c>
      <c r="O483" s="538" t="b">
        <v>0</v>
      </c>
      <c r="P483" s="538" t="b">
        <v>1</v>
      </c>
      <c r="Q483" s="538" t="s">
        <v>79</v>
      </c>
      <c r="R483" s="538" t="s">
        <v>228</v>
      </c>
      <c r="S483" s="538" t="s">
        <v>79</v>
      </c>
      <c r="T483" s="538" t="s">
        <v>228</v>
      </c>
      <c r="U483" s="538" t="s">
        <v>73</v>
      </c>
      <c r="W483" s="538" t="s">
        <v>73</v>
      </c>
      <c r="Y483" s="538" t="s">
        <v>79</v>
      </c>
      <c r="Z483" s="538" t="s">
        <v>228</v>
      </c>
      <c r="AA483" s="538" t="s">
        <v>73</v>
      </c>
      <c r="AC483" s="538" t="s">
        <v>73</v>
      </c>
      <c r="AE483" s="538" t="s">
        <v>73</v>
      </c>
      <c r="AG483" s="538" t="s">
        <v>79</v>
      </c>
      <c r="AH483" s="538" t="s">
        <v>228</v>
      </c>
      <c r="AI483" s="538" t="s">
        <v>73</v>
      </c>
      <c r="AK483" s="538" t="s">
        <v>79</v>
      </c>
      <c r="AL483" s="538" t="s">
        <v>228</v>
      </c>
      <c r="AM483" s="538" t="s">
        <v>79</v>
      </c>
      <c r="AN483" s="538" t="s">
        <v>228</v>
      </c>
      <c r="AO483" s="538" t="s">
        <v>79</v>
      </c>
      <c r="AP483" s="538" t="s">
        <v>295</v>
      </c>
      <c r="AQ483" s="538" t="s">
        <v>79</v>
      </c>
      <c r="AR483" s="538" t="s">
        <v>295</v>
      </c>
      <c r="AS483" s="538">
        <v>2.757146314E9</v>
      </c>
      <c r="AT483" s="538">
        <v>3.08323068E9</v>
      </c>
      <c r="AU483" s="538">
        <v>285.0</v>
      </c>
      <c r="AV483" s="538" t="s">
        <v>46</v>
      </c>
      <c r="AZ483" s="538">
        <v>1.0</v>
      </c>
      <c r="BA483" s="538">
        <v>1.0</v>
      </c>
      <c r="BB483" s="538">
        <v>1.0</v>
      </c>
      <c r="BC483" s="538">
        <v>1.0</v>
      </c>
      <c r="BD483" s="538">
        <v>1.0</v>
      </c>
      <c r="BE483" s="538">
        <v>0.05</v>
      </c>
      <c r="BF483" s="538">
        <v>0.08</v>
      </c>
      <c r="BG483" s="538">
        <v>0.12</v>
      </c>
      <c r="BH483" s="538">
        <v>0.17</v>
      </c>
      <c r="BI483" s="538">
        <v>0.25</v>
      </c>
      <c r="BJ483" s="546"/>
      <c r="BL483" s="546"/>
    </row>
    <row r="484" ht="22.5" customHeight="1">
      <c r="A484" s="538">
        <v>483.0</v>
      </c>
      <c r="B484" s="538" t="s">
        <v>2248</v>
      </c>
      <c r="C484" s="538" t="s">
        <v>86</v>
      </c>
      <c r="D484" s="538" t="s">
        <v>2229</v>
      </c>
      <c r="E484" s="538" t="s">
        <v>307</v>
      </c>
      <c r="G484" s="538" t="s">
        <v>151</v>
      </c>
      <c r="H484" s="538" t="s">
        <v>250</v>
      </c>
      <c r="I484" s="538" t="s">
        <v>122</v>
      </c>
      <c r="K484" s="538" t="s">
        <v>2252</v>
      </c>
      <c r="L484" s="538" t="s">
        <v>2253</v>
      </c>
      <c r="M484" s="538" t="s">
        <v>673</v>
      </c>
      <c r="N484" s="538" t="s">
        <v>2254</v>
      </c>
      <c r="O484" s="538" t="b">
        <v>0</v>
      </c>
      <c r="P484" s="538" t="b">
        <v>1</v>
      </c>
      <c r="Q484" s="538" t="s">
        <v>79</v>
      </c>
      <c r="R484" s="538" t="s">
        <v>307</v>
      </c>
      <c r="S484" s="538" t="s">
        <v>79</v>
      </c>
      <c r="T484" s="538" t="s">
        <v>307</v>
      </c>
      <c r="U484" s="538" t="s">
        <v>73</v>
      </c>
      <c r="W484" s="538" t="s">
        <v>79</v>
      </c>
      <c r="X484" s="538" t="s">
        <v>307</v>
      </c>
      <c r="Y484" s="538" t="s">
        <v>79</v>
      </c>
      <c r="Z484" s="538" t="s">
        <v>307</v>
      </c>
      <c r="AA484" s="538" t="s">
        <v>79</v>
      </c>
      <c r="AB484" s="538" t="s">
        <v>307</v>
      </c>
      <c r="AC484" s="538" t="s">
        <v>79</v>
      </c>
      <c r="AD484" s="538" t="s">
        <v>307</v>
      </c>
      <c r="AE484" s="538" t="s">
        <v>79</v>
      </c>
      <c r="AF484" s="538" t="s">
        <v>307</v>
      </c>
      <c r="AG484" s="538" t="s">
        <v>79</v>
      </c>
      <c r="AH484" s="538" t="s">
        <v>307</v>
      </c>
      <c r="AI484" s="538" t="s">
        <v>79</v>
      </c>
      <c r="AJ484" s="538" t="s">
        <v>307</v>
      </c>
      <c r="AK484" s="538" t="s">
        <v>79</v>
      </c>
      <c r="AL484" s="538" t="s">
        <v>307</v>
      </c>
      <c r="AM484" s="538" t="s">
        <v>79</v>
      </c>
      <c r="AN484" s="538" t="s">
        <v>307</v>
      </c>
      <c r="AO484" s="538" t="s">
        <v>73</v>
      </c>
      <c r="AQ484" s="538" t="s">
        <v>79</v>
      </c>
      <c r="AR484" s="538" t="s">
        <v>307</v>
      </c>
      <c r="AS484" s="538">
        <v>4.77917953E8</v>
      </c>
      <c r="AT484" s="538">
        <v>3.08323068E9</v>
      </c>
      <c r="AU484" s="538">
        <v>285.0</v>
      </c>
      <c r="AV484" s="538" t="s">
        <v>46</v>
      </c>
      <c r="AZ484" s="538">
        <v>1.0</v>
      </c>
      <c r="BA484" s="538">
        <v>1.0</v>
      </c>
      <c r="BB484" s="538">
        <v>1.0</v>
      </c>
      <c r="BC484" s="538">
        <v>1.0</v>
      </c>
      <c r="BD484" s="538">
        <v>1.0</v>
      </c>
      <c r="BE484" s="538">
        <v>0.15</v>
      </c>
      <c r="BF484" s="538">
        <v>0.25</v>
      </c>
      <c r="BG484" s="538">
        <v>0.4</v>
      </c>
      <c r="BH484" s="538">
        <v>0.65</v>
      </c>
      <c r="BI484" s="538">
        <v>1.0</v>
      </c>
      <c r="BJ484" s="546"/>
      <c r="BL484" s="546"/>
    </row>
    <row r="485" ht="22.5" customHeight="1">
      <c r="A485" s="538">
        <v>484.0</v>
      </c>
      <c r="B485" s="538" t="s">
        <v>2255</v>
      </c>
      <c r="C485" s="538" t="s">
        <v>82</v>
      </c>
      <c r="D485" s="538" t="s">
        <v>1603</v>
      </c>
      <c r="E485" s="538" t="s">
        <v>298</v>
      </c>
      <c r="G485" s="538" t="s">
        <v>151</v>
      </c>
      <c r="H485" s="538" t="s">
        <v>250</v>
      </c>
      <c r="I485" s="538" t="s">
        <v>122</v>
      </c>
      <c r="K485" s="538" t="s">
        <v>2256</v>
      </c>
      <c r="L485" s="538" t="s">
        <v>2257</v>
      </c>
      <c r="M485" s="538" t="s">
        <v>673</v>
      </c>
      <c r="N485" s="538" t="s">
        <v>2258</v>
      </c>
      <c r="O485" s="538" t="b">
        <v>0</v>
      </c>
      <c r="P485" s="538" t="b">
        <v>1</v>
      </c>
      <c r="Q485" s="538" t="s">
        <v>79</v>
      </c>
      <c r="R485" s="538" t="s">
        <v>298</v>
      </c>
      <c r="S485" s="538" t="s">
        <v>79</v>
      </c>
      <c r="T485" s="538" t="s">
        <v>298</v>
      </c>
      <c r="U485" s="538" t="s">
        <v>75</v>
      </c>
      <c r="V485" s="538" t="s">
        <v>1878</v>
      </c>
      <c r="W485" s="538" t="s">
        <v>79</v>
      </c>
      <c r="X485" s="538" t="s">
        <v>298</v>
      </c>
      <c r="Y485" s="538" t="s">
        <v>79</v>
      </c>
      <c r="Z485" s="538" t="s">
        <v>298</v>
      </c>
      <c r="AA485" s="538" t="s">
        <v>79</v>
      </c>
      <c r="AB485" s="538" t="s">
        <v>298</v>
      </c>
      <c r="AC485" s="538" t="s">
        <v>75</v>
      </c>
      <c r="AD485" s="538" t="s">
        <v>1878</v>
      </c>
      <c r="AE485" s="538" t="s">
        <v>75</v>
      </c>
      <c r="AF485" s="538" t="s">
        <v>1878</v>
      </c>
      <c r="AG485" s="538" t="s">
        <v>79</v>
      </c>
      <c r="AH485" s="538" t="s">
        <v>298</v>
      </c>
      <c r="AI485" s="538" t="s">
        <v>79</v>
      </c>
      <c r="AJ485" s="538" t="s">
        <v>298</v>
      </c>
      <c r="AK485" s="538" t="s">
        <v>79</v>
      </c>
      <c r="AL485" s="538" t="s">
        <v>298</v>
      </c>
      <c r="AM485" s="538" t="s">
        <v>79</v>
      </c>
      <c r="AN485" s="538" t="s">
        <v>298</v>
      </c>
      <c r="AO485" s="538" t="s">
        <v>73</v>
      </c>
      <c r="AQ485" s="538" t="s">
        <v>79</v>
      </c>
      <c r="AR485" s="538" t="s">
        <v>298</v>
      </c>
      <c r="AS485" s="538">
        <v>1.628555092E9</v>
      </c>
      <c r="AT485" s="538">
        <v>3.038078185E9</v>
      </c>
      <c r="AU485" s="538">
        <v>286.0</v>
      </c>
      <c r="AV485" s="538" t="s">
        <v>47</v>
      </c>
      <c r="AY485" s="538" t="s">
        <v>298</v>
      </c>
      <c r="AZ485" s="538">
        <v>1.0</v>
      </c>
      <c r="BA485" s="538">
        <v>1.0</v>
      </c>
      <c r="BB485" s="538">
        <v>1.0</v>
      </c>
      <c r="BC485" s="538">
        <v>1.0</v>
      </c>
      <c r="BD485" s="538">
        <v>1.0</v>
      </c>
      <c r="BE485" s="538">
        <v>0.5</v>
      </c>
      <c r="BF485" s="538">
        <v>1.0</v>
      </c>
      <c r="BG485" s="538">
        <v>1.75</v>
      </c>
      <c r="BH485" s="538">
        <v>2.5</v>
      </c>
      <c r="BI485" s="538">
        <v>4.0</v>
      </c>
      <c r="BJ485" s="546"/>
      <c r="BL485" s="546"/>
    </row>
    <row r="486" ht="22.5" customHeight="1">
      <c r="A486" s="538">
        <v>485.0</v>
      </c>
      <c r="B486" s="538" t="s">
        <v>2255</v>
      </c>
      <c r="C486" s="538" t="s">
        <v>86</v>
      </c>
      <c r="D486" s="538" t="s">
        <v>1603</v>
      </c>
      <c r="E486" s="538" t="s">
        <v>268</v>
      </c>
      <c r="G486" s="538" t="s">
        <v>151</v>
      </c>
      <c r="H486" s="538" t="s">
        <v>250</v>
      </c>
      <c r="I486" s="538" t="s">
        <v>122</v>
      </c>
      <c r="K486" s="538" t="s">
        <v>2259</v>
      </c>
      <c r="L486" s="538" t="s">
        <v>2260</v>
      </c>
      <c r="M486" s="538" t="s">
        <v>673</v>
      </c>
      <c r="N486" s="538" t="s">
        <v>2261</v>
      </c>
      <c r="O486" s="538" t="b">
        <v>0</v>
      </c>
      <c r="P486" s="538" t="b">
        <v>1</v>
      </c>
      <c r="Q486" s="538" t="s">
        <v>79</v>
      </c>
      <c r="R486" s="538" t="s">
        <v>268</v>
      </c>
      <c r="S486" s="538" t="s">
        <v>79</v>
      </c>
      <c r="T486" s="538" t="s">
        <v>268</v>
      </c>
      <c r="U486" s="538" t="s">
        <v>79</v>
      </c>
      <c r="V486" s="538" t="s">
        <v>268</v>
      </c>
      <c r="W486" s="538" t="s">
        <v>79</v>
      </c>
      <c r="X486" s="538" t="s">
        <v>268</v>
      </c>
      <c r="Y486" s="538" t="s">
        <v>79</v>
      </c>
      <c r="Z486" s="538" t="s">
        <v>268</v>
      </c>
      <c r="AA486" s="538" t="s">
        <v>79</v>
      </c>
      <c r="AB486" s="538" t="s">
        <v>268</v>
      </c>
      <c r="AC486" s="538" t="s">
        <v>79</v>
      </c>
      <c r="AD486" s="538" t="s">
        <v>268</v>
      </c>
      <c r="AE486" s="538" t="s">
        <v>79</v>
      </c>
      <c r="AF486" s="538" t="s">
        <v>268</v>
      </c>
      <c r="AG486" s="538" t="s">
        <v>79</v>
      </c>
      <c r="AH486" s="538" t="s">
        <v>268</v>
      </c>
      <c r="AI486" s="538" t="s">
        <v>79</v>
      </c>
      <c r="AJ486" s="538" t="s">
        <v>268</v>
      </c>
      <c r="AK486" s="538" t="s">
        <v>79</v>
      </c>
      <c r="AL486" s="538" t="s">
        <v>268</v>
      </c>
      <c r="AM486" s="538" t="s">
        <v>79</v>
      </c>
      <c r="AN486" s="538" t="s">
        <v>268</v>
      </c>
      <c r="AO486" s="538" t="s">
        <v>79</v>
      </c>
      <c r="AP486" s="538" t="s">
        <v>268</v>
      </c>
      <c r="AQ486" s="538" t="s">
        <v>73</v>
      </c>
      <c r="AS486" s="538">
        <v>2.654275345E9</v>
      </c>
      <c r="AT486" s="538">
        <v>3.038078185E9</v>
      </c>
      <c r="AU486" s="538">
        <v>286.0</v>
      </c>
      <c r="AV486" s="538" t="s">
        <v>47</v>
      </c>
      <c r="AZ486" s="538">
        <v>1.0</v>
      </c>
      <c r="BA486" s="538">
        <v>1.0</v>
      </c>
      <c r="BB486" s="538">
        <v>1.0</v>
      </c>
      <c r="BC486" s="538">
        <v>1.0</v>
      </c>
      <c r="BD486" s="538">
        <v>1.0</v>
      </c>
      <c r="BE486" s="538">
        <v>1.0</v>
      </c>
      <c r="BF486" s="538">
        <v>1.75</v>
      </c>
      <c r="BG486" s="538">
        <v>2.5</v>
      </c>
      <c r="BH486" s="538">
        <v>4.0</v>
      </c>
      <c r="BI486" s="538">
        <v>6.0</v>
      </c>
      <c r="BJ486" s="546"/>
      <c r="BL486" s="546"/>
    </row>
    <row r="487" ht="22.5" customHeight="1">
      <c r="A487" s="538">
        <v>486.0</v>
      </c>
      <c r="B487" s="538" t="s">
        <v>2262</v>
      </c>
      <c r="C487" s="538" t="s">
        <v>82</v>
      </c>
      <c r="D487" s="538" t="s">
        <v>2136</v>
      </c>
      <c r="E487" s="538" t="s">
        <v>241</v>
      </c>
      <c r="F487" s="538" t="s">
        <v>2263</v>
      </c>
      <c r="G487" s="538" t="s">
        <v>230</v>
      </c>
      <c r="H487" s="538" t="s">
        <v>250</v>
      </c>
      <c r="I487" s="538" t="s">
        <v>122</v>
      </c>
      <c r="J487" s="538" t="s">
        <v>350</v>
      </c>
      <c r="K487" s="538" t="s">
        <v>2264</v>
      </c>
      <c r="L487" s="538" t="s">
        <v>2265</v>
      </c>
      <c r="M487" s="538" t="s">
        <v>673</v>
      </c>
      <c r="N487" s="538" t="s">
        <v>775</v>
      </c>
      <c r="O487" s="538" t="b">
        <v>0</v>
      </c>
      <c r="P487" s="538" t="b">
        <v>1</v>
      </c>
      <c r="Q487" s="538" t="s">
        <v>75</v>
      </c>
      <c r="R487" s="538" t="s">
        <v>2143</v>
      </c>
      <c r="S487" s="538" t="s">
        <v>79</v>
      </c>
      <c r="T487" s="538" t="s">
        <v>385</v>
      </c>
      <c r="U487" s="538" t="s">
        <v>79</v>
      </c>
      <c r="V487" s="538" t="s">
        <v>2139</v>
      </c>
      <c r="W487" s="538" t="s">
        <v>79</v>
      </c>
      <c r="X487" s="538" t="s">
        <v>2139</v>
      </c>
      <c r="Y487" s="538" t="s">
        <v>79</v>
      </c>
      <c r="Z487" s="538" t="s">
        <v>2139</v>
      </c>
      <c r="AA487" s="538" t="s">
        <v>79</v>
      </c>
      <c r="AB487" s="538" t="s">
        <v>2139</v>
      </c>
      <c r="AC487" s="538" t="s">
        <v>79</v>
      </c>
      <c r="AD487" s="538" t="s">
        <v>2139</v>
      </c>
      <c r="AE487" s="538" t="s">
        <v>79</v>
      </c>
      <c r="AF487" s="538" t="s">
        <v>2139</v>
      </c>
      <c r="AG487" s="538" t="s">
        <v>79</v>
      </c>
      <c r="AH487" s="538" t="s">
        <v>2139</v>
      </c>
      <c r="AI487" s="538" t="s">
        <v>79</v>
      </c>
      <c r="AJ487" s="538" t="s">
        <v>2139</v>
      </c>
      <c r="AK487" s="538" t="s">
        <v>79</v>
      </c>
      <c r="AL487" s="538" t="s">
        <v>2139</v>
      </c>
      <c r="AM487" s="538" t="s">
        <v>79</v>
      </c>
      <c r="AN487" s="538" t="s">
        <v>2139</v>
      </c>
      <c r="AO487" s="538" t="s">
        <v>79</v>
      </c>
      <c r="AP487" s="538" t="s">
        <v>241</v>
      </c>
      <c r="AQ487" s="538" t="s">
        <v>79</v>
      </c>
      <c r="AR487" s="538" t="s">
        <v>241</v>
      </c>
      <c r="AS487" s="538">
        <v>1.914828553E9</v>
      </c>
      <c r="AT487" s="538">
        <v>4.294120304E9</v>
      </c>
      <c r="AU487" s="538">
        <v>916.0</v>
      </c>
      <c r="AV487" s="538" t="s">
        <v>47</v>
      </c>
      <c r="AX487" s="538" t="s">
        <v>1891</v>
      </c>
      <c r="AY487" s="538" t="s">
        <v>2143</v>
      </c>
      <c r="AZ487" s="538">
        <v>1.0</v>
      </c>
      <c r="BA487" s="538">
        <v>1.0</v>
      </c>
      <c r="BB487" s="538">
        <v>1.0</v>
      </c>
      <c r="BC487" s="538">
        <v>1.0</v>
      </c>
      <c r="BD487" s="538">
        <v>1.0</v>
      </c>
      <c r="BE487" s="538">
        <v>0.4</v>
      </c>
      <c r="BF487" s="538">
        <v>0.5</v>
      </c>
      <c r="BG487" s="538">
        <v>0.6</v>
      </c>
      <c r="BH487" s="538">
        <v>0.8</v>
      </c>
      <c r="BI487" s="538">
        <v>1.0</v>
      </c>
      <c r="BJ487" s="546"/>
      <c r="BL487" s="546"/>
    </row>
    <row r="488" ht="22.5" customHeight="1">
      <c r="A488" s="538">
        <v>487.0</v>
      </c>
      <c r="B488" s="538" t="s">
        <v>2262</v>
      </c>
      <c r="C488" s="538" t="s">
        <v>86</v>
      </c>
      <c r="D488" s="538" t="s">
        <v>2136</v>
      </c>
      <c r="E488" s="538" t="s">
        <v>241</v>
      </c>
      <c r="F488" s="538" t="s">
        <v>2200</v>
      </c>
      <c r="G488" s="538" t="s">
        <v>163</v>
      </c>
      <c r="H488" s="538" t="s">
        <v>250</v>
      </c>
      <c r="I488" s="538" t="s">
        <v>155</v>
      </c>
      <c r="K488" s="538" t="s">
        <v>2266</v>
      </c>
      <c r="L488" s="538" t="s">
        <v>2267</v>
      </c>
      <c r="M488" s="538" t="s">
        <v>673</v>
      </c>
      <c r="N488" s="538" t="s">
        <v>2268</v>
      </c>
      <c r="O488" s="538" t="b">
        <v>0</v>
      </c>
      <c r="P488" s="538" t="b">
        <v>0</v>
      </c>
      <c r="Q488" s="538" t="s">
        <v>79</v>
      </c>
      <c r="R488" s="538" t="s">
        <v>1994</v>
      </c>
      <c r="S488" s="538" t="s">
        <v>79</v>
      </c>
      <c r="T488" s="538" t="s">
        <v>1994</v>
      </c>
      <c r="U488" s="538" t="s">
        <v>75</v>
      </c>
      <c r="V488" s="538" t="s">
        <v>348</v>
      </c>
      <c r="W488" s="538" t="s">
        <v>75</v>
      </c>
      <c r="X488" s="538" t="s">
        <v>348</v>
      </c>
      <c r="Y488" s="538" t="s">
        <v>79</v>
      </c>
      <c r="Z488" s="538" t="s">
        <v>1994</v>
      </c>
      <c r="AA488" s="538" t="s">
        <v>75</v>
      </c>
      <c r="AB488" s="538" t="s">
        <v>348</v>
      </c>
      <c r="AC488" s="538" t="s">
        <v>79</v>
      </c>
      <c r="AD488" s="538" t="s">
        <v>377</v>
      </c>
      <c r="AE488" s="538" t="s">
        <v>79</v>
      </c>
      <c r="AF488" s="538" t="s">
        <v>377</v>
      </c>
      <c r="AG488" s="538" t="s">
        <v>79</v>
      </c>
      <c r="AH488" s="538" t="s">
        <v>1994</v>
      </c>
      <c r="AI488" s="538" t="s">
        <v>79</v>
      </c>
      <c r="AJ488" s="538" t="s">
        <v>377</v>
      </c>
      <c r="AK488" s="538" t="s">
        <v>79</v>
      </c>
      <c r="AL488" s="538" t="s">
        <v>1994</v>
      </c>
      <c r="AM488" s="538" t="s">
        <v>79</v>
      </c>
      <c r="AN488" s="538" t="s">
        <v>1994</v>
      </c>
      <c r="AO488" s="538" t="s">
        <v>79</v>
      </c>
      <c r="AP488" s="538" t="s">
        <v>241</v>
      </c>
      <c r="AQ488" s="538" t="s">
        <v>79</v>
      </c>
      <c r="AR488" s="538" t="s">
        <v>241</v>
      </c>
      <c r="AS488" s="538">
        <v>6.19430526E8</v>
      </c>
      <c r="AT488" s="538">
        <v>4.294120304E9</v>
      </c>
      <c r="AU488" s="538">
        <v>916.0</v>
      </c>
      <c r="AV488" s="538" t="s">
        <v>47</v>
      </c>
      <c r="AY488" s="538" t="s">
        <v>348</v>
      </c>
      <c r="AZ488" s="538">
        <v>1.0</v>
      </c>
      <c r="BA488" s="538">
        <v>1.0</v>
      </c>
      <c r="BB488" s="538">
        <v>1.0</v>
      </c>
      <c r="BC488" s="538">
        <v>1.0</v>
      </c>
      <c r="BD488" s="538">
        <v>1.0</v>
      </c>
      <c r="BE488" s="538">
        <v>700.0</v>
      </c>
      <c r="BF488" s="538">
        <v>900.0</v>
      </c>
      <c r="BG488" s="538">
        <v>1200.0</v>
      </c>
      <c r="BH488" s="538">
        <v>1600.0</v>
      </c>
      <c r="BI488" s="538">
        <v>2000.0</v>
      </c>
      <c r="BJ488" s="546"/>
      <c r="BL488" s="546"/>
    </row>
    <row r="489" ht="22.5" customHeight="1">
      <c r="A489" s="538">
        <v>488.0</v>
      </c>
      <c r="B489" s="538" t="s">
        <v>2269</v>
      </c>
      <c r="C489" s="538" t="s">
        <v>84</v>
      </c>
      <c r="D489" s="538" t="s">
        <v>2270</v>
      </c>
      <c r="E489" s="538" t="s">
        <v>214</v>
      </c>
      <c r="F489" s="538" t="s">
        <v>248</v>
      </c>
      <c r="G489" s="538" t="s">
        <v>239</v>
      </c>
      <c r="H489" s="538" t="s">
        <v>250</v>
      </c>
      <c r="I489" s="538" t="s">
        <v>122</v>
      </c>
      <c r="J489" s="538" t="s">
        <v>347</v>
      </c>
      <c r="K489" s="538" t="s">
        <v>2271</v>
      </c>
      <c r="L489" s="538" t="s">
        <v>2272</v>
      </c>
      <c r="M489" s="538" t="s">
        <v>2273</v>
      </c>
      <c r="N489" s="538" t="s">
        <v>661</v>
      </c>
      <c r="O489" s="538" t="b">
        <v>1</v>
      </c>
      <c r="P489" s="538" t="b">
        <v>1</v>
      </c>
      <c r="Q489" s="538" t="s">
        <v>73</v>
      </c>
      <c r="S489" s="538" t="s">
        <v>73</v>
      </c>
      <c r="U489" s="538" t="s">
        <v>79</v>
      </c>
      <c r="V489" s="538" t="s">
        <v>248</v>
      </c>
      <c r="W489" s="538" t="s">
        <v>79</v>
      </c>
      <c r="X489" s="538" t="s">
        <v>248</v>
      </c>
      <c r="Y489" s="538" t="s">
        <v>79</v>
      </c>
      <c r="Z489" s="538" t="s">
        <v>248</v>
      </c>
      <c r="AA489" s="538" t="s">
        <v>79</v>
      </c>
      <c r="AB489" s="538" t="s">
        <v>248</v>
      </c>
      <c r="AC489" s="538" t="s">
        <v>79</v>
      </c>
      <c r="AD489" s="538" t="s">
        <v>248</v>
      </c>
      <c r="AE489" s="538" t="s">
        <v>79</v>
      </c>
      <c r="AF489" s="538" t="s">
        <v>248</v>
      </c>
      <c r="AG489" s="538" t="s">
        <v>79</v>
      </c>
      <c r="AH489" s="538" t="s">
        <v>248</v>
      </c>
      <c r="AI489" s="538" t="s">
        <v>79</v>
      </c>
      <c r="AJ489" s="538" t="s">
        <v>248</v>
      </c>
      <c r="AK489" s="538" t="s">
        <v>79</v>
      </c>
      <c r="AL489" s="538" t="s">
        <v>248</v>
      </c>
      <c r="AM489" s="538" t="s">
        <v>79</v>
      </c>
      <c r="AN489" s="538" t="s">
        <v>248</v>
      </c>
      <c r="AO489" s="538" t="s">
        <v>79</v>
      </c>
      <c r="AP489" s="538" t="s">
        <v>214</v>
      </c>
      <c r="AQ489" s="538" t="s">
        <v>79</v>
      </c>
      <c r="AR489" s="538" t="s">
        <v>214</v>
      </c>
      <c r="AS489" s="538">
        <v>3.276152561E9</v>
      </c>
      <c r="AT489" s="538">
        <v>2.787886893E9</v>
      </c>
      <c r="AU489" s="538">
        <v>290.0</v>
      </c>
      <c r="AV489" s="538" t="s">
        <v>47</v>
      </c>
      <c r="AZ489" s="538">
        <v>0.4</v>
      </c>
      <c r="BA489" s="538">
        <v>0.1</v>
      </c>
      <c r="BB489" s="538">
        <v>0.3</v>
      </c>
      <c r="BE489" s="538">
        <v>1.0</v>
      </c>
      <c r="BF489" s="538">
        <v>1.0</v>
      </c>
      <c r="BG489" s="538">
        <v>1.0</v>
      </c>
      <c r="BJ489" s="546"/>
      <c r="BL489" s="546"/>
    </row>
    <row r="490" ht="22.5" customHeight="1">
      <c r="A490" s="538">
        <v>489.0</v>
      </c>
      <c r="B490" s="538" t="s">
        <v>2269</v>
      </c>
      <c r="C490" s="538" t="s">
        <v>82</v>
      </c>
      <c r="D490" s="538" t="s">
        <v>2270</v>
      </c>
      <c r="E490" s="538" t="s">
        <v>241</v>
      </c>
      <c r="F490" s="538" t="s">
        <v>2274</v>
      </c>
      <c r="G490" s="538" t="s">
        <v>239</v>
      </c>
      <c r="H490" s="538" t="s">
        <v>250</v>
      </c>
      <c r="I490" s="538" t="s">
        <v>155</v>
      </c>
      <c r="J490" s="538" t="s">
        <v>114</v>
      </c>
      <c r="K490" s="538" t="s">
        <v>2275</v>
      </c>
      <c r="L490" s="538" t="s">
        <v>2276</v>
      </c>
      <c r="M490" s="538" t="s">
        <v>673</v>
      </c>
      <c r="N490" s="538" t="s">
        <v>2277</v>
      </c>
      <c r="O490" s="538" t="b">
        <v>0</v>
      </c>
      <c r="P490" s="538" t="b">
        <v>0</v>
      </c>
      <c r="Q490" s="538" t="s">
        <v>75</v>
      </c>
      <c r="R490" s="538" t="s">
        <v>2278</v>
      </c>
      <c r="S490" s="538" t="s">
        <v>75</v>
      </c>
      <c r="T490" s="538" t="s">
        <v>2278</v>
      </c>
      <c r="U490" s="538" t="s">
        <v>79</v>
      </c>
      <c r="V490" s="538" t="s">
        <v>2274</v>
      </c>
      <c r="W490" s="538" t="s">
        <v>79</v>
      </c>
      <c r="X490" s="538" t="s">
        <v>2274</v>
      </c>
      <c r="Y490" s="538" t="s">
        <v>79</v>
      </c>
      <c r="Z490" s="538" t="s">
        <v>2274</v>
      </c>
      <c r="AA490" s="538" t="s">
        <v>79</v>
      </c>
      <c r="AB490" s="538" t="s">
        <v>2274</v>
      </c>
      <c r="AC490" s="538" t="s">
        <v>79</v>
      </c>
      <c r="AD490" s="538" t="s">
        <v>2274</v>
      </c>
      <c r="AE490" s="538" t="s">
        <v>79</v>
      </c>
      <c r="AF490" s="538" t="s">
        <v>2274</v>
      </c>
      <c r="AG490" s="538" t="s">
        <v>79</v>
      </c>
      <c r="AH490" s="538" t="s">
        <v>2274</v>
      </c>
      <c r="AI490" s="538" t="s">
        <v>79</v>
      </c>
      <c r="AJ490" s="538" t="s">
        <v>2274</v>
      </c>
      <c r="AK490" s="538" t="s">
        <v>79</v>
      </c>
      <c r="AL490" s="538" t="s">
        <v>2274</v>
      </c>
      <c r="AM490" s="538" t="s">
        <v>79</v>
      </c>
      <c r="AN490" s="538" t="s">
        <v>2274</v>
      </c>
      <c r="AO490" s="538" t="s">
        <v>79</v>
      </c>
      <c r="AP490" s="538" t="s">
        <v>241</v>
      </c>
      <c r="AQ490" s="538" t="s">
        <v>79</v>
      </c>
      <c r="AR490" s="538" t="s">
        <v>241</v>
      </c>
      <c r="AS490" s="538">
        <v>2.54327409E9</v>
      </c>
      <c r="AT490" s="538">
        <v>2.787886893E9</v>
      </c>
      <c r="AU490" s="538">
        <v>290.0</v>
      </c>
      <c r="AV490" s="538" t="s">
        <v>47</v>
      </c>
      <c r="AW490" s="538" t="s">
        <v>663</v>
      </c>
      <c r="AY490" s="538" t="s">
        <v>2278</v>
      </c>
      <c r="AZ490" s="538">
        <v>1.0</v>
      </c>
      <c r="BA490" s="538">
        <v>1.0</v>
      </c>
      <c r="BB490" s="538">
        <v>1.0</v>
      </c>
      <c r="BC490" s="538">
        <v>1.0</v>
      </c>
      <c r="BD490" s="538">
        <v>1.0</v>
      </c>
      <c r="BE490" s="538">
        <v>10000.0</v>
      </c>
      <c r="BF490" s="538">
        <v>12000.0</v>
      </c>
      <c r="BG490" s="538">
        <v>14000.0</v>
      </c>
      <c r="BH490" s="538">
        <v>15000.0</v>
      </c>
      <c r="BI490" s="538">
        <v>16000.0</v>
      </c>
      <c r="BJ490" s="546"/>
      <c r="BL490" s="546"/>
    </row>
    <row r="491" ht="22.5" customHeight="1">
      <c r="A491" s="538">
        <v>490.0</v>
      </c>
      <c r="B491" s="538" t="s">
        <v>2279</v>
      </c>
      <c r="C491" s="538" t="s">
        <v>82</v>
      </c>
      <c r="D491" s="538" t="s">
        <v>2270</v>
      </c>
      <c r="E491" s="538" t="s">
        <v>322</v>
      </c>
      <c r="F491" s="538" t="s">
        <v>1451</v>
      </c>
      <c r="G491" s="538" t="s">
        <v>239</v>
      </c>
      <c r="H491" s="538" t="s">
        <v>250</v>
      </c>
      <c r="I491" s="538" t="s">
        <v>122</v>
      </c>
      <c r="J491" s="538" t="s">
        <v>367</v>
      </c>
      <c r="K491" s="538" t="s">
        <v>2280</v>
      </c>
      <c r="L491" s="538" t="s">
        <v>2281</v>
      </c>
      <c r="M491" s="538" t="s">
        <v>673</v>
      </c>
      <c r="N491" s="538" t="s">
        <v>2282</v>
      </c>
      <c r="O491" s="538" t="b">
        <v>0</v>
      </c>
      <c r="P491" s="538" t="b">
        <v>1</v>
      </c>
      <c r="Q491" s="538" t="s">
        <v>75</v>
      </c>
      <c r="R491" s="538" t="s">
        <v>318</v>
      </c>
      <c r="S491" s="538" t="s">
        <v>75</v>
      </c>
      <c r="T491" s="538" t="s">
        <v>318</v>
      </c>
      <c r="U491" s="538" t="s">
        <v>79</v>
      </c>
      <c r="V491" s="538" t="s">
        <v>1451</v>
      </c>
      <c r="W491" s="538" t="s">
        <v>79</v>
      </c>
      <c r="X491" s="538" t="s">
        <v>1451</v>
      </c>
      <c r="Y491" s="538" t="s">
        <v>79</v>
      </c>
      <c r="Z491" s="538" t="s">
        <v>1451</v>
      </c>
      <c r="AA491" s="538" t="s">
        <v>79</v>
      </c>
      <c r="AB491" s="538" t="s">
        <v>1451</v>
      </c>
      <c r="AC491" s="538" t="s">
        <v>79</v>
      </c>
      <c r="AD491" s="538" t="s">
        <v>1451</v>
      </c>
      <c r="AE491" s="538" t="s">
        <v>79</v>
      </c>
      <c r="AF491" s="538" t="s">
        <v>1451</v>
      </c>
      <c r="AG491" s="538" t="s">
        <v>79</v>
      </c>
      <c r="AH491" s="538" t="s">
        <v>1451</v>
      </c>
      <c r="AI491" s="538" t="s">
        <v>79</v>
      </c>
      <c r="AJ491" s="538" t="s">
        <v>1451</v>
      </c>
      <c r="AK491" s="538" t="s">
        <v>79</v>
      </c>
      <c r="AL491" s="538" t="s">
        <v>1451</v>
      </c>
      <c r="AM491" s="538" t="s">
        <v>79</v>
      </c>
      <c r="AN491" s="538" t="s">
        <v>1451</v>
      </c>
      <c r="AO491" s="538" t="s">
        <v>79</v>
      </c>
      <c r="AP491" s="538" t="s">
        <v>322</v>
      </c>
      <c r="AQ491" s="538" t="s">
        <v>79</v>
      </c>
      <c r="AR491" s="538" t="s">
        <v>322</v>
      </c>
      <c r="AS491" s="538">
        <v>2.245472598E9</v>
      </c>
      <c r="AT491" s="538">
        <v>2.341819707E9</v>
      </c>
      <c r="AU491" s="538">
        <v>291.0</v>
      </c>
      <c r="AV491" s="538" t="s">
        <v>46</v>
      </c>
      <c r="AW491" s="538" t="s">
        <v>663</v>
      </c>
      <c r="AY491" s="538" t="s">
        <v>318</v>
      </c>
      <c r="AZ491" s="538">
        <v>1.0</v>
      </c>
      <c r="BA491" s="538">
        <v>1.0</v>
      </c>
      <c r="BB491" s="538">
        <v>1.0</v>
      </c>
      <c r="BC491" s="538">
        <v>1.0</v>
      </c>
      <c r="BD491" s="538">
        <v>1.0</v>
      </c>
      <c r="BE491" s="538">
        <v>0.5</v>
      </c>
      <c r="BF491" s="538">
        <v>0.6</v>
      </c>
      <c r="BG491" s="538">
        <v>0.75</v>
      </c>
      <c r="BH491" s="538">
        <v>0.95</v>
      </c>
      <c r="BI491" s="538">
        <v>1.2</v>
      </c>
      <c r="BJ491" s="546"/>
      <c r="BK491" s="547"/>
      <c r="BL491" s="546"/>
    </row>
    <row r="492" ht="22.5" customHeight="1">
      <c r="A492" s="538">
        <v>491.0</v>
      </c>
      <c r="B492" s="538" t="s">
        <v>2279</v>
      </c>
      <c r="C492" s="538" t="s">
        <v>86</v>
      </c>
      <c r="D492" s="538" t="s">
        <v>2270</v>
      </c>
      <c r="E492" s="538" t="s">
        <v>241</v>
      </c>
      <c r="F492" s="538" t="s">
        <v>2283</v>
      </c>
      <c r="G492" s="538" t="s">
        <v>239</v>
      </c>
      <c r="H492" s="538" t="s">
        <v>250</v>
      </c>
      <c r="I492" s="538" t="s">
        <v>155</v>
      </c>
      <c r="J492" s="538" t="s">
        <v>320</v>
      </c>
      <c r="K492" s="538" t="s">
        <v>2284</v>
      </c>
      <c r="L492" s="538" t="s">
        <v>2285</v>
      </c>
      <c r="M492" s="538" t="s">
        <v>673</v>
      </c>
      <c r="N492" s="538" t="s">
        <v>2286</v>
      </c>
      <c r="O492" s="538" t="b">
        <v>0</v>
      </c>
      <c r="P492" s="538" t="b">
        <v>0</v>
      </c>
      <c r="Q492" s="538" t="s">
        <v>75</v>
      </c>
      <c r="R492" s="538" t="s">
        <v>2287</v>
      </c>
      <c r="S492" s="538" t="s">
        <v>75</v>
      </c>
      <c r="T492" s="538" t="s">
        <v>2287</v>
      </c>
      <c r="U492" s="538" t="s">
        <v>79</v>
      </c>
      <c r="V492" s="538" t="s">
        <v>2283</v>
      </c>
      <c r="W492" s="538" t="s">
        <v>79</v>
      </c>
      <c r="X492" s="538" t="s">
        <v>2283</v>
      </c>
      <c r="Y492" s="538" t="s">
        <v>79</v>
      </c>
      <c r="Z492" s="538" t="s">
        <v>2283</v>
      </c>
      <c r="AA492" s="538" t="s">
        <v>79</v>
      </c>
      <c r="AB492" s="538" t="s">
        <v>2283</v>
      </c>
      <c r="AC492" s="538" t="s">
        <v>79</v>
      </c>
      <c r="AD492" s="538" t="s">
        <v>2283</v>
      </c>
      <c r="AE492" s="538" t="s">
        <v>79</v>
      </c>
      <c r="AF492" s="538" t="s">
        <v>2283</v>
      </c>
      <c r="AG492" s="538" t="s">
        <v>79</v>
      </c>
      <c r="AH492" s="538" t="s">
        <v>2283</v>
      </c>
      <c r="AI492" s="538" t="s">
        <v>79</v>
      </c>
      <c r="AJ492" s="538" t="s">
        <v>2283</v>
      </c>
      <c r="AK492" s="538" t="s">
        <v>79</v>
      </c>
      <c r="AL492" s="538" t="s">
        <v>2283</v>
      </c>
      <c r="AM492" s="538" t="s">
        <v>79</v>
      </c>
      <c r="AN492" s="538" t="s">
        <v>2283</v>
      </c>
      <c r="AO492" s="538" t="s">
        <v>79</v>
      </c>
      <c r="AP492" s="538" t="s">
        <v>241</v>
      </c>
      <c r="AQ492" s="538" t="s">
        <v>79</v>
      </c>
      <c r="AR492" s="538" t="s">
        <v>241</v>
      </c>
      <c r="AS492" s="538">
        <v>1.5748373E9</v>
      </c>
      <c r="AT492" s="538">
        <v>2.341819707E9</v>
      </c>
      <c r="AU492" s="538">
        <v>291.0</v>
      </c>
      <c r="AV492" s="538" t="s">
        <v>46</v>
      </c>
      <c r="AX492" s="538" t="s">
        <v>760</v>
      </c>
      <c r="AY492" s="538" t="s">
        <v>2287</v>
      </c>
      <c r="AZ492" s="538">
        <v>1.0</v>
      </c>
      <c r="BA492" s="538">
        <v>1.0</v>
      </c>
      <c r="BB492" s="538">
        <v>1.0</v>
      </c>
      <c r="BC492" s="538">
        <v>1.0</v>
      </c>
      <c r="BD492" s="538">
        <v>1.0</v>
      </c>
      <c r="BE492" s="538">
        <v>7000.0</v>
      </c>
      <c r="BF492" s="538">
        <v>8000.0</v>
      </c>
      <c r="BG492" s="538">
        <v>10000.0</v>
      </c>
      <c r="BH492" s="538">
        <v>12000.0</v>
      </c>
      <c r="BI492" s="538">
        <v>15000.0</v>
      </c>
      <c r="BJ492" s="546"/>
      <c r="BL492" s="546"/>
    </row>
    <row r="493" ht="22.5" customHeight="1">
      <c r="A493" s="538">
        <v>492.0</v>
      </c>
      <c r="B493" s="538" t="s">
        <v>2288</v>
      </c>
      <c r="C493" s="538" t="s">
        <v>82</v>
      </c>
      <c r="D493" s="538" t="s">
        <v>2270</v>
      </c>
      <c r="E493" s="538" t="s">
        <v>112</v>
      </c>
      <c r="F493" s="538" t="s">
        <v>1451</v>
      </c>
      <c r="G493" s="538" t="s">
        <v>239</v>
      </c>
      <c r="H493" s="538" t="s">
        <v>250</v>
      </c>
      <c r="I493" s="538" t="s">
        <v>122</v>
      </c>
      <c r="J493" s="538" t="s">
        <v>367</v>
      </c>
      <c r="K493" s="538" t="s">
        <v>2289</v>
      </c>
      <c r="L493" s="538" t="s">
        <v>2290</v>
      </c>
      <c r="M493" s="538" t="s">
        <v>673</v>
      </c>
      <c r="N493" s="538" t="s">
        <v>763</v>
      </c>
      <c r="O493" s="538" t="b">
        <v>0</v>
      </c>
      <c r="P493" s="538" t="b">
        <v>1</v>
      </c>
      <c r="Q493" s="538" t="s">
        <v>75</v>
      </c>
      <c r="R493" s="538" t="s">
        <v>318</v>
      </c>
      <c r="S493" s="538" t="s">
        <v>75</v>
      </c>
      <c r="T493" s="538" t="s">
        <v>318</v>
      </c>
      <c r="U493" s="538" t="s">
        <v>79</v>
      </c>
      <c r="V493" s="538" t="s">
        <v>1451</v>
      </c>
      <c r="W493" s="538" t="s">
        <v>79</v>
      </c>
      <c r="X493" s="538" t="s">
        <v>1451</v>
      </c>
      <c r="Y493" s="538" t="s">
        <v>79</v>
      </c>
      <c r="Z493" s="538" t="s">
        <v>1451</v>
      </c>
      <c r="AA493" s="538" t="s">
        <v>79</v>
      </c>
      <c r="AB493" s="538" t="s">
        <v>1451</v>
      </c>
      <c r="AC493" s="538" t="s">
        <v>79</v>
      </c>
      <c r="AD493" s="538" t="s">
        <v>1451</v>
      </c>
      <c r="AE493" s="538" t="s">
        <v>79</v>
      </c>
      <c r="AF493" s="538" t="s">
        <v>1451</v>
      </c>
      <c r="AG493" s="538" t="s">
        <v>79</v>
      </c>
      <c r="AH493" s="538" t="s">
        <v>1451</v>
      </c>
      <c r="AI493" s="538" t="s">
        <v>79</v>
      </c>
      <c r="AJ493" s="538" t="s">
        <v>1451</v>
      </c>
      <c r="AK493" s="538" t="s">
        <v>79</v>
      </c>
      <c r="AL493" s="538" t="s">
        <v>1451</v>
      </c>
      <c r="AM493" s="538" t="s">
        <v>79</v>
      </c>
      <c r="AN493" s="538" t="s">
        <v>1451</v>
      </c>
      <c r="AO493" s="538" t="s">
        <v>79</v>
      </c>
      <c r="AP493" s="538" t="s">
        <v>112</v>
      </c>
      <c r="AQ493" s="538" t="s">
        <v>79</v>
      </c>
      <c r="AR493" s="538" t="s">
        <v>112</v>
      </c>
      <c r="AS493" s="538">
        <v>5.08841684E8</v>
      </c>
      <c r="AT493" s="538">
        <v>2.862563009E9</v>
      </c>
      <c r="AU493" s="538">
        <v>292.0</v>
      </c>
      <c r="AV493" s="538" t="s">
        <v>46</v>
      </c>
      <c r="AW493" s="538" t="s">
        <v>663</v>
      </c>
      <c r="AY493" s="538" t="s">
        <v>318</v>
      </c>
      <c r="AZ493" s="538">
        <v>1.0</v>
      </c>
      <c r="BA493" s="538">
        <v>1.0</v>
      </c>
      <c r="BB493" s="538">
        <v>1.0</v>
      </c>
      <c r="BC493" s="538">
        <v>1.0</v>
      </c>
      <c r="BD493" s="538">
        <v>1.0</v>
      </c>
      <c r="BE493" s="538">
        <v>0.25</v>
      </c>
      <c r="BF493" s="538">
        <v>0.3</v>
      </c>
      <c r="BG493" s="538">
        <v>0.35</v>
      </c>
      <c r="BH493" s="538">
        <v>0.4</v>
      </c>
      <c r="BI493" s="538">
        <v>0.5</v>
      </c>
      <c r="BJ493" s="546"/>
      <c r="BL493" s="546"/>
    </row>
    <row r="494" ht="22.5" customHeight="1">
      <c r="A494" s="538">
        <v>493.0</v>
      </c>
      <c r="B494" s="538" t="s">
        <v>2288</v>
      </c>
      <c r="C494" s="538" t="s">
        <v>86</v>
      </c>
      <c r="D494" s="538" t="s">
        <v>2270</v>
      </c>
      <c r="E494" s="538" t="s">
        <v>316</v>
      </c>
      <c r="F494" s="538" t="s">
        <v>2001</v>
      </c>
      <c r="G494" s="538" t="s">
        <v>234</v>
      </c>
      <c r="H494" s="538" t="s">
        <v>250</v>
      </c>
      <c r="I494" s="538" t="s">
        <v>122</v>
      </c>
      <c r="K494" s="538" t="s">
        <v>2291</v>
      </c>
      <c r="L494" s="538" t="s">
        <v>2292</v>
      </c>
      <c r="M494" s="538" t="s">
        <v>673</v>
      </c>
      <c r="N494" s="538" t="s">
        <v>2293</v>
      </c>
      <c r="O494" s="538" t="b">
        <v>0</v>
      </c>
      <c r="P494" s="538" t="b">
        <v>1</v>
      </c>
      <c r="Q494" s="538" t="s">
        <v>75</v>
      </c>
      <c r="R494" s="538" t="s">
        <v>388</v>
      </c>
      <c r="S494" s="538" t="s">
        <v>75</v>
      </c>
      <c r="T494" s="538" t="s">
        <v>388</v>
      </c>
      <c r="U494" s="538" t="s">
        <v>79</v>
      </c>
      <c r="V494" s="538" t="s">
        <v>2001</v>
      </c>
      <c r="W494" s="538" t="s">
        <v>79</v>
      </c>
      <c r="X494" s="538" t="s">
        <v>2001</v>
      </c>
      <c r="Y494" s="538" t="s">
        <v>79</v>
      </c>
      <c r="Z494" s="538" t="s">
        <v>2001</v>
      </c>
      <c r="AA494" s="538" t="s">
        <v>79</v>
      </c>
      <c r="AB494" s="538" t="s">
        <v>2001</v>
      </c>
      <c r="AC494" s="538" t="s">
        <v>79</v>
      </c>
      <c r="AD494" s="538" t="s">
        <v>2001</v>
      </c>
      <c r="AE494" s="538" t="s">
        <v>79</v>
      </c>
      <c r="AF494" s="538" t="s">
        <v>2001</v>
      </c>
      <c r="AG494" s="538" t="s">
        <v>79</v>
      </c>
      <c r="AH494" s="538" t="s">
        <v>2001</v>
      </c>
      <c r="AI494" s="538" t="s">
        <v>79</v>
      </c>
      <c r="AJ494" s="538" t="s">
        <v>2001</v>
      </c>
      <c r="AK494" s="538" t="s">
        <v>79</v>
      </c>
      <c r="AL494" s="538" t="s">
        <v>2001</v>
      </c>
      <c r="AM494" s="538" t="s">
        <v>79</v>
      </c>
      <c r="AN494" s="538" t="s">
        <v>2001</v>
      </c>
      <c r="AO494" s="538" t="s">
        <v>79</v>
      </c>
      <c r="AP494" s="538" t="s">
        <v>316</v>
      </c>
      <c r="AQ494" s="538" t="s">
        <v>79</v>
      </c>
      <c r="AR494" s="538" t="s">
        <v>316</v>
      </c>
      <c r="AS494" s="538">
        <v>2.88610542E9</v>
      </c>
      <c r="AT494" s="538">
        <v>2.862563009E9</v>
      </c>
      <c r="AU494" s="538">
        <v>292.0</v>
      </c>
      <c r="AV494" s="538" t="s">
        <v>46</v>
      </c>
      <c r="AX494" s="538" t="s">
        <v>2005</v>
      </c>
      <c r="AY494" s="538" t="s">
        <v>388</v>
      </c>
      <c r="AZ494" s="538">
        <v>1.0</v>
      </c>
      <c r="BA494" s="538">
        <v>1.0</v>
      </c>
      <c r="BB494" s="538">
        <v>1.0</v>
      </c>
      <c r="BC494" s="538">
        <v>1.0</v>
      </c>
      <c r="BD494" s="538">
        <v>1.0</v>
      </c>
      <c r="BE494" s="538">
        <v>0.05</v>
      </c>
      <c r="BF494" s="538">
        <v>0.07</v>
      </c>
      <c r="BG494" s="538">
        <v>0.1</v>
      </c>
      <c r="BH494" s="538">
        <v>0.14</v>
      </c>
      <c r="BI494" s="538">
        <v>0.2</v>
      </c>
      <c r="BJ494" s="546"/>
      <c r="BL494" s="546"/>
    </row>
    <row r="495" ht="22.5" customHeight="1">
      <c r="A495" s="538">
        <v>494.0</v>
      </c>
      <c r="B495" s="538" t="s">
        <v>2294</v>
      </c>
      <c r="C495" s="538" t="s">
        <v>84</v>
      </c>
      <c r="D495" s="538" t="s">
        <v>2295</v>
      </c>
      <c r="E495" s="538" t="s">
        <v>214</v>
      </c>
      <c r="F495" s="538" t="s">
        <v>2154</v>
      </c>
      <c r="G495" s="538" t="s">
        <v>239</v>
      </c>
      <c r="H495" s="538" t="s">
        <v>222</v>
      </c>
      <c r="I495" s="538" t="s">
        <v>122</v>
      </c>
      <c r="J495" s="538" t="s">
        <v>341</v>
      </c>
      <c r="K495" s="538" t="s">
        <v>2296</v>
      </c>
      <c r="L495" s="538" t="s">
        <v>2297</v>
      </c>
      <c r="M495" s="538" t="s">
        <v>2273</v>
      </c>
      <c r="N495" s="538" t="s">
        <v>661</v>
      </c>
      <c r="O495" s="538" t="b">
        <v>1</v>
      </c>
      <c r="P495" s="538" t="b">
        <v>1</v>
      </c>
      <c r="Q495" s="538" t="s">
        <v>75</v>
      </c>
      <c r="R495" s="538" t="s">
        <v>348</v>
      </c>
      <c r="S495" s="538" t="s">
        <v>75</v>
      </c>
      <c r="T495" s="538" t="s">
        <v>348</v>
      </c>
      <c r="U495" s="538" t="s">
        <v>79</v>
      </c>
      <c r="V495" s="538" t="s">
        <v>2154</v>
      </c>
      <c r="W495" s="538" t="s">
        <v>79</v>
      </c>
      <c r="X495" s="538" t="s">
        <v>2154</v>
      </c>
      <c r="Y495" s="538" t="s">
        <v>79</v>
      </c>
      <c r="Z495" s="538" t="s">
        <v>2154</v>
      </c>
      <c r="AA495" s="538" t="s">
        <v>79</v>
      </c>
      <c r="AB495" s="538" t="s">
        <v>2154</v>
      </c>
      <c r="AC495" s="538" t="s">
        <v>79</v>
      </c>
      <c r="AD495" s="538" t="s">
        <v>2154</v>
      </c>
      <c r="AE495" s="538" t="s">
        <v>79</v>
      </c>
      <c r="AF495" s="538" t="s">
        <v>2154</v>
      </c>
      <c r="AG495" s="538" t="s">
        <v>79</v>
      </c>
      <c r="AH495" s="538" t="s">
        <v>2154</v>
      </c>
      <c r="AI495" s="538" t="s">
        <v>79</v>
      </c>
      <c r="AJ495" s="538" t="s">
        <v>2154</v>
      </c>
      <c r="AK495" s="538" t="s">
        <v>79</v>
      </c>
      <c r="AL495" s="538" t="s">
        <v>2154</v>
      </c>
      <c r="AM495" s="538" t="s">
        <v>79</v>
      </c>
      <c r="AN495" s="538" t="s">
        <v>2154</v>
      </c>
      <c r="AO495" s="538" t="s">
        <v>79</v>
      </c>
      <c r="AP495" s="538" t="s">
        <v>214</v>
      </c>
      <c r="AQ495" s="538" t="s">
        <v>79</v>
      </c>
      <c r="AR495" s="538" t="s">
        <v>214</v>
      </c>
      <c r="AS495" s="538">
        <v>3.134842541E9</v>
      </c>
      <c r="AT495" s="538">
        <v>7.83581005E8</v>
      </c>
      <c r="AU495" s="538">
        <v>294.0</v>
      </c>
      <c r="AV495" s="538" t="s">
        <v>47</v>
      </c>
      <c r="AY495" s="538" t="s">
        <v>348</v>
      </c>
      <c r="AZ495" s="538">
        <v>0.4</v>
      </c>
      <c r="BA495" s="538">
        <v>0.1</v>
      </c>
      <c r="BB495" s="538">
        <v>0.3</v>
      </c>
      <c r="BE495" s="538">
        <v>1.0</v>
      </c>
      <c r="BF495" s="538">
        <v>1.0</v>
      </c>
      <c r="BG495" s="538">
        <v>1.0</v>
      </c>
      <c r="BJ495" s="546"/>
      <c r="BL495" s="546"/>
    </row>
    <row r="496" ht="22.5" customHeight="1">
      <c r="A496" s="538">
        <v>495.0</v>
      </c>
      <c r="B496" s="538" t="s">
        <v>2294</v>
      </c>
      <c r="C496" s="538" t="s">
        <v>82</v>
      </c>
      <c r="D496" s="538" t="s">
        <v>2295</v>
      </c>
      <c r="E496" s="538" t="s">
        <v>241</v>
      </c>
      <c r="F496" s="538" t="s">
        <v>2298</v>
      </c>
      <c r="G496" s="538" t="s">
        <v>239</v>
      </c>
      <c r="H496" s="538" t="s">
        <v>250</v>
      </c>
      <c r="I496" s="538" t="s">
        <v>155</v>
      </c>
      <c r="J496" s="538" t="s">
        <v>114</v>
      </c>
      <c r="K496" s="538" t="s">
        <v>2299</v>
      </c>
      <c r="L496" s="538" t="s">
        <v>2300</v>
      </c>
      <c r="M496" s="538" t="s">
        <v>673</v>
      </c>
      <c r="N496" s="538" t="s">
        <v>2277</v>
      </c>
      <c r="O496" s="538" t="b">
        <v>0</v>
      </c>
      <c r="P496" s="538" t="b">
        <v>0</v>
      </c>
      <c r="Q496" s="538" t="s">
        <v>75</v>
      </c>
      <c r="R496" s="538" t="s">
        <v>2301</v>
      </c>
      <c r="S496" s="538" t="s">
        <v>75</v>
      </c>
      <c r="T496" s="538" t="s">
        <v>2301</v>
      </c>
      <c r="U496" s="538" t="s">
        <v>79</v>
      </c>
      <c r="V496" s="538" t="s">
        <v>2298</v>
      </c>
      <c r="W496" s="538" t="s">
        <v>79</v>
      </c>
      <c r="X496" s="538" t="s">
        <v>2298</v>
      </c>
      <c r="Y496" s="538" t="s">
        <v>79</v>
      </c>
      <c r="Z496" s="538" t="s">
        <v>2298</v>
      </c>
      <c r="AA496" s="538" t="s">
        <v>79</v>
      </c>
      <c r="AB496" s="538" t="s">
        <v>2298</v>
      </c>
      <c r="AC496" s="538" t="s">
        <v>79</v>
      </c>
      <c r="AD496" s="538" t="s">
        <v>2298</v>
      </c>
      <c r="AE496" s="538" t="s">
        <v>79</v>
      </c>
      <c r="AF496" s="538" t="s">
        <v>2298</v>
      </c>
      <c r="AG496" s="538" t="s">
        <v>79</v>
      </c>
      <c r="AH496" s="538" t="s">
        <v>2298</v>
      </c>
      <c r="AI496" s="538" t="s">
        <v>79</v>
      </c>
      <c r="AJ496" s="538" t="s">
        <v>2298</v>
      </c>
      <c r="AK496" s="538" t="s">
        <v>79</v>
      </c>
      <c r="AL496" s="538" t="s">
        <v>2298</v>
      </c>
      <c r="AM496" s="538" t="s">
        <v>79</v>
      </c>
      <c r="AN496" s="538" t="s">
        <v>2298</v>
      </c>
      <c r="AO496" s="538" t="s">
        <v>79</v>
      </c>
      <c r="AP496" s="538" t="s">
        <v>241</v>
      </c>
      <c r="AQ496" s="538" t="s">
        <v>79</v>
      </c>
      <c r="AR496" s="538" t="s">
        <v>241</v>
      </c>
      <c r="AS496" s="538">
        <v>2.994432443E9</v>
      </c>
      <c r="AT496" s="538">
        <v>7.83581005E8</v>
      </c>
      <c r="AU496" s="538">
        <v>294.0</v>
      </c>
      <c r="AV496" s="538" t="s">
        <v>47</v>
      </c>
      <c r="AX496" s="538" t="s">
        <v>760</v>
      </c>
      <c r="AY496" s="538" t="s">
        <v>2301</v>
      </c>
      <c r="AZ496" s="538">
        <v>1.0</v>
      </c>
      <c r="BA496" s="538">
        <v>1.0</v>
      </c>
      <c r="BB496" s="538">
        <v>1.0</v>
      </c>
      <c r="BC496" s="538">
        <v>1.0</v>
      </c>
      <c r="BD496" s="538">
        <v>1.0</v>
      </c>
      <c r="BE496" s="538">
        <v>10000.0</v>
      </c>
      <c r="BF496" s="538">
        <v>12000.0</v>
      </c>
      <c r="BG496" s="538">
        <v>14000.0</v>
      </c>
      <c r="BH496" s="538">
        <v>15000.0</v>
      </c>
      <c r="BI496" s="538">
        <v>16000.0</v>
      </c>
      <c r="BJ496" s="546"/>
      <c r="BL496" s="546"/>
    </row>
    <row r="497" ht="22.5" customHeight="1">
      <c r="A497" s="538">
        <v>496.0</v>
      </c>
      <c r="B497" s="538" t="s">
        <v>2302</v>
      </c>
      <c r="C497" s="538" t="s">
        <v>82</v>
      </c>
      <c r="D497" s="538" t="s">
        <v>2295</v>
      </c>
      <c r="E497" s="538" t="s">
        <v>325</v>
      </c>
      <c r="F497" s="538" t="s">
        <v>2303</v>
      </c>
      <c r="G497" s="538" t="s">
        <v>239</v>
      </c>
      <c r="H497" s="538" t="s">
        <v>250</v>
      </c>
      <c r="I497" s="538" t="s">
        <v>155</v>
      </c>
      <c r="J497" s="538" t="s">
        <v>367</v>
      </c>
      <c r="K497" s="538" t="s">
        <v>2304</v>
      </c>
      <c r="L497" s="538" t="s">
        <v>2305</v>
      </c>
      <c r="M497" s="538" t="s">
        <v>673</v>
      </c>
      <c r="N497" s="538" t="s">
        <v>2306</v>
      </c>
      <c r="O497" s="538" t="b">
        <v>0</v>
      </c>
      <c r="P497" s="538" t="b">
        <v>1</v>
      </c>
      <c r="Q497" s="538" t="s">
        <v>75</v>
      </c>
      <c r="R497" s="538" t="s">
        <v>360</v>
      </c>
      <c r="S497" s="538" t="s">
        <v>75</v>
      </c>
      <c r="T497" s="538" t="s">
        <v>360</v>
      </c>
      <c r="U497" s="538" t="s">
        <v>79</v>
      </c>
      <c r="V497" s="538" t="s">
        <v>2303</v>
      </c>
      <c r="W497" s="538" t="s">
        <v>79</v>
      </c>
      <c r="X497" s="538" t="s">
        <v>2303</v>
      </c>
      <c r="Y497" s="538" t="s">
        <v>79</v>
      </c>
      <c r="Z497" s="538" t="s">
        <v>2303</v>
      </c>
      <c r="AA497" s="538" t="s">
        <v>79</v>
      </c>
      <c r="AB497" s="538" t="s">
        <v>2303</v>
      </c>
      <c r="AC497" s="538" t="s">
        <v>79</v>
      </c>
      <c r="AD497" s="538" t="s">
        <v>2303</v>
      </c>
      <c r="AE497" s="538" t="s">
        <v>79</v>
      </c>
      <c r="AF497" s="538" t="s">
        <v>2303</v>
      </c>
      <c r="AG497" s="538" t="s">
        <v>79</v>
      </c>
      <c r="AH497" s="538" t="s">
        <v>2303</v>
      </c>
      <c r="AI497" s="538" t="s">
        <v>79</v>
      </c>
      <c r="AJ497" s="538" t="s">
        <v>2303</v>
      </c>
      <c r="AK497" s="538" t="s">
        <v>79</v>
      </c>
      <c r="AL497" s="538" t="s">
        <v>2303</v>
      </c>
      <c r="AM497" s="538" t="s">
        <v>79</v>
      </c>
      <c r="AN497" s="538" t="s">
        <v>2303</v>
      </c>
      <c r="AO497" s="538" t="s">
        <v>79</v>
      </c>
      <c r="AP497" s="538" t="s">
        <v>325</v>
      </c>
      <c r="AQ497" s="538" t="s">
        <v>79</v>
      </c>
      <c r="AR497" s="538" t="s">
        <v>325</v>
      </c>
      <c r="AS497" s="538">
        <v>2.13451749E8</v>
      </c>
      <c r="AT497" s="538">
        <v>3.12289551E8</v>
      </c>
      <c r="AU497" s="538">
        <v>293.0</v>
      </c>
      <c r="AV497" s="538" t="s">
        <v>46</v>
      </c>
      <c r="AX497" s="538" t="s">
        <v>760</v>
      </c>
      <c r="AY497" s="538" t="s">
        <v>360</v>
      </c>
      <c r="AZ497" s="538">
        <v>1.0</v>
      </c>
      <c r="BA497" s="538">
        <v>1.0</v>
      </c>
      <c r="BB497" s="538">
        <v>1.0</v>
      </c>
      <c r="BC497" s="538">
        <v>1.0</v>
      </c>
      <c r="BD497" s="538">
        <v>1.0</v>
      </c>
      <c r="BE497" s="538">
        <v>1.0</v>
      </c>
      <c r="BF497" s="538">
        <v>1.2</v>
      </c>
      <c r="BG497" s="538">
        <v>1.4</v>
      </c>
      <c r="BH497" s="538">
        <v>1.7</v>
      </c>
      <c r="BI497" s="538">
        <v>2.0</v>
      </c>
      <c r="BJ497" s="546"/>
      <c r="BL497" s="546"/>
    </row>
    <row r="498" ht="22.5" customHeight="1">
      <c r="A498" s="538">
        <v>497.0</v>
      </c>
      <c r="B498" s="538" t="s">
        <v>2302</v>
      </c>
      <c r="C498" s="538" t="s">
        <v>86</v>
      </c>
      <c r="D498" s="538" t="s">
        <v>2295</v>
      </c>
      <c r="E498" s="538" t="s">
        <v>241</v>
      </c>
      <c r="F498" s="538" t="s">
        <v>2307</v>
      </c>
      <c r="G498" s="538" t="s">
        <v>239</v>
      </c>
      <c r="H498" s="538" t="s">
        <v>250</v>
      </c>
      <c r="I498" s="538" t="s">
        <v>155</v>
      </c>
      <c r="J498" s="538" t="s">
        <v>320</v>
      </c>
      <c r="K498" s="538" t="s">
        <v>2308</v>
      </c>
      <c r="L498" s="538" t="s">
        <v>2309</v>
      </c>
      <c r="M498" s="538" t="s">
        <v>673</v>
      </c>
      <c r="N498" s="538" t="s">
        <v>2286</v>
      </c>
      <c r="O498" s="538" t="b">
        <v>0</v>
      </c>
      <c r="P498" s="538" t="b">
        <v>0</v>
      </c>
      <c r="Q498" s="538" t="s">
        <v>75</v>
      </c>
      <c r="R498" s="538" t="s">
        <v>2310</v>
      </c>
      <c r="S498" s="538" t="s">
        <v>75</v>
      </c>
      <c r="T498" s="538" t="s">
        <v>2310</v>
      </c>
      <c r="U498" s="538" t="s">
        <v>79</v>
      </c>
      <c r="V498" s="538" t="s">
        <v>2307</v>
      </c>
      <c r="W498" s="538" t="s">
        <v>79</v>
      </c>
      <c r="X498" s="538" t="s">
        <v>2307</v>
      </c>
      <c r="Y498" s="538" t="s">
        <v>79</v>
      </c>
      <c r="Z498" s="538" t="s">
        <v>2307</v>
      </c>
      <c r="AA498" s="538" t="s">
        <v>79</v>
      </c>
      <c r="AB498" s="538" t="s">
        <v>2307</v>
      </c>
      <c r="AC498" s="538" t="s">
        <v>79</v>
      </c>
      <c r="AD498" s="538" t="s">
        <v>2307</v>
      </c>
      <c r="AE498" s="538" t="s">
        <v>79</v>
      </c>
      <c r="AF498" s="538" t="s">
        <v>2307</v>
      </c>
      <c r="AG498" s="538" t="s">
        <v>79</v>
      </c>
      <c r="AH498" s="538" t="s">
        <v>2307</v>
      </c>
      <c r="AI498" s="538" t="s">
        <v>79</v>
      </c>
      <c r="AJ498" s="538" t="s">
        <v>2307</v>
      </c>
      <c r="AK498" s="538" t="s">
        <v>79</v>
      </c>
      <c r="AL498" s="538" t="s">
        <v>2307</v>
      </c>
      <c r="AM498" s="538" t="s">
        <v>79</v>
      </c>
      <c r="AN498" s="538" t="s">
        <v>2307</v>
      </c>
      <c r="AO498" s="538" t="s">
        <v>79</v>
      </c>
      <c r="AP498" s="538" t="s">
        <v>241</v>
      </c>
      <c r="AQ498" s="538" t="s">
        <v>79</v>
      </c>
      <c r="AR498" s="538" t="s">
        <v>241</v>
      </c>
      <c r="AS498" s="538">
        <v>2.315532916E9</v>
      </c>
      <c r="AT498" s="538">
        <v>3.12289551E8</v>
      </c>
      <c r="AU498" s="538">
        <v>293.0</v>
      </c>
      <c r="AV498" s="538" t="s">
        <v>46</v>
      </c>
      <c r="AX498" s="538" t="s">
        <v>437</v>
      </c>
      <c r="AY498" s="538" t="s">
        <v>2310</v>
      </c>
      <c r="AZ498" s="538">
        <v>1.0</v>
      </c>
      <c r="BA498" s="538">
        <v>1.0</v>
      </c>
      <c r="BB498" s="538">
        <v>1.0</v>
      </c>
      <c r="BC498" s="538">
        <v>1.0</v>
      </c>
      <c r="BD498" s="538">
        <v>1.0</v>
      </c>
      <c r="BE498" s="538">
        <v>7000.0</v>
      </c>
      <c r="BF498" s="538">
        <v>8000.0</v>
      </c>
      <c r="BG498" s="538">
        <v>10000.0</v>
      </c>
      <c r="BH498" s="538">
        <v>12000.0</v>
      </c>
      <c r="BI498" s="538">
        <v>15000.0</v>
      </c>
      <c r="BJ498" s="546"/>
      <c r="BL498" s="546"/>
    </row>
    <row r="499" ht="22.5" customHeight="1">
      <c r="A499" s="538">
        <v>498.0</v>
      </c>
      <c r="B499" s="538" t="s">
        <v>2311</v>
      </c>
      <c r="C499" s="538" t="s">
        <v>82</v>
      </c>
      <c r="D499" s="538" t="s">
        <v>2295</v>
      </c>
      <c r="E499" s="538" t="s">
        <v>322</v>
      </c>
      <c r="F499" s="538" t="s">
        <v>2303</v>
      </c>
      <c r="G499" s="538" t="s">
        <v>239</v>
      </c>
      <c r="H499" s="538" t="s">
        <v>250</v>
      </c>
      <c r="I499" s="538" t="s">
        <v>122</v>
      </c>
      <c r="J499" s="538" t="s">
        <v>367</v>
      </c>
      <c r="K499" s="538" t="s">
        <v>2312</v>
      </c>
      <c r="L499" s="538" t="s">
        <v>2313</v>
      </c>
      <c r="M499" s="538" t="s">
        <v>673</v>
      </c>
      <c r="N499" s="538" t="s">
        <v>2282</v>
      </c>
      <c r="O499" s="538" t="b">
        <v>0</v>
      </c>
      <c r="P499" s="538" t="b">
        <v>1</v>
      </c>
      <c r="Q499" s="538" t="s">
        <v>75</v>
      </c>
      <c r="R499" s="538" t="s">
        <v>360</v>
      </c>
      <c r="S499" s="538" t="s">
        <v>75</v>
      </c>
      <c r="T499" s="538" t="s">
        <v>360</v>
      </c>
      <c r="U499" s="538" t="s">
        <v>79</v>
      </c>
      <c r="V499" s="538" t="s">
        <v>2303</v>
      </c>
      <c r="W499" s="538" t="s">
        <v>79</v>
      </c>
      <c r="X499" s="538" t="s">
        <v>2303</v>
      </c>
      <c r="Y499" s="538" t="s">
        <v>79</v>
      </c>
      <c r="Z499" s="538" t="s">
        <v>2303</v>
      </c>
      <c r="AA499" s="538" t="s">
        <v>79</v>
      </c>
      <c r="AB499" s="538" t="s">
        <v>2303</v>
      </c>
      <c r="AC499" s="538" t="s">
        <v>79</v>
      </c>
      <c r="AD499" s="538" t="s">
        <v>2303</v>
      </c>
      <c r="AE499" s="538" t="s">
        <v>79</v>
      </c>
      <c r="AF499" s="538" t="s">
        <v>2303</v>
      </c>
      <c r="AG499" s="538" t="s">
        <v>79</v>
      </c>
      <c r="AH499" s="538" t="s">
        <v>2303</v>
      </c>
      <c r="AI499" s="538" t="s">
        <v>79</v>
      </c>
      <c r="AJ499" s="538" t="s">
        <v>2303</v>
      </c>
      <c r="AK499" s="538" t="s">
        <v>79</v>
      </c>
      <c r="AL499" s="538" t="s">
        <v>2303</v>
      </c>
      <c r="AM499" s="538" t="s">
        <v>79</v>
      </c>
      <c r="AN499" s="538" t="s">
        <v>2303</v>
      </c>
      <c r="AO499" s="538" t="s">
        <v>79</v>
      </c>
      <c r="AP499" s="538" t="s">
        <v>322</v>
      </c>
      <c r="AQ499" s="538" t="s">
        <v>79</v>
      </c>
      <c r="AR499" s="538" t="s">
        <v>322</v>
      </c>
      <c r="AS499" s="538">
        <v>3.605405429E9</v>
      </c>
      <c r="AT499" s="538">
        <v>9.3766267E7</v>
      </c>
      <c r="AU499" s="538">
        <v>295.0</v>
      </c>
      <c r="AV499" s="538" t="s">
        <v>46</v>
      </c>
      <c r="AX499" s="538" t="s">
        <v>760</v>
      </c>
      <c r="AY499" s="538" t="s">
        <v>360</v>
      </c>
      <c r="AZ499" s="538">
        <v>1.0</v>
      </c>
      <c r="BA499" s="538">
        <v>1.0</v>
      </c>
      <c r="BB499" s="538">
        <v>1.0</v>
      </c>
      <c r="BC499" s="538">
        <v>1.0</v>
      </c>
      <c r="BD499" s="538">
        <v>1.0</v>
      </c>
      <c r="BE499" s="538">
        <v>0.5</v>
      </c>
      <c r="BF499" s="538">
        <v>0.6</v>
      </c>
      <c r="BG499" s="538">
        <v>0.75</v>
      </c>
      <c r="BH499" s="538">
        <v>0.95</v>
      </c>
      <c r="BI499" s="538">
        <v>1.2</v>
      </c>
      <c r="BJ499" s="546"/>
      <c r="BK499" s="547"/>
      <c r="BL499" s="546"/>
    </row>
    <row r="500" ht="22.5" customHeight="1">
      <c r="A500" s="538">
        <v>499.0</v>
      </c>
      <c r="B500" s="538" t="s">
        <v>2311</v>
      </c>
      <c r="C500" s="538" t="s">
        <v>86</v>
      </c>
      <c r="D500" s="538" t="s">
        <v>2295</v>
      </c>
      <c r="E500" s="538" t="s">
        <v>241</v>
      </c>
      <c r="F500" s="538" t="s">
        <v>2314</v>
      </c>
      <c r="G500" s="538" t="s">
        <v>239</v>
      </c>
      <c r="H500" s="538" t="s">
        <v>250</v>
      </c>
      <c r="I500" s="538" t="s">
        <v>155</v>
      </c>
      <c r="J500" s="538" t="s">
        <v>320</v>
      </c>
      <c r="K500" s="538" t="s">
        <v>2315</v>
      </c>
      <c r="L500" s="538" t="s">
        <v>2316</v>
      </c>
      <c r="M500" s="538" t="s">
        <v>673</v>
      </c>
      <c r="N500" s="538" t="s">
        <v>2286</v>
      </c>
      <c r="O500" s="538" t="b">
        <v>0</v>
      </c>
      <c r="P500" s="538" t="b">
        <v>0</v>
      </c>
      <c r="Q500" s="538" t="s">
        <v>75</v>
      </c>
      <c r="R500" s="538" t="s">
        <v>2317</v>
      </c>
      <c r="S500" s="538" t="s">
        <v>75</v>
      </c>
      <c r="T500" s="538" t="s">
        <v>2317</v>
      </c>
      <c r="U500" s="538" t="s">
        <v>79</v>
      </c>
      <c r="V500" s="538" t="s">
        <v>2314</v>
      </c>
      <c r="W500" s="538" t="s">
        <v>79</v>
      </c>
      <c r="X500" s="538" t="s">
        <v>2314</v>
      </c>
      <c r="Y500" s="538" t="s">
        <v>79</v>
      </c>
      <c r="Z500" s="538" t="s">
        <v>2314</v>
      </c>
      <c r="AA500" s="538" t="s">
        <v>79</v>
      </c>
      <c r="AB500" s="538" t="s">
        <v>2314</v>
      </c>
      <c r="AC500" s="538" t="s">
        <v>79</v>
      </c>
      <c r="AD500" s="538" t="s">
        <v>2314</v>
      </c>
      <c r="AE500" s="538" t="s">
        <v>79</v>
      </c>
      <c r="AF500" s="538" t="s">
        <v>2314</v>
      </c>
      <c r="AG500" s="538" t="s">
        <v>79</v>
      </c>
      <c r="AH500" s="538" t="s">
        <v>2314</v>
      </c>
      <c r="AI500" s="538" t="s">
        <v>79</v>
      </c>
      <c r="AJ500" s="538" t="s">
        <v>2314</v>
      </c>
      <c r="AK500" s="538" t="s">
        <v>79</v>
      </c>
      <c r="AL500" s="538" t="s">
        <v>2314</v>
      </c>
      <c r="AM500" s="538" t="s">
        <v>79</v>
      </c>
      <c r="AN500" s="538" t="s">
        <v>2314</v>
      </c>
      <c r="AO500" s="538" t="s">
        <v>79</v>
      </c>
      <c r="AP500" s="538" t="s">
        <v>241</v>
      </c>
      <c r="AQ500" s="538" t="s">
        <v>79</v>
      </c>
      <c r="AR500" s="538" t="s">
        <v>241</v>
      </c>
      <c r="AS500" s="538">
        <v>1.775722178E9</v>
      </c>
      <c r="AT500" s="538">
        <v>9.3766267E7</v>
      </c>
      <c r="AU500" s="538">
        <v>295.0</v>
      </c>
      <c r="AV500" s="538" t="s">
        <v>46</v>
      </c>
      <c r="AW500" s="538" t="s">
        <v>663</v>
      </c>
      <c r="AY500" s="538" t="s">
        <v>2317</v>
      </c>
      <c r="AZ500" s="538">
        <v>1.0</v>
      </c>
      <c r="BA500" s="538">
        <v>1.0</v>
      </c>
      <c r="BB500" s="538">
        <v>1.0</v>
      </c>
      <c r="BC500" s="538">
        <v>1.0</v>
      </c>
      <c r="BD500" s="538">
        <v>1.0</v>
      </c>
      <c r="BE500" s="538">
        <v>7000.0</v>
      </c>
      <c r="BF500" s="538">
        <v>8000.0</v>
      </c>
      <c r="BG500" s="538">
        <v>10000.0</v>
      </c>
      <c r="BH500" s="538">
        <v>12000.0</v>
      </c>
      <c r="BI500" s="538">
        <v>15000.0</v>
      </c>
      <c r="BJ500" s="546"/>
      <c r="BL500" s="546"/>
    </row>
    <row r="501" ht="22.5" customHeight="1">
      <c r="A501" s="538">
        <v>500.0</v>
      </c>
      <c r="B501" s="538" t="s">
        <v>2318</v>
      </c>
      <c r="C501" s="538" t="s">
        <v>84</v>
      </c>
      <c r="D501" s="538" t="s">
        <v>2319</v>
      </c>
      <c r="E501" s="538" t="s">
        <v>112</v>
      </c>
      <c r="F501" s="538" t="s">
        <v>2320</v>
      </c>
      <c r="G501" s="538" t="s">
        <v>239</v>
      </c>
      <c r="H501" s="538" t="s">
        <v>250</v>
      </c>
      <c r="I501" s="538" t="s">
        <v>122</v>
      </c>
      <c r="J501" s="538" t="s">
        <v>384</v>
      </c>
      <c r="K501" s="538" t="s">
        <v>2321</v>
      </c>
      <c r="L501" s="538" t="s">
        <v>2322</v>
      </c>
      <c r="M501" s="538" t="s">
        <v>661</v>
      </c>
      <c r="N501" s="538" t="s">
        <v>2323</v>
      </c>
      <c r="O501" s="538" t="b">
        <v>0</v>
      </c>
      <c r="P501" s="538" t="b">
        <v>1</v>
      </c>
      <c r="Q501" s="538" t="s">
        <v>75</v>
      </c>
      <c r="R501" s="538" t="s">
        <v>2324</v>
      </c>
      <c r="S501" s="538" t="s">
        <v>75</v>
      </c>
      <c r="T501" s="538" t="s">
        <v>2324</v>
      </c>
      <c r="U501" s="538" t="s">
        <v>79</v>
      </c>
      <c r="V501" s="538" t="s">
        <v>2320</v>
      </c>
      <c r="W501" s="538" t="s">
        <v>79</v>
      </c>
      <c r="X501" s="538" t="s">
        <v>2320</v>
      </c>
      <c r="Y501" s="538" t="s">
        <v>79</v>
      </c>
      <c r="Z501" s="538" t="s">
        <v>2320</v>
      </c>
      <c r="AA501" s="538" t="s">
        <v>79</v>
      </c>
      <c r="AB501" s="538" t="s">
        <v>2320</v>
      </c>
      <c r="AC501" s="538" t="s">
        <v>79</v>
      </c>
      <c r="AD501" s="538" t="s">
        <v>2320</v>
      </c>
      <c r="AE501" s="538" t="s">
        <v>79</v>
      </c>
      <c r="AF501" s="538" t="s">
        <v>2320</v>
      </c>
      <c r="AG501" s="538" t="s">
        <v>79</v>
      </c>
      <c r="AH501" s="538" t="s">
        <v>2320</v>
      </c>
      <c r="AI501" s="538" t="s">
        <v>79</v>
      </c>
      <c r="AJ501" s="538" t="s">
        <v>2320</v>
      </c>
      <c r="AK501" s="538" t="s">
        <v>79</v>
      </c>
      <c r="AL501" s="538" t="s">
        <v>2320</v>
      </c>
      <c r="AM501" s="538" t="s">
        <v>79</v>
      </c>
      <c r="AN501" s="538" t="s">
        <v>2320</v>
      </c>
      <c r="AO501" s="538" t="s">
        <v>79</v>
      </c>
      <c r="AP501" s="538" t="s">
        <v>112</v>
      </c>
      <c r="AQ501" s="538" t="s">
        <v>79</v>
      </c>
      <c r="AR501" s="538" t="s">
        <v>112</v>
      </c>
      <c r="AS501" s="538">
        <v>1.848008929E9</v>
      </c>
      <c r="AT501" s="538">
        <v>2.778731701E9</v>
      </c>
      <c r="AU501" s="538">
        <v>296.0</v>
      </c>
      <c r="AV501" s="538" t="s">
        <v>47</v>
      </c>
      <c r="AX501" s="538" t="s">
        <v>437</v>
      </c>
      <c r="AY501" s="538" t="s">
        <v>2324</v>
      </c>
      <c r="AZ501" s="538">
        <v>1.0</v>
      </c>
      <c r="BA501" s="538">
        <v>1.0</v>
      </c>
      <c r="BB501" s="538">
        <v>1.0</v>
      </c>
      <c r="BE501" s="538">
        <v>0.6</v>
      </c>
      <c r="BF501" s="538">
        <v>0.1</v>
      </c>
      <c r="BG501" s="538">
        <v>0.3</v>
      </c>
      <c r="BJ501" s="546"/>
      <c r="BL501" s="546"/>
    </row>
    <row r="502" ht="22.5" customHeight="1">
      <c r="A502" s="538">
        <v>501.0</v>
      </c>
      <c r="B502" s="538" t="s">
        <v>2318</v>
      </c>
      <c r="C502" s="538" t="s">
        <v>82</v>
      </c>
      <c r="D502" s="538" t="s">
        <v>2319</v>
      </c>
      <c r="E502" s="538" t="s">
        <v>214</v>
      </c>
      <c r="F502" s="538" t="s">
        <v>248</v>
      </c>
      <c r="G502" s="538" t="s">
        <v>239</v>
      </c>
      <c r="H502" s="538" t="s">
        <v>222</v>
      </c>
      <c r="I502" s="538" t="s">
        <v>122</v>
      </c>
      <c r="J502" s="538" t="s">
        <v>359</v>
      </c>
      <c r="K502" s="538" t="s">
        <v>2325</v>
      </c>
      <c r="L502" s="538" t="s">
        <v>2326</v>
      </c>
      <c r="M502" s="538" t="s">
        <v>1053</v>
      </c>
      <c r="N502" s="538" t="s">
        <v>673</v>
      </c>
      <c r="O502" s="538" t="b">
        <v>1</v>
      </c>
      <c r="P502" s="538" t="b">
        <v>1</v>
      </c>
      <c r="Q502" s="538" t="s">
        <v>73</v>
      </c>
      <c r="S502" s="538" t="s">
        <v>73</v>
      </c>
      <c r="U502" s="538" t="s">
        <v>79</v>
      </c>
      <c r="V502" s="538" t="s">
        <v>248</v>
      </c>
      <c r="W502" s="538" t="s">
        <v>79</v>
      </c>
      <c r="X502" s="538" t="s">
        <v>248</v>
      </c>
      <c r="Y502" s="538" t="s">
        <v>79</v>
      </c>
      <c r="Z502" s="538" t="s">
        <v>248</v>
      </c>
      <c r="AA502" s="538" t="s">
        <v>79</v>
      </c>
      <c r="AB502" s="538" t="s">
        <v>248</v>
      </c>
      <c r="AC502" s="538" t="s">
        <v>79</v>
      </c>
      <c r="AD502" s="538" t="s">
        <v>248</v>
      </c>
      <c r="AE502" s="538" t="s">
        <v>79</v>
      </c>
      <c r="AF502" s="538" t="s">
        <v>248</v>
      </c>
      <c r="AG502" s="538" t="s">
        <v>79</v>
      </c>
      <c r="AH502" s="538" t="s">
        <v>248</v>
      </c>
      <c r="AI502" s="538" t="s">
        <v>79</v>
      </c>
      <c r="AJ502" s="538" t="s">
        <v>248</v>
      </c>
      <c r="AK502" s="538" t="s">
        <v>79</v>
      </c>
      <c r="AL502" s="538" t="s">
        <v>248</v>
      </c>
      <c r="AM502" s="538" t="s">
        <v>79</v>
      </c>
      <c r="AN502" s="538" t="s">
        <v>248</v>
      </c>
      <c r="AO502" s="538" t="s">
        <v>79</v>
      </c>
      <c r="AP502" s="538" t="s">
        <v>214</v>
      </c>
      <c r="AQ502" s="538" t="s">
        <v>79</v>
      </c>
      <c r="AR502" s="538" t="s">
        <v>214</v>
      </c>
      <c r="AS502" s="538">
        <v>4.031461692E9</v>
      </c>
      <c r="AT502" s="538">
        <v>2.778731701E9</v>
      </c>
      <c r="AU502" s="538">
        <v>296.0</v>
      </c>
      <c r="AV502" s="538" t="s">
        <v>47</v>
      </c>
      <c r="AZ502" s="538">
        <v>0.6</v>
      </c>
      <c r="BA502" s="538">
        <v>0.7</v>
      </c>
      <c r="BB502" s="538">
        <v>0.8</v>
      </c>
      <c r="BC502" s="538">
        <v>0.9</v>
      </c>
      <c r="BD502" s="538">
        <v>1.0</v>
      </c>
      <c r="BE502" s="538">
        <v>1.0</v>
      </c>
      <c r="BF502" s="538">
        <v>1.0</v>
      </c>
      <c r="BG502" s="538">
        <v>1.0</v>
      </c>
      <c r="BH502" s="538">
        <v>1.0</v>
      </c>
      <c r="BI502" s="538">
        <v>1.0</v>
      </c>
      <c r="BJ502" s="546"/>
      <c r="BL502" s="546"/>
    </row>
    <row r="503" ht="22.5" customHeight="1">
      <c r="A503" s="538">
        <v>502.0</v>
      </c>
      <c r="B503" s="538" t="s">
        <v>2327</v>
      </c>
      <c r="C503" s="538" t="s">
        <v>82</v>
      </c>
      <c r="D503" s="538" t="s">
        <v>2319</v>
      </c>
      <c r="E503" s="538" t="s">
        <v>241</v>
      </c>
      <c r="F503" s="538" t="s">
        <v>2307</v>
      </c>
      <c r="G503" s="538" t="s">
        <v>221</v>
      </c>
      <c r="H503" s="538" t="s">
        <v>250</v>
      </c>
      <c r="I503" s="538" t="s">
        <v>155</v>
      </c>
      <c r="J503" s="538" t="s">
        <v>384</v>
      </c>
      <c r="K503" s="538" t="s">
        <v>2328</v>
      </c>
      <c r="L503" s="538" t="s">
        <v>2329</v>
      </c>
      <c r="M503" s="538" t="s">
        <v>673</v>
      </c>
      <c r="N503" s="538" t="s">
        <v>2330</v>
      </c>
      <c r="O503" s="538" t="b">
        <v>0</v>
      </c>
      <c r="P503" s="538" t="b">
        <v>0</v>
      </c>
      <c r="Q503" s="538" t="s">
        <v>75</v>
      </c>
      <c r="R503" s="538" t="s">
        <v>2310</v>
      </c>
      <c r="S503" s="538" t="s">
        <v>75</v>
      </c>
      <c r="T503" s="538" t="s">
        <v>2310</v>
      </c>
      <c r="U503" s="538" t="s">
        <v>79</v>
      </c>
      <c r="V503" s="538" t="s">
        <v>2307</v>
      </c>
      <c r="W503" s="538" t="s">
        <v>79</v>
      </c>
      <c r="X503" s="538" t="s">
        <v>2307</v>
      </c>
      <c r="Y503" s="538" t="s">
        <v>79</v>
      </c>
      <c r="Z503" s="538" t="s">
        <v>2307</v>
      </c>
      <c r="AA503" s="538" t="s">
        <v>79</v>
      </c>
      <c r="AB503" s="538" t="s">
        <v>2307</v>
      </c>
      <c r="AC503" s="538" t="s">
        <v>79</v>
      </c>
      <c r="AD503" s="538" t="s">
        <v>2307</v>
      </c>
      <c r="AE503" s="538" t="s">
        <v>79</v>
      </c>
      <c r="AF503" s="538" t="s">
        <v>2307</v>
      </c>
      <c r="AG503" s="538" t="s">
        <v>79</v>
      </c>
      <c r="AH503" s="538" t="s">
        <v>2307</v>
      </c>
      <c r="AI503" s="538" t="s">
        <v>79</v>
      </c>
      <c r="AJ503" s="538" t="s">
        <v>2307</v>
      </c>
      <c r="AK503" s="538" t="s">
        <v>79</v>
      </c>
      <c r="AL503" s="538" t="s">
        <v>2307</v>
      </c>
      <c r="AM503" s="538" t="s">
        <v>79</v>
      </c>
      <c r="AN503" s="538" t="s">
        <v>2307</v>
      </c>
      <c r="AO503" s="538" t="s">
        <v>79</v>
      </c>
      <c r="AP503" s="538" t="s">
        <v>241</v>
      </c>
      <c r="AQ503" s="538" t="s">
        <v>79</v>
      </c>
      <c r="AR503" s="538" t="s">
        <v>241</v>
      </c>
      <c r="AS503" s="538">
        <v>1.870364263E9</v>
      </c>
      <c r="AT503" s="538">
        <v>2.86489522E9</v>
      </c>
      <c r="AU503" s="538">
        <v>297.0</v>
      </c>
      <c r="AV503" s="538" t="s">
        <v>46</v>
      </c>
      <c r="AX503" s="538" t="s">
        <v>437</v>
      </c>
      <c r="AY503" s="538" t="s">
        <v>2310</v>
      </c>
      <c r="AZ503" s="538">
        <v>1.0</v>
      </c>
      <c r="BA503" s="538">
        <v>1.0</v>
      </c>
      <c r="BB503" s="538">
        <v>1.0</v>
      </c>
      <c r="BC503" s="538">
        <v>1.0</v>
      </c>
      <c r="BD503" s="538">
        <v>1.0</v>
      </c>
      <c r="BE503" s="538">
        <v>5500.0</v>
      </c>
      <c r="BF503" s="538">
        <v>6500.0</v>
      </c>
      <c r="BG503" s="538">
        <v>8000.0</v>
      </c>
      <c r="BH503" s="538">
        <v>10000.0</v>
      </c>
      <c r="BI503" s="538">
        <v>12500.0</v>
      </c>
      <c r="BJ503" s="546"/>
      <c r="BL503" s="546"/>
    </row>
    <row r="504" ht="22.5" customHeight="1">
      <c r="A504" s="538">
        <v>503.0</v>
      </c>
      <c r="B504" s="538" t="s">
        <v>2327</v>
      </c>
      <c r="C504" s="538" t="s">
        <v>86</v>
      </c>
      <c r="D504" s="538" t="s">
        <v>2319</v>
      </c>
      <c r="E504" s="538" t="s">
        <v>322</v>
      </c>
      <c r="F504" s="538" t="s">
        <v>2331</v>
      </c>
      <c r="G504" s="538" t="s">
        <v>239</v>
      </c>
      <c r="H504" s="538" t="s">
        <v>250</v>
      </c>
      <c r="I504" s="538" t="s">
        <v>122</v>
      </c>
      <c r="J504" s="538" t="s">
        <v>367</v>
      </c>
      <c r="K504" s="538" t="s">
        <v>2332</v>
      </c>
      <c r="L504" s="538" t="s">
        <v>2333</v>
      </c>
      <c r="M504" s="538" t="s">
        <v>673</v>
      </c>
      <c r="N504" s="538" t="s">
        <v>2334</v>
      </c>
      <c r="O504" s="538" t="b">
        <v>0</v>
      </c>
      <c r="P504" s="538" t="b">
        <v>1</v>
      </c>
      <c r="Q504" s="538" t="s">
        <v>75</v>
      </c>
      <c r="R504" s="538" t="s">
        <v>351</v>
      </c>
      <c r="S504" s="538" t="s">
        <v>75</v>
      </c>
      <c r="T504" s="538" t="s">
        <v>351</v>
      </c>
      <c r="U504" s="538" t="s">
        <v>79</v>
      </c>
      <c r="V504" s="538" t="s">
        <v>2331</v>
      </c>
      <c r="W504" s="538" t="s">
        <v>79</v>
      </c>
      <c r="X504" s="538" t="s">
        <v>2331</v>
      </c>
      <c r="Y504" s="538" t="s">
        <v>79</v>
      </c>
      <c r="Z504" s="538" t="s">
        <v>2331</v>
      </c>
      <c r="AA504" s="538" t="s">
        <v>79</v>
      </c>
      <c r="AB504" s="538" t="s">
        <v>2331</v>
      </c>
      <c r="AC504" s="538" t="s">
        <v>79</v>
      </c>
      <c r="AD504" s="538" t="s">
        <v>2331</v>
      </c>
      <c r="AE504" s="538" t="s">
        <v>79</v>
      </c>
      <c r="AF504" s="538" t="s">
        <v>2331</v>
      </c>
      <c r="AG504" s="538" t="s">
        <v>79</v>
      </c>
      <c r="AH504" s="538" t="s">
        <v>2331</v>
      </c>
      <c r="AI504" s="538" t="s">
        <v>79</v>
      </c>
      <c r="AJ504" s="538" t="s">
        <v>2331</v>
      </c>
      <c r="AK504" s="538" t="s">
        <v>79</v>
      </c>
      <c r="AL504" s="538" t="s">
        <v>2331</v>
      </c>
      <c r="AM504" s="538" t="s">
        <v>79</v>
      </c>
      <c r="AN504" s="538" t="s">
        <v>2331</v>
      </c>
      <c r="AO504" s="538" t="s">
        <v>79</v>
      </c>
      <c r="AP504" s="538" t="s">
        <v>322</v>
      </c>
      <c r="AQ504" s="538" t="s">
        <v>79</v>
      </c>
      <c r="AR504" s="538" t="s">
        <v>322</v>
      </c>
      <c r="AS504" s="538">
        <v>2.348699497E9</v>
      </c>
      <c r="AT504" s="538">
        <v>2.86489522E9</v>
      </c>
      <c r="AU504" s="538">
        <v>297.0</v>
      </c>
      <c r="AV504" s="538" t="s">
        <v>46</v>
      </c>
      <c r="AW504" s="538" t="s">
        <v>2335</v>
      </c>
      <c r="AY504" s="538" t="s">
        <v>351</v>
      </c>
      <c r="AZ504" s="538">
        <v>1.0</v>
      </c>
      <c r="BA504" s="538">
        <v>1.0</v>
      </c>
      <c r="BB504" s="538">
        <v>1.0</v>
      </c>
      <c r="BC504" s="538">
        <v>1.0</v>
      </c>
      <c r="BD504" s="538">
        <v>1.0</v>
      </c>
      <c r="BE504" s="538">
        <v>0.7</v>
      </c>
      <c r="BF504" s="538">
        <v>0.8</v>
      </c>
      <c r="BG504" s="538">
        <v>0.95</v>
      </c>
      <c r="BH504" s="538">
        <v>1.15</v>
      </c>
      <c r="BI504" s="538">
        <v>1.4</v>
      </c>
      <c r="BJ504" s="546"/>
      <c r="BK504" s="547"/>
      <c r="BL504" s="546"/>
    </row>
    <row r="505" ht="22.5" customHeight="1">
      <c r="A505" s="538">
        <v>504.0</v>
      </c>
      <c r="B505" s="538" t="s">
        <v>2336</v>
      </c>
      <c r="C505" s="538" t="s">
        <v>82</v>
      </c>
      <c r="D505" s="538" t="s">
        <v>2319</v>
      </c>
      <c r="E505" s="538" t="s">
        <v>322</v>
      </c>
      <c r="F505" s="538" t="s">
        <v>1433</v>
      </c>
      <c r="G505" s="538" t="s">
        <v>221</v>
      </c>
      <c r="H505" s="538" t="s">
        <v>250</v>
      </c>
      <c r="I505" s="538" t="s">
        <v>122</v>
      </c>
      <c r="J505" s="538" t="s">
        <v>367</v>
      </c>
      <c r="K505" s="538" t="s">
        <v>2337</v>
      </c>
      <c r="L505" s="538" t="s">
        <v>2338</v>
      </c>
      <c r="M505" s="538" t="s">
        <v>673</v>
      </c>
      <c r="N505" s="538" t="s">
        <v>2339</v>
      </c>
      <c r="O505" s="538" t="b">
        <v>0</v>
      </c>
      <c r="P505" s="538" t="b">
        <v>1</v>
      </c>
      <c r="Q505" s="538" t="s">
        <v>75</v>
      </c>
      <c r="R505" s="538" t="s">
        <v>127</v>
      </c>
      <c r="S505" s="538" t="s">
        <v>75</v>
      </c>
      <c r="T505" s="538" t="s">
        <v>127</v>
      </c>
      <c r="U505" s="538" t="s">
        <v>79</v>
      </c>
      <c r="V505" s="538" t="s">
        <v>1433</v>
      </c>
      <c r="W505" s="538" t="s">
        <v>79</v>
      </c>
      <c r="X505" s="538" t="s">
        <v>1433</v>
      </c>
      <c r="Y505" s="538" t="s">
        <v>79</v>
      </c>
      <c r="Z505" s="538" t="s">
        <v>1433</v>
      </c>
      <c r="AA505" s="538" t="s">
        <v>79</v>
      </c>
      <c r="AB505" s="538" t="s">
        <v>1433</v>
      </c>
      <c r="AC505" s="538" t="s">
        <v>79</v>
      </c>
      <c r="AD505" s="538" t="s">
        <v>1433</v>
      </c>
      <c r="AE505" s="538" t="s">
        <v>79</v>
      </c>
      <c r="AF505" s="538" t="s">
        <v>1433</v>
      </c>
      <c r="AG505" s="538" t="s">
        <v>79</v>
      </c>
      <c r="AH505" s="538" t="s">
        <v>1433</v>
      </c>
      <c r="AI505" s="538" t="s">
        <v>79</v>
      </c>
      <c r="AJ505" s="538" t="s">
        <v>1433</v>
      </c>
      <c r="AK505" s="538" t="s">
        <v>79</v>
      </c>
      <c r="AL505" s="538" t="s">
        <v>1433</v>
      </c>
      <c r="AM505" s="538" t="s">
        <v>79</v>
      </c>
      <c r="AN505" s="538" t="s">
        <v>1433</v>
      </c>
      <c r="AO505" s="538" t="s">
        <v>79</v>
      </c>
      <c r="AP505" s="538" t="s">
        <v>322</v>
      </c>
      <c r="AQ505" s="538" t="s">
        <v>79</v>
      </c>
      <c r="AR505" s="538" t="s">
        <v>322</v>
      </c>
      <c r="AS505" s="538">
        <v>4.042455437E9</v>
      </c>
      <c r="AT505" s="538">
        <v>3.592998124E9</v>
      </c>
      <c r="AU505" s="538">
        <v>298.0</v>
      </c>
      <c r="AV505" s="538" t="s">
        <v>46</v>
      </c>
      <c r="AX505" s="538" t="s">
        <v>437</v>
      </c>
      <c r="AY505" s="538" t="s">
        <v>127</v>
      </c>
      <c r="AZ505" s="538">
        <v>1.0</v>
      </c>
      <c r="BA505" s="538">
        <v>1.0</v>
      </c>
      <c r="BB505" s="538">
        <v>1.0</v>
      </c>
      <c r="BC505" s="538">
        <v>1.0</v>
      </c>
      <c r="BD505" s="538">
        <v>1.0</v>
      </c>
      <c r="BE505" s="538">
        <v>0.28</v>
      </c>
      <c r="BF505" s="538">
        <v>0.34</v>
      </c>
      <c r="BG505" s="538">
        <v>0.42</v>
      </c>
      <c r="BH505" s="538">
        <v>0.52</v>
      </c>
      <c r="BI505" s="538">
        <v>0.65</v>
      </c>
      <c r="BJ505" s="546"/>
      <c r="BL505" s="546"/>
    </row>
    <row r="506" ht="22.5" customHeight="1">
      <c r="A506" s="538">
        <v>505.0</v>
      </c>
      <c r="B506" s="538" t="s">
        <v>2336</v>
      </c>
      <c r="C506" s="538" t="s">
        <v>86</v>
      </c>
      <c r="D506" s="538" t="s">
        <v>2319</v>
      </c>
      <c r="E506" s="538" t="s">
        <v>241</v>
      </c>
      <c r="F506" s="538" t="s">
        <v>2340</v>
      </c>
      <c r="G506" s="538" t="s">
        <v>239</v>
      </c>
      <c r="H506" s="538" t="s">
        <v>250</v>
      </c>
      <c r="I506" s="538" t="s">
        <v>155</v>
      </c>
      <c r="J506" s="538" t="s">
        <v>367</v>
      </c>
      <c r="K506" s="538" t="s">
        <v>2341</v>
      </c>
      <c r="L506" s="538" t="s">
        <v>2342</v>
      </c>
      <c r="M506" s="538" t="s">
        <v>673</v>
      </c>
      <c r="N506" s="538" t="s">
        <v>2343</v>
      </c>
      <c r="O506" s="538" t="b">
        <v>0</v>
      </c>
      <c r="P506" s="538" t="b">
        <v>0</v>
      </c>
      <c r="Q506" s="538" t="s">
        <v>75</v>
      </c>
      <c r="R506" s="538" t="s">
        <v>2344</v>
      </c>
      <c r="S506" s="538" t="s">
        <v>75</v>
      </c>
      <c r="T506" s="538" t="s">
        <v>2344</v>
      </c>
      <c r="U506" s="538" t="s">
        <v>79</v>
      </c>
      <c r="V506" s="538" t="s">
        <v>2340</v>
      </c>
      <c r="W506" s="538" t="s">
        <v>79</v>
      </c>
      <c r="X506" s="538" t="s">
        <v>2340</v>
      </c>
      <c r="Y506" s="538" t="s">
        <v>79</v>
      </c>
      <c r="Z506" s="538" t="s">
        <v>2340</v>
      </c>
      <c r="AA506" s="538" t="s">
        <v>79</v>
      </c>
      <c r="AB506" s="538" t="s">
        <v>2340</v>
      </c>
      <c r="AC506" s="538" t="s">
        <v>79</v>
      </c>
      <c r="AD506" s="538" t="s">
        <v>2340</v>
      </c>
      <c r="AE506" s="538" t="s">
        <v>79</v>
      </c>
      <c r="AF506" s="538" t="s">
        <v>2340</v>
      </c>
      <c r="AG506" s="538" t="s">
        <v>79</v>
      </c>
      <c r="AH506" s="538" t="s">
        <v>2340</v>
      </c>
      <c r="AI506" s="538" t="s">
        <v>79</v>
      </c>
      <c r="AJ506" s="538" t="s">
        <v>2340</v>
      </c>
      <c r="AK506" s="538" t="s">
        <v>79</v>
      </c>
      <c r="AL506" s="538" t="s">
        <v>2340</v>
      </c>
      <c r="AM506" s="538" t="s">
        <v>79</v>
      </c>
      <c r="AN506" s="538" t="s">
        <v>2340</v>
      </c>
      <c r="AO506" s="538" t="s">
        <v>79</v>
      </c>
      <c r="AP506" s="538" t="s">
        <v>241</v>
      </c>
      <c r="AQ506" s="538" t="s">
        <v>79</v>
      </c>
      <c r="AR506" s="538" t="s">
        <v>241</v>
      </c>
      <c r="AS506" s="538">
        <v>2.34626269E8</v>
      </c>
      <c r="AT506" s="538">
        <v>3.592998124E9</v>
      </c>
      <c r="AU506" s="538">
        <v>298.0</v>
      </c>
      <c r="AV506" s="538" t="s">
        <v>46</v>
      </c>
      <c r="AW506" s="538" t="s">
        <v>2335</v>
      </c>
      <c r="AY506" s="538" t="s">
        <v>2344</v>
      </c>
      <c r="AZ506" s="538">
        <v>1.0</v>
      </c>
      <c r="BA506" s="538">
        <v>1.0</v>
      </c>
      <c r="BB506" s="538">
        <v>1.0</v>
      </c>
      <c r="BC506" s="538">
        <v>1.0</v>
      </c>
      <c r="BD506" s="538">
        <v>1.0</v>
      </c>
      <c r="BE506" s="538">
        <v>12000.0</v>
      </c>
      <c r="BF506" s="538">
        <v>14500.0</v>
      </c>
      <c r="BG506" s="538">
        <v>17500.0</v>
      </c>
      <c r="BH506" s="538">
        <v>21000.0</v>
      </c>
      <c r="BI506" s="538">
        <v>25000.0</v>
      </c>
      <c r="BJ506" s="546"/>
      <c r="BL506" s="546"/>
    </row>
    <row r="507" ht="22.5" customHeight="1">
      <c r="A507" s="538">
        <v>506.0</v>
      </c>
      <c r="B507" s="538" t="s">
        <v>2345</v>
      </c>
      <c r="C507" s="538" t="s">
        <v>84</v>
      </c>
      <c r="D507" s="538" t="s">
        <v>2346</v>
      </c>
      <c r="E507" s="538" t="s">
        <v>355</v>
      </c>
      <c r="G507" s="538" t="s">
        <v>151</v>
      </c>
      <c r="H507" s="538" t="s">
        <v>250</v>
      </c>
      <c r="I507" s="538" t="s">
        <v>122</v>
      </c>
      <c r="K507" s="538" t="s">
        <v>2347</v>
      </c>
      <c r="L507" s="538" t="s">
        <v>2348</v>
      </c>
      <c r="M507" s="538" t="s">
        <v>661</v>
      </c>
      <c r="N507" s="538" t="s">
        <v>1574</v>
      </c>
      <c r="O507" s="538" t="b">
        <v>0</v>
      </c>
      <c r="P507" s="538" t="b">
        <v>1</v>
      </c>
      <c r="Q507" s="538" t="s">
        <v>79</v>
      </c>
      <c r="R507" s="538" t="s">
        <v>355</v>
      </c>
      <c r="S507" s="538" t="s">
        <v>79</v>
      </c>
      <c r="T507" s="538" t="s">
        <v>355</v>
      </c>
      <c r="U507" s="538" t="s">
        <v>75</v>
      </c>
      <c r="V507" s="538" t="s">
        <v>1878</v>
      </c>
      <c r="W507" s="538" t="s">
        <v>79</v>
      </c>
      <c r="X507" s="538" t="s">
        <v>355</v>
      </c>
      <c r="Y507" s="538" t="s">
        <v>79</v>
      </c>
      <c r="Z507" s="538" t="s">
        <v>355</v>
      </c>
      <c r="AA507" s="538" t="s">
        <v>79</v>
      </c>
      <c r="AB507" s="538" t="s">
        <v>355</v>
      </c>
      <c r="AC507" s="538" t="s">
        <v>79</v>
      </c>
      <c r="AD507" s="538" t="s">
        <v>355</v>
      </c>
      <c r="AE507" s="538" t="s">
        <v>79</v>
      </c>
      <c r="AF507" s="538" t="s">
        <v>355</v>
      </c>
      <c r="AG507" s="538" t="s">
        <v>79</v>
      </c>
      <c r="AH507" s="538" t="s">
        <v>355</v>
      </c>
      <c r="AI507" s="538" t="s">
        <v>79</v>
      </c>
      <c r="AJ507" s="538" t="s">
        <v>355</v>
      </c>
      <c r="AK507" s="538" t="s">
        <v>79</v>
      </c>
      <c r="AL507" s="538" t="s">
        <v>355</v>
      </c>
      <c r="AM507" s="538" t="s">
        <v>79</v>
      </c>
      <c r="AN507" s="538" t="s">
        <v>355</v>
      </c>
      <c r="AO507" s="538" t="s">
        <v>73</v>
      </c>
      <c r="AQ507" s="538" t="s">
        <v>79</v>
      </c>
      <c r="AR507" s="538" t="s">
        <v>355</v>
      </c>
      <c r="AS507" s="538">
        <v>2.565476998E9</v>
      </c>
      <c r="AT507" s="538">
        <v>1.511887954E9</v>
      </c>
      <c r="AU507" s="538">
        <v>299.0</v>
      </c>
      <c r="AV507" s="538" t="s">
        <v>47</v>
      </c>
      <c r="AY507" s="538" t="s">
        <v>355</v>
      </c>
      <c r="AZ507" s="538">
        <v>1.0</v>
      </c>
      <c r="BA507" s="538">
        <v>1.0</v>
      </c>
      <c r="BB507" s="538">
        <v>1.0</v>
      </c>
      <c r="BE507" s="538">
        <v>0.3</v>
      </c>
      <c r="BF507" s="538">
        <v>0.05</v>
      </c>
      <c r="BG507" s="538">
        <v>0.1</v>
      </c>
      <c r="BJ507" s="546"/>
      <c r="BL507" s="546"/>
    </row>
    <row r="508" ht="22.5" customHeight="1">
      <c r="A508" s="538">
        <v>507.0</v>
      </c>
      <c r="B508" s="538" t="s">
        <v>2345</v>
      </c>
      <c r="C508" s="538" t="s">
        <v>82</v>
      </c>
      <c r="D508" s="538" t="s">
        <v>2346</v>
      </c>
      <c r="E508" s="538" t="s">
        <v>241</v>
      </c>
      <c r="F508" s="538" t="s">
        <v>2200</v>
      </c>
      <c r="G508" s="538" t="s">
        <v>118</v>
      </c>
      <c r="H508" s="538" t="s">
        <v>250</v>
      </c>
      <c r="I508" s="538" t="s">
        <v>155</v>
      </c>
      <c r="J508" s="538" t="s">
        <v>350</v>
      </c>
      <c r="K508" s="538" t="s">
        <v>2349</v>
      </c>
      <c r="L508" s="538" t="s">
        <v>2350</v>
      </c>
      <c r="M508" s="538" t="s">
        <v>673</v>
      </c>
      <c r="N508" s="538" t="s">
        <v>2351</v>
      </c>
      <c r="O508" s="538" t="b">
        <v>0</v>
      </c>
      <c r="P508" s="538" t="b">
        <v>0</v>
      </c>
      <c r="Q508" s="538" t="s">
        <v>79</v>
      </c>
      <c r="R508" s="538" t="s">
        <v>1994</v>
      </c>
      <c r="S508" s="538" t="s">
        <v>79</v>
      </c>
      <c r="T508" s="538" t="s">
        <v>1994</v>
      </c>
      <c r="U508" s="538" t="s">
        <v>75</v>
      </c>
      <c r="V508" s="538" t="s">
        <v>348</v>
      </c>
      <c r="W508" s="538" t="s">
        <v>75</v>
      </c>
      <c r="X508" s="538" t="s">
        <v>348</v>
      </c>
      <c r="Y508" s="538" t="s">
        <v>79</v>
      </c>
      <c r="Z508" s="538" t="s">
        <v>1994</v>
      </c>
      <c r="AA508" s="538" t="s">
        <v>75</v>
      </c>
      <c r="AB508" s="538" t="s">
        <v>348</v>
      </c>
      <c r="AC508" s="538" t="s">
        <v>79</v>
      </c>
      <c r="AD508" s="538" t="s">
        <v>377</v>
      </c>
      <c r="AE508" s="538" t="s">
        <v>79</v>
      </c>
      <c r="AF508" s="538" t="s">
        <v>377</v>
      </c>
      <c r="AG508" s="538" t="s">
        <v>79</v>
      </c>
      <c r="AH508" s="538" t="s">
        <v>1994</v>
      </c>
      <c r="AI508" s="538" t="s">
        <v>79</v>
      </c>
      <c r="AJ508" s="538" t="s">
        <v>377</v>
      </c>
      <c r="AK508" s="538" t="s">
        <v>79</v>
      </c>
      <c r="AL508" s="538" t="s">
        <v>1994</v>
      </c>
      <c r="AM508" s="538" t="s">
        <v>79</v>
      </c>
      <c r="AN508" s="538" t="s">
        <v>1994</v>
      </c>
      <c r="AO508" s="538" t="s">
        <v>79</v>
      </c>
      <c r="AP508" s="538" t="s">
        <v>241</v>
      </c>
      <c r="AQ508" s="538" t="s">
        <v>79</v>
      </c>
      <c r="AR508" s="538" t="s">
        <v>241</v>
      </c>
      <c r="AS508" s="538">
        <v>2.281926825E9</v>
      </c>
      <c r="AT508" s="538">
        <v>1.511887954E9</v>
      </c>
      <c r="AU508" s="538">
        <v>299.0</v>
      </c>
      <c r="AV508" s="538" t="s">
        <v>47</v>
      </c>
      <c r="AY508" s="538" t="s">
        <v>348</v>
      </c>
      <c r="AZ508" s="538">
        <v>1.0</v>
      </c>
      <c r="BA508" s="538">
        <v>1.0</v>
      </c>
      <c r="BB508" s="538">
        <v>1.0</v>
      </c>
      <c r="BC508" s="538">
        <v>1.0</v>
      </c>
      <c r="BD508" s="538">
        <v>1.0</v>
      </c>
      <c r="BE508" s="538">
        <v>2000.0</v>
      </c>
      <c r="BF508" s="538">
        <v>2300.0</v>
      </c>
      <c r="BG508" s="538">
        <v>2600.0</v>
      </c>
      <c r="BH508" s="538">
        <v>2900.0</v>
      </c>
      <c r="BI508" s="538">
        <v>3200.0</v>
      </c>
      <c r="BJ508" s="546"/>
      <c r="BL508" s="546"/>
    </row>
    <row r="509" ht="22.5" customHeight="1">
      <c r="A509" s="538">
        <v>508.0</v>
      </c>
      <c r="B509" s="538" t="s">
        <v>59</v>
      </c>
      <c r="C509" s="538" t="s">
        <v>82</v>
      </c>
      <c r="D509" s="538" t="s">
        <v>2346</v>
      </c>
      <c r="E509" s="538" t="s">
        <v>366</v>
      </c>
      <c r="F509" s="538" t="s">
        <v>1688</v>
      </c>
      <c r="G509" s="538" t="s">
        <v>239</v>
      </c>
      <c r="H509" s="538" t="s">
        <v>250</v>
      </c>
      <c r="I509" s="538" t="s">
        <v>122</v>
      </c>
      <c r="K509" s="538" t="s">
        <v>2352</v>
      </c>
      <c r="L509" s="538" t="s">
        <v>2353</v>
      </c>
      <c r="M509" s="538" t="s">
        <v>673</v>
      </c>
      <c r="N509" s="538" t="s">
        <v>2354</v>
      </c>
      <c r="O509" s="538" t="b">
        <v>0</v>
      </c>
      <c r="P509" s="538" t="b">
        <v>1</v>
      </c>
      <c r="Q509" s="538" t="s">
        <v>79</v>
      </c>
      <c r="R509" s="538" t="s">
        <v>228</v>
      </c>
      <c r="S509" s="538" t="s">
        <v>79</v>
      </c>
      <c r="T509" s="538" t="s">
        <v>228</v>
      </c>
      <c r="U509" s="538" t="s">
        <v>73</v>
      </c>
      <c r="W509" s="538" t="s">
        <v>73</v>
      </c>
      <c r="Y509" s="538" t="s">
        <v>79</v>
      </c>
      <c r="Z509" s="538" t="s">
        <v>228</v>
      </c>
      <c r="AA509" s="538" t="s">
        <v>73</v>
      </c>
      <c r="AC509" s="538" t="s">
        <v>79</v>
      </c>
      <c r="AD509" s="538" t="s">
        <v>377</v>
      </c>
      <c r="AE509" s="538" t="s">
        <v>79</v>
      </c>
      <c r="AF509" s="538" t="s">
        <v>377</v>
      </c>
      <c r="AG509" s="538" t="s">
        <v>79</v>
      </c>
      <c r="AH509" s="538" t="s">
        <v>228</v>
      </c>
      <c r="AI509" s="538" t="s">
        <v>79</v>
      </c>
      <c r="AJ509" s="538" t="s">
        <v>377</v>
      </c>
      <c r="AK509" s="538" t="s">
        <v>79</v>
      </c>
      <c r="AL509" s="538" t="s">
        <v>228</v>
      </c>
      <c r="AM509" s="538" t="s">
        <v>79</v>
      </c>
      <c r="AN509" s="538" t="s">
        <v>228</v>
      </c>
      <c r="AO509" s="538" t="s">
        <v>79</v>
      </c>
      <c r="AP509" s="538" t="s">
        <v>366</v>
      </c>
      <c r="AQ509" s="538" t="s">
        <v>79</v>
      </c>
      <c r="AR509" s="538" t="s">
        <v>366</v>
      </c>
      <c r="AS509" s="538">
        <v>3.196098481E9</v>
      </c>
      <c r="AT509" s="538">
        <v>2.45898358E9</v>
      </c>
      <c r="AU509" s="538">
        <v>300.0</v>
      </c>
      <c r="AV509" s="538" t="s">
        <v>47</v>
      </c>
      <c r="AZ509" s="538">
        <v>1.0</v>
      </c>
      <c r="BA509" s="538">
        <v>1.0</v>
      </c>
      <c r="BB509" s="538">
        <v>1.0</v>
      </c>
      <c r="BC509" s="538">
        <v>1.0</v>
      </c>
      <c r="BD509" s="538">
        <v>1.0</v>
      </c>
      <c r="BE509" s="538">
        <v>0.12</v>
      </c>
      <c r="BF509" s="538">
        <v>0.16</v>
      </c>
      <c r="BG509" s="538">
        <v>0.2</v>
      </c>
      <c r="BH509" s="538">
        <v>0.25</v>
      </c>
      <c r="BI509" s="538">
        <v>0.3</v>
      </c>
      <c r="BJ509" s="546"/>
      <c r="BL509" s="546"/>
    </row>
    <row r="510" ht="22.5" customHeight="1">
      <c r="A510" s="538">
        <v>509.0</v>
      </c>
      <c r="B510" s="538" t="s">
        <v>59</v>
      </c>
      <c r="C510" s="538" t="s">
        <v>86</v>
      </c>
      <c r="D510" s="538" t="s">
        <v>2346</v>
      </c>
      <c r="E510" s="538" t="s">
        <v>295</v>
      </c>
      <c r="F510" s="538" t="s">
        <v>1688</v>
      </c>
      <c r="G510" s="538" t="s">
        <v>221</v>
      </c>
      <c r="H510" s="538" t="s">
        <v>250</v>
      </c>
      <c r="I510" s="538" t="s">
        <v>155</v>
      </c>
      <c r="J510" s="538" t="s">
        <v>384</v>
      </c>
      <c r="K510" s="538" t="s">
        <v>2355</v>
      </c>
      <c r="L510" s="538" t="s">
        <v>2356</v>
      </c>
      <c r="M510" s="538" t="s">
        <v>673</v>
      </c>
      <c r="N510" s="538" t="s">
        <v>2357</v>
      </c>
      <c r="O510" s="538" t="b">
        <v>0</v>
      </c>
      <c r="P510" s="538" t="b">
        <v>1</v>
      </c>
      <c r="Q510" s="538" t="s">
        <v>79</v>
      </c>
      <c r="R510" s="538" t="s">
        <v>228</v>
      </c>
      <c r="S510" s="538" t="s">
        <v>79</v>
      </c>
      <c r="T510" s="538" t="s">
        <v>228</v>
      </c>
      <c r="U510" s="538" t="s">
        <v>73</v>
      </c>
      <c r="W510" s="538" t="s">
        <v>73</v>
      </c>
      <c r="Y510" s="538" t="s">
        <v>79</v>
      </c>
      <c r="Z510" s="538" t="s">
        <v>228</v>
      </c>
      <c r="AA510" s="538" t="s">
        <v>73</v>
      </c>
      <c r="AC510" s="538" t="s">
        <v>79</v>
      </c>
      <c r="AD510" s="538" t="s">
        <v>377</v>
      </c>
      <c r="AE510" s="538" t="s">
        <v>79</v>
      </c>
      <c r="AF510" s="538" t="s">
        <v>377</v>
      </c>
      <c r="AG510" s="538" t="s">
        <v>79</v>
      </c>
      <c r="AH510" s="538" t="s">
        <v>228</v>
      </c>
      <c r="AI510" s="538" t="s">
        <v>79</v>
      </c>
      <c r="AJ510" s="538" t="s">
        <v>377</v>
      </c>
      <c r="AK510" s="538" t="s">
        <v>79</v>
      </c>
      <c r="AL510" s="538" t="s">
        <v>228</v>
      </c>
      <c r="AM510" s="538" t="s">
        <v>79</v>
      </c>
      <c r="AN510" s="538" t="s">
        <v>228</v>
      </c>
      <c r="AO510" s="538" t="s">
        <v>79</v>
      </c>
      <c r="AP510" s="538" t="s">
        <v>295</v>
      </c>
      <c r="AQ510" s="538" t="s">
        <v>79</v>
      </c>
      <c r="AR510" s="538" t="s">
        <v>295</v>
      </c>
      <c r="AS510" s="538">
        <v>2.435779542E9</v>
      </c>
      <c r="AT510" s="538">
        <v>2.45898358E9</v>
      </c>
      <c r="AU510" s="538">
        <v>300.0</v>
      </c>
      <c r="AV510" s="538" t="s">
        <v>47</v>
      </c>
      <c r="AZ510" s="538">
        <v>1.0</v>
      </c>
      <c r="BA510" s="538">
        <v>1.0</v>
      </c>
      <c r="BB510" s="538">
        <v>1.0</v>
      </c>
      <c r="BC510" s="538">
        <v>1.0</v>
      </c>
      <c r="BD510" s="538">
        <v>1.0</v>
      </c>
      <c r="BE510" s="538">
        <v>0.12</v>
      </c>
      <c r="BF510" s="538">
        <v>0.16</v>
      </c>
      <c r="BG510" s="538">
        <v>0.22</v>
      </c>
      <c r="BH510" s="538">
        <v>0.3</v>
      </c>
      <c r="BI510" s="538">
        <v>0.4</v>
      </c>
      <c r="BJ510" s="546"/>
      <c r="BL510" s="546"/>
    </row>
    <row r="511" ht="22.5" customHeight="1">
      <c r="A511" s="538">
        <v>510.0</v>
      </c>
      <c r="B511" s="538" t="s">
        <v>2358</v>
      </c>
      <c r="C511" s="538" t="s">
        <v>82</v>
      </c>
      <c r="D511" s="538" t="s">
        <v>2346</v>
      </c>
      <c r="E511" s="538" t="s">
        <v>316</v>
      </c>
      <c r="F511" s="538" t="s">
        <v>1688</v>
      </c>
      <c r="G511" s="538" t="s">
        <v>234</v>
      </c>
      <c r="H511" s="538" t="s">
        <v>250</v>
      </c>
      <c r="I511" s="538" t="s">
        <v>122</v>
      </c>
      <c r="K511" s="538" t="s">
        <v>2359</v>
      </c>
      <c r="L511" s="538" t="s">
        <v>2360</v>
      </c>
      <c r="M511" s="538" t="s">
        <v>673</v>
      </c>
      <c r="N511" s="538" t="s">
        <v>2361</v>
      </c>
      <c r="O511" s="538" t="b">
        <v>0</v>
      </c>
      <c r="P511" s="538" t="b">
        <v>1</v>
      </c>
      <c r="Q511" s="538" t="s">
        <v>79</v>
      </c>
      <c r="R511" s="538" t="s">
        <v>228</v>
      </c>
      <c r="S511" s="538" t="s">
        <v>79</v>
      </c>
      <c r="T511" s="538" t="s">
        <v>228</v>
      </c>
      <c r="U511" s="538" t="s">
        <v>73</v>
      </c>
      <c r="W511" s="538" t="s">
        <v>73</v>
      </c>
      <c r="Y511" s="538" t="s">
        <v>79</v>
      </c>
      <c r="Z511" s="538" t="s">
        <v>228</v>
      </c>
      <c r="AA511" s="538" t="s">
        <v>73</v>
      </c>
      <c r="AC511" s="538" t="s">
        <v>79</v>
      </c>
      <c r="AD511" s="538" t="s">
        <v>377</v>
      </c>
      <c r="AE511" s="538" t="s">
        <v>79</v>
      </c>
      <c r="AF511" s="538" t="s">
        <v>377</v>
      </c>
      <c r="AG511" s="538" t="s">
        <v>79</v>
      </c>
      <c r="AH511" s="538" t="s">
        <v>228</v>
      </c>
      <c r="AI511" s="538" t="s">
        <v>79</v>
      </c>
      <c r="AJ511" s="538" t="s">
        <v>377</v>
      </c>
      <c r="AK511" s="538" t="s">
        <v>79</v>
      </c>
      <c r="AL511" s="538" t="s">
        <v>228</v>
      </c>
      <c r="AM511" s="538" t="s">
        <v>79</v>
      </c>
      <c r="AN511" s="538" t="s">
        <v>228</v>
      </c>
      <c r="AO511" s="538" t="s">
        <v>79</v>
      </c>
      <c r="AP511" s="538" t="s">
        <v>316</v>
      </c>
      <c r="AQ511" s="538" t="s">
        <v>79</v>
      </c>
      <c r="AR511" s="538" t="s">
        <v>316</v>
      </c>
      <c r="AS511" s="538">
        <v>2.041170794E9</v>
      </c>
      <c r="AT511" s="538">
        <v>2.173095604E9</v>
      </c>
      <c r="AU511" s="538">
        <v>301.0</v>
      </c>
      <c r="AV511" s="538" t="s">
        <v>46</v>
      </c>
      <c r="AZ511" s="538">
        <v>1.0</v>
      </c>
      <c r="BA511" s="538">
        <v>1.0</v>
      </c>
      <c r="BB511" s="538">
        <v>1.0</v>
      </c>
      <c r="BC511" s="538">
        <v>1.0</v>
      </c>
      <c r="BD511" s="538">
        <v>1.0</v>
      </c>
      <c r="BE511" s="538">
        <v>0.12</v>
      </c>
      <c r="BF511" s="538">
        <v>0.15</v>
      </c>
      <c r="BG511" s="538">
        <v>0.18</v>
      </c>
      <c r="BH511" s="538">
        <v>0.21</v>
      </c>
      <c r="BI511" s="538">
        <v>0.24</v>
      </c>
      <c r="BJ511" s="546"/>
      <c r="BL511" s="546"/>
    </row>
    <row r="512" ht="22.5" customHeight="1">
      <c r="A512" s="538">
        <v>511.0</v>
      </c>
      <c r="B512" s="538" t="s">
        <v>2358</v>
      </c>
      <c r="C512" s="538" t="s">
        <v>86</v>
      </c>
      <c r="D512" s="538" t="s">
        <v>2346</v>
      </c>
      <c r="E512" s="538" t="s">
        <v>295</v>
      </c>
      <c r="F512" s="538" t="s">
        <v>1688</v>
      </c>
      <c r="G512" s="538" t="s">
        <v>163</v>
      </c>
      <c r="H512" s="538" t="s">
        <v>250</v>
      </c>
      <c r="I512" s="538" t="s">
        <v>155</v>
      </c>
      <c r="J512" s="538" t="s">
        <v>114</v>
      </c>
      <c r="K512" s="538" t="s">
        <v>2362</v>
      </c>
      <c r="L512" s="538" t="s">
        <v>2363</v>
      </c>
      <c r="M512" s="538" t="s">
        <v>673</v>
      </c>
      <c r="N512" s="538" t="s">
        <v>2364</v>
      </c>
      <c r="O512" s="538" t="b">
        <v>0</v>
      </c>
      <c r="P512" s="538" t="b">
        <v>1</v>
      </c>
      <c r="Q512" s="538" t="s">
        <v>79</v>
      </c>
      <c r="R512" s="538" t="s">
        <v>228</v>
      </c>
      <c r="S512" s="538" t="s">
        <v>79</v>
      </c>
      <c r="T512" s="538" t="s">
        <v>228</v>
      </c>
      <c r="U512" s="538" t="s">
        <v>73</v>
      </c>
      <c r="W512" s="538" t="s">
        <v>73</v>
      </c>
      <c r="Y512" s="538" t="s">
        <v>79</v>
      </c>
      <c r="Z512" s="538" t="s">
        <v>228</v>
      </c>
      <c r="AA512" s="538" t="s">
        <v>73</v>
      </c>
      <c r="AC512" s="538" t="s">
        <v>79</v>
      </c>
      <c r="AD512" s="538" t="s">
        <v>377</v>
      </c>
      <c r="AE512" s="538" t="s">
        <v>79</v>
      </c>
      <c r="AF512" s="538" t="s">
        <v>377</v>
      </c>
      <c r="AG512" s="538" t="s">
        <v>79</v>
      </c>
      <c r="AH512" s="538" t="s">
        <v>228</v>
      </c>
      <c r="AI512" s="538" t="s">
        <v>79</v>
      </c>
      <c r="AJ512" s="538" t="s">
        <v>377</v>
      </c>
      <c r="AK512" s="538" t="s">
        <v>79</v>
      </c>
      <c r="AL512" s="538" t="s">
        <v>228</v>
      </c>
      <c r="AM512" s="538" t="s">
        <v>79</v>
      </c>
      <c r="AN512" s="538" t="s">
        <v>228</v>
      </c>
      <c r="AO512" s="538" t="s">
        <v>79</v>
      </c>
      <c r="AP512" s="538" t="s">
        <v>295</v>
      </c>
      <c r="AQ512" s="538" t="s">
        <v>79</v>
      </c>
      <c r="AR512" s="538" t="s">
        <v>295</v>
      </c>
      <c r="AS512" s="538">
        <v>4.145846912E9</v>
      </c>
      <c r="AT512" s="538">
        <v>2.173095604E9</v>
      </c>
      <c r="AU512" s="538">
        <v>301.0</v>
      </c>
      <c r="AV512" s="538" t="s">
        <v>46</v>
      </c>
      <c r="AZ512" s="538">
        <v>1.0</v>
      </c>
      <c r="BA512" s="538">
        <v>1.0</v>
      </c>
      <c r="BB512" s="538">
        <v>1.0</v>
      </c>
      <c r="BC512" s="538">
        <v>1.0</v>
      </c>
      <c r="BD512" s="538">
        <v>1.0</v>
      </c>
      <c r="BE512" s="538">
        <v>0.3</v>
      </c>
      <c r="BF512" s="538">
        <v>0.45</v>
      </c>
      <c r="BG512" s="538">
        <v>0.65</v>
      </c>
      <c r="BH512" s="538">
        <v>0.9</v>
      </c>
      <c r="BI512" s="538">
        <v>1.2</v>
      </c>
      <c r="BJ512" s="546"/>
      <c r="BK512" s="547"/>
      <c r="BL512" s="546"/>
    </row>
    <row r="513" ht="22.5" customHeight="1">
      <c r="A513" s="538">
        <v>512.0</v>
      </c>
      <c r="B513" s="538" t="s">
        <v>2365</v>
      </c>
      <c r="C513" s="538" t="s">
        <v>82</v>
      </c>
      <c r="D513" s="538" t="s">
        <v>1687</v>
      </c>
      <c r="E513" s="538" t="s">
        <v>246</v>
      </c>
      <c r="F513" s="538" t="s">
        <v>1688</v>
      </c>
      <c r="G513" s="538" t="s">
        <v>163</v>
      </c>
      <c r="H513" s="538" t="s">
        <v>222</v>
      </c>
      <c r="I513" s="538" t="s">
        <v>155</v>
      </c>
      <c r="K513" s="538" t="s">
        <v>2366</v>
      </c>
      <c r="L513" s="538" t="s">
        <v>2367</v>
      </c>
      <c r="M513" s="538" t="s">
        <v>673</v>
      </c>
      <c r="N513" s="538" t="s">
        <v>2368</v>
      </c>
      <c r="O513" s="538" t="b">
        <v>0</v>
      </c>
      <c r="P513" s="538" t="b">
        <v>1</v>
      </c>
      <c r="Q513" s="538" t="s">
        <v>79</v>
      </c>
      <c r="R513" s="538" t="s">
        <v>228</v>
      </c>
      <c r="S513" s="538" t="s">
        <v>79</v>
      </c>
      <c r="T513" s="538" t="s">
        <v>228</v>
      </c>
      <c r="U513" s="538" t="s">
        <v>73</v>
      </c>
      <c r="W513" s="538" t="s">
        <v>73</v>
      </c>
      <c r="Y513" s="538" t="s">
        <v>79</v>
      </c>
      <c r="Z513" s="538" t="s">
        <v>228</v>
      </c>
      <c r="AA513" s="538" t="s">
        <v>73</v>
      </c>
      <c r="AC513" s="538" t="s">
        <v>79</v>
      </c>
      <c r="AD513" s="538" t="s">
        <v>377</v>
      </c>
      <c r="AE513" s="538" t="s">
        <v>79</v>
      </c>
      <c r="AF513" s="538" t="s">
        <v>377</v>
      </c>
      <c r="AG513" s="538" t="s">
        <v>79</v>
      </c>
      <c r="AH513" s="538" t="s">
        <v>228</v>
      </c>
      <c r="AI513" s="538" t="s">
        <v>79</v>
      </c>
      <c r="AJ513" s="538" t="s">
        <v>377</v>
      </c>
      <c r="AK513" s="538" t="s">
        <v>79</v>
      </c>
      <c r="AL513" s="538" t="s">
        <v>228</v>
      </c>
      <c r="AM513" s="538" t="s">
        <v>79</v>
      </c>
      <c r="AN513" s="538" t="s">
        <v>228</v>
      </c>
      <c r="AO513" s="538" t="s">
        <v>79</v>
      </c>
      <c r="AP513" s="538" t="s">
        <v>246</v>
      </c>
      <c r="AQ513" s="538" t="s">
        <v>79</v>
      </c>
      <c r="AR513" s="538" t="s">
        <v>246</v>
      </c>
      <c r="AS513" s="538">
        <v>3.22892959E8</v>
      </c>
      <c r="AT513" s="538">
        <v>2.923667463E9</v>
      </c>
      <c r="AU513" s="538">
        <v>302.0</v>
      </c>
      <c r="AV513" s="538" t="s">
        <v>47</v>
      </c>
      <c r="AZ513" s="538">
        <v>1.0</v>
      </c>
      <c r="BA513" s="538">
        <v>1.0</v>
      </c>
      <c r="BB513" s="538">
        <v>1.0</v>
      </c>
      <c r="BC513" s="538">
        <v>1.0</v>
      </c>
      <c r="BD513" s="538">
        <v>1.0</v>
      </c>
      <c r="BE513" s="538">
        <v>0.5</v>
      </c>
      <c r="BF513" s="538">
        <v>0.55</v>
      </c>
      <c r="BG513" s="538">
        <v>0.7</v>
      </c>
      <c r="BH513" s="538">
        <v>1.0</v>
      </c>
      <c r="BI513" s="538">
        <v>1.5</v>
      </c>
      <c r="BJ513" s="546"/>
      <c r="BK513" s="547"/>
      <c r="BL513" s="546"/>
    </row>
    <row r="514" ht="22.5" customHeight="1">
      <c r="A514" s="538">
        <v>513.0</v>
      </c>
      <c r="B514" s="538" t="s">
        <v>2365</v>
      </c>
      <c r="C514" s="538" t="s">
        <v>86</v>
      </c>
      <c r="D514" s="538" t="s">
        <v>1687</v>
      </c>
      <c r="E514" s="538" t="s">
        <v>246</v>
      </c>
      <c r="F514" s="538" t="s">
        <v>248</v>
      </c>
      <c r="G514" s="538" t="s">
        <v>163</v>
      </c>
      <c r="H514" s="538" t="s">
        <v>222</v>
      </c>
      <c r="I514" s="538" t="s">
        <v>155</v>
      </c>
      <c r="K514" s="538" t="s">
        <v>2369</v>
      </c>
      <c r="L514" s="538" t="s">
        <v>2370</v>
      </c>
      <c r="M514" s="538" t="s">
        <v>673</v>
      </c>
      <c r="N514" s="538" t="s">
        <v>2371</v>
      </c>
      <c r="O514" s="538" t="b">
        <v>0</v>
      </c>
      <c r="P514" s="538" t="b">
        <v>1</v>
      </c>
      <c r="Q514" s="538" t="s">
        <v>73</v>
      </c>
      <c r="S514" s="538" t="s">
        <v>73</v>
      </c>
      <c r="U514" s="538" t="s">
        <v>79</v>
      </c>
      <c r="V514" s="538" t="s">
        <v>248</v>
      </c>
      <c r="W514" s="538" t="s">
        <v>79</v>
      </c>
      <c r="X514" s="538" t="s">
        <v>248</v>
      </c>
      <c r="Y514" s="538" t="s">
        <v>79</v>
      </c>
      <c r="Z514" s="538" t="s">
        <v>248</v>
      </c>
      <c r="AA514" s="538" t="s">
        <v>79</v>
      </c>
      <c r="AB514" s="538" t="s">
        <v>248</v>
      </c>
      <c r="AC514" s="538" t="s">
        <v>79</v>
      </c>
      <c r="AD514" s="538" t="s">
        <v>248</v>
      </c>
      <c r="AE514" s="538" t="s">
        <v>79</v>
      </c>
      <c r="AF514" s="538" t="s">
        <v>248</v>
      </c>
      <c r="AG514" s="538" t="s">
        <v>79</v>
      </c>
      <c r="AH514" s="538" t="s">
        <v>248</v>
      </c>
      <c r="AI514" s="538" t="s">
        <v>79</v>
      </c>
      <c r="AJ514" s="538" t="s">
        <v>248</v>
      </c>
      <c r="AK514" s="538" t="s">
        <v>79</v>
      </c>
      <c r="AL514" s="538" t="s">
        <v>248</v>
      </c>
      <c r="AM514" s="538" t="s">
        <v>79</v>
      </c>
      <c r="AN514" s="538" t="s">
        <v>248</v>
      </c>
      <c r="AO514" s="538" t="s">
        <v>79</v>
      </c>
      <c r="AP514" s="538" t="s">
        <v>246</v>
      </c>
      <c r="AQ514" s="538" t="s">
        <v>79</v>
      </c>
      <c r="AR514" s="538" t="s">
        <v>246</v>
      </c>
      <c r="AS514" s="538">
        <v>1.924653048E9</v>
      </c>
      <c r="AT514" s="538">
        <v>2.923667463E9</v>
      </c>
      <c r="AU514" s="538">
        <v>302.0</v>
      </c>
      <c r="AV514" s="538" t="s">
        <v>47</v>
      </c>
      <c r="AZ514" s="538">
        <v>1.0</v>
      </c>
      <c r="BA514" s="538">
        <v>1.0</v>
      </c>
      <c r="BB514" s="538">
        <v>1.0</v>
      </c>
      <c r="BC514" s="538">
        <v>1.0</v>
      </c>
      <c r="BD514" s="538">
        <v>1.0</v>
      </c>
      <c r="BE514" s="538">
        <v>0.25</v>
      </c>
      <c r="BF514" s="538">
        <v>0.35</v>
      </c>
      <c r="BG514" s="538">
        <v>0.5</v>
      </c>
      <c r="BH514" s="538">
        <v>0.7</v>
      </c>
      <c r="BI514" s="538">
        <v>1.0</v>
      </c>
      <c r="BJ514" s="546"/>
      <c r="BL514" s="546"/>
    </row>
    <row r="515" ht="22.5" customHeight="1">
      <c r="A515" s="538">
        <v>514.0</v>
      </c>
      <c r="B515" s="538" t="s">
        <v>2372</v>
      </c>
      <c r="C515" s="538" t="s">
        <v>82</v>
      </c>
      <c r="D515" s="538" t="s">
        <v>2036</v>
      </c>
      <c r="E515" s="538" t="s">
        <v>307</v>
      </c>
      <c r="G515" s="538" t="s">
        <v>151</v>
      </c>
      <c r="H515" s="538" t="s">
        <v>250</v>
      </c>
      <c r="I515" s="538" t="s">
        <v>122</v>
      </c>
      <c r="K515" s="538" t="s">
        <v>2373</v>
      </c>
      <c r="L515" s="538" t="s">
        <v>2374</v>
      </c>
      <c r="M515" s="538" t="s">
        <v>673</v>
      </c>
      <c r="N515" s="538" t="s">
        <v>2375</v>
      </c>
      <c r="O515" s="538" t="b">
        <v>0</v>
      </c>
      <c r="P515" s="538" t="b">
        <v>1</v>
      </c>
      <c r="Q515" s="538" t="s">
        <v>79</v>
      </c>
      <c r="R515" s="538" t="s">
        <v>307</v>
      </c>
      <c r="S515" s="538" t="s">
        <v>79</v>
      </c>
      <c r="T515" s="538" t="s">
        <v>307</v>
      </c>
      <c r="U515" s="538" t="s">
        <v>73</v>
      </c>
      <c r="W515" s="538" t="s">
        <v>79</v>
      </c>
      <c r="X515" s="538" t="s">
        <v>307</v>
      </c>
      <c r="Y515" s="538" t="s">
        <v>79</v>
      </c>
      <c r="Z515" s="538" t="s">
        <v>307</v>
      </c>
      <c r="AA515" s="538" t="s">
        <v>79</v>
      </c>
      <c r="AB515" s="538" t="s">
        <v>307</v>
      </c>
      <c r="AC515" s="538" t="s">
        <v>79</v>
      </c>
      <c r="AD515" s="538" t="s">
        <v>307</v>
      </c>
      <c r="AE515" s="538" t="s">
        <v>79</v>
      </c>
      <c r="AF515" s="538" t="s">
        <v>307</v>
      </c>
      <c r="AG515" s="538" t="s">
        <v>79</v>
      </c>
      <c r="AH515" s="538" t="s">
        <v>307</v>
      </c>
      <c r="AI515" s="538" t="s">
        <v>79</v>
      </c>
      <c r="AJ515" s="538" t="s">
        <v>307</v>
      </c>
      <c r="AK515" s="538" t="s">
        <v>79</v>
      </c>
      <c r="AL515" s="538" t="s">
        <v>307</v>
      </c>
      <c r="AM515" s="538" t="s">
        <v>79</v>
      </c>
      <c r="AN515" s="538" t="s">
        <v>307</v>
      </c>
      <c r="AO515" s="538" t="s">
        <v>73</v>
      </c>
      <c r="AQ515" s="538" t="s">
        <v>79</v>
      </c>
      <c r="AR515" s="538" t="s">
        <v>307</v>
      </c>
      <c r="AS515" s="538">
        <v>1.386103827E9</v>
      </c>
      <c r="AT515" s="538">
        <v>1.409510538E9</v>
      </c>
      <c r="AU515" s="538">
        <v>303.0</v>
      </c>
      <c r="AV515" s="538" t="s">
        <v>46</v>
      </c>
      <c r="AZ515" s="538">
        <v>1.0</v>
      </c>
      <c r="BA515" s="538">
        <v>1.0</v>
      </c>
      <c r="BB515" s="538">
        <v>1.0</v>
      </c>
      <c r="BC515" s="538">
        <v>1.0</v>
      </c>
      <c r="BD515" s="538">
        <v>1.0</v>
      </c>
      <c r="BE515" s="538">
        <v>0.3</v>
      </c>
      <c r="BF515" s="538">
        <v>0.5</v>
      </c>
      <c r="BG515" s="538">
        <v>0.8</v>
      </c>
      <c r="BH515" s="538">
        <v>1.2</v>
      </c>
      <c r="BI515" s="538">
        <v>2.0</v>
      </c>
      <c r="BJ515" s="546"/>
      <c r="BL515" s="546"/>
    </row>
    <row r="516" ht="22.5" customHeight="1">
      <c r="A516" s="538">
        <v>515.0</v>
      </c>
      <c r="B516" s="538" t="s">
        <v>2372</v>
      </c>
      <c r="C516" s="538" t="s">
        <v>86</v>
      </c>
      <c r="D516" s="538" t="s">
        <v>2036</v>
      </c>
      <c r="E516" s="538" t="s">
        <v>241</v>
      </c>
      <c r="F516" s="538" t="s">
        <v>2376</v>
      </c>
      <c r="G516" s="538" t="s">
        <v>163</v>
      </c>
      <c r="H516" s="538" t="s">
        <v>250</v>
      </c>
      <c r="I516" s="538" t="s">
        <v>155</v>
      </c>
      <c r="K516" s="538" t="s">
        <v>2377</v>
      </c>
      <c r="L516" s="538" t="s">
        <v>2378</v>
      </c>
      <c r="M516" s="538" t="s">
        <v>673</v>
      </c>
      <c r="N516" s="538" t="s">
        <v>2379</v>
      </c>
      <c r="O516" s="538" t="b">
        <v>0</v>
      </c>
      <c r="P516" s="538" t="b">
        <v>0</v>
      </c>
      <c r="Q516" s="538" t="s">
        <v>79</v>
      </c>
      <c r="R516" s="538" t="s">
        <v>2380</v>
      </c>
      <c r="S516" s="538" t="s">
        <v>79</v>
      </c>
      <c r="T516" s="538" t="s">
        <v>2380</v>
      </c>
      <c r="U516" s="538" t="s">
        <v>75</v>
      </c>
      <c r="V516" s="538" t="s">
        <v>2381</v>
      </c>
      <c r="W516" s="538" t="s">
        <v>75</v>
      </c>
      <c r="X516" s="538" t="s">
        <v>2381</v>
      </c>
      <c r="Y516" s="538" t="s">
        <v>79</v>
      </c>
      <c r="Z516" s="538" t="s">
        <v>2380</v>
      </c>
      <c r="AA516" s="538" t="s">
        <v>75</v>
      </c>
      <c r="AB516" s="538" t="s">
        <v>2381</v>
      </c>
      <c r="AC516" s="538" t="s">
        <v>79</v>
      </c>
      <c r="AD516" s="538" t="s">
        <v>377</v>
      </c>
      <c r="AE516" s="538" t="s">
        <v>79</v>
      </c>
      <c r="AF516" s="538" t="s">
        <v>377</v>
      </c>
      <c r="AG516" s="538" t="s">
        <v>79</v>
      </c>
      <c r="AH516" s="538" t="s">
        <v>2380</v>
      </c>
      <c r="AI516" s="538" t="s">
        <v>79</v>
      </c>
      <c r="AJ516" s="538" t="s">
        <v>377</v>
      </c>
      <c r="AK516" s="538" t="s">
        <v>79</v>
      </c>
      <c r="AL516" s="538" t="s">
        <v>2380</v>
      </c>
      <c r="AM516" s="538" t="s">
        <v>79</v>
      </c>
      <c r="AN516" s="538" t="s">
        <v>2380</v>
      </c>
      <c r="AO516" s="538" t="s">
        <v>79</v>
      </c>
      <c r="AP516" s="538" t="s">
        <v>241</v>
      </c>
      <c r="AQ516" s="538" t="s">
        <v>79</v>
      </c>
      <c r="AR516" s="538" t="s">
        <v>241</v>
      </c>
      <c r="AS516" s="538">
        <v>1.46541033E8</v>
      </c>
      <c r="AT516" s="538">
        <v>1.409510538E9</v>
      </c>
      <c r="AU516" s="538">
        <v>303.0</v>
      </c>
      <c r="AV516" s="538" t="s">
        <v>46</v>
      </c>
      <c r="AY516" s="538" t="s">
        <v>2381</v>
      </c>
      <c r="AZ516" s="538">
        <v>1.0</v>
      </c>
      <c r="BA516" s="538">
        <v>1.0</v>
      </c>
      <c r="BB516" s="538">
        <v>1.0</v>
      </c>
      <c r="BC516" s="538">
        <v>1.0</v>
      </c>
      <c r="BD516" s="538">
        <v>1.0</v>
      </c>
      <c r="BE516" s="538">
        <v>1000.0</v>
      </c>
      <c r="BF516" s="538">
        <v>1200.0</v>
      </c>
      <c r="BG516" s="538">
        <v>1500.0</v>
      </c>
      <c r="BH516" s="538">
        <v>2000.0</v>
      </c>
      <c r="BI516" s="538">
        <v>3000.0</v>
      </c>
      <c r="BJ516" s="546"/>
      <c r="BL516" s="546"/>
    </row>
    <row r="517" ht="22.5" customHeight="1">
      <c r="A517" s="538">
        <v>516.0</v>
      </c>
      <c r="B517" s="538" t="s">
        <v>2382</v>
      </c>
      <c r="C517" s="538" t="s">
        <v>82</v>
      </c>
      <c r="D517" s="538" t="s">
        <v>1035</v>
      </c>
      <c r="E517" s="538" t="s">
        <v>210</v>
      </c>
      <c r="F517" s="538" t="s">
        <v>228</v>
      </c>
      <c r="G517" s="538" t="s">
        <v>239</v>
      </c>
      <c r="H517" s="538" t="s">
        <v>222</v>
      </c>
      <c r="I517" s="538" t="s">
        <v>122</v>
      </c>
      <c r="J517" s="538" t="s">
        <v>317</v>
      </c>
      <c r="K517" s="538" t="s">
        <v>2383</v>
      </c>
      <c r="L517" s="538" t="s">
        <v>2384</v>
      </c>
      <c r="M517" s="538" t="s">
        <v>2025</v>
      </c>
      <c r="N517" s="538" t="s">
        <v>673</v>
      </c>
      <c r="O517" s="538" t="b">
        <v>1</v>
      </c>
      <c r="P517" s="538" t="b">
        <v>1</v>
      </c>
      <c r="Q517" s="538" t="s">
        <v>79</v>
      </c>
      <c r="R517" s="538" t="s">
        <v>228</v>
      </c>
      <c r="S517" s="538" t="s">
        <v>79</v>
      </c>
      <c r="T517" s="538" t="s">
        <v>228</v>
      </c>
      <c r="U517" s="538" t="s">
        <v>73</v>
      </c>
      <c r="W517" s="538" t="s">
        <v>73</v>
      </c>
      <c r="Y517" s="538" t="s">
        <v>79</v>
      </c>
      <c r="Z517" s="538" t="s">
        <v>228</v>
      </c>
      <c r="AA517" s="538" t="s">
        <v>73</v>
      </c>
      <c r="AC517" s="538" t="s">
        <v>73</v>
      </c>
      <c r="AE517" s="538" t="s">
        <v>73</v>
      </c>
      <c r="AG517" s="538" t="s">
        <v>79</v>
      </c>
      <c r="AH517" s="538" t="s">
        <v>228</v>
      </c>
      <c r="AI517" s="538" t="s">
        <v>73</v>
      </c>
      <c r="AK517" s="538" t="s">
        <v>79</v>
      </c>
      <c r="AL517" s="538" t="s">
        <v>228</v>
      </c>
      <c r="AM517" s="538" t="s">
        <v>79</v>
      </c>
      <c r="AN517" s="538" t="s">
        <v>228</v>
      </c>
      <c r="AO517" s="538" t="s">
        <v>79</v>
      </c>
      <c r="AP517" s="538" t="s">
        <v>210</v>
      </c>
      <c r="AQ517" s="538" t="s">
        <v>79</v>
      </c>
      <c r="AR517" s="538" t="s">
        <v>210</v>
      </c>
      <c r="AS517" s="538">
        <v>3.682632277E9</v>
      </c>
      <c r="AT517" s="538">
        <v>3.594463469E9</v>
      </c>
      <c r="AU517" s="538">
        <v>304.0</v>
      </c>
      <c r="AV517" s="538" t="s">
        <v>46</v>
      </c>
      <c r="AZ517" s="538">
        <v>0.4</v>
      </c>
      <c r="BA517" s="538">
        <v>0.45</v>
      </c>
      <c r="BB517" s="538">
        <v>0.55</v>
      </c>
      <c r="BC517" s="538">
        <v>0.75</v>
      </c>
      <c r="BD517" s="538">
        <v>1.0</v>
      </c>
      <c r="BE517" s="538">
        <v>1.0</v>
      </c>
      <c r="BF517" s="538">
        <v>1.0</v>
      </c>
      <c r="BG517" s="538">
        <v>1.0</v>
      </c>
      <c r="BH517" s="538">
        <v>1.0</v>
      </c>
      <c r="BI517" s="538">
        <v>1.0</v>
      </c>
      <c r="BJ517" s="546"/>
      <c r="BL517" s="546"/>
    </row>
    <row r="518" ht="22.5" customHeight="1">
      <c r="A518" s="538">
        <v>517.0</v>
      </c>
      <c r="B518" s="538" t="s">
        <v>2382</v>
      </c>
      <c r="C518" s="538" t="s">
        <v>86</v>
      </c>
      <c r="D518" s="538" t="s">
        <v>1035</v>
      </c>
      <c r="E518" s="538" t="s">
        <v>241</v>
      </c>
      <c r="F518" s="538" t="s">
        <v>2385</v>
      </c>
      <c r="G518" s="538" t="s">
        <v>163</v>
      </c>
      <c r="H518" s="538" t="s">
        <v>250</v>
      </c>
      <c r="I518" s="538" t="s">
        <v>155</v>
      </c>
      <c r="K518" s="538" t="s">
        <v>2386</v>
      </c>
      <c r="L518" s="538" t="s">
        <v>2387</v>
      </c>
      <c r="M518" s="538" t="s">
        <v>673</v>
      </c>
      <c r="N518" s="538" t="s">
        <v>2379</v>
      </c>
      <c r="O518" s="538" t="b">
        <v>0</v>
      </c>
      <c r="P518" s="538" t="b">
        <v>0</v>
      </c>
      <c r="Q518" s="538" t="s">
        <v>79</v>
      </c>
      <c r="R518" s="538" t="s">
        <v>2388</v>
      </c>
      <c r="S518" s="538" t="s">
        <v>79</v>
      </c>
      <c r="T518" s="538" t="s">
        <v>2388</v>
      </c>
      <c r="U518" s="538" t="s">
        <v>75</v>
      </c>
      <c r="V518" s="538" t="s">
        <v>2149</v>
      </c>
      <c r="W518" s="538" t="s">
        <v>75</v>
      </c>
      <c r="X518" s="538" t="s">
        <v>2149</v>
      </c>
      <c r="Y518" s="538" t="s">
        <v>79</v>
      </c>
      <c r="Z518" s="538" t="s">
        <v>2388</v>
      </c>
      <c r="AA518" s="538" t="s">
        <v>75</v>
      </c>
      <c r="AB518" s="538" t="s">
        <v>2149</v>
      </c>
      <c r="AC518" s="538" t="s">
        <v>79</v>
      </c>
      <c r="AD518" s="538" t="s">
        <v>377</v>
      </c>
      <c r="AE518" s="538" t="s">
        <v>79</v>
      </c>
      <c r="AF518" s="538" t="s">
        <v>377</v>
      </c>
      <c r="AG518" s="538" t="s">
        <v>79</v>
      </c>
      <c r="AH518" s="538" t="s">
        <v>2388</v>
      </c>
      <c r="AI518" s="538" t="s">
        <v>79</v>
      </c>
      <c r="AJ518" s="538" t="s">
        <v>377</v>
      </c>
      <c r="AK518" s="538" t="s">
        <v>79</v>
      </c>
      <c r="AL518" s="538" t="s">
        <v>2388</v>
      </c>
      <c r="AM518" s="538" t="s">
        <v>79</v>
      </c>
      <c r="AN518" s="538" t="s">
        <v>2388</v>
      </c>
      <c r="AO518" s="538" t="s">
        <v>79</v>
      </c>
      <c r="AP518" s="538" t="s">
        <v>241</v>
      </c>
      <c r="AQ518" s="538" t="s">
        <v>79</v>
      </c>
      <c r="AR518" s="538" t="s">
        <v>241</v>
      </c>
      <c r="AS518" s="538">
        <v>6.88153966E8</v>
      </c>
      <c r="AT518" s="538">
        <v>3.594463469E9</v>
      </c>
      <c r="AU518" s="538">
        <v>304.0</v>
      </c>
      <c r="AV518" s="538" t="s">
        <v>46</v>
      </c>
      <c r="AY518" s="538" t="s">
        <v>2149</v>
      </c>
      <c r="AZ518" s="538">
        <v>1.0</v>
      </c>
      <c r="BA518" s="538">
        <v>1.0</v>
      </c>
      <c r="BB518" s="538">
        <v>1.0</v>
      </c>
      <c r="BC518" s="538">
        <v>1.0</v>
      </c>
      <c r="BD518" s="538">
        <v>1.0</v>
      </c>
      <c r="BE518" s="538">
        <v>1000.0</v>
      </c>
      <c r="BF518" s="538">
        <v>1200.0</v>
      </c>
      <c r="BG518" s="538">
        <v>1500.0</v>
      </c>
      <c r="BH518" s="538">
        <v>2000.0</v>
      </c>
      <c r="BI518" s="538">
        <v>3000.0</v>
      </c>
      <c r="BJ518" s="546"/>
      <c r="BL518" s="546"/>
    </row>
    <row r="519" ht="22.5" customHeight="1">
      <c r="A519" s="538">
        <v>518.0</v>
      </c>
      <c r="B519" s="538" t="s">
        <v>2389</v>
      </c>
      <c r="C519" s="538" t="s">
        <v>82</v>
      </c>
      <c r="D519" s="538" t="s">
        <v>2136</v>
      </c>
      <c r="E519" s="538" t="s">
        <v>246</v>
      </c>
      <c r="F519" s="538" t="s">
        <v>248</v>
      </c>
      <c r="G519" s="538" t="s">
        <v>163</v>
      </c>
      <c r="H519" s="538" t="s">
        <v>222</v>
      </c>
      <c r="I519" s="538" t="s">
        <v>155</v>
      </c>
      <c r="K519" s="538" t="s">
        <v>2369</v>
      </c>
      <c r="L519" s="538" t="s">
        <v>2390</v>
      </c>
      <c r="M519" s="538" t="s">
        <v>673</v>
      </c>
      <c r="N519" s="538" t="s">
        <v>2391</v>
      </c>
      <c r="O519" s="538" t="b">
        <v>0</v>
      </c>
      <c r="P519" s="538" t="b">
        <v>1</v>
      </c>
      <c r="Q519" s="538" t="s">
        <v>73</v>
      </c>
      <c r="S519" s="538" t="s">
        <v>73</v>
      </c>
      <c r="U519" s="538" t="s">
        <v>79</v>
      </c>
      <c r="V519" s="538" t="s">
        <v>248</v>
      </c>
      <c r="W519" s="538" t="s">
        <v>79</v>
      </c>
      <c r="X519" s="538" t="s">
        <v>248</v>
      </c>
      <c r="Y519" s="538" t="s">
        <v>79</v>
      </c>
      <c r="Z519" s="538" t="s">
        <v>248</v>
      </c>
      <c r="AA519" s="538" t="s">
        <v>79</v>
      </c>
      <c r="AB519" s="538" t="s">
        <v>248</v>
      </c>
      <c r="AC519" s="538" t="s">
        <v>79</v>
      </c>
      <c r="AD519" s="538" t="s">
        <v>248</v>
      </c>
      <c r="AE519" s="538" t="s">
        <v>79</v>
      </c>
      <c r="AF519" s="538" t="s">
        <v>248</v>
      </c>
      <c r="AG519" s="538" t="s">
        <v>79</v>
      </c>
      <c r="AH519" s="538" t="s">
        <v>248</v>
      </c>
      <c r="AI519" s="538" t="s">
        <v>79</v>
      </c>
      <c r="AJ519" s="538" t="s">
        <v>248</v>
      </c>
      <c r="AK519" s="538" t="s">
        <v>79</v>
      </c>
      <c r="AL519" s="538" t="s">
        <v>248</v>
      </c>
      <c r="AM519" s="538" t="s">
        <v>79</v>
      </c>
      <c r="AN519" s="538" t="s">
        <v>248</v>
      </c>
      <c r="AO519" s="538" t="s">
        <v>79</v>
      </c>
      <c r="AP519" s="538" t="s">
        <v>246</v>
      </c>
      <c r="AQ519" s="538" t="s">
        <v>79</v>
      </c>
      <c r="AR519" s="538" t="s">
        <v>246</v>
      </c>
      <c r="AS519" s="538">
        <v>2.437470376E9</v>
      </c>
      <c r="AT519" s="538">
        <v>3.814065186E9</v>
      </c>
      <c r="AU519" s="538">
        <v>305.0</v>
      </c>
      <c r="AV519" s="538" t="s">
        <v>47</v>
      </c>
      <c r="AZ519" s="538">
        <v>1.0</v>
      </c>
      <c r="BA519" s="538">
        <v>1.0</v>
      </c>
      <c r="BB519" s="538">
        <v>1.0</v>
      </c>
      <c r="BC519" s="538">
        <v>1.0</v>
      </c>
      <c r="BD519" s="538">
        <v>1.0</v>
      </c>
      <c r="BE519" s="538">
        <v>0.5</v>
      </c>
      <c r="BF519" s="538">
        <v>0.6</v>
      </c>
      <c r="BG519" s="538">
        <v>0.8</v>
      </c>
      <c r="BH519" s="538">
        <v>1.1</v>
      </c>
      <c r="BI519" s="538">
        <v>1.5</v>
      </c>
      <c r="BJ519" s="546"/>
      <c r="BK519" s="547"/>
      <c r="BL519" s="546"/>
    </row>
    <row r="520" ht="22.5" customHeight="1">
      <c r="A520" s="538">
        <v>519.0</v>
      </c>
      <c r="B520" s="538" t="s">
        <v>2389</v>
      </c>
      <c r="C520" s="538" t="s">
        <v>86</v>
      </c>
      <c r="D520" s="538" t="s">
        <v>2136</v>
      </c>
      <c r="E520" s="538" t="s">
        <v>246</v>
      </c>
      <c r="F520" s="538" t="s">
        <v>1688</v>
      </c>
      <c r="G520" s="538" t="s">
        <v>163</v>
      </c>
      <c r="H520" s="538" t="s">
        <v>222</v>
      </c>
      <c r="I520" s="538" t="s">
        <v>155</v>
      </c>
      <c r="K520" s="538" t="s">
        <v>2392</v>
      </c>
      <c r="L520" s="538" t="s">
        <v>2393</v>
      </c>
      <c r="M520" s="538" t="s">
        <v>673</v>
      </c>
      <c r="N520" s="538" t="s">
        <v>2394</v>
      </c>
      <c r="O520" s="538" t="b">
        <v>0</v>
      </c>
      <c r="P520" s="538" t="b">
        <v>1</v>
      </c>
      <c r="Q520" s="538" t="s">
        <v>79</v>
      </c>
      <c r="R520" s="538" t="s">
        <v>228</v>
      </c>
      <c r="S520" s="538" t="s">
        <v>79</v>
      </c>
      <c r="T520" s="538" t="s">
        <v>228</v>
      </c>
      <c r="U520" s="538" t="s">
        <v>73</v>
      </c>
      <c r="W520" s="538" t="s">
        <v>73</v>
      </c>
      <c r="Y520" s="538" t="s">
        <v>79</v>
      </c>
      <c r="Z520" s="538" t="s">
        <v>228</v>
      </c>
      <c r="AA520" s="538" t="s">
        <v>73</v>
      </c>
      <c r="AC520" s="538" t="s">
        <v>79</v>
      </c>
      <c r="AD520" s="538" t="s">
        <v>377</v>
      </c>
      <c r="AE520" s="538" t="s">
        <v>79</v>
      </c>
      <c r="AF520" s="538" t="s">
        <v>377</v>
      </c>
      <c r="AG520" s="538" t="s">
        <v>79</v>
      </c>
      <c r="AH520" s="538" t="s">
        <v>228</v>
      </c>
      <c r="AI520" s="538" t="s">
        <v>79</v>
      </c>
      <c r="AJ520" s="538" t="s">
        <v>377</v>
      </c>
      <c r="AK520" s="538" t="s">
        <v>79</v>
      </c>
      <c r="AL520" s="538" t="s">
        <v>228</v>
      </c>
      <c r="AM520" s="538" t="s">
        <v>79</v>
      </c>
      <c r="AN520" s="538" t="s">
        <v>228</v>
      </c>
      <c r="AO520" s="538" t="s">
        <v>79</v>
      </c>
      <c r="AP520" s="538" t="s">
        <v>246</v>
      </c>
      <c r="AQ520" s="538" t="s">
        <v>79</v>
      </c>
      <c r="AR520" s="538" t="s">
        <v>246</v>
      </c>
      <c r="AS520" s="538">
        <v>1.6163305E7</v>
      </c>
      <c r="AT520" s="538">
        <v>3.814065186E9</v>
      </c>
      <c r="AU520" s="538">
        <v>305.0</v>
      </c>
      <c r="AV520" s="538" t="s">
        <v>47</v>
      </c>
      <c r="AZ520" s="538">
        <v>1.0</v>
      </c>
      <c r="BA520" s="538">
        <v>1.0</v>
      </c>
      <c r="BB520" s="538">
        <v>1.0</v>
      </c>
      <c r="BC520" s="538">
        <v>1.0</v>
      </c>
      <c r="BD520" s="538">
        <v>1.0</v>
      </c>
      <c r="BE520" s="538">
        <v>0.25</v>
      </c>
      <c r="BF520" s="538">
        <v>0.3</v>
      </c>
      <c r="BG520" s="538">
        <v>0.4</v>
      </c>
      <c r="BH520" s="538">
        <v>0.55</v>
      </c>
      <c r="BI520" s="538">
        <v>0.75</v>
      </c>
      <c r="BJ520" s="546"/>
      <c r="BL520" s="546"/>
    </row>
    <row r="521" ht="22.5" customHeight="1">
      <c r="A521" s="538">
        <v>520.0</v>
      </c>
      <c r="B521" s="538" t="s">
        <v>2395</v>
      </c>
      <c r="C521" s="538" t="s">
        <v>82</v>
      </c>
      <c r="D521" s="538" t="s">
        <v>1035</v>
      </c>
      <c r="E521" s="538" t="s">
        <v>246</v>
      </c>
      <c r="F521" s="538" t="s">
        <v>2396</v>
      </c>
      <c r="G521" s="538" t="s">
        <v>163</v>
      </c>
      <c r="H521" s="538" t="s">
        <v>222</v>
      </c>
      <c r="I521" s="538" t="s">
        <v>155</v>
      </c>
      <c r="K521" s="538" t="s">
        <v>2397</v>
      </c>
      <c r="L521" s="538" t="s">
        <v>2398</v>
      </c>
      <c r="M521" s="538" t="s">
        <v>673</v>
      </c>
      <c r="N521" s="538" t="s">
        <v>2399</v>
      </c>
      <c r="O521" s="538" t="b">
        <v>0</v>
      </c>
      <c r="P521" s="538" t="b">
        <v>1</v>
      </c>
      <c r="Q521" s="538" t="s">
        <v>75</v>
      </c>
      <c r="R521" s="538" t="s">
        <v>333</v>
      </c>
      <c r="S521" s="538" t="s">
        <v>75</v>
      </c>
      <c r="T521" s="538" t="s">
        <v>333</v>
      </c>
      <c r="U521" s="538" t="s">
        <v>79</v>
      </c>
      <c r="V521" s="538" t="s">
        <v>2396</v>
      </c>
      <c r="W521" s="538" t="s">
        <v>79</v>
      </c>
      <c r="X521" s="538" t="s">
        <v>2396</v>
      </c>
      <c r="Y521" s="538" t="s">
        <v>79</v>
      </c>
      <c r="Z521" s="538" t="s">
        <v>2396</v>
      </c>
      <c r="AA521" s="538" t="s">
        <v>79</v>
      </c>
      <c r="AB521" s="538" t="s">
        <v>2396</v>
      </c>
      <c r="AC521" s="538" t="s">
        <v>79</v>
      </c>
      <c r="AD521" s="538" t="s">
        <v>2396</v>
      </c>
      <c r="AE521" s="538" t="s">
        <v>79</v>
      </c>
      <c r="AF521" s="538" t="s">
        <v>2396</v>
      </c>
      <c r="AG521" s="538" t="s">
        <v>79</v>
      </c>
      <c r="AH521" s="538" t="s">
        <v>2396</v>
      </c>
      <c r="AI521" s="538" t="s">
        <v>79</v>
      </c>
      <c r="AJ521" s="538" t="s">
        <v>2396</v>
      </c>
      <c r="AK521" s="538" t="s">
        <v>79</v>
      </c>
      <c r="AL521" s="538" t="s">
        <v>2396</v>
      </c>
      <c r="AM521" s="538" t="s">
        <v>79</v>
      </c>
      <c r="AN521" s="538" t="s">
        <v>2396</v>
      </c>
      <c r="AO521" s="538" t="s">
        <v>79</v>
      </c>
      <c r="AP521" s="538" t="s">
        <v>246</v>
      </c>
      <c r="AQ521" s="538" t="s">
        <v>79</v>
      </c>
      <c r="AR521" s="538" t="s">
        <v>246</v>
      </c>
      <c r="AS521" s="538">
        <v>3.778774634E9</v>
      </c>
      <c r="AT521" s="538">
        <v>2.100903263E9</v>
      </c>
      <c r="AU521" s="538">
        <v>306.0</v>
      </c>
      <c r="AV521" s="538" t="s">
        <v>46</v>
      </c>
      <c r="AY521" s="538" t="s">
        <v>333</v>
      </c>
      <c r="AZ521" s="538">
        <v>1.0</v>
      </c>
      <c r="BA521" s="538">
        <v>1.0</v>
      </c>
      <c r="BB521" s="538">
        <v>1.0</v>
      </c>
      <c r="BC521" s="538">
        <v>1.0</v>
      </c>
      <c r="BD521" s="538">
        <v>1.0</v>
      </c>
      <c r="BE521" s="538">
        <v>0.15</v>
      </c>
      <c r="BF521" s="538">
        <v>0.25</v>
      </c>
      <c r="BG521" s="538">
        <v>0.35</v>
      </c>
      <c r="BH521" s="538">
        <v>0.5</v>
      </c>
      <c r="BI521" s="538">
        <v>0.7</v>
      </c>
      <c r="BJ521" s="546"/>
      <c r="BL521" s="546"/>
    </row>
    <row r="522" ht="22.5" customHeight="1">
      <c r="A522" s="538">
        <v>521.0</v>
      </c>
      <c r="B522" s="538" t="s">
        <v>2395</v>
      </c>
      <c r="C522" s="538" t="s">
        <v>86</v>
      </c>
      <c r="D522" s="538" t="s">
        <v>1035</v>
      </c>
      <c r="E522" s="538" t="s">
        <v>241</v>
      </c>
      <c r="F522" s="538" t="s">
        <v>2400</v>
      </c>
      <c r="G522" s="538" t="s">
        <v>163</v>
      </c>
      <c r="H522" s="538" t="s">
        <v>250</v>
      </c>
      <c r="I522" s="538" t="s">
        <v>155</v>
      </c>
      <c r="K522" s="538" t="s">
        <v>2401</v>
      </c>
      <c r="L522" s="538" t="s">
        <v>2402</v>
      </c>
      <c r="M522" s="538" t="s">
        <v>673</v>
      </c>
      <c r="N522" s="538" t="s">
        <v>2379</v>
      </c>
      <c r="O522" s="538" t="b">
        <v>0</v>
      </c>
      <c r="P522" s="538" t="b">
        <v>0</v>
      </c>
      <c r="Q522" s="538" t="s">
        <v>79</v>
      </c>
      <c r="R522" s="538" t="s">
        <v>2403</v>
      </c>
      <c r="S522" s="538" t="s">
        <v>79</v>
      </c>
      <c r="T522" s="538" t="s">
        <v>2403</v>
      </c>
      <c r="U522" s="538" t="s">
        <v>75</v>
      </c>
      <c r="V522" s="538" t="s">
        <v>2174</v>
      </c>
      <c r="W522" s="538" t="s">
        <v>75</v>
      </c>
      <c r="X522" s="538" t="s">
        <v>2174</v>
      </c>
      <c r="Y522" s="538" t="s">
        <v>79</v>
      </c>
      <c r="Z522" s="538" t="s">
        <v>2403</v>
      </c>
      <c r="AA522" s="538" t="s">
        <v>75</v>
      </c>
      <c r="AB522" s="538" t="s">
        <v>2174</v>
      </c>
      <c r="AC522" s="538" t="s">
        <v>79</v>
      </c>
      <c r="AD522" s="538" t="s">
        <v>377</v>
      </c>
      <c r="AE522" s="538" t="s">
        <v>79</v>
      </c>
      <c r="AF522" s="538" t="s">
        <v>377</v>
      </c>
      <c r="AG522" s="538" t="s">
        <v>79</v>
      </c>
      <c r="AH522" s="538" t="s">
        <v>2403</v>
      </c>
      <c r="AI522" s="538" t="s">
        <v>79</v>
      </c>
      <c r="AJ522" s="538" t="s">
        <v>377</v>
      </c>
      <c r="AK522" s="538" t="s">
        <v>79</v>
      </c>
      <c r="AL522" s="538" t="s">
        <v>2403</v>
      </c>
      <c r="AM522" s="538" t="s">
        <v>79</v>
      </c>
      <c r="AN522" s="538" t="s">
        <v>2403</v>
      </c>
      <c r="AO522" s="538" t="s">
        <v>79</v>
      </c>
      <c r="AP522" s="538" t="s">
        <v>241</v>
      </c>
      <c r="AQ522" s="538" t="s">
        <v>79</v>
      </c>
      <c r="AR522" s="538" t="s">
        <v>241</v>
      </c>
      <c r="AS522" s="538">
        <v>3.098652344E9</v>
      </c>
      <c r="AT522" s="538">
        <v>2.100903263E9</v>
      </c>
      <c r="AU522" s="538">
        <v>306.0</v>
      </c>
      <c r="AV522" s="538" t="s">
        <v>46</v>
      </c>
      <c r="AY522" s="538" t="s">
        <v>2174</v>
      </c>
      <c r="AZ522" s="538">
        <v>1.0</v>
      </c>
      <c r="BA522" s="538">
        <v>1.0</v>
      </c>
      <c r="BB522" s="538">
        <v>1.0</v>
      </c>
      <c r="BC522" s="538">
        <v>1.0</v>
      </c>
      <c r="BD522" s="538">
        <v>1.0</v>
      </c>
      <c r="BE522" s="538">
        <v>1000.0</v>
      </c>
      <c r="BF522" s="538">
        <v>1200.0</v>
      </c>
      <c r="BG522" s="538">
        <v>1500.0</v>
      </c>
      <c r="BH522" s="538">
        <v>2000.0</v>
      </c>
      <c r="BI522" s="538">
        <v>3000.0</v>
      </c>
      <c r="BJ522" s="546"/>
      <c r="BL522" s="546"/>
    </row>
    <row r="523" ht="22.5" customHeight="1">
      <c r="A523" s="538">
        <v>522.0</v>
      </c>
      <c r="B523" s="538" t="s">
        <v>2404</v>
      </c>
      <c r="C523" s="538" t="s">
        <v>82</v>
      </c>
      <c r="D523" s="538" t="s">
        <v>2405</v>
      </c>
      <c r="E523" s="538" t="s">
        <v>402</v>
      </c>
      <c r="G523" s="538" t="s">
        <v>151</v>
      </c>
      <c r="H523" s="538" t="s">
        <v>250</v>
      </c>
      <c r="I523" s="538" t="s">
        <v>122</v>
      </c>
      <c r="K523" s="538" t="s">
        <v>2406</v>
      </c>
      <c r="L523" s="538" t="s">
        <v>2407</v>
      </c>
      <c r="M523" s="538" t="s">
        <v>673</v>
      </c>
      <c r="N523" s="538" t="s">
        <v>2408</v>
      </c>
      <c r="O523" s="538" t="b">
        <v>0</v>
      </c>
      <c r="P523" s="538" t="b">
        <v>1</v>
      </c>
      <c r="Q523" s="538" t="s">
        <v>79</v>
      </c>
      <c r="R523" s="538" t="s">
        <v>402</v>
      </c>
      <c r="S523" s="538" t="s">
        <v>79</v>
      </c>
      <c r="T523" s="538" t="s">
        <v>402</v>
      </c>
      <c r="U523" s="538" t="s">
        <v>75</v>
      </c>
      <c r="V523" s="538" t="s">
        <v>1878</v>
      </c>
      <c r="W523" s="538" t="s">
        <v>79</v>
      </c>
      <c r="X523" s="538" t="s">
        <v>402</v>
      </c>
      <c r="Y523" s="538" t="s">
        <v>79</v>
      </c>
      <c r="Z523" s="538" t="s">
        <v>402</v>
      </c>
      <c r="AA523" s="538" t="s">
        <v>79</v>
      </c>
      <c r="AB523" s="538" t="s">
        <v>402</v>
      </c>
      <c r="AC523" s="538" t="s">
        <v>79</v>
      </c>
      <c r="AD523" s="538" t="s">
        <v>402</v>
      </c>
      <c r="AE523" s="538" t="s">
        <v>79</v>
      </c>
      <c r="AF523" s="538" t="s">
        <v>402</v>
      </c>
      <c r="AG523" s="538" t="s">
        <v>79</v>
      </c>
      <c r="AH523" s="538" t="s">
        <v>402</v>
      </c>
      <c r="AI523" s="538" t="s">
        <v>79</v>
      </c>
      <c r="AJ523" s="538" t="s">
        <v>402</v>
      </c>
      <c r="AK523" s="538" t="s">
        <v>79</v>
      </c>
      <c r="AL523" s="538" t="s">
        <v>402</v>
      </c>
      <c r="AM523" s="538" t="s">
        <v>79</v>
      </c>
      <c r="AN523" s="538" t="s">
        <v>402</v>
      </c>
      <c r="AO523" s="538" t="s">
        <v>73</v>
      </c>
      <c r="AQ523" s="538" t="s">
        <v>79</v>
      </c>
      <c r="AR523" s="538" t="s">
        <v>402</v>
      </c>
      <c r="AS523" s="538">
        <v>2.093942349E9</v>
      </c>
      <c r="AT523" s="538">
        <v>8.07303933E8</v>
      </c>
      <c r="AU523" s="538">
        <v>307.0</v>
      </c>
      <c r="AV523" s="538" t="s">
        <v>47</v>
      </c>
      <c r="AY523" s="538" t="s">
        <v>402</v>
      </c>
      <c r="AZ523" s="538">
        <v>1.0</v>
      </c>
      <c r="BA523" s="538">
        <v>1.0</v>
      </c>
      <c r="BB523" s="538">
        <v>1.0</v>
      </c>
      <c r="BC523" s="538">
        <v>1.0</v>
      </c>
      <c r="BD523" s="538">
        <v>1.0</v>
      </c>
      <c r="BE523" s="538">
        <v>1.5</v>
      </c>
      <c r="BF523" s="538">
        <v>2.0</v>
      </c>
      <c r="BG523" s="538">
        <v>3.5</v>
      </c>
      <c r="BH523" s="538">
        <v>5.0</v>
      </c>
      <c r="BI523" s="538">
        <v>7.0</v>
      </c>
      <c r="BJ523" s="546"/>
      <c r="BL523" s="546"/>
    </row>
    <row r="524" ht="22.5" customHeight="1">
      <c r="A524" s="538">
        <v>523.0</v>
      </c>
      <c r="B524" s="538" t="s">
        <v>2404</v>
      </c>
      <c r="C524" s="538" t="s">
        <v>86</v>
      </c>
      <c r="D524" s="538" t="s">
        <v>2405</v>
      </c>
      <c r="E524" s="538" t="s">
        <v>369</v>
      </c>
      <c r="F524" s="538" t="s">
        <v>1688</v>
      </c>
      <c r="G524" s="538" t="s">
        <v>230</v>
      </c>
      <c r="H524" s="538" t="s">
        <v>250</v>
      </c>
      <c r="I524" s="538" t="s">
        <v>155</v>
      </c>
      <c r="J524" s="538" t="s">
        <v>320</v>
      </c>
      <c r="K524" s="538" t="s">
        <v>2409</v>
      </c>
      <c r="L524" s="538" t="s">
        <v>2410</v>
      </c>
      <c r="M524" s="538" t="s">
        <v>673</v>
      </c>
      <c r="N524" s="538" t="s">
        <v>1902</v>
      </c>
      <c r="O524" s="538" t="b">
        <v>0</v>
      </c>
      <c r="P524" s="538" t="b">
        <v>1</v>
      </c>
      <c r="Q524" s="538" t="s">
        <v>79</v>
      </c>
      <c r="R524" s="538" t="s">
        <v>228</v>
      </c>
      <c r="S524" s="538" t="s">
        <v>79</v>
      </c>
      <c r="T524" s="538" t="s">
        <v>228</v>
      </c>
      <c r="U524" s="538" t="s">
        <v>73</v>
      </c>
      <c r="W524" s="538" t="s">
        <v>73</v>
      </c>
      <c r="Y524" s="538" t="s">
        <v>79</v>
      </c>
      <c r="Z524" s="538" t="s">
        <v>228</v>
      </c>
      <c r="AA524" s="538" t="s">
        <v>73</v>
      </c>
      <c r="AC524" s="538" t="s">
        <v>79</v>
      </c>
      <c r="AD524" s="538" t="s">
        <v>377</v>
      </c>
      <c r="AE524" s="538" t="s">
        <v>79</v>
      </c>
      <c r="AF524" s="538" t="s">
        <v>377</v>
      </c>
      <c r="AG524" s="538" t="s">
        <v>79</v>
      </c>
      <c r="AH524" s="538" t="s">
        <v>228</v>
      </c>
      <c r="AI524" s="538" t="s">
        <v>79</v>
      </c>
      <c r="AJ524" s="538" t="s">
        <v>377</v>
      </c>
      <c r="AK524" s="538" t="s">
        <v>79</v>
      </c>
      <c r="AL524" s="538" t="s">
        <v>228</v>
      </c>
      <c r="AM524" s="538" t="s">
        <v>79</v>
      </c>
      <c r="AN524" s="538" t="s">
        <v>228</v>
      </c>
      <c r="AO524" s="538" t="s">
        <v>79</v>
      </c>
      <c r="AP524" s="538" t="s">
        <v>369</v>
      </c>
      <c r="AQ524" s="538" t="s">
        <v>79</v>
      </c>
      <c r="AR524" s="538" t="s">
        <v>369</v>
      </c>
      <c r="AS524" s="538">
        <v>1.387906359E9</v>
      </c>
      <c r="AT524" s="538">
        <v>8.07303933E8</v>
      </c>
      <c r="AU524" s="538">
        <v>307.0</v>
      </c>
      <c r="AV524" s="538" t="s">
        <v>47</v>
      </c>
      <c r="AZ524" s="538">
        <v>1.0</v>
      </c>
      <c r="BA524" s="538">
        <v>1.0</v>
      </c>
      <c r="BB524" s="538">
        <v>1.0</v>
      </c>
      <c r="BC524" s="538">
        <v>1.0</v>
      </c>
      <c r="BD524" s="538">
        <v>1.0</v>
      </c>
      <c r="BE524" s="538">
        <v>0.05</v>
      </c>
      <c r="BF524" s="538">
        <v>0.07</v>
      </c>
      <c r="BG524" s="538">
        <v>0.1</v>
      </c>
      <c r="BH524" s="538">
        <v>0.15</v>
      </c>
      <c r="BI524" s="538">
        <v>0.25</v>
      </c>
      <c r="BJ524" s="546"/>
      <c r="BL524" s="546"/>
    </row>
    <row r="525" ht="22.5" customHeight="1">
      <c r="A525" s="538">
        <v>524.0</v>
      </c>
      <c r="B525" s="538" t="s">
        <v>2411</v>
      </c>
      <c r="C525" s="538" t="s">
        <v>82</v>
      </c>
      <c r="D525" s="538" t="s">
        <v>2405</v>
      </c>
      <c r="E525" s="538" t="s">
        <v>223</v>
      </c>
      <c r="F525" s="538" t="s">
        <v>297</v>
      </c>
      <c r="G525" s="538" t="s">
        <v>163</v>
      </c>
      <c r="H525" s="538" t="s">
        <v>250</v>
      </c>
      <c r="I525" s="538" t="s">
        <v>176</v>
      </c>
      <c r="J525" s="538" t="s">
        <v>397</v>
      </c>
      <c r="K525" s="538" t="s">
        <v>2412</v>
      </c>
      <c r="L525" s="538" t="s">
        <v>2413</v>
      </c>
      <c r="M525" s="538" t="s">
        <v>673</v>
      </c>
      <c r="N525" s="538" t="s">
        <v>2414</v>
      </c>
      <c r="O525" s="538" t="b">
        <v>0</v>
      </c>
      <c r="P525" s="538" t="b">
        <v>1</v>
      </c>
      <c r="Q525" s="538" t="s">
        <v>79</v>
      </c>
      <c r="R525" s="538" t="s">
        <v>297</v>
      </c>
      <c r="S525" s="538" t="s">
        <v>79</v>
      </c>
      <c r="T525" s="538" t="s">
        <v>297</v>
      </c>
      <c r="U525" s="538" t="s">
        <v>79</v>
      </c>
      <c r="V525" s="538" t="s">
        <v>297</v>
      </c>
      <c r="W525" s="538" t="s">
        <v>73</v>
      </c>
      <c r="Y525" s="538" t="s">
        <v>79</v>
      </c>
      <c r="Z525" s="538" t="s">
        <v>297</v>
      </c>
      <c r="AA525" s="538" t="s">
        <v>79</v>
      </c>
      <c r="AB525" s="538" t="s">
        <v>297</v>
      </c>
      <c r="AC525" s="538" t="s">
        <v>79</v>
      </c>
      <c r="AD525" s="538" t="s">
        <v>297</v>
      </c>
      <c r="AE525" s="538" t="s">
        <v>79</v>
      </c>
      <c r="AF525" s="538" t="s">
        <v>297</v>
      </c>
      <c r="AG525" s="538" t="s">
        <v>79</v>
      </c>
      <c r="AH525" s="538" t="s">
        <v>297</v>
      </c>
      <c r="AI525" s="538" t="s">
        <v>79</v>
      </c>
      <c r="AJ525" s="538" t="s">
        <v>297</v>
      </c>
      <c r="AK525" s="538" t="s">
        <v>79</v>
      </c>
      <c r="AL525" s="538" t="s">
        <v>297</v>
      </c>
      <c r="AM525" s="538" t="s">
        <v>79</v>
      </c>
      <c r="AN525" s="538" t="s">
        <v>297</v>
      </c>
      <c r="AO525" s="538" t="s">
        <v>79</v>
      </c>
      <c r="AP525" s="538" t="s">
        <v>223</v>
      </c>
      <c r="AQ525" s="538" t="s">
        <v>79</v>
      </c>
      <c r="AR525" s="538" t="s">
        <v>223</v>
      </c>
      <c r="AS525" s="538">
        <v>7.96935785E8</v>
      </c>
      <c r="AT525" s="538">
        <v>1.35228856E9</v>
      </c>
      <c r="AU525" s="538">
        <v>308.0</v>
      </c>
      <c r="AV525" s="538" t="s">
        <v>46</v>
      </c>
      <c r="AZ525" s="538">
        <v>1.0</v>
      </c>
      <c r="BA525" s="538">
        <v>1.0</v>
      </c>
      <c r="BB525" s="538">
        <v>1.0</v>
      </c>
      <c r="BC525" s="538">
        <v>1.0</v>
      </c>
      <c r="BD525" s="538">
        <v>1.0</v>
      </c>
      <c r="BE525" s="538">
        <v>5.0</v>
      </c>
      <c r="BF525" s="538">
        <v>7.5</v>
      </c>
      <c r="BG525" s="538">
        <v>15.0</v>
      </c>
      <c r="BH525" s="538">
        <v>30.0</v>
      </c>
      <c r="BI525" s="538">
        <v>50.0</v>
      </c>
      <c r="BJ525" s="546"/>
      <c r="BL525" s="546"/>
    </row>
    <row r="526" ht="22.5" customHeight="1">
      <c r="A526" s="538">
        <v>525.0</v>
      </c>
      <c r="B526" s="538" t="s">
        <v>2411</v>
      </c>
      <c r="C526" s="538" t="s">
        <v>86</v>
      </c>
      <c r="D526" s="538" t="s">
        <v>2405</v>
      </c>
      <c r="E526" s="538" t="s">
        <v>223</v>
      </c>
      <c r="F526" s="538" t="s">
        <v>228</v>
      </c>
      <c r="G526" s="538" t="s">
        <v>163</v>
      </c>
      <c r="H526" s="538" t="s">
        <v>250</v>
      </c>
      <c r="I526" s="538" t="s">
        <v>176</v>
      </c>
      <c r="J526" s="538" t="s">
        <v>395</v>
      </c>
      <c r="K526" s="538" t="s">
        <v>2415</v>
      </c>
      <c r="L526" s="538" t="s">
        <v>2416</v>
      </c>
      <c r="M526" s="538" t="s">
        <v>673</v>
      </c>
      <c r="N526" s="538" t="s">
        <v>2417</v>
      </c>
      <c r="O526" s="538" t="b">
        <v>0</v>
      </c>
      <c r="P526" s="538" t="b">
        <v>1</v>
      </c>
      <c r="Q526" s="538" t="s">
        <v>79</v>
      </c>
      <c r="R526" s="538" t="s">
        <v>228</v>
      </c>
      <c r="S526" s="538" t="s">
        <v>79</v>
      </c>
      <c r="T526" s="538" t="s">
        <v>228</v>
      </c>
      <c r="U526" s="538" t="s">
        <v>73</v>
      </c>
      <c r="W526" s="538" t="s">
        <v>73</v>
      </c>
      <c r="Y526" s="538" t="s">
        <v>79</v>
      </c>
      <c r="Z526" s="538" t="s">
        <v>228</v>
      </c>
      <c r="AA526" s="538" t="s">
        <v>73</v>
      </c>
      <c r="AC526" s="538" t="s">
        <v>73</v>
      </c>
      <c r="AE526" s="538" t="s">
        <v>73</v>
      </c>
      <c r="AG526" s="538" t="s">
        <v>79</v>
      </c>
      <c r="AH526" s="538" t="s">
        <v>228</v>
      </c>
      <c r="AI526" s="538" t="s">
        <v>73</v>
      </c>
      <c r="AK526" s="538" t="s">
        <v>79</v>
      </c>
      <c r="AL526" s="538" t="s">
        <v>228</v>
      </c>
      <c r="AM526" s="538" t="s">
        <v>79</v>
      </c>
      <c r="AN526" s="538" t="s">
        <v>228</v>
      </c>
      <c r="AO526" s="538" t="s">
        <v>79</v>
      </c>
      <c r="AP526" s="538" t="s">
        <v>223</v>
      </c>
      <c r="AQ526" s="538" t="s">
        <v>79</v>
      </c>
      <c r="AR526" s="538" t="s">
        <v>223</v>
      </c>
      <c r="AS526" s="538">
        <v>5.33816193E8</v>
      </c>
      <c r="AT526" s="538">
        <v>1.35228856E9</v>
      </c>
      <c r="AU526" s="538">
        <v>308.0</v>
      </c>
      <c r="AV526" s="538" t="s">
        <v>46</v>
      </c>
      <c r="AZ526" s="538">
        <v>1.0</v>
      </c>
      <c r="BA526" s="538">
        <v>1.0</v>
      </c>
      <c r="BB526" s="538">
        <v>1.0</v>
      </c>
      <c r="BC526" s="538">
        <v>1.0</v>
      </c>
      <c r="BD526" s="538">
        <v>1.0</v>
      </c>
      <c r="BE526" s="538">
        <v>3.0</v>
      </c>
      <c r="BF526" s="538">
        <v>3.75</v>
      </c>
      <c r="BG526" s="538">
        <v>4.5</v>
      </c>
      <c r="BH526" s="538">
        <v>6.0</v>
      </c>
      <c r="BI526" s="538">
        <v>8.0</v>
      </c>
      <c r="BJ526" s="546"/>
      <c r="BL526" s="546"/>
    </row>
    <row r="527" ht="22.5" customHeight="1">
      <c r="A527" s="538">
        <v>526.0</v>
      </c>
      <c r="B527" s="538" t="s">
        <v>2418</v>
      </c>
      <c r="C527" s="538" t="s">
        <v>82</v>
      </c>
      <c r="D527" s="538" t="s">
        <v>2405</v>
      </c>
      <c r="E527" s="538" t="s">
        <v>241</v>
      </c>
      <c r="F527" s="538" t="s">
        <v>2419</v>
      </c>
      <c r="G527" s="538" t="s">
        <v>163</v>
      </c>
      <c r="H527" s="538" t="s">
        <v>250</v>
      </c>
      <c r="I527" s="538" t="s">
        <v>155</v>
      </c>
      <c r="K527" s="538" t="s">
        <v>2420</v>
      </c>
      <c r="L527" s="538" t="s">
        <v>2421</v>
      </c>
      <c r="M527" s="538" t="s">
        <v>673</v>
      </c>
      <c r="N527" s="538" t="s">
        <v>2422</v>
      </c>
      <c r="O527" s="538" t="b">
        <v>0</v>
      </c>
      <c r="P527" s="538" t="b">
        <v>0</v>
      </c>
      <c r="Q527" s="538" t="s">
        <v>75</v>
      </c>
      <c r="R527" s="538" t="s">
        <v>2423</v>
      </c>
      <c r="S527" s="538" t="s">
        <v>75</v>
      </c>
      <c r="T527" s="538" t="s">
        <v>2423</v>
      </c>
      <c r="U527" s="538" t="s">
        <v>79</v>
      </c>
      <c r="V527" s="538" t="s">
        <v>2419</v>
      </c>
      <c r="W527" s="538" t="s">
        <v>79</v>
      </c>
      <c r="X527" s="538" t="s">
        <v>2419</v>
      </c>
      <c r="Y527" s="538" t="s">
        <v>79</v>
      </c>
      <c r="Z527" s="538" t="s">
        <v>2419</v>
      </c>
      <c r="AA527" s="538" t="s">
        <v>79</v>
      </c>
      <c r="AB527" s="538" t="s">
        <v>2419</v>
      </c>
      <c r="AC527" s="538" t="s">
        <v>79</v>
      </c>
      <c r="AD527" s="538" t="s">
        <v>2419</v>
      </c>
      <c r="AE527" s="538" t="s">
        <v>79</v>
      </c>
      <c r="AF527" s="538" t="s">
        <v>2419</v>
      </c>
      <c r="AG527" s="538" t="s">
        <v>79</v>
      </c>
      <c r="AH527" s="538" t="s">
        <v>2419</v>
      </c>
      <c r="AI527" s="538" t="s">
        <v>79</v>
      </c>
      <c r="AJ527" s="538" t="s">
        <v>2419</v>
      </c>
      <c r="AK527" s="538" t="s">
        <v>79</v>
      </c>
      <c r="AL527" s="538" t="s">
        <v>2419</v>
      </c>
      <c r="AM527" s="538" t="s">
        <v>79</v>
      </c>
      <c r="AN527" s="538" t="s">
        <v>2419</v>
      </c>
      <c r="AO527" s="538" t="s">
        <v>79</v>
      </c>
      <c r="AP527" s="538" t="s">
        <v>241</v>
      </c>
      <c r="AQ527" s="538" t="s">
        <v>79</v>
      </c>
      <c r="AR527" s="538" t="s">
        <v>241</v>
      </c>
      <c r="AS527" s="538">
        <v>1.533467574E9</v>
      </c>
      <c r="AT527" s="538">
        <v>8.97691678E8</v>
      </c>
      <c r="AU527" s="538">
        <v>309.0</v>
      </c>
      <c r="AV527" s="538" t="s">
        <v>47</v>
      </c>
      <c r="AY527" s="538" t="s">
        <v>2423</v>
      </c>
      <c r="AZ527" s="538">
        <v>1.0</v>
      </c>
      <c r="BA527" s="538">
        <v>1.0</v>
      </c>
      <c r="BB527" s="538">
        <v>1.0</v>
      </c>
      <c r="BC527" s="538">
        <v>1.0</v>
      </c>
      <c r="BD527" s="538">
        <v>1.0</v>
      </c>
      <c r="BE527" s="538">
        <v>10000.0</v>
      </c>
      <c r="BF527" s="538">
        <v>20000.0</v>
      </c>
      <c r="BG527" s="538">
        <v>35000.0</v>
      </c>
      <c r="BH527" s="538">
        <v>50000.0</v>
      </c>
      <c r="BI527" s="538">
        <v>75000.0</v>
      </c>
      <c r="BJ527" s="546"/>
      <c r="BL527" s="546"/>
    </row>
    <row r="528" ht="22.5" customHeight="1">
      <c r="A528" s="538">
        <v>527.0</v>
      </c>
      <c r="B528" s="538" t="s">
        <v>2418</v>
      </c>
      <c r="C528" s="538" t="s">
        <v>86</v>
      </c>
      <c r="D528" s="538" t="s">
        <v>2405</v>
      </c>
      <c r="E528" s="538" t="s">
        <v>325</v>
      </c>
      <c r="G528" s="538" t="s">
        <v>151</v>
      </c>
      <c r="H528" s="538" t="s">
        <v>250</v>
      </c>
      <c r="I528" s="538" t="s">
        <v>155</v>
      </c>
      <c r="K528" s="538" t="s">
        <v>2424</v>
      </c>
      <c r="L528" s="538" t="s">
        <v>2425</v>
      </c>
      <c r="M528" s="538" t="s">
        <v>673</v>
      </c>
      <c r="N528" s="538" t="s">
        <v>2426</v>
      </c>
      <c r="O528" s="538" t="b">
        <v>0</v>
      </c>
      <c r="P528" s="538" t="b">
        <v>1</v>
      </c>
      <c r="Q528" s="538" t="s">
        <v>73</v>
      </c>
      <c r="S528" s="538" t="s">
        <v>73</v>
      </c>
      <c r="U528" s="538" t="s">
        <v>73</v>
      </c>
      <c r="W528" s="538" t="s">
        <v>73</v>
      </c>
      <c r="Y528" s="538" t="s">
        <v>73</v>
      </c>
      <c r="AA528" s="538" t="s">
        <v>73</v>
      </c>
      <c r="AC528" s="538" t="s">
        <v>73</v>
      </c>
      <c r="AE528" s="538" t="s">
        <v>73</v>
      </c>
      <c r="AG528" s="538" t="s">
        <v>73</v>
      </c>
      <c r="AI528" s="538" t="s">
        <v>73</v>
      </c>
      <c r="AK528" s="538" t="s">
        <v>73</v>
      </c>
      <c r="AM528" s="538" t="s">
        <v>73</v>
      </c>
      <c r="AO528" s="538" t="s">
        <v>79</v>
      </c>
      <c r="AP528" s="538" t="s">
        <v>325</v>
      </c>
      <c r="AQ528" s="538" t="s">
        <v>79</v>
      </c>
      <c r="AR528" s="538" t="s">
        <v>325</v>
      </c>
      <c r="AS528" s="538">
        <v>3.51013842E8</v>
      </c>
      <c r="AT528" s="538">
        <v>8.97691678E8</v>
      </c>
      <c r="AU528" s="538">
        <v>309.0</v>
      </c>
      <c r="AV528" s="538" t="s">
        <v>47</v>
      </c>
      <c r="AZ528" s="538">
        <v>1.0</v>
      </c>
      <c r="BA528" s="538">
        <v>1.0</v>
      </c>
      <c r="BB528" s="538">
        <v>1.0</v>
      </c>
      <c r="BC528" s="538">
        <v>1.0</v>
      </c>
      <c r="BD528" s="538">
        <v>1.0</v>
      </c>
      <c r="BE528" s="538">
        <v>1.0</v>
      </c>
      <c r="BF528" s="538">
        <v>1.5</v>
      </c>
      <c r="BG528" s="538">
        <v>2.0</v>
      </c>
      <c r="BH528" s="538">
        <v>3.0</v>
      </c>
      <c r="BI528" s="538">
        <v>5.0</v>
      </c>
      <c r="BJ528" s="546"/>
      <c r="BL528" s="546"/>
    </row>
    <row r="529" ht="22.5" customHeight="1">
      <c r="A529" s="538">
        <v>528.0</v>
      </c>
      <c r="B529" s="538" t="s">
        <v>61</v>
      </c>
      <c r="C529" s="538" t="s">
        <v>82</v>
      </c>
      <c r="D529" s="538" t="s">
        <v>2405</v>
      </c>
      <c r="E529" s="538" t="s">
        <v>251</v>
      </c>
      <c r="G529" s="538" t="s">
        <v>151</v>
      </c>
      <c r="H529" s="538" t="s">
        <v>250</v>
      </c>
      <c r="I529" s="538" t="s">
        <v>122</v>
      </c>
      <c r="K529" s="538" t="s">
        <v>2427</v>
      </c>
      <c r="L529" s="538" t="s">
        <v>2428</v>
      </c>
      <c r="M529" s="538" t="s">
        <v>673</v>
      </c>
      <c r="N529" s="538" t="s">
        <v>2429</v>
      </c>
      <c r="O529" s="538" t="b">
        <v>0</v>
      </c>
      <c r="P529" s="538" t="b">
        <v>1</v>
      </c>
      <c r="Q529" s="538" t="s">
        <v>79</v>
      </c>
      <c r="R529" s="538" t="s">
        <v>251</v>
      </c>
      <c r="S529" s="538" t="s">
        <v>79</v>
      </c>
      <c r="T529" s="538" t="s">
        <v>251</v>
      </c>
      <c r="U529" s="538" t="s">
        <v>79</v>
      </c>
      <c r="V529" s="538" t="s">
        <v>251</v>
      </c>
      <c r="W529" s="538" t="s">
        <v>79</v>
      </c>
      <c r="X529" s="538" t="s">
        <v>251</v>
      </c>
      <c r="Y529" s="538" t="s">
        <v>79</v>
      </c>
      <c r="Z529" s="538" t="s">
        <v>251</v>
      </c>
      <c r="AA529" s="538" t="s">
        <v>79</v>
      </c>
      <c r="AB529" s="538" t="s">
        <v>251</v>
      </c>
      <c r="AC529" s="538" t="s">
        <v>73</v>
      </c>
      <c r="AE529" s="538" t="s">
        <v>73</v>
      </c>
      <c r="AG529" s="538" t="s">
        <v>79</v>
      </c>
      <c r="AH529" s="538" t="s">
        <v>251</v>
      </c>
      <c r="AI529" s="538" t="s">
        <v>73</v>
      </c>
      <c r="AK529" s="538" t="s">
        <v>73</v>
      </c>
      <c r="AM529" s="538" t="s">
        <v>79</v>
      </c>
      <c r="AN529" s="538" t="s">
        <v>251</v>
      </c>
      <c r="AO529" s="538" t="s">
        <v>73</v>
      </c>
      <c r="AQ529" s="538" t="s">
        <v>79</v>
      </c>
      <c r="AR529" s="538" t="s">
        <v>251</v>
      </c>
      <c r="AS529" s="538">
        <v>3.910983177E9</v>
      </c>
      <c r="AT529" s="538">
        <v>3.242236216E9</v>
      </c>
      <c r="AU529" s="538">
        <v>310.0</v>
      </c>
      <c r="AV529" s="538" t="s">
        <v>47</v>
      </c>
      <c r="AZ529" s="538">
        <v>1.0</v>
      </c>
      <c r="BA529" s="538">
        <v>1.0</v>
      </c>
      <c r="BB529" s="538">
        <v>1.0</v>
      </c>
      <c r="BC529" s="538">
        <v>1.0</v>
      </c>
      <c r="BD529" s="538">
        <v>1.0</v>
      </c>
      <c r="BE529" s="538">
        <v>0.2</v>
      </c>
      <c r="BF529" s="538">
        <v>0.4</v>
      </c>
      <c r="BG529" s="538">
        <v>0.65</v>
      </c>
      <c r="BH529" s="538">
        <v>0.9</v>
      </c>
      <c r="BI529" s="538">
        <v>1.25</v>
      </c>
      <c r="BJ529" s="546"/>
      <c r="BL529" s="546"/>
    </row>
    <row r="530" ht="22.5" customHeight="1">
      <c r="A530" s="538">
        <v>529.0</v>
      </c>
      <c r="B530" s="538" t="s">
        <v>61</v>
      </c>
      <c r="C530" s="538" t="s">
        <v>86</v>
      </c>
      <c r="D530" s="538" t="s">
        <v>2405</v>
      </c>
      <c r="E530" s="538" t="s">
        <v>369</v>
      </c>
      <c r="F530" s="538" t="s">
        <v>1688</v>
      </c>
      <c r="G530" s="538" t="s">
        <v>163</v>
      </c>
      <c r="H530" s="538" t="s">
        <v>222</v>
      </c>
      <c r="I530" s="538" t="s">
        <v>201</v>
      </c>
      <c r="K530" s="538" t="s">
        <v>2430</v>
      </c>
      <c r="L530" s="538" t="s">
        <v>2431</v>
      </c>
      <c r="M530" s="538" t="s">
        <v>673</v>
      </c>
      <c r="N530" s="538" t="s">
        <v>737</v>
      </c>
      <c r="O530" s="538" t="b">
        <v>0</v>
      </c>
      <c r="P530" s="538" t="b">
        <v>1</v>
      </c>
      <c r="Q530" s="538" t="s">
        <v>79</v>
      </c>
      <c r="R530" s="538" t="s">
        <v>228</v>
      </c>
      <c r="S530" s="538" t="s">
        <v>79</v>
      </c>
      <c r="T530" s="538" t="s">
        <v>228</v>
      </c>
      <c r="U530" s="538" t="s">
        <v>73</v>
      </c>
      <c r="W530" s="538" t="s">
        <v>73</v>
      </c>
      <c r="Y530" s="538" t="s">
        <v>79</v>
      </c>
      <c r="Z530" s="538" t="s">
        <v>228</v>
      </c>
      <c r="AA530" s="538" t="s">
        <v>73</v>
      </c>
      <c r="AC530" s="538" t="s">
        <v>79</v>
      </c>
      <c r="AD530" s="538" t="s">
        <v>377</v>
      </c>
      <c r="AE530" s="538" t="s">
        <v>79</v>
      </c>
      <c r="AF530" s="538" t="s">
        <v>377</v>
      </c>
      <c r="AG530" s="538" t="s">
        <v>79</v>
      </c>
      <c r="AH530" s="538" t="s">
        <v>228</v>
      </c>
      <c r="AI530" s="538" t="s">
        <v>79</v>
      </c>
      <c r="AJ530" s="538" t="s">
        <v>377</v>
      </c>
      <c r="AK530" s="538" t="s">
        <v>79</v>
      </c>
      <c r="AL530" s="538" t="s">
        <v>228</v>
      </c>
      <c r="AM530" s="538" t="s">
        <v>79</v>
      </c>
      <c r="AN530" s="538" t="s">
        <v>228</v>
      </c>
      <c r="AO530" s="538" t="s">
        <v>79</v>
      </c>
      <c r="AP530" s="538" t="s">
        <v>369</v>
      </c>
      <c r="AQ530" s="538" t="s">
        <v>79</v>
      </c>
      <c r="AR530" s="538" t="s">
        <v>369</v>
      </c>
      <c r="AS530" s="538">
        <v>1.897079104E9</v>
      </c>
      <c r="AT530" s="538">
        <v>3.242236216E9</v>
      </c>
      <c r="AU530" s="538">
        <v>310.0</v>
      </c>
      <c r="AV530" s="538" t="s">
        <v>47</v>
      </c>
      <c r="AZ530" s="538">
        <v>1.0</v>
      </c>
      <c r="BA530" s="538">
        <v>1.0</v>
      </c>
      <c r="BB530" s="538">
        <v>1.0</v>
      </c>
      <c r="BC530" s="538">
        <v>1.0</v>
      </c>
      <c r="BD530" s="538">
        <v>1.0</v>
      </c>
      <c r="BE530" s="538">
        <v>0.1</v>
      </c>
      <c r="BF530" s="538">
        <v>0.15</v>
      </c>
      <c r="BG530" s="538">
        <v>0.2</v>
      </c>
      <c r="BH530" s="538">
        <v>0.3</v>
      </c>
      <c r="BI530" s="538">
        <v>0.4</v>
      </c>
      <c r="BJ530" s="546"/>
      <c r="BL530" s="546"/>
    </row>
    <row r="531" ht="22.5" customHeight="1">
      <c r="A531" s="538">
        <v>530.0</v>
      </c>
      <c r="B531" s="538" t="s">
        <v>2432</v>
      </c>
      <c r="C531" s="538" t="s">
        <v>82</v>
      </c>
      <c r="D531" s="538" t="s">
        <v>2405</v>
      </c>
      <c r="E531" s="538" t="s">
        <v>322</v>
      </c>
      <c r="F531" s="538" t="s">
        <v>297</v>
      </c>
      <c r="G531" s="538" t="s">
        <v>163</v>
      </c>
      <c r="H531" s="538" t="s">
        <v>250</v>
      </c>
      <c r="I531" s="538" t="s">
        <v>122</v>
      </c>
      <c r="K531" s="538" t="s">
        <v>2433</v>
      </c>
      <c r="L531" s="538" t="s">
        <v>2434</v>
      </c>
      <c r="M531" s="538" t="s">
        <v>673</v>
      </c>
      <c r="N531" s="538" t="s">
        <v>2192</v>
      </c>
      <c r="O531" s="538" t="b">
        <v>0</v>
      </c>
      <c r="P531" s="538" t="b">
        <v>1</v>
      </c>
      <c r="Q531" s="538" t="s">
        <v>79</v>
      </c>
      <c r="R531" s="538" t="s">
        <v>297</v>
      </c>
      <c r="S531" s="538" t="s">
        <v>79</v>
      </c>
      <c r="T531" s="538" t="s">
        <v>297</v>
      </c>
      <c r="U531" s="538" t="s">
        <v>79</v>
      </c>
      <c r="V531" s="538" t="s">
        <v>297</v>
      </c>
      <c r="W531" s="538" t="s">
        <v>73</v>
      </c>
      <c r="Y531" s="538" t="s">
        <v>79</v>
      </c>
      <c r="Z531" s="538" t="s">
        <v>297</v>
      </c>
      <c r="AA531" s="538" t="s">
        <v>79</v>
      </c>
      <c r="AB531" s="538" t="s">
        <v>297</v>
      </c>
      <c r="AC531" s="538" t="s">
        <v>79</v>
      </c>
      <c r="AD531" s="538" t="s">
        <v>297</v>
      </c>
      <c r="AE531" s="538" t="s">
        <v>79</v>
      </c>
      <c r="AF531" s="538" t="s">
        <v>297</v>
      </c>
      <c r="AG531" s="538" t="s">
        <v>79</v>
      </c>
      <c r="AH531" s="538" t="s">
        <v>297</v>
      </c>
      <c r="AI531" s="538" t="s">
        <v>79</v>
      </c>
      <c r="AJ531" s="538" t="s">
        <v>297</v>
      </c>
      <c r="AK531" s="538" t="s">
        <v>79</v>
      </c>
      <c r="AL531" s="538" t="s">
        <v>297</v>
      </c>
      <c r="AM531" s="538" t="s">
        <v>79</v>
      </c>
      <c r="AN531" s="538" t="s">
        <v>297</v>
      </c>
      <c r="AO531" s="538" t="s">
        <v>79</v>
      </c>
      <c r="AP531" s="538" t="s">
        <v>322</v>
      </c>
      <c r="AQ531" s="538" t="s">
        <v>79</v>
      </c>
      <c r="AR531" s="538" t="s">
        <v>322</v>
      </c>
      <c r="AS531" s="538">
        <v>2.156699259E9</v>
      </c>
      <c r="AT531" s="538">
        <v>1.738777089E9</v>
      </c>
      <c r="AU531" s="538">
        <v>311.0</v>
      </c>
      <c r="AV531" s="538" t="s">
        <v>46</v>
      </c>
      <c r="AZ531" s="538">
        <v>1.0</v>
      </c>
      <c r="BA531" s="538">
        <v>1.0</v>
      </c>
      <c r="BB531" s="538">
        <v>1.0</v>
      </c>
      <c r="BC531" s="538">
        <v>1.0</v>
      </c>
      <c r="BD531" s="538">
        <v>1.0</v>
      </c>
      <c r="BE531" s="538">
        <v>0.7</v>
      </c>
      <c r="BF531" s="538">
        <v>0.9</v>
      </c>
      <c r="BG531" s="538">
        <v>1.1</v>
      </c>
      <c r="BH531" s="538">
        <v>1.3</v>
      </c>
      <c r="BI531" s="538">
        <v>1.5</v>
      </c>
      <c r="BJ531" s="546"/>
      <c r="BK531" s="547"/>
      <c r="BL531" s="546"/>
    </row>
    <row r="532" ht="22.5" customHeight="1">
      <c r="A532" s="538">
        <v>531.0</v>
      </c>
      <c r="B532" s="538" t="s">
        <v>2432</v>
      </c>
      <c r="C532" s="538" t="s">
        <v>86</v>
      </c>
      <c r="D532" s="538" t="s">
        <v>2405</v>
      </c>
      <c r="E532" s="538" t="s">
        <v>322</v>
      </c>
      <c r="F532" s="538" t="s">
        <v>2435</v>
      </c>
      <c r="G532" s="538" t="s">
        <v>239</v>
      </c>
      <c r="H532" s="538" t="s">
        <v>250</v>
      </c>
      <c r="I532" s="538" t="s">
        <v>122</v>
      </c>
      <c r="J532" s="538" t="s">
        <v>320</v>
      </c>
      <c r="K532" s="538" t="s">
        <v>2436</v>
      </c>
      <c r="L532" s="538" t="s">
        <v>2437</v>
      </c>
      <c r="M532" s="538" t="s">
        <v>673</v>
      </c>
      <c r="N532" s="538" t="s">
        <v>2438</v>
      </c>
      <c r="O532" s="538" t="b">
        <v>0</v>
      </c>
      <c r="P532" s="538" t="b">
        <v>1</v>
      </c>
      <c r="Q532" s="538" t="s">
        <v>79</v>
      </c>
      <c r="R532" s="538" t="s">
        <v>2439</v>
      </c>
      <c r="S532" s="538" t="s">
        <v>79</v>
      </c>
      <c r="T532" s="538" t="s">
        <v>2439</v>
      </c>
      <c r="U532" s="538" t="s">
        <v>75</v>
      </c>
      <c r="V532" s="538" t="s">
        <v>388</v>
      </c>
      <c r="W532" s="538" t="s">
        <v>75</v>
      </c>
      <c r="X532" s="538" t="s">
        <v>388</v>
      </c>
      <c r="Y532" s="538" t="s">
        <v>79</v>
      </c>
      <c r="Z532" s="538" t="s">
        <v>2439</v>
      </c>
      <c r="AA532" s="538" t="s">
        <v>75</v>
      </c>
      <c r="AB532" s="538" t="s">
        <v>388</v>
      </c>
      <c r="AC532" s="538" t="s">
        <v>79</v>
      </c>
      <c r="AD532" s="538" t="s">
        <v>377</v>
      </c>
      <c r="AE532" s="538" t="s">
        <v>79</v>
      </c>
      <c r="AF532" s="538" t="s">
        <v>377</v>
      </c>
      <c r="AG532" s="538" t="s">
        <v>79</v>
      </c>
      <c r="AH532" s="538" t="s">
        <v>2439</v>
      </c>
      <c r="AI532" s="538" t="s">
        <v>79</v>
      </c>
      <c r="AJ532" s="538" t="s">
        <v>377</v>
      </c>
      <c r="AK532" s="538" t="s">
        <v>79</v>
      </c>
      <c r="AL532" s="538" t="s">
        <v>2439</v>
      </c>
      <c r="AM532" s="538" t="s">
        <v>79</v>
      </c>
      <c r="AN532" s="538" t="s">
        <v>2439</v>
      </c>
      <c r="AO532" s="538" t="s">
        <v>79</v>
      </c>
      <c r="AP532" s="538" t="s">
        <v>322</v>
      </c>
      <c r="AQ532" s="538" t="s">
        <v>79</v>
      </c>
      <c r="AR532" s="538" t="s">
        <v>322</v>
      </c>
      <c r="AS532" s="538">
        <v>3.649514938E9</v>
      </c>
      <c r="AT532" s="538">
        <v>1.738777089E9</v>
      </c>
      <c r="AU532" s="538">
        <v>311.0</v>
      </c>
      <c r="AV532" s="538" t="s">
        <v>46</v>
      </c>
      <c r="AX532" s="538" t="s">
        <v>2005</v>
      </c>
      <c r="AY532" s="538" t="s">
        <v>388</v>
      </c>
      <c r="AZ532" s="538">
        <v>1.0</v>
      </c>
      <c r="BA532" s="538">
        <v>1.0</v>
      </c>
      <c r="BB532" s="538">
        <v>1.0</v>
      </c>
      <c r="BC532" s="538">
        <v>1.0</v>
      </c>
      <c r="BD532" s="538">
        <v>1.0</v>
      </c>
      <c r="BE532" s="538">
        <v>0.15</v>
      </c>
      <c r="BF532" s="538">
        <v>0.2</v>
      </c>
      <c r="BG532" s="538">
        <v>0.3</v>
      </c>
      <c r="BH532" s="538">
        <v>0.5</v>
      </c>
      <c r="BI532" s="538">
        <v>0.7</v>
      </c>
      <c r="BJ532" s="546"/>
      <c r="BL532" s="546"/>
    </row>
    <row r="533" ht="22.5" customHeight="1">
      <c r="A533" s="538">
        <v>532.0</v>
      </c>
      <c r="B533" s="538" t="s">
        <v>2440</v>
      </c>
      <c r="C533" s="538" t="s">
        <v>82</v>
      </c>
      <c r="D533" s="538" t="s">
        <v>1687</v>
      </c>
      <c r="E533" s="538" t="s">
        <v>322</v>
      </c>
      <c r="F533" s="538" t="s">
        <v>233</v>
      </c>
      <c r="G533" s="538" t="s">
        <v>163</v>
      </c>
      <c r="H533" s="538" t="s">
        <v>250</v>
      </c>
      <c r="I533" s="538" t="s">
        <v>122</v>
      </c>
      <c r="J533" s="538" t="s">
        <v>272</v>
      </c>
      <c r="K533" s="538" t="s">
        <v>2441</v>
      </c>
      <c r="L533" s="538" t="s">
        <v>2442</v>
      </c>
      <c r="M533" s="538" t="s">
        <v>673</v>
      </c>
      <c r="N533" s="538" t="s">
        <v>2443</v>
      </c>
      <c r="O533" s="538" t="b">
        <v>0</v>
      </c>
      <c r="P533" s="538" t="b">
        <v>1</v>
      </c>
      <c r="Q533" s="538" t="s">
        <v>79</v>
      </c>
      <c r="R533" s="538" t="s">
        <v>233</v>
      </c>
      <c r="S533" s="538" t="s">
        <v>79</v>
      </c>
      <c r="T533" s="538" t="s">
        <v>233</v>
      </c>
      <c r="U533" s="538" t="s">
        <v>75</v>
      </c>
      <c r="V533" s="538" t="s">
        <v>2444</v>
      </c>
      <c r="W533" s="538" t="s">
        <v>75</v>
      </c>
      <c r="X533" s="538" t="s">
        <v>2444</v>
      </c>
      <c r="Y533" s="538" t="s">
        <v>75</v>
      </c>
      <c r="Z533" s="538" t="s">
        <v>2444</v>
      </c>
      <c r="AA533" s="538" t="s">
        <v>75</v>
      </c>
      <c r="AB533" s="538" t="s">
        <v>2444</v>
      </c>
      <c r="AC533" s="538" t="s">
        <v>75</v>
      </c>
      <c r="AD533" s="538" t="s">
        <v>2444</v>
      </c>
      <c r="AE533" s="538" t="s">
        <v>75</v>
      </c>
      <c r="AF533" s="538" t="s">
        <v>2444</v>
      </c>
      <c r="AG533" s="538" t="s">
        <v>75</v>
      </c>
      <c r="AH533" s="538" t="s">
        <v>2444</v>
      </c>
      <c r="AI533" s="538" t="s">
        <v>79</v>
      </c>
      <c r="AJ533" s="538" t="s">
        <v>233</v>
      </c>
      <c r="AK533" s="538" t="s">
        <v>79</v>
      </c>
      <c r="AL533" s="538" t="s">
        <v>233</v>
      </c>
      <c r="AM533" s="538" t="s">
        <v>79</v>
      </c>
      <c r="AN533" s="538" t="s">
        <v>233</v>
      </c>
      <c r="AO533" s="538" t="s">
        <v>79</v>
      </c>
      <c r="AP533" s="538" t="s">
        <v>322</v>
      </c>
      <c r="AQ533" s="538" t="s">
        <v>79</v>
      </c>
      <c r="AR533" s="538" t="s">
        <v>322</v>
      </c>
      <c r="AS533" s="538">
        <v>3.735581723E9</v>
      </c>
      <c r="AT533" s="538">
        <v>1.536491613E9</v>
      </c>
      <c r="AU533" s="538">
        <v>312.0</v>
      </c>
      <c r="AV533" s="538" t="s">
        <v>47</v>
      </c>
      <c r="AY533" s="538" t="s">
        <v>2444</v>
      </c>
      <c r="AZ533" s="538">
        <v>1.0</v>
      </c>
      <c r="BA533" s="538">
        <v>1.0</v>
      </c>
      <c r="BB533" s="538">
        <v>1.0</v>
      </c>
      <c r="BC533" s="538">
        <v>1.0</v>
      </c>
      <c r="BD533" s="538">
        <v>1.0</v>
      </c>
      <c r="BE533" s="538">
        <v>0.4</v>
      </c>
      <c r="BF533" s="538">
        <v>0.55</v>
      </c>
      <c r="BG533" s="538">
        <v>0.8</v>
      </c>
      <c r="BH533" s="538">
        <v>1.1</v>
      </c>
      <c r="BI533" s="538">
        <v>1.5</v>
      </c>
      <c r="BJ533" s="546"/>
      <c r="BK533" s="547"/>
      <c r="BL533" s="546"/>
    </row>
    <row r="534" ht="22.5" customHeight="1">
      <c r="A534" s="538">
        <v>533.0</v>
      </c>
      <c r="B534" s="538" t="s">
        <v>2440</v>
      </c>
      <c r="C534" s="538" t="s">
        <v>86</v>
      </c>
      <c r="D534" s="538" t="s">
        <v>1687</v>
      </c>
      <c r="E534" s="538" t="s">
        <v>363</v>
      </c>
      <c r="G534" s="538" t="s">
        <v>151</v>
      </c>
      <c r="H534" s="538" t="s">
        <v>250</v>
      </c>
      <c r="I534" s="538" t="s">
        <v>122</v>
      </c>
      <c r="K534" s="538" t="s">
        <v>2445</v>
      </c>
      <c r="L534" s="538" t="s">
        <v>2446</v>
      </c>
      <c r="M534" s="538" t="s">
        <v>673</v>
      </c>
      <c r="N534" s="538" t="s">
        <v>2447</v>
      </c>
      <c r="O534" s="538" t="b">
        <v>0</v>
      </c>
      <c r="P534" s="538" t="b">
        <v>1</v>
      </c>
      <c r="Q534" s="538" t="s">
        <v>73</v>
      </c>
      <c r="S534" s="538" t="s">
        <v>73</v>
      </c>
      <c r="U534" s="538" t="s">
        <v>73</v>
      </c>
      <c r="W534" s="538" t="s">
        <v>73</v>
      </c>
      <c r="Y534" s="538" t="s">
        <v>73</v>
      </c>
      <c r="AA534" s="538" t="s">
        <v>73</v>
      </c>
      <c r="AC534" s="538" t="s">
        <v>73</v>
      </c>
      <c r="AE534" s="538" t="s">
        <v>73</v>
      </c>
      <c r="AG534" s="538" t="s">
        <v>73</v>
      </c>
      <c r="AI534" s="538" t="s">
        <v>73</v>
      </c>
      <c r="AK534" s="538" t="s">
        <v>73</v>
      </c>
      <c r="AM534" s="538" t="s">
        <v>73</v>
      </c>
      <c r="AO534" s="538" t="s">
        <v>79</v>
      </c>
      <c r="AP534" s="538" t="s">
        <v>363</v>
      </c>
      <c r="AQ534" s="538" t="s">
        <v>79</v>
      </c>
      <c r="AR534" s="538" t="s">
        <v>363</v>
      </c>
      <c r="AS534" s="538">
        <v>2.927268716E9</v>
      </c>
      <c r="AT534" s="538">
        <v>1.536491613E9</v>
      </c>
      <c r="AU534" s="538">
        <v>312.0</v>
      </c>
      <c r="AV534" s="538" t="s">
        <v>47</v>
      </c>
      <c r="AZ534" s="538">
        <v>1.0</v>
      </c>
      <c r="BA534" s="538">
        <v>1.0</v>
      </c>
      <c r="BB534" s="538">
        <v>1.0</v>
      </c>
      <c r="BC534" s="538">
        <v>1.0</v>
      </c>
      <c r="BD534" s="538">
        <v>1.0</v>
      </c>
      <c r="BE534" s="538">
        <v>1.0</v>
      </c>
      <c r="BF534" s="538">
        <v>2.0</v>
      </c>
      <c r="BG534" s="538">
        <v>3.5</v>
      </c>
      <c r="BH534" s="538">
        <v>5.0</v>
      </c>
      <c r="BI534" s="538">
        <v>7.0</v>
      </c>
      <c r="BJ534" s="546"/>
      <c r="BL534" s="546"/>
    </row>
    <row r="535" ht="22.5" customHeight="1">
      <c r="A535" s="538">
        <v>534.0</v>
      </c>
      <c r="B535" s="538" t="s">
        <v>2448</v>
      </c>
      <c r="C535" s="538" t="s">
        <v>82</v>
      </c>
      <c r="D535" s="538" t="s">
        <v>1687</v>
      </c>
      <c r="E535" s="538" t="s">
        <v>223</v>
      </c>
      <c r="F535" s="538" t="s">
        <v>1688</v>
      </c>
      <c r="G535" s="538" t="s">
        <v>163</v>
      </c>
      <c r="H535" s="538" t="s">
        <v>250</v>
      </c>
      <c r="I535" s="538" t="s">
        <v>176</v>
      </c>
      <c r="J535" s="538" t="s">
        <v>395</v>
      </c>
      <c r="K535" s="538" t="s">
        <v>2449</v>
      </c>
      <c r="L535" s="538" t="s">
        <v>2450</v>
      </c>
      <c r="M535" s="538" t="s">
        <v>673</v>
      </c>
      <c r="N535" s="538" t="s">
        <v>2451</v>
      </c>
      <c r="O535" s="538" t="b">
        <v>0</v>
      </c>
      <c r="P535" s="538" t="b">
        <v>1</v>
      </c>
      <c r="Q535" s="538" t="s">
        <v>79</v>
      </c>
      <c r="R535" s="538" t="s">
        <v>228</v>
      </c>
      <c r="S535" s="538" t="s">
        <v>79</v>
      </c>
      <c r="T535" s="538" t="s">
        <v>228</v>
      </c>
      <c r="U535" s="538" t="s">
        <v>73</v>
      </c>
      <c r="W535" s="538" t="s">
        <v>73</v>
      </c>
      <c r="Y535" s="538" t="s">
        <v>79</v>
      </c>
      <c r="Z535" s="538" t="s">
        <v>228</v>
      </c>
      <c r="AA535" s="538" t="s">
        <v>73</v>
      </c>
      <c r="AC535" s="538" t="s">
        <v>79</v>
      </c>
      <c r="AD535" s="538" t="s">
        <v>377</v>
      </c>
      <c r="AE535" s="538" t="s">
        <v>79</v>
      </c>
      <c r="AF535" s="538" t="s">
        <v>377</v>
      </c>
      <c r="AG535" s="538" t="s">
        <v>79</v>
      </c>
      <c r="AH535" s="538" t="s">
        <v>228</v>
      </c>
      <c r="AI535" s="538" t="s">
        <v>79</v>
      </c>
      <c r="AJ535" s="538" t="s">
        <v>377</v>
      </c>
      <c r="AK535" s="538" t="s">
        <v>79</v>
      </c>
      <c r="AL535" s="538" t="s">
        <v>228</v>
      </c>
      <c r="AM535" s="538" t="s">
        <v>79</v>
      </c>
      <c r="AN535" s="538" t="s">
        <v>228</v>
      </c>
      <c r="AO535" s="538" t="s">
        <v>79</v>
      </c>
      <c r="AP535" s="538" t="s">
        <v>223</v>
      </c>
      <c r="AQ535" s="538" t="s">
        <v>79</v>
      </c>
      <c r="AR535" s="538" t="s">
        <v>223</v>
      </c>
      <c r="AS535" s="538">
        <v>1.70208867E9</v>
      </c>
      <c r="AT535" s="538">
        <v>3.339117238E9</v>
      </c>
      <c r="AU535" s="538">
        <v>313.0</v>
      </c>
      <c r="AV535" s="538" t="s">
        <v>47</v>
      </c>
      <c r="AZ535" s="538">
        <v>1.0</v>
      </c>
      <c r="BA535" s="538">
        <v>1.0</v>
      </c>
      <c r="BB535" s="538">
        <v>1.0</v>
      </c>
      <c r="BC535" s="538">
        <v>1.0</v>
      </c>
      <c r="BD535" s="538">
        <v>1.0</v>
      </c>
      <c r="BE535" s="538">
        <v>12.0</v>
      </c>
      <c r="BF535" s="538">
        <v>15.0</v>
      </c>
      <c r="BG535" s="538">
        <v>18.0</v>
      </c>
      <c r="BH535" s="538">
        <v>21.0</v>
      </c>
      <c r="BI535" s="538">
        <v>25.0</v>
      </c>
      <c r="BJ535" s="546"/>
      <c r="BL535" s="546"/>
    </row>
    <row r="536" ht="22.5" customHeight="1">
      <c r="A536" s="538">
        <v>535.0</v>
      </c>
      <c r="B536" s="538" t="s">
        <v>2448</v>
      </c>
      <c r="C536" s="538" t="s">
        <v>86</v>
      </c>
      <c r="D536" s="538" t="s">
        <v>1687</v>
      </c>
      <c r="E536" s="538" t="s">
        <v>334</v>
      </c>
      <c r="G536" s="538" t="s">
        <v>151</v>
      </c>
      <c r="H536" s="538" t="s">
        <v>250</v>
      </c>
      <c r="I536" s="538" t="s">
        <v>122</v>
      </c>
      <c r="J536" s="538" t="s">
        <v>417</v>
      </c>
      <c r="K536" s="538" t="s">
        <v>2452</v>
      </c>
      <c r="L536" s="538" t="s">
        <v>2453</v>
      </c>
      <c r="M536" s="538" t="s">
        <v>673</v>
      </c>
      <c r="N536" s="538" t="s">
        <v>848</v>
      </c>
      <c r="O536" s="538" t="b">
        <v>0</v>
      </c>
      <c r="P536" s="538" t="b">
        <v>1</v>
      </c>
      <c r="Q536" s="538" t="s">
        <v>79</v>
      </c>
      <c r="R536" s="538" t="s">
        <v>334</v>
      </c>
      <c r="S536" s="538" t="s">
        <v>79</v>
      </c>
      <c r="T536" s="538" t="s">
        <v>334</v>
      </c>
      <c r="U536" s="538" t="s">
        <v>79</v>
      </c>
      <c r="V536" s="538" t="s">
        <v>334</v>
      </c>
      <c r="W536" s="538" t="s">
        <v>79</v>
      </c>
      <c r="X536" s="538" t="s">
        <v>334</v>
      </c>
      <c r="Y536" s="538" t="s">
        <v>79</v>
      </c>
      <c r="Z536" s="538" t="s">
        <v>334</v>
      </c>
      <c r="AA536" s="538" t="s">
        <v>79</v>
      </c>
      <c r="AB536" s="538" t="s">
        <v>334</v>
      </c>
      <c r="AC536" s="538" t="s">
        <v>79</v>
      </c>
      <c r="AD536" s="538" t="s">
        <v>334</v>
      </c>
      <c r="AE536" s="538" t="s">
        <v>79</v>
      </c>
      <c r="AF536" s="538" t="s">
        <v>334</v>
      </c>
      <c r="AG536" s="538" t="s">
        <v>79</v>
      </c>
      <c r="AH536" s="538" t="s">
        <v>334</v>
      </c>
      <c r="AI536" s="538" t="s">
        <v>79</v>
      </c>
      <c r="AJ536" s="538" t="s">
        <v>334</v>
      </c>
      <c r="AK536" s="538" t="s">
        <v>79</v>
      </c>
      <c r="AL536" s="538" t="s">
        <v>334</v>
      </c>
      <c r="AM536" s="538" t="s">
        <v>79</v>
      </c>
      <c r="AN536" s="538" t="s">
        <v>334</v>
      </c>
      <c r="AO536" s="538" t="s">
        <v>79</v>
      </c>
      <c r="AP536" s="538" t="s">
        <v>334</v>
      </c>
      <c r="AQ536" s="538" t="s">
        <v>73</v>
      </c>
      <c r="AS536" s="538">
        <v>5.18597711E8</v>
      </c>
      <c r="AT536" s="538">
        <v>3.339117238E9</v>
      </c>
      <c r="AU536" s="538">
        <v>313.0</v>
      </c>
      <c r="AV536" s="538" t="s">
        <v>47</v>
      </c>
      <c r="AZ536" s="538">
        <v>1.0</v>
      </c>
      <c r="BA536" s="538">
        <v>1.0</v>
      </c>
      <c r="BB536" s="538">
        <v>1.0</v>
      </c>
      <c r="BC536" s="538">
        <v>1.0</v>
      </c>
      <c r="BD536" s="538">
        <v>1.0</v>
      </c>
      <c r="BE536" s="538">
        <v>0.05</v>
      </c>
      <c r="BF536" s="538">
        <v>0.1</v>
      </c>
      <c r="BG536" s="538">
        <v>0.15</v>
      </c>
      <c r="BH536" s="538">
        <v>0.2</v>
      </c>
      <c r="BI536" s="538">
        <v>0.3</v>
      </c>
      <c r="BJ536" s="546"/>
      <c r="BL536" s="546"/>
    </row>
    <row r="537" ht="22.5" customHeight="1">
      <c r="A537" s="538">
        <v>536.0</v>
      </c>
      <c r="B537" s="538" t="s">
        <v>2454</v>
      </c>
      <c r="C537" s="538" t="s">
        <v>82</v>
      </c>
      <c r="D537" s="538" t="s">
        <v>1687</v>
      </c>
      <c r="E537" s="538" t="s">
        <v>331</v>
      </c>
      <c r="G537" s="538" t="s">
        <v>151</v>
      </c>
      <c r="H537" s="538" t="s">
        <v>250</v>
      </c>
      <c r="I537" s="538" t="s">
        <v>122</v>
      </c>
      <c r="J537" s="538" t="s">
        <v>407</v>
      </c>
      <c r="K537" s="538" t="s">
        <v>2455</v>
      </c>
      <c r="L537" s="538" t="s">
        <v>2456</v>
      </c>
      <c r="M537" s="538" t="s">
        <v>673</v>
      </c>
      <c r="N537" s="538" t="s">
        <v>2457</v>
      </c>
      <c r="O537" s="538" t="b">
        <v>0</v>
      </c>
      <c r="P537" s="538" t="b">
        <v>1</v>
      </c>
      <c r="Q537" s="538" t="s">
        <v>79</v>
      </c>
      <c r="R537" s="538" t="s">
        <v>331</v>
      </c>
      <c r="S537" s="538" t="s">
        <v>79</v>
      </c>
      <c r="T537" s="538" t="s">
        <v>331</v>
      </c>
      <c r="U537" s="538" t="s">
        <v>79</v>
      </c>
      <c r="V537" s="538" t="s">
        <v>331</v>
      </c>
      <c r="W537" s="538" t="s">
        <v>79</v>
      </c>
      <c r="X537" s="538" t="s">
        <v>331</v>
      </c>
      <c r="Y537" s="538" t="s">
        <v>79</v>
      </c>
      <c r="Z537" s="538" t="s">
        <v>331</v>
      </c>
      <c r="AA537" s="538" t="s">
        <v>79</v>
      </c>
      <c r="AB537" s="538" t="s">
        <v>331</v>
      </c>
      <c r="AC537" s="538" t="s">
        <v>79</v>
      </c>
      <c r="AD537" s="538" t="s">
        <v>331</v>
      </c>
      <c r="AE537" s="538" t="s">
        <v>79</v>
      </c>
      <c r="AF537" s="538" t="s">
        <v>331</v>
      </c>
      <c r="AG537" s="538" t="s">
        <v>79</v>
      </c>
      <c r="AH537" s="538" t="s">
        <v>331</v>
      </c>
      <c r="AI537" s="538" t="s">
        <v>79</v>
      </c>
      <c r="AJ537" s="538" t="s">
        <v>331</v>
      </c>
      <c r="AK537" s="538" t="s">
        <v>79</v>
      </c>
      <c r="AL537" s="538" t="s">
        <v>331</v>
      </c>
      <c r="AM537" s="538" t="s">
        <v>79</v>
      </c>
      <c r="AN537" s="538" t="s">
        <v>331</v>
      </c>
      <c r="AO537" s="538" t="s">
        <v>79</v>
      </c>
      <c r="AP537" s="538" t="s">
        <v>331</v>
      </c>
      <c r="AQ537" s="538" t="s">
        <v>73</v>
      </c>
      <c r="AS537" s="538">
        <v>9.19105554E8</v>
      </c>
      <c r="AT537" s="538">
        <v>5.98126845E8</v>
      </c>
      <c r="AU537" s="538">
        <v>314.0</v>
      </c>
      <c r="AV537" s="538" t="s">
        <v>47</v>
      </c>
      <c r="AZ537" s="538">
        <v>1.0</v>
      </c>
      <c r="BA537" s="538">
        <v>1.0</v>
      </c>
      <c r="BB537" s="538">
        <v>1.0</v>
      </c>
      <c r="BC537" s="538">
        <v>1.0</v>
      </c>
      <c r="BD537" s="538">
        <v>1.0</v>
      </c>
      <c r="BE537" s="538">
        <v>10.0</v>
      </c>
      <c r="BF537" s="538">
        <v>20.0</v>
      </c>
      <c r="BG537" s="538">
        <v>35.0</v>
      </c>
      <c r="BH537" s="538">
        <v>50.0</v>
      </c>
      <c r="BI537" s="538">
        <v>75.0</v>
      </c>
      <c r="BJ537" s="546"/>
      <c r="BL537" s="546"/>
    </row>
    <row r="538" ht="22.5" customHeight="1">
      <c r="A538" s="538">
        <v>537.0</v>
      </c>
      <c r="B538" s="538" t="s">
        <v>2454</v>
      </c>
      <c r="C538" s="538" t="s">
        <v>86</v>
      </c>
      <c r="D538" s="538" t="s">
        <v>1687</v>
      </c>
      <c r="E538" s="538" t="s">
        <v>218</v>
      </c>
      <c r="G538" s="538" t="s">
        <v>151</v>
      </c>
      <c r="H538" s="538" t="s">
        <v>250</v>
      </c>
      <c r="I538" s="538" t="s">
        <v>122</v>
      </c>
      <c r="K538" s="538" t="s">
        <v>2458</v>
      </c>
      <c r="L538" s="538" t="s">
        <v>2459</v>
      </c>
      <c r="M538" s="538" t="s">
        <v>673</v>
      </c>
      <c r="N538" s="538" t="s">
        <v>2460</v>
      </c>
      <c r="O538" s="538" t="b">
        <v>0</v>
      </c>
      <c r="P538" s="538" t="b">
        <v>1</v>
      </c>
      <c r="Q538" s="538" t="s">
        <v>73</v>
      </c>
      <c r="S538" s="538" t="s">
        <v>73</v>
      </c>
      <c r="U538" s="538" t="s">
        <v>73</v>
      </c>
      <c r="W538" s="538" t="s">
        <v>73</v>
      </c>
      <c r="Y538" s="538" t="s">
        <v>73</v>
      </c>
      <c r="AA538" s="538" t="s">
        <v>73</v>
      </c>
      <c r="AC538" s="538" t="s">
        <v>73</v>
      </c>
      <c r="AE538" s="538" t="s">
        <v>73</v>
      </c>
      <c r="AG538" s="538" t="s">
        <v>73</v>
      </c>
      <c r="AI538" s="538" t="s">
        <v>73</v>
      </c>
      <c r="AK538" s="538" t="s">
        <v>73</v>
      </c>
      <c r="AM538" s="538" t="s">
        <v>73</v>
      </c>
      <c r="AO538" s="538" t="s">
        <v>79</v>
      </c>
      <c r="AP538" s="538" t="s">
        <v>218</v>
      </c>
      <c r="AQ538" s="538" t="s">
        <v>79</v>
      </c>
      <c r="AR538" s="538" t="s">
        <v>218</v>
      </c>
      <c r="AS538" s="538">
        <v>4.031608842E9</v>
      </c>
      <c r="AT538" s="538">
        <v>5.98126845E8</v>
      </c>
      <c r="AU538" s="538">
        <v>314.0</v>
      </c>
      <c r="AV538" s="538" t="s">
        <v>47</v>
      </c>
      <c r="AZ538" s="538">
        <v>1.0</v>
      </c>
      <c r="BA538" s="538">
        <v>1.0</v>
      </c>
      <c r="BB538" s="538">
        <v>1.0</v>
      </c>
      <c r="BC538" s="538">
        <v>1.0</v>
      </c>
      <c r="BD538" s="538">
        <v>1.0</v>
      </c>
      <c r="BE538" s="538">
        <v>7.0</v>
      </c>
      <c r="BF538" s="538">
        <v>10.0</v>
      </c>
      <c r="BG538" s="538">
        <v>15.0</v>
      </c>
      <c r="BH538" s="538">
        <v>21.0</v>
      </c>
      <c r="BI538" s="538">
        <v>30.0</v>
      </c>
      <c r="BJ538" s="546"/>
      <c r="BL538" s="546"/>
    </row>
    <row r="539" ht="22.5" customHeight="1">
      <c r="A539" s="538">
        <v>538.0</v>
      </c>
      <c r="B539" s="538" t="s">
        <v>2461</v>
      </c>
      <c r="C539" s="538" t="s">
        <v>82</v>
      </c>
      <c r="D539" s="538" t="s">
        <v>1687</v>
      </c>
      <c r="E539" s="538" t="s">
        <v>325</v>
      </c>
      <c r="F539" s="538" t="s">
        <v>233</v>
      </c>
      <c r="G539" s="538" t="s">
        <v>163</v>
      </c>
      <c r="H539" s="538" t="s">
        <v>250</v>
      </c>
      <c r="I539" s="538" t="s">
        <v>155</v>
      </c>
      <c r="J539" s="538" t="s">
        <v>272</v>
      </c>
      <c r="K539" s="538" t="s">
        <v>2462</v>
      </c>
      <c r="L539" s="538" t="s">
        <v>2463</v>
      </c>
      <c r="M539" s="538" t="s">
        <v>673</v>
      </c>
      <c r="N539" s="538" t="s">
        <v>2464</v>
      </c>
      <c r="O539" s="538" t="b">
        <v>0</v>
      </c>
      <c r="P539" s="538" t="b">
        <v>1</v>
      </c>
      <c r="Q539" s="538" t="s">
        <v>79</v>
      </c>
      <c r="R539" s="538" t="s">
        <v>233</v>
      </c>
      <c r="S539" s="538" t="s">
        <v>79</v>
      </c>
      <c r="T539" s="538" t="s">
        <v>233</v>
      </c>
      <c r="U539" s="538" t="s">
        <v>75</v>
      </c>
      <c r="V539" s="538" t="s">
        <v>2444</v>
      </c>
      <c r="W539" s="538" t="s">
        <v>75</v>
      </c>
      <c r="X539" s="538" t="s">
        <v>2444</v>
      </c>
      <c r="Y539" s="538" t="s">
        <v>75</v>
      </c>
      <c r="Z539" s="538" t="s">
        <v>2444</v>
      </c>
      <c r="AA539" s="538" t="s">
        <v>75</v>
      </c>
      <c r="AB539" s="538" t="s">
        <v>2444</v>
      </c>
      <c r="AC539" s="538" t="s">
        <v>75</v>
      </c>
      <c r="AD539" s="538" t="s">
        <v>2444</v>
      </c>
      <c r="AE539" s="538" t="s">
        <v>75</v>
      </c>
      <c r="AF539" s="538" t="s">
        <v>2444</v>
      </c>
      <c r="AG539" s="538" t="s">
        <v>75</v>
      </c>
      <c r="AH539" s="538" t="s">
        <v>2444</v>
      </c>
      <c r="AI539" s="538" t="s">
        <v>79</v>
      </c>
      <c r="AJ539" s="538" t="s">
        <v>233</v>
      </c>
      <c r="AK539" s="538" t="s">
        <v>79</v>
      </c>
      <c r="AL539" s="538" t="s">
        <v>233</v>
      </c>
      <c r="AM539" s="538" t="s">
        <v>79</v>
      </c>
      <c r="AN539" s="538" t="s">
        <v>233</v>
      </c>
      <c r="AO539" s="538" t="s">
        <v>79</v>
      </c>
      <c r="AP539" s="538" t="s">
        <v>325</v>
      </c>
      <c r="AQ539" s="538" t="s">
        <v>79</v>
      </c>
      <c r="AR539" s="538" t="s">
        <v>325</v>
      </c>
      <c r="AS539" s="538">
        <v>1.1250125E9</v>
      </c>
      <c r="AT539" s="538">
        <v>9.01708334E8</v>
      </c>
      <c r="AU539" s="538">
        <v>315.0</v>
      </c>
      <c r="AV539" s="538" t="s">
        <v>47</v>
      </c>
      <c r="AY539" s="538" t="s">
        <v>2444</v>
      </c>
      <c r="AZ539" s="538">
        <v>1.0</v>
      </c>
      <c r="BA539" s="538">
        <v>1.0</v>
      </c>
      <c r="BB539" s="538">
        <v>1.0</v>
      </c>
      <c r="BC539" s="538">
        <v>1.0</v>
      </c>
      <c r="BD539" s="538">
        <v>1.0</v>
      </c>
      <c r="BE539" s="538">
        <v>0.4</v>
      </c>
      <c r="BF539" s="538">
        <v>0.6</v>
      </c>
      <c r="BG539" s="538">
        <v>0.9</v>
      </c>
      <c r="BH539" s="538">
        <v>1.3</v>
      </c>
      <c r="BI539" s="538">
        <v>2.0</v>
      </c>
      <c r="BJ539" s="546"/>
      <c r="BL539" s="546"/>
    </row>
    <row r="540" ht="22.5" customHeight="1">
      <c r="A540" s="538">
        <v>539.0</v>
      </c>
      <c r="B540" s="538" t="s">
        <v>2461</v>
      </c>
      <c r="C540" s="538" t="s">
        <v>86</v>
      </c>
      <c r="D540" s="538" t="s">
        <v>1687</v>
      </c>
      <c r="E540" s="538" t="s">
        <v>366</v>
      </c>
      <c r="F540" s="538" t="s">
        <v>1688</v>
      </c>
      <c r="G540" s="538" t="s">
        <v>239</v>
      </c>
      <c r="H540" s="538" t="s">
        <v>250</v>
      </c>
      <c r="I540" s="538" t="s">
        <v>122</v>
      </c>
      <c r="K540" s="538" t="s">
        <v>2465</v>
      </c>
      <c r="L540" s="538" t="s">
        <v>2353</v>
      </c>
      <c r="M540" s="538" t="s">
        <v>673</v>
      </c>
      <c r="N540" s="538" t="s">
        <v>2466</v>
      </c>
      <c r="O540" s="538" t="b">
        <v>0</v>
      </c>
      <c r="P540" s="538" t="b">
        <v>1</v>
      </c>
      <c r="Q540" s="538" t="s">
        <v>79</v>
      </c>
      <c r="R540" s="538" t="s">
        <v>228</v>
      </c>
      <c r="S540" s="538" t="s">
        <v>79</v>
      </c>
      <c r="T540" s="538" t="s">
        <v>228</v>
      </c>
      <c r="U540" s="538" t="s">
        <v>73</v>
      </c>
      <c r="W540" s="538" t="s">
        <v>73</v>
      </c>
      <c r="Y540" s="538" t="s">
        <v>79</v>
      </c>
      <c r="Z540" s="538" t="s">
        <v>228</v>
      </c>
      <c r="AA540" s="538" t="s">
        <v>73</v>
      </c>
      <c r="AC540" s="538" t="s">
        <v>79</v>
      </c>
      <c r="AD540" s="538" t="s">
        <v>377</v>
      </c>
      <c r="AE540" s="538" t="s">
        <v>79</v>
      </c>
      <c r="AF540" s="538" t="s">
        <v>377</v>
      </c>
      <c r="AG540" s="538" t="s">
        <v>79</v>
      </c>
      <c r="AH540" s="538" t="s">
        <v>228</v>
      </c>
      <c r="AI540" s="538" t="s">
        <v>79</v>
      </c>
      <c r="AJ540" s="538" t="s">
        <v>377</v>
      </c>
      <c r="AK540" s="538" t="s">
        <v>79</v>
      </c>
      <c r="AL540" s="538" t="s">
        <v>228</v>
      </c>
      <c r="AM540" s="538" t="s">
        <v>79</v>
      </c>
      <c r="AN540" s="538" t="s">
        <v>228</v>
      </c>
      <c r="AO540" s="538" t="s">
        <v>79</v>
      </c>
      <c r="AP540" s="538" t="s">
        <v>366</v>
      </c>
      <c r="AQ540" s="538" t="s">
        <v>79</v>
      </c>
      <c r="AR540" s="538" t="s">
        <v>366</v>
      </c>
      <c r="AS540" s="538">
        <v>1.513489186E9</v>
      </c>
      <c r="AT540" s="538">
        <v>9.01708334E8</v>
      </c>
      <c r="AU540" s="538">
        <v>315.0</v>
      </c>
      <c r="AV540" s="538" t="s">
        <v>47</v>
      </c>
      <c r="AZ540" s="538">
        <v>1.0</v>
      </c>
      <c r="BA540" s="538">
        <v>1.0</v>
      </c>
      <c r="BB540" s="538">
        <v>1.0</v>
      </c>
      <c r="BC540" s="538">
        <v>1.0</v>
      </c>
      <c r="BD540" s="538">
        <v>1.0</v>
      </c>
      <c r="BE540" s="538">
        <v>0.02</v>
      </c>
      <c r="BF540" s="538">
        <v>0.03</v>
      </c>
      <c r="BG540" s="538">
        <v>0.05</v>
      </c>
      <c r="BH540" s="538">
        <v>0.07</v>
      </c>
      <c r="BI540" s="538">
        <v>0.1</v>
      </c>
      <c r="BJ540" s="546"/>
      <c r="BL540" s="546"/>
    </row>
    <row r="541" ht="22.5" customHeight="1">
      <c r="A541" s="538">
        <v>540.0</v>
      </c>
      <c r="B541" s="538" t="s">
        <v>2467</v>
      </c>
      <c r="C541" s="538" t="s">
        <v>82</v>
      </c>
      <c r="D541" s="538" t="s">
        <v>1687</v>
      </c>
      <c r="E541" s="538" t="s">
        <v>298</v>
      </c>
      <c r="G541" s="538" t="s">
        <v>151</v>
      </c>
      <c r="H541" s="538" t="s">
        <v>250</v>
      </c>
      <c r="I541" s="538" t="s">
        <v>122</v>
      </c>
      <c r="K541" s="538" t="s">
        <v>2468</v>
      </c>
      <c r="L541" s="538" t="s">
        <v>2469</v>
      </c>
      <c r="M541" s="538" t="s">
        <v>673</v>
      </c>
      <c r="N541" s="538" t="s">
        <v>2470</v>
      </c>
      <c r="O541" s="538" t="b">
        <v>0</v>
      </c>
      <c r="P541" s="538" t="b">
        <v>1</v>
      </c>
      <c r="Q541" s="538" t="s">
        <v>79</v>
      </c>
      <c r="R541" s="538" t="s">
        <v>298</v>
      </c>
      <c r="S541" s="538" t="s">
        <v>79</v>
      </c>
      <c r="T541" s="538" t="s">
        <v>298</v>
      </c>
      <c r="U541" s="538" t="s">
        <v>75</v>
      </c>
      <c r="V541" s="538" t="s">
        <v>1878</v>
      </c>
      <c r="W541" s="538" t="s">
        <v>79</v>
      </c>
      <c r="X541" s="538" t="s">
        <v>298</v>
      </c>
      <c r="Y541" s="538" t="s">
        <v>79</v>
      </c>
      <c r="Z541" s="538" t="s">
        <v>298</v>
      </c>
      <c r="AA541" s="538" t="s">
        <v>79</v>
      </c>
      <c r="AB541" s="538" t="s">
        <v>298</v>
      </c>
      <c r="AC541" s="538" t="s">
        <v>75</v>
      </c>
      <c r="AD541" s="538" t="s">
        <v>1878</v>
      </c>
      <c r="AE541" s="538" t="s">
        <v>75</v>
      </c>
      <c r="AF541" s="538" t="s">
        <v>1878</v>
      </c>
      <c r="AG541" s="538" t="s">
        <v>79</v>
      </c>
      <c r="AH541" s="538" t="s">
        <v>298</v>
      </c>
      <c r="AI541" s="538" t="s">
        <v>79</v>
      </c>
      <c r="AJ541" s="538" t="s">
        <v>298</v>
      </c>
      <c r="AK541" s="538" t="s">
        <v>79</v>
      </c>
      <c r="AL541" s="538" t="s">
        <v>298</v>
      </c>
      <c r="AM541" s="538" t="s">
        <v>79</v>
      </c>
      <c r="AN541" s="538" t="s">
        <v>298</v>
      </c>
      <c r="AO541" s="538" t="s">
        <v>73</v>
      </c>
      <c r="AQ541" s="538" t="s">
        <v>79</v>
      </c>
      <c r="AR541" s="538" t="s">
        <v>298</v>
      </c>
      <c r="AS541" s="538">
        <v>1.228564648E9</v>
      </c>
      <c r="AT541" s="538">
        <v>3.258596709E9</v>
      </c>
      <c r="AU541" s="538">
        <v>316.0</v>
      </c>
      <c r="AV541" s="538" t="s">
        <v>46</v>
      </c>
      <c r="AY541" s="538" t="s">
        <v>298</v>
      </c>
      <c r="AZ541" s="538">
        <v>1.0</v>
      </c>
      <c r="BA541" s="538">
        <v>1.0</v>
      </c>
      <c r="BB541" s="538">
        <v>1.0</v>
      </c>
      <c r="BC541" s="538">
        <v>1.0</v>
      </c>
      <c r="BD541" s="538">
        <v>1.0</v>
      </c>
      <c r="BE541" s="538">
        <v>0.75</v>
      </c>
      <c r="BF541" s="538">
        <v>1.25</v>
      </c>
      <c r="BG541" s="538">
        <v>2.0</v>
      </c>
      <c r="BH541" s="538">
        <v>2.75</v>
      </c>
      <c r="BI541" s="538">
        <v>4.5</v>
      </c>
      <c r="BJ541" s="546"/>
      <c r="BK541" s="547"/>
      <c r="BL541" s="546"/>
    </row>
    <row r="542" ht="22.5" customHeight="1">
      <c r="A542" s="538">
        <v>541.0</v>
      </c>
      <c r="B542" s="538" t="s">
        <v>2467</v>
      </c>
      <c r="C542" s="538" t="s">
        <v>86</v>
      </c>
      <c r="D542" s="538" t="s">
        <v>1687</v>
      </c>
      <c r="E542" s="538" t="s">
        <v>310</v>
      </c>
      <c r="G542" s="538" t="s">
        <v>151</v>
      </c>
      <c r="H542" s="538" t="s">
        <v>250</v>
      </c>
      <c r="I542" s="538" t="s">
        <v>122</v>
      </c>
      <c r="K542" s="538" t="s">
        <v>2471</v>
      </c>
      <c r="L542" s="538" t="s">
        <v>2472</v>
      </c>
      <c r="M542" s="538" t="s">
        <v>673</v>
      </c>
      <c r="N542" s="538" t="s">
        <v>2426</v>
      </c>
      <c r="O542" s="538" t="b">
        <v>0</v>
      </c>
      <c r="P542" s="538" t="b">
        <v>1</v>
      </c>
      <c r="Q542" s="538" t="s">
        <v>73</v>
      </c>
      <c r="S542" s="538" t="s">
        <v>73</v>
      </c>
      <c r="U542" s="538" t="s">
        <v>73</v>
      </c>
      <c r="W542" s="538" t="s">
        <v>73</v>
      </c>
      <c r="Y542" s="538" t="s">
        <v>73</v>
      </c>
      <c r="AA542" s="538" t="s">
        <v>73</v>
      </c>
      <c r="AC542" s="538" t="s">
        <v>73</v>
      </c>
      <c r="AE542" s="538" t="s">
        <v>73</v>
      </c>
      <c r="AG542" s="538" t="s">
        <v>73</v>
      </c>
      <c r="AI542" s="538" t="s">
        <v>73</v>
      </c>
      <c r="AK542" s="538" t="s">
        <v>73</v>
      </c>
      <c r="AM542" s="538" t="s">
        <v>73</v>
      </c>
      <c r="AO542" s="538" t="s">
        <v>79</v>
      </c>
      <c r="AP542" s="538" t="s">
        <v>310</v>
      </c>
      <c r="AQ542" s="538" t="s">
        <v>79</v>
      </c>
      <c r="AR542" s="538" t="s">
        <v>310</v>
      </c>
      <c r="AS542" s="538">
        <v>1.316211407E9</v>
      </c>
      <c r="AT542" s="538">
        <v>3.258596709E9</v>
      </c>
      <c r="AU542" s="538">
        <v>316.0</v>
      </c>
      <c r="AV542" s="538" t="s">
        <v>46</v>
      </c>
      <c r="AZ542" s="538">
        <v>1.0</v>
      </c>
      <c r="BA542" s="538">
        <v>1.0</v>
      </c>
      <c r="BB542" s="538">
        <v>1.0</v>
      </c>
      <c r="BC542" s="538">
        <v>1.0</v>
      </c>
      <c r="BD542" s="538">
        <v>1.0</v>
      </c>
      <c r="BE542" s="538">
        <v>1.0</v>
      </c>
      <c r="BF542" s="538">
        <v>1.5</v>
      </c>
      <c r="BG542" s="538">
        <v>2.0</v>
      </c>
      <c r="BH542" s="538">
        <v>3.0</v>
      </c>
      <c r="BI542" s="538">
        <v>5.0</v>
      </c>
      <c r="BJ542" s="546"/>
      <c r="BL542" s="546"/>
    </row>
    <row r="543" ht="22.5" customHeight="1">
      <c r="A543" s="538">
        <v>542.0</v>
      </c>
      <c r="B543" s="538" t="s">
        <v>2473</v>
      </c>
      <c r="C543" s="538" t="s">
        <v>82</v>
      </c>
      <c r="D543" s="538" t="s">
        <v>2474</v>
      </c>
      <c r="E543" s="538" t="s">
        <v>369</v>
      </c>
      <c r="F543" s="538" t="s">
        <v>1109</v>
      </c>
      <c r="G543" s="538" t="s">
        <v>163</v>
      </c>
      <c r="H543" s="538" t="s">
        <v>153</v>
      </c>
      <c r="I543" s="538" t="s">
        <v>189</v>
      </c>
      <c r="J543" s="538" t="s">
        <v>367</v>
      </c>
      <c r="K543" s="538" t="s">
        <v>2475</v>
      </c>
      <c r="L543" s="538" t="s">
        <v>2476</v>
      </c>
      <c r="M543" s="538" t="s">
        <v>673</v>
      </c>
      <c r="N543" s="538" t="s">
        <v>1053</v>
      </c>
      <c r="O543" s="538" t="b">
        <v>0</v>
      </c>
      <c r="P543" s="538" t="b">
        <v>1</v>
      </c>
      <c r="Q543" s="538" t="s">
        <v>79</v>
      </c>
      <c r="R543" s="538" t="s">
        <v>253</v>
      </c>
      <c r="S543" s="538" t="s">
        <v>73</v>
      </c>
      <c r="U543" s="538" t="s">
        <v>79</v>
      </c>
      <c r="V543" s="538" t="s">
        <v>253</v>
      </c>
      <c r="W543" s="538" t="s">
        <v>79</v>
      </c>
      <c r="X543" s="538" t="s">
        <v>253</v>
      </c>
      <c r="Y543" s="538" t="s">
        <v>79</v>
      </c>
      <c r="Z543" s="538" t="s">
        <v>253</v>
      </c>
      <c r="AA543" s="538" t="s">
        <v>79</v>
      </c>
      <c r="AB543" s="538" t="s">
        <v>253</v>
      </c>
      <c r="AC543" s="538" t="s">
        <v>79</v>
      </c>
      <c r="AD543" s="538" t="s">
        <v>253</v>
      </c>
      <c r="AE543" s="538" t="s">
        <v>79</v>
      </c>
      <c r="AF543" s="538" t="s">
        <v>253</v>
      </c>
      <c r="AG543" s="538" t="s">
        <v>79</v>
      </c>
      <c r="AH543" s="538" t="s">
        <v>380</v>
      </c>
      <c r="AI543" s="538" t="s">
        <v>79</v>
      </c>
      <c r="AJ543" s="538" t="s">
        <v>253</v>
      </c>
      <c r="AK543" s="538" t="s">
        <v>79</v>
      </c>
      <c r="AL543" s="538" t="s">
        <v>253</v>
      </c>
      <c r="AM543" s="538" t="s">
        <v>79</v>
      </c>
      <c r="AN543" s="538" t="s">
        <v>253</v>
      </c>
      <c r="AO543" s="538" t="s">
        <v>79</v>
      </c>
      <c r="AP543" s="538" t="s">
        <v>369</v>
      </c>
      <c r="AQ543" s="538" t="s">
        <v>79</v>
      </c>
      <c r="AR543" s="538" t="s">
        <v>369</v>
      </c>
      <c r="AS543" s="538">
        <v>2.883874665E9</v>
      </c>
      <c r="AT543" s="538">
        <v>2.686255925E9</v>
      </c>
      <c r="AU543" s="538">
        <v>317.0</v>
      </c>
      <c r="AV543" s="538" t="s">
        <v>47</v>
      </c>
      <c r="AZ543" s="538">
        <v>1.0</v>
      </c>
      <c r="BA543" s="538">
        <v>1.0</v>
      </c>
      <c r="BB543" s="538">
        <v>1.0</v>
      </c>
      <c r="BC543" s="538">
        <v>1.0</v>
      </c>
      <c r="BD543" s="538">
        <v>1.0</v>
      </c>
      <c r="BE543" s="538">
        <v>0.6</v>
      </c>
      <c r="BF543" s="538">
        <v>0.7</v>
      </c>
      <c r="BG543" s="538">
        <v>0.8</v>
      </c>
      <c r="BH543" s="538">
        <v>0.9</v>
      </c>
      <c r="BI543" s="538">
        <v>1.0</v>
      </c>
      <c r="BJ543" s="546"/>
      <c r="BL543" s="546"/>
    </row>
    <row r="544" ht="22.5" customHeight="1">
      <c r="A544" s="538">
        <v>543.0</v>
      </c>
      <c r="B544" s="538" t="s">
        <v>2473</v>
      </c>
      <c r="C544" s="538" t="s">
        <v>86</v>
      </c>
      <c r="D544" s="538" t="s">
        <v>2474</v>
      </c>
      <c r="E544" s="538" t="s">
        <v>295</v>
      </c>
      <c r="F544" s="538" t="s">
        <v>248</v>
      </c>
      <c r="G544" s="538" t="s">
        <v>163</v>
      </c>
      <c r="H544" s="538" t="s">
        <v>153</v>
      </c>
      <c r="I544" s="538" t="s">
        <v>201</v>
      </c>
      <c r="K544" s="538" t="s">
        <v>2477</v>
      </c>
      <c r="L544" s="538" t="s">
        <v>2478</v>
      </c>
      <c r="M544" s="538" t="s">
        <v>673</v>
      </c>
      <c r="N544" s="538" t="s">
        <v>2479</v>
      </c>
      <c r="O544" s="538" t="b">
        <v>0</v>
      </c>
      <c r="P544" s="538" t="b">
        <v>1</v>
      </c>
      <c r="Q544" s="538" t="s">
        <v>73</v>
      </c>
      <c r="S544" s="538" t="s">
        <v>73</v>
      </c>
      <c r="U544" s="538" t="s">
        <v>79</v>
      </c>
      <c r="V544" s="538" t="s">
        <v>248</v>
      </c>
      <c r="W544" s="538" t="s">
        <v>79</v>
      </c>
      <c r="X544" s="538" t="s">
        <v>248</v>
      </c>
      <c r="Y544" s="538" t="s">
        <v>79</v>
      </c>
      <c r="Z544" s="538" t="s">
        <v>248</v>
      </c>
      <c r="AA544" s="538" t="s">
        <v>79</v>
      </c>
      <c r="AB544" s="538" t="s">
        <v>248</v>
      </c>
      <c r="AC544" s="538" t="s">
        <v>79</v>
      </c>
      <c r="AD544" s="538" t="s">
        <v>248</v>
      </c>
      <c r="AE544" s="538" t="s">
        <v>79</v>
      </c>
      <c r="AF544" s="538" t="s">
        <v>248</v>
      </c>
      <c r="AG544" s="538" t="s">
        <v>79</v>
      </c>
      <c r="AH544" s="538" t="s">
        <v>248</v>
      </c>
      <c r="AI544" s="538" t="s">
        <v>79</v>
      </c>
      <c r="AJ544" s="538" t="s">
        <v>248</v>
      </c>
      <c r="AK544" s="538" t="s">
        <v>79</v>
      </c>
      <c r="AL544" s="538" t="s">
        <v>248</v>
      </c>
      <c r="AM544" s="538" t="s">
        <v>79</v>
      </c>
      <c r="AN544" s="538" t="s">
        <v>248</v>
      </c>
      <c r="AO544" s="538" t="s">
        <v>79</v>
      </c>
      <c r="AP544" s="538" t="s">
        <v>295</v>
      </c>
      <c r="AQ544" s="538" t="s">
        <v>79</v>
      </c>
      <c r="AR544" s="538" t="s">
        <v>295</v>
      </c>
      <c r="AS544" s="538">
        <v>2.429471841E9</v>
      </c>
      <c r="AT544" s="538">
        <v>2.686255925E9</v>
      </c>
      <c r="AU544" s="538">
        <v>317.0</v>
      </c>
      <c r="AV544" s="538" t="s">
        <v>47</v>
      </c>
      <c r="AZ544" s="538">
        <v>1.0</v>
      </c>
      <c r="BA544" s="538">
        <v>1.0</v>
      </c>
      <c r="BB544" s="538">
        <v>1.0</v>
      </c>
      <c r="BC544" s="538">
        <v>1.0</v>
      </c>
      <c r="BD544" s="538">
        <v>1.0</v>
      </c>
      <c r="BE544" s="538">
        <v>1.0</v>
      </c>
      <c r="BF544" s="538">
        <v>1.5</v>
      </c>
      <c r="BG544" s="538">
        <v>2.0</v>
      </c>
      <c r="BH544" s="538">
        <v>2.5</v>
      </c>
      <c r="BI544" s="538">
        <v>3.5</v>
      </c>
      <c r="BJ544" s="546"/>
      <c r="BK544" s="547"/>
      <c r="BL544" s="546"/>
    </row>
    <row r="545" ht="22.5" customHeight="1">
      <c r="A545" s="538">
        <v>544.0</v>
      </c>
      <c r="B545" s="538" t="s">
        <v>2480</v>
      </c>
      <c r="C545" s="538" t="s">
        <v>82</v>
      </c>
      <c r="D545" s="538" t="s">
        <v>2474</v>
      </c>
      <c r="E545" s="538" t="s">
        <v>112</v>
      </c>
      <c r="F545" s="538" t="s">
        <v>1109</v>
      </c>
      <c r="G545" s="538" t="s">
        <v>163</v>
      </c>
      <c r="H545" s="538" t="s">
        <v>250</v>
      </c>
      <c r="I545" s="538" t="s">
        <v>122</v>
      </c>
      <c r="K545" s="538" t="s">
        <v>2481</v>
      </c>
      <c r="L545" s="538" t="s">
        <v>2482</v>
      </c>
      <c r="M545" s="538" t="s">
        <v>673</v>
      </c>
      <c r="N545" s="538" t="s">
        <v>2483</v>
      </c>
      <c r="O545" s="538" t="b">
        <v>0</v>
      </c>
      <c r="P545" s="538" t="b">
        <v>1</v>
      </c>
      <c r="Q545" s="538" t="s">
        <v>79</v>
      </c>
      <c r="R545" s="538" t="s">
        <v>253</v>
      </c>
      <c r="S545" s="538" t="s">
        <v>73</v>
      </c>
      <c r="U545" s="538" t="s">
        <v>79</v>
      </c>
      <c r="V545" s="538" t="s">
        <v>253</v>
      </c>
      <c r="W545" s="538" t="s">
        <v>79</v>
      </c>
      <c r="X545" s="538" t="s">
        <v>253</v>
      </c>
      <c r="Y545" s="538" t="s">
        <v>79</v>
      </c>
      <c r="Z545" s="538" t="s">
        <v>253</v>
      </c>
      <c r="AA545" s="538" t="s">
        <v>79</v>
      </c>
      <c r="AB545" s="538" t="s">
        <v>253</v>
      </c>
      <c r="AC545" s="538" t="s">
        <v>79</v>
      </c>
      <c r="AD545" s="538" t="s">
        <v>253</v>
      </c>
      <c r="AE545" s="538" t="s">
        <v>79</v>
      </c>
      <c r="AF545" s="538" t="s">
        <v>253</v>
      </c>
      <c r="AG545" s="538" t="s">
        <v>79</v>
      </c>
      <c r="AH545" s="538" t="s">
        <v>380</v>
      </c>
      <c r="AI545" s="538" t="s">
        <v>79</v>
      </c>
      <c r="AJ545" s="538" t="s">
        <v>253</v>
      </c>
      <c r="AK545" s="538" t="s">
        <v>79</v>
      </c>
      <c r="AL545" s="538" t="s">
        <v>253</v>
      </c>
      <c r="AM545" s="538" t="s">
        <v>79</v>
      </c>
      <c r="AN545" s="538" t="s">
        <v>253</v>
      </c>
      <c r="AO545" s="538" t="s">
        <v>79</v>
      </c>
      <c r="AP545" s="538" t="s">
        <v>112</v>
      </c>
      <c r="AQ545" s="538" t="s">
        <v>79</v>
      </c>
      <c r="AR545" s="538" t="s">
        <v>112</v>
      </c>
      <c r="AS545" s="538">
        <v>2.857736688E9</v>
      </c>
      <c r="AT545" s="538">
        <v>2.033443887E9</v>
      </c>
      <c r="AU545" s="538">
        <v>318.0</v>
      </c>
      <c r="AV545" s="538" t="s">
        <v>47</v>
      </c>
      <c r="AZ545" s="538">
        <v>1.0</v>
      </c>
      <c r="BA545" s="538">
        <v>1.0</v>
      </c>
      <c r="BB545" s="538">
        <v>1.0</v>
      </c>
      <c r="BC545" s="538">
        <v>1.0</v>
      </c>
      <c r="BD545" s="538">
        <v>1.0</v>
      </c>
      <c r="BE545" s="538">
        <v>0.6</v>
      </c>
      <c r="BF545" s="538">
        <v>0.8</v>
      </c>
      <c r="BG545" s="538">
        <v>1.2</v>
      </c>
      <c r="BH545" s="538">
        <v>1.8</v>
      </c>
      <c r="BI545" s="538">
        <v>3.0</v>
      </c>
      <c r="BJ545" s="546"/>
      <c r="BL545" s="546"/>
    </row>
    <row r="546" ht="22.5" customHeight="1">
      <c r="A546" s="538">
        <v>545.0</v>
      </c>
      <c r="B546" s="538" t="s">
        <v>2480</v>
      </c>
      <c r="C546" s="538" t="s">
        <v>86</v>
      </c>
      <c r="D546" s="538" t="s">
        <v>2474</v>
      </c>
      <c r="E546" s="538" t="s">
        <v>292</v>
      </c>
      <c r="F546" s="538" t="s">
        <v>248</v>
      </c>
      <c r="G546" s="538" t="s">
        <v>163</v>
      </c>
      <c r="H546" s="538" t="s">
        <v>153</v>
      </c>
      <c r="I546" s="538" t="s">
        <v>201</v>
      </c>
      <c r="J546" s="538" t="s">
        <v>384</v>
      </c>
      <c r="K546" s="538" t="s">
        <v>2484</v>
      </c>
      <c r="L546" s="538" t="s">
        <v>2485</v>
      </c>
      <c r="M546" s="538" t="s">
        <v>673</v>
      </c>
      <c r="N546" s="538" t="s">
        <v>1881</v>
      </c>
      <c r="O546" s="538" t="b">
        <v>0</v>
      </c>
      <c r="P546" s="538" t="b">
        <v>1</v>
      </c>
      <c r="Q546" s="538" t="s">
        <v>73</v>
      </c>
      <c r="S546" s="538" t="s">
        <v>73</v>
      </c>
      <c r="U546" s="538" t="s">
        <v>79</v>
      </c>
      <c r="V546" s="538" t="s">
        <v>248</v>
      </c>
      <c r="W546" s="538" t="s">
        <v>79</v>
      </c>
      <c r="X546" s="538" t="s">
        <v>248</v>
      </c>
      <c r="Y546" s="538" t="s">
        <v>79</v>
      </c>
      <c r="Z546" s="538" t="s">
        <v>248</v>
      </c>
      <c r="AA546" s="538" t="s">
        <v>79</v>
      </c>
      <c r="AB546" s="538" t="s">
        <v>248</v>
      </c>
      <c r="AC546" s="538" t="s">
        <v>79</v>
      </c>
      <c r="AD546" s="538" t="s">
        <v>248</v>
      </c>
      <c r="AE546" s="538" t="s">
        <v>79</v>
      </c>
      <c r="AF546" s="538" t="s">
        <v>248</v>
      </c>
      <c r="AG546" s="538" t="s">
        <v>79</v>
      </c>
      <c r="AH546" s="538" t="s">
        <v>248</v>
      </c>
      <c r="AI546" s="538" t="s">
        <v>79</v>
      </c>
      <c r="AJ546" s="538" t="s">
        <v>248</v>
      </c>
      <c r="AK546" s="538" t="s">
        <v>79</v>
      </c>
      <c r="AL546" s="538" t="s">
        <v>248</v>
      </c>
      <c r="AM546" s="538" t="s">
        <v>79</v>
      </c>
      <c r="AN546" s="538" t="s">
        <v>248</v>
      </c>
      <c r="AO546" s="538" t="s">
        <v>79</v>
      </c>
      <c r="AP546" s="538" t="s">
        <v>292</v>
      </c>
      <c r="AQ546" s="538" t="s">
        <v>79</v>
      </c>
      <c r="AR546" s="538" t="s">
        <v>292</v>
      </c>
      <c r="AS546" s="538">
        <v>3.94709744E8</v>
      </c>
      <c r="AT546" s="538">
        <v>2.033443887E9</v>
      </c>
      <c r="AU546" s="538">
        <v>318.0</v>
      </c>
      <c r="AV546" s="538" t="s">
        <v>47</v>
      </c>
      <c r="AZ546" s="538">
        <v>1.0</v>
      </c>
      <c r="BA546" s="538">
        <v>1.0</v>
      </c>
      <c r="BB546" s="538">
        <v>1.0</v>
      </c>
      <c r="BC546" s="538">
        <v>1.0</v>
      </c>
      <c r="BD546" s="538">
        <v>1.0</v>
      </c>
      <c r="BE546" s="538">
        <v>0.1</v>
      </c>
      <c r="BF546" s="538">
        <v>0.15</v>
      </c>
      <c r="BG546" s="538">
        <v>0.2</v>
      </c>
      <c r="BH546" s="538">
        <v>0.3</v>
      </c>
      <c r="BI546" s="538">
        <v>0.5</v>
      </c>
      <c r="BJ546" s="546"/>
      <c r="BL546" s="546"/>
    </row>
    <row r="547" ht="22.5" customHeight="1">
      <c r="A547" s="538">
        <v>546.0</v>
      </c>
      <c r="B547" s="538" t="s">
        <v>2486</v>
      </c>
      <c r="C547" s="538" t="s">
        <v>84</v>
      </c>
      <c r="D547" s="538" t="s">
        <v>2487</v>
      </c>
      <c r="E547" s="538" t="s">
        <v>241</v>
      </c>
      <c r="F547" s="538" t="s">
        <v>2488</v>
      </c>
      <c r="G547" s="538" t="s">
        <v>239</v>
      </c>
      <c r="H547" s="538" t="s">
        <v>250</v>
      </c>
      <c r="I547" s="538" t="s">
        <v>155</v>
      </c>
      <c r="J547" s="538" t="s">
        <v>350</v>
      </c>
      <c r="K547" s="538" t="s">
        <v>2489</v>
      </c>
      <c r="L547" s="538" t="s">
        <v>2490</v>
      </c>
      <c r="M547" s="538" t="s">
        <v>661</v>
      </c>
      <c r="N547" s="538" t="s">
        <v>2491</v>
      </c>
      <c r="O547" s="538" t="b">
        <v>0</v>
      </c>
      <c r="P547" s="538" t="b">
        <v>0</v>
      </c>
      <c r="Q547" s="538" t="s">
        <v>79</v>
      </c>
      <c r="R547" s="538" t="s">
        <v>2492</v>
      </c>
      <c r="S547" s="538" t="s">
        <v>75</v>
      </c>
      <c r="T547" s="538" t="s">
        <v>348</v>
      </c>
      <c r="U547" s="538" t="s">
        <v>79</v>
      </c>
      <c r="V547" s="538" t="s">
        <v>2492</v>
      </c>
      <c r="W547" s="538" t="s">
        <v>79</v>
      </c>
      <c r="X547" s="538" t="s">
        <v>2492</v>
      </c>
      <c r="Y547" s="538" t="s">
        <v>79</v>
      </c>
      <c r="Z547" s="538" t="s">
        <v>2492</v>
      </c>
      <c r="AA547" s="538" t="s">
        <v>79</v>
      </c>
      <c r="AB547" s="538" t="s">
        <v>2492</v>
      </c>
      <c r="AC547" s="538" t="s">
        <v>79</v>
      </c>
      <c r="AD547" s="538" t="s">
        <v>2492</v>
      </c>
      <c r="AE547" s="538" t="s">
        <v>79</v>
      </c>
      <c r="AF547" s="538" t="s">
        <v>2492</v>
      </c>
      <c r="AG547" s="538" t="s">
        <v>79</v>
      </c>
      <c r="AH547" s="538" t="s">
        <v>380</v>
      </c>
      <c r="AI547" s="538" t="s">
        <v>79</v>
      </c>
      <c r="AJ547" s="538" t="s">
        <v>2492</v>
      </c>
      <c r="AK547" s="538" t="s">
        <v>79</v>
      </c>
      <c r="AL547" s="538" t="s">
        <v>2492</v>
      </c>
      <c r="AM547" s="538" t="s">
        <v>79</v>
      </c>
      <c r="AN547" s="538" t="s">
        <v>2492</v>
      </c>
      <c r="AO547" s="538" t="s">
        <v>79</v>
      </c>
      <c r="AP547" s="538" t="s">
        <v>241</v>
      </c>
      <c r="AQ547" s="538" t="s">
        <v>79</v>
      </c>
      <c r="AR547" s="538" t="s">
        <v>241</v>
      </c>
      <c r="AS547" s="538">
        <v>4.102667011E9</v>
      </c>
      <c r="AT547" s="538">
        <v>1.878219859E9</v>
      </c>
      <c r="AU547" s="538">
        <v>319.0</v>
      </c>
      <c r="AV547" s="538" t="s">
        <v>47</v>
      </c>
      <c r="AY547" s="538" t="s">
        <v>348</v>
      </c>
      <c r="AZ547" s="538">
        <v>1.0</v>
      </c>
      <c r="BA547" s="538">
        <v>1.0</v>
      </c>
      <c r="BB547" s="538">
        <v>1.0</v>
      </c>
      <c r="BE547" s="538">
        <v>20000.0</v>
      </c>
      <c r="BF547" s="538">
        <v>0.0</v>
      </c>
      <c r="BG547" s="538">
        <v>0.0</v>
      </c>
      <c r="BJ547" s="546"/>
      <c r="BL547" s="546"/>
    </row>
    <row r="548" ht="22.5" customHeight="1">
      <c r="A548" s="538">
        <v>547.0</v>
      </c>
      <c r="B548" s="538" t="s">
        <v>2486</v>
      </c>
      <c r="C548" s="538" t="s">
        <v>82</v>
      </c>
      <c r="D548" s="538" t="s">
        <v>2487</v>
      </c>
      <c r="E548" s="538" t="s">
        <v>292</v>
      </c>
      <c r="F548" s="538" t="s">
        <v>2001</v>
      </c>
      <c r="G548" s="538" t="s">
        <v>239</v>
      </c>
      <c r="H548" s="538" t="s">
        <v>222</v>
      </c>
      <c r="I548" s="538" t="s">
        <v>201</v>
      </c>
      <c r="J548" s="538" t="s">
        <v>350</v>
      </c>
      <c r="K548" s="538" t="s">
        <v>2493</v>
      </c>
      <c r="L548" s="538" t="s">
        <v>2494</v>
      </c>
      <c r="M548" s="538" t="s">
        <v>673</v>
      </c>
      <c r="N548" s="538" t="s">
        <v>2495</v>
      </c>
      <c r="O548" s="538" t="b">
        <v>0</v>
      </c>
      <c r="P548" s="538" t="b">
        <v>1</v>
      </c>
      <c r="Q548" s="538" t="s">
        <v>75</v>
      </c>
      <c r="R548" s="538" t="s">
        <v>388</v>
      </c>
      <c r="S548" s="538" t="s">
        <v>75</v>
      </c>
      <c r="T548" s="538" t="s">
        <v>388</v>
      </c>
      <c r="U548" s="538" t="s">
        <v>79</v>
      </c>
      <c r="V548" s="538" t="s">
        <v>2001</v>
      </c>
      <c r="W548" s="538" t="s">
        <v>79</v>
      </c>
      <c r="X548" s="538" t="s">
        <v>2001</v>
      </c>
      <c r="Y548" s="538" t="s">
        <v>79</v>
      </c>
      <c r="Z548" s="538" t="s">
        <v>2001</v>
      </c>
      <c r="AA548" s="538" t="s">
        <v>79</v>
      </c>
      <c r="AB548" s="538" t="s">
        <v>2001</v>
      </c>
      <c r="AC548" s="538" t="s">
        <v>79</v>
      </c>
      <c r="AD548" s="538" t="s">
        <v>2001</v>
      </c>
      <c r="AE548" s="538" t="s">
        <v>79</v>
      </c>
      <c r="AF548" s="538" t="s">
        <v>2001</v>
      </c>
      <c r="AG548" s="538" t="s">
        <v>79</v>
      </c>
      <c r="AH548" s="538" t="s">
        <v>2001</v>
      </c>
      <c r="AI548" s="538" t="s">
        <v>79</v>
      </c>
      <c r="AJ548" s="538" t="s">
        <v>2001</v>
      </c>
      <c r="AK548" s="538" t="s">
        <v>79</v>
      </c>
      <c r="AL548" s="538" t="s">
        <v>2001</v>
      </c>
      <c r="AM548" s="538" t="s">
        <v>79</v>
      </c>
      <c r="AN548" s="538" t="s">
        <v>2001</v>
      </c>
      <c r="AO548" s="538" t="s">
        <v>79</v>
      </c>
      <c r="AP548" s="538" t="s">
        <v>292</v>
      </c>
      <c r="AQ548" s="538" t="s">
        <v>79</v>
      </c>
      <c r="AR548" s="538" t="s">
        <v>292</v>
      </c>
      <c r="AS548" s="538">
        <v>8.11065857E8</v>
      </c>
      <c r="AT548" s="538">
        <v>1.878219859E9</v>
      </c>
      <c r="AU548" s="538">
        <v>319.0</v>
      </c>
      <c r="AV548" s="538" t="s">
        <v>47</v>
      </c>
      <c r="AX548" s="538" t="s">
        <v>2005</v>
      </c>
      <c r="AY548" s="538" t="s">
        <v>388</v>
      </c>
      <c r="AZ548" s="538">
        <v>1.0</v>
      </c>
      <c r="BA548" s="538">
        <v>1.0</v>
      </c>
      <c r="BB548" s="538">
        <v>1.0</v>
      </c>
      <c r="BC548" s="538">
        <v>1.0</v>
      </c>
      <c r="BD548" s="538">
        <v>1.0</v>
      </c>
      <c r="BE548" s="538">
        <v>0.2</v>
      </c>
      <c r="BF548" s="538">
        <v>0.35</v>
      </c>
      <c r="BG548" s="538">
        <v>0.5</v>
      </c>
      <c r="BH548" s="538">
        <v>0.6</v>
      </c>
      <c r="BI548" s="538">
        <v>0.7</v>
      </c>
      <c r="BJ548" s="546"/>
      <c r="BL548" s="546"/>
    </row>
    <row r="549" ht="22.5" customHeight="1">
      <c r="A549" s="538">
        <v>548.0</v>
      </c>
      <c r="B549" s="538" t="s">
        <v>2496</v>
      </c>
      <c r="C549" s="538" t="s">
        <v>84</v>
      </c>
      <c r="D549" s="538" t="s">
        <v>2487</v>
      </c>
      <c r="E549" s="538" t="s">
        <v>112</v>
      </c>
      <c r="F549" s="538" t="s">
        <v>248</v>
      </c>
      <c r="G549" s="538" t="s">
        <v>239</v>
      </c>
      <c r="H549" s="538" t="s">
        <v>250</v>
      </c>
      <c r="I549" s="538" t="s">
        <v>122</v>
      </c>
      <c r="J549" s="538" t="s">
        <v>350</v>
      </c>
      <c r="K549" s="538" t="s">
        <v>2497</v>
      </c>
      <c r="L549" s="538" t="s">
        <v>2498</v>
      </c>
      <c r="M549" s="538" t="s">
        <v>661</v>
      </c>
      <c r="N549" s="538" t="s">
        <v>2499</v>
      </c>
      <c r="O549" s="538" t="b">
        <v>0</v>
      </c>
      <c r="P549" s="538" t="b">
        <v>1</v>
      </c>
      <c r="Q549" s="538" t="s">
        <v>73</v>
      </c>
      <c r="S549" s="538" t="s">
        <v>73</v>
      </c>
      <c r="U549" s="538" t="s">
        <v>79</v>
      </c>
      <c r="V549" s="538" t="s">
        <v>248</v>
      </c>
      <c r="W549" s="538" t="s">
        <v>79</v>
      </c>
      <c r="X549" s="538" t="s">
        <v>248</v>
      </c>
      <c r="Y549" s="538" t="s">
        <v>79</v>
      </c>
      <c r="Z549" s="538" t="s">
        <v>248</v>
      </c>
      <c r="AA549" s="538" t="s">
        <v>79</v>
      </c>
      <c r="AB549" s="538" t="s">
        <v>248</v>
      </c>
      <c r="AC549" s="538" t="s">
        <v>79</v>
      </c>
      <c r="AD549" s="538" t="s">
        <v>248</v>
      </c>
      <c r="AE549" s="538" t="s">
        <v>79</v>
      </c>
      <c r="AF549" s="538" t="s">
        <v>248</v>
      </c>
      <c r="AG549" s="538" t="s">
        <v>79</v>
      </c>
      <c r="AH549" s="538" t="s">
        <v>248</v>
      </c>
      <c r="AI549" s="538" t="s">
        <v>79</v>
      </c>
      <c r="AJ549" s="538" t="s">
        <v>248</v>
      </c>
      <c r="AK549" s="538" t="s">
        <v>79</v>
      </c>
      <c r="AL549" s="538" t="s">
        <v>248</v>
      </c>
      <c r="AM549" s="538" t="s">
        <v>79</v>
      </c>
      <c r="AN549" s="538" t="s">
        <v>248</v>
      </c>
      <c r="AO549" s="538" t="s">
        <v>79</v>
      </c>
      <c r="AP549" s="538" t="s">
        <v>112</v>
      </c>
      <c r="AQ549" s="538" t="s">
        <v>79</v>
      </c>
      <c r="AR549" s="538" t="s">
        <v>112</v>
      </c>
      <c r="AS549" s="538">
        <v>3.111245783E9</v>
      </c>
      <c r="AT549" s="538">
        <v>4.29857188E8</v>
      </c>
      <c r="AU549" s="538">
        <v>320.0</v>
      </c>
      <c r="AV549" s="538" t="s">
        <v>47</v>
      </c>
      <c r="AZ549" s="538">
        <v>1.0</v>
      </c>
      <c r="BA549" s="538">
        <v>1.0</v>
      </c>
      <c r="BB549" s="538">
        <v>1.0</v>
      </c>
      <c r="BE549" s="538">
        <v>1.2</v>
      </c>
      <c r="BF549" s="538">
        <v>0.4</v>
      </c>
      <c r="BG549" s="538">
        <v>0.4</v>
      </c>
      <c r="BJ549" s="546"/>
      <c r="BL549" s="546"/>
    </row>
    <row r="550" ht="22.5" customHeight="1">
      <c r="A550" s="538">
        <v>549.0</v>
      </c>
      <c r="B550" s="538" t="s">
        <v>2496</v>
      </c>
      <c r="C550" s="538" t="s">
        <v>82</v>
      </c>
      <c r="D550" s="538" t="s">
        <v>2487</v>
      </c>
      <c r="E550" s="538" t="s">
        <v>210</v>
      </c>
      <c r="F550" s="538" t="s">
        <v>248</v>
      </c>
      <c r="G550" s="538" t="s">
        <v>239</v>
      </c>
      <c r="H550" s="538" t="s">
        <v>222</v>
      </c>
      <c r="I550" s="538" t="s">
        <v>197</v>
      </c>
      <c r="J550" s="538" t="s">
        <v>314</v>
      </c>
      <c r="K550" s="538" t="s">
        <v>2500</v>
      </c>
      <c r="L550" s="538" t="s">
        <v>2501</v>
      </c>
      <c r="M550" s="538" t="s">
        <v>2502</v>
      </c>
      <c r="N550" s="538" t="s">
        <v>673</v>
      </c>
      <c r="O550" s="538" t="b">
        <v>1</v>
      </c>
      <c r="P550" s="538" t="b">
        <v>1</v>
      </c>
      <c r="Q550" s="538" t="s">
        <v>73</v>
      </c>
      <c r="S550" s="538" t="s">
        <v>73</v>
      </c>
      <c r="U550" s="538" t="s">
        <v>79</v>
      </c>
      <c r="V550" s="538" t="s">
        <v>248</v>
      </c>
      <c r="W550" s="538" t="s">
        <v>79</v>
      </c>
      <c r="X550" s="538" t="s">
        <v>248</v>
      </c>
      <c r="Y550" s="538" t="s">
        <v>79</v>
      </c>
      <c r="Z550" s="538" t="s">
        <v>248</v>
      </c>
      <c r="AA550" s="538" t="s">
        <v>79</v>
      </c>
      <c r="AB550" s="538" t="s">
        <v>248</v>
      </c>
      <c r="AC550" s="538" t="s">
        <v>79</v>
      </c>
      <c r="AD550" s="538" t="s">
        <v>248</v>
      </c>
      <c r="AE550" s="538" t="s">
        <v>79</v>
      </c>
      <c r="AF550" s="538" t="s">
        <v>248</v>
      </c>
      <c r="AG550" s="538" t="s">
        <v>79</v>
      </c>
      <c r="AH550" s="538" t="s">
        <v>248</v>
      </c>
      <c r="AI550" s="538" t="s">
        <v>79</v>
      </c>
      <c r="AJ550" s="538" t="s">
        <v>248</v>
      </c>
      <c r="AK550" s="538" t="s">
        <v>79</v>
      </c>
      <c r="AL550" s="538" t="s">
        <v>248</v>
      </c>
      <c r="AM550" s="538" t="s">
        <v>79</v>
      </c>
      <c r="AN550" s="538" t="s">
        <v>248</v>
      </c>
      <c r="AO550" s="538" t="s">
        <v>79</v>
      </c>
      <c r="AP550" s="538" t="s">
        <v>210</v>
      </c>
      <c r="AQ550" s="538" t="s">
        <v>79</v>
      </c>
      <c r="AR550" s="538" t="s">
        <v>210</v>
      </c>
      <c r="AS550" s="538">
        <v>2.351016344E9</v>
      </c>
      <c r="AT550" s="538">
        <v>4.29857188E8</v>
      </c>
      <c r="AU550" s="538">
        <v>320.0</v>
      </c>
      <c r="AV550" s="538" t="s">
        <v>47</v>
      </c>
      <c r="AZ550" s="538">
        <v>0.5</v>
      </c>
      <c r="BA550" s="538">
        <v>0.65</v>
      </c>
      <c r="BB550" s="538">
        <v>0.8</v>
      </c>
      <c r="BC550" s="538">
        <v>0.9</v>
      </c>
      <c r="BD550" s="538">
        <v>1.0</v>
      </c>
      <c r="BE550" s="538">
        <v>1.0</v>
      </c>
      <c r="BF550" s="538">
        <v>1.0</v>
      </c>
      <c r="BG550" s="538">
        <v>1.0</v>
      </c>
      <c r="BH550" s="538">
        <v>1.0</v>
      </c>
      <c r="BI550" s="538">
        <v>1.0</v>
      </c>
      <c r="BJ550" s="546"/>
      <c r="BL550" s="546"/>
    </row>
    <row r="551" ht="22.5" customHeight="1">
      <c r="A551" s="538">
        <v>550.0</v>
      </c>
      <c r="B551" s="538" t="s">
        <v>2503</v>
      </c>
      <c r="C551" s="538" t="s">
        <v>84</v>
      </c>
      <c r="D551" s="538" t="s">
        <v>2487</v>
      </c>
      <c r="E551" s="538" t="s">
        <v>322</v>
      </c>
      <c r="F551" s="538" t="s">
        <v>2504</v>
      </c>
      <c r="G551" s="538" t="s">
        <v>163</v>
      </c>
      <c r="H551" s="538" t="s">
        <v>250</v>
      </c>
      <c r="I551" s="538" t="s">
        <v>122</v>
      </c>
      <c r="K551" s="538" t="s">
        <v>2505</v>
      </c>
      <c r="L551" s="538" t="s">
        <v>2506</v>
      </c>
      <c r="M551" s="538" t="s">
        <v>661</v>
      </c>
      <c r="N551" s="538" t="s">
        <v>2507</v>
      </c>
      <c r="O551" s="538" t="b">
        <v>0</v>
      </c>
      <c r="P551" s="538" t="b">
        <v>1</v>
      </c>
      <c r="Q551" s="538" t="s">
        <v>75</v>
      </c>
      <c r="R551" s="538" t="s">
        <v>354</v>
      </c>
      <c r="S551" s="538" t="s">
        <v>75</v>
      </c>
      <c r="T551" s="538" t="s">
        <v>354</v>
      </c>
      <c r="U551" s="538" t="s">
        <v>79</v>
      </c>
      <c r="V551" s="538" t="s">
        <v>2504</v>
      </c>
      <c r="W551" s="538" t="s">
        <v>79</v>
      </c>
      <c r="X551" s="538" t="s">
        <v>2504</v>
      </c>
      <c r="Y551" s="538" t="s">
        <v>79</v>
      </c>
      <c r="Z551" s="538" t="s">
        <v>2504</v>
      </c>
      <c r="AA551" s="538" t="s">
        <v>79</v>
      </c>
      <c r="AB551" s="538" t="s">
        <v>2504</v>
      </c>
      <c r="AC551" s="538" t="s">
        <v>79</v>
      </c>
      <c r="AD551" s="538" t="s">
        <v>2504</v>
      </c>
      <c r="AE551" s="538" t="s">
        <v>79</v>
      </c>
      <c r="AF551" s="538" t="s">
        <v>2504</v>
      </c>
      <c r="AG551" s="538" t="s">
        <v>79</v>
      </c>
      <c r="AH551" s="538" t="s">
        <v>2504</v>
      </c>
      <c r="AI551" s="538" t="s">
        <v>79</v>
      </c>
      <c r="AJ551" s="538" t="s">
        <v>2504</v>
      </c>
      <c r="AK551" s="538" t="s">
        <v>79</v>
      </c>
      <c r="AL551" s="538" t="s">
        <v>2504</v>
      </c>
      <c r="AM551" s="538" t="s">
        <v>79</v>
      </c>
      <c r="AN551" s="538" t="s">
        <v>2504</v>
      </c>
      <c r="AO551" s="538" t="s">
        <v>79</v>
      </c>
      <c r="AP551" s="538" t="s">
        <v>322</v>
      </c>
      <c r="AQ551" s="538" t="s">
        <v>79</v>
      </c>
      <c r="AR551" s="538" t="s">
        <v>322</v>
      </c>
      <c r="AS551" s="538">
        <v>2.091866033E9</v>
      </c>
      <c r="AT551" s="538">
        <v>1.549505702E9</v>
      </c>
      <c r="AU551" s="538">
        <v>321.0</v>
      </c>
      <c r="AV551" s="538" t="s">
        <v>47</v>
      </c>
      <c r="AY551" s="538" t="s">
        <v>354</v>
      </c>
      <c r="AZ551" s="538">
        <v>1.0</v>
      </c>
      <c r="BA551" s="538">
        <v>1.0</v>
      </c>
      <c r="BB551" s="538">
        <v>1.0</v>
      </c>
      <c r="BE551" s="538">
        <v>15.0</v>
      </c>
      <c r="BF551" s="538">
        <v>0.0</v>
      </c>
      <c r="BG551" s="538">
        <v>0.0</v>
      </c>
    </row>
    <row r="552" ht="22.5" customHeight="1">
      <c r="A552" s="538">
        <v>551.0</v>
      </c>
      <c r="B552" s="538" t="s">
        <v>2503</v>
      </c>
      <c r="C552" s="538" t="s">
        <v>82</v>
      </c>
      <c r="D552" s="538" t="s">
        <v>2487</v>
      </c>
      <c r="E552" s="538" t="s">
        <v>322</v>
      </c>
      <c r="F552" s="538" t="s">
        <v>2001</v>
      </c>
      <c r="G552" s="538" t="s">
        <v>239</v>
      </c>
      <c r="H552" s="538" t="s">
        <v>250</v>
      </c>
      <c r="I552" s="538" t="s">
        <v>122</v>
      </c>
      <c r="J552" s="538" t="s">
        <v>350</v>
      </c>
      <c r="K552" s="538" t="s">
        <v>2508</v>
      </c>
      <c r="L552" s="538" t="s">
        <v>2509</v>
      </c>
      <c r="M552" s="538" t="s">
        <v>673</v>
      </c>
      <c r="N552" s="538" t="s">
        <v>2510</v>
      </c>
      <c r="O552" s="538" t="b">
        <v>0</v>
      </c>
      <c r="P552" s="538" t="b">
        <v>1</v>
      </c>
      <c r="Q552" s="538" t="s">
        <v>75</v>
      </c>
      <c r="R552" s="538" t="s">
        <v>388</v>
      </c>
      <c r="S552" s="538" t="s">
        <v>75</v>
      </c>
      <c r="T552" s="538" t="s">
        <v>388</v>
      </c>
      <c r="U552" s="538" t="s">
        <v>79</v>
      </c>
      <c r="V552" s="538" t="s">
        <v>2001</v>
      </c>
      <c r="W552" s="538" t="s">
        <v>79</v>
      </c>
      <c r="X552" s="538" t="s">
        <v>2001</v>
      </c>
      <c r="Y552" s="538" t="s">
        <v>79</v>
      </c>
      <c r="Z552" s="538" t="s">
        <v>2001</v>
      </c>
      <c r="AA552" s="538" t="s">
        <v>79</v>
      </c>
      <c r="AB552" s="538" t="s">
        <v>2001</v>
      </c>
      <c r="AC552" s="538" t="s">
        <v>79</v>
      </c>
      <c r="AD552" s="538" t="s">
        <v>2001</v>
      </c>
      <c r="AE552" s="538" t="s">
        <v>79</v>
      </c>
      <c r="AF552" s="538" t="s">
        <v>2001</v>
      </c>
      <c r="AG552" s="538" t="s">
        <v>79</v>
      </c>
      <c r="AH552" s="538" t="s">
        <v>2001</v>
      </c>
      <c r="AI552" s="538" t="s">
        <v>79</v>
      </c>
      <c r="AJ552" s="538" t="s">
        <v>2001</v>
      </c>
      <c r="AK552" s="538" t="s">
        <v>79</v>
      </c>
      <c r="AL552" s="538" t="s">
        <v>2001</v>
      </c>
      <c r="AM552" s="538" t="s">
        <v>79</v>
      </c>
      <c r="AN552" s="538" t="s">
        <v>2001</v>
      </c>
      <c r="AO552" s="538" t="s">
        <v>79</v>
      </c>
      <c r="AP552" s="538" t="s">
        <v>322</v>
      </c>
      <c r="AQ552" s="538" t="s">
        <v>79</v>
      </c>
      <c r="AR552" s="538" t="s">
        <v>322</v>
      </c>
      <c r="AS552" s="538">
        <v>4.100401808E9</v>
      </c>
      <c r="AT552" s="538">
        <v>1.549505702E9</v>
      </c>
      <c r="AU552" s="538">
        <v>321.0</v>
      </c>
      <c r="AV552" s="538" t="s">
        <v>47</v>
      </c>
      <c r="AX552" s="538" t="s">
        <v>2005</v>
      </c>
      <c r="AY552" s="538" t="s">
        <v>388</v>
      </c>
      <c r="AZ552" s="538">
        <v>1.0</v>
      </c>
      <c r="BA552" s="538">
        <v>1.0</v>
      </c>
      <c r="BB552" s="538">
        <v>1.0</v>
      </c>
      <c r="BC552" s="538">
        <v>1.0</v>
      </c>
      <c r="BD552" s="538">
        <v>1.0</v>
      </c>
      <c r="BE552" s="538">
        <v>1.0</v>
      </c>
      <c r="BF552" s="538">
        <v>1.3</v>
      </c>
      <c r="BG552" s="538">
        <v>1.6</v>
      </c>
      <c r="BH552" s="538">
        <v>1.8</v>
      </c>
      <c r="BI552" s="538">
        <v>2.0</v>
      </c>
      <c r="BJ552" s="546"/>
      <c r="BK552" s="546"/>
      <c r="BL552" s="546"/>
    </row>
    <row r="553" ht="22.5" customHeight="1">
      <c r="A553" s="538">
        <v>552.0</v>
      </c>
      <c r="B553" s="538" t="s">
        <v>2511</v>
      </c>
      <c r="C553" s="538" t="s">
        <v>84</v>
      </c>
      <c r="D553" s="538" t="s">
        <v>2512</v>
      </c>
      <c r="E553" s="538" t="s">
        <v>241</v>
      </c>
      <c r="F553" s="538" t="s">
        <v>2513</v>
      </c>
      <c r="G553" s="538" t="s">
        <v>163</v>
      </c>
      <c r="H553" s="538" t="s">
        <v>250</v>
      </c>
      <c r="I553" s="538" t="s">
        <v>155</v>
      </c>
      <c r="J553" s="538" t="s">
        <v>2514</v>
      </c>
      <c r="K553" s="538" t="s">
        <v>2515</v>
      </c>
      <c r="L553" s="538" t="s">
        <v>2516</v>
      </c>
      <c r="M553" s="538" t="s">
        <v>661</v>
      </c>
      <c r="N553" s="538" t="s">
        <v>2517</v>
      </c>
      <c r="O553" s="538" t="b">
        <v>0</v>
      </c>
      <c r="P553" s="538" t="b">
        <v>0</v>
      </c>
      <c r="Q553" s="538" t="s">
        <v>79</v>
      </c>
      <c r="R553" s="538" t="s">
        <v>2518</v>
      </c>
      <c r="S553" s="538" t="s">
        <v>79</v>
      </c>
      <c r="T553" s="538" t="s">
        <v>2518</v>
      </c>
      <c r="U553" s="538" t="s">
        <v>75</v>
      </c>
      <c r="V553" s="538" t="s">
        <v>2184</v>
      </c>
      <c r="W553" s="538" t="s">
        <v>75</v>
      </c>
      <c r="X553" s="538" t="s">
        <v>2184</v>
      </c>
      <c r="Y553" s="538" t="s">
        <v>79</v>
      </c>
      <c r="Z553" s="538" t="s">
        <v>2518</v>
      </c>
      <c r="AA553" s="538" t="s">
        <v>79</v>
      </c>
      <c r="AB553" s="538" t="s">
        <v>2518</v>
      </c>
      <c r="AC553" s="538" t="s">
        <v>79</v>
      </c>
      <c r="AD553" s="538" t="s">
        <v>2518</v>
      </c>
      <c r="AE553" s="538" t="s">
        <v>79</v>
      </c>
      <c r="AF553" s="538" t="s">
        <v>2518</v>
      </c>
      <c r="AG553" s="538" t="s">
        <v>79</v>
      </c>
      <c r="AH553" s="538" t="s">
        <v>2518</v>
      </c>
      <c r="AI553" s="538" t="s">
        <v>79</v>
      </c>
      <c r="AJ553" s="538" t="s">
        <v>2518</v>
      </c>
      <c r="AK553" s="538" t="s">
        <v>75</v>
      </c>
      <c r="AL553" s="538" t="s">
        <v>2184</v>
      </c>
      <c r="AM553" s="538" t="s">
        <v>75</v>
      </c>
      <c r="AN553" s="538" t="s">
        <v>2184</v>
      </c>
      <c r="AO553" s="538" t="s">
        <v>79</v>
      </c>
      <c r="AP553" s="538" t="s">
        <v>241</v>
      </c>
      <c r="AQ553" s="538" t="s">
        <v>79</v>
      </c>
      <c r="AR553" s="538" t="s">
        <v>241</v>
      </c>
      <c r="AS553" s="538">
        <v>2.952269443E9</v>
      </c>
      <c r="AT553" s="538">
        <v>3.28154093E8</v>
      </c>
      <c r="AU553" s="538">
        <v>322.0</v>
      </c>
      <c r="AV553" s="538" t="s">
        <v>47</v>
      </c>
      <c r="AY553" s="538" t="s">
        <v>2184</v>
      </c>
      <c r="AZ553" s="538">
        <v>1.0</v>
      </c>
      <c r="BA553" s="538">
        <v>1.0</v>
      </c>
      <c r="BB553" s="538">
        <v>1.0</v>
      </c>
      <c r="BE553" s="538">
        <v>2000.0</v>
      </c>
      <c r="BF553" s="538">
        <v>3000.0</v>
      </c>
      <c r="BG553" s="538">
        <v>3000.0</v>
      </c>
      <c r="BJ553" s="546"/>
      <c r="BK553" s="546"/>
      <c r="BL553" s="546"/>
    </row>
    <row r="554" ht="22.5" customHeight="1">
      <c r="A554" s="538">
        <v>553.0</v>
      </c>
      <c r="B554" s="538" t="s">
        <v>2511</v>
      </c>
      <c r="C554" s="538" t="s">
        <v>82</v>
      </c>
      <c r="D554" s="538" t="s">
        <v>2512</v>
      </c>
      <c r="E554" s="538" t="s">
        <v>292</v>
      </c>
      <c r="F554" s="538" t="s">
        <v>2519</v>
      </c>
      <c r="G554" s="538" t="s">
        <v>239</v>
      </c>
      <c r="H554" s="538" t="s">
        <v>250</v>
      </c>
      <c r="I554" s="538" t="s">
        <v>155</v>
      </c>
      <c r="J554" s="538" t="s">
        <v>2520</v>
      </c>
      <c r="K554" s="538" t="s">
        <v>2521</v>
      </c>
      <c r="L554" s="538" t="s">
        <v>2522</v>
      </c>
      <c r="M554" s="538" t="s">
        <v>673</v>
      </c>
      <c r="N554" s="538" t="s">
        <v>2053</v>
      </c>
      <c r="O554" s="538" t="b">
        <v>0</v>
      </c>
      <c r="P554" s="538" t="b">
        <v>1</v>
      </c>
      <c r="Q554" s="538" t="s">
        <v>79</v>
      </c>
      <c r="R554" s="538" t="s">
        <v>2519</v>
      </c>
      <c r="S554" s="538" t="s">
        <v>79</v>
      </c>
      <c r="T554" s="538" t="s">
        <v>2519</v>
      </c>
      <c r="U554" s="538" t="s">
        <v>75</v>
      </c>
      <c r="V554" s="538" t="s">
        <v>388</v>
      </c>
      <c r="W554" s="538" t="s">
        <v>75</v>
      </c>
      <c r="X554" s="538" t="s">
        <v>388</v>
      </c>
      <c r="Y554" s="538" t="s">
        <v>79</v>
      </c>
      <c r="Z554" s="538" t="s">
        <v>2519</v>
      </c>
      <c r="AA554" s="538" t="s">
        <v>79</v>
      </c>
      <c r="AB554" s="538" t="s">
        <v>2519</v>
      </c>
      <c r="AC554" s="538" t="s">
        <v>79</v>
      </c>
      <c r="AD554" s="538" t="s">
        <v>2519</v>
      </c>
      <c r="AE554" s="538" t="s">
        <v>79</v>
      </c>
      <c r="AF554" s="538" t="s">
        <v>2519</v>
      </c>
      <c r="AG554" s="538" t="s">
        <v>79</v>
      </c>
      <c r="AH554" s="538" t="s">
        <v>2519</v>
      </c>
      <c r="AI554" s="538" t="s">
        <v>79</v>
      </c>
      <c r="AJ554" s="538" t="s">
        <v>2519</v>
      </c>
      <c r="AK554" s="538" t="s">
        <v>75</v>
      </c>
      <c r="AL554" s="538" t="s">
        <v>388</v>
      </c>
      <c r="AM554" s="538" t="s">
        <v>75</v>
      </c>
      <c r="AN554" s="538" t="s">
        <v>388</v>
      </c>
      <c r="AO554" s="538" t="s">
        <v>79</v>
      </c>
      <c r="AP554" s="538" t="s">
        <v>292</v>
      </c>
      <c r="AQ554" s="538" t="s">
        <v>79</v>
      </c>
      <c r="AR554" s="538" t="s">
        <v>292</v>
      </c>
      <c r="AS554" s="538">
        <v>4.55729729E8</v>
      </c>
      <c r="AT554" s="538">
        <v>3.28154093E8</v>
      </c>
      <c r="AU554" s="538">
        <v>322.0</v>
      </c>
      <c r="AV554" s="538" t="s">
        <v>47</v>
      </c>
      <c r="AX554" s="538" t="s">
        <v>2005</v>
      </c>
      <c r="AY554" s="538" t="s">
        <v>388</v>
      </c>
      <c r="AZ554" s="538">
        <v>1.0</v>
      </c>
      <c r="BA554" s="538">
        <v>1.0</v>
      </c>
      <c r="BB554" s="538">
        <v>1.0</v>
      </c>
      <c r="BC554" s="538">
        <v>1.0</v>
      </c>
      <c r="BD554" s="538">
        <v>1.0</v>
      </c>
      <c r="BE554" s="538">
        <v>0.02</v>
      </c>
      <c r="BF554" s="538">
        <v>0.04</v>
      </c>
      <c r="BG554" s="538">
        <v>0.06</v>
      </c>
      <c r="BH554" s="538">
        <v>0.08</v>
      </c>
      <c r="BI554" s="538">
        <v>0.1</v>
      </c>
      <c r="BJ554" s="546"/>
      <c r="BK554" s="546"/>
      <c r="BL554" s="546"/>
    </row>
    <row r="555" ht="22.5" customHeight="1">
      <c r="A555" s="538">
        <v>554.0</v>
      </c>
      <c r="B555" s="538" t="s">
        <v>70</v>
      </c>
      <c r="C555" s="538" t="s">
        <v>82</v>
      </c>
      <c r="D555" s="538" t="s">
        <v>2512</v>
      </c>
      <c r="E555" s="538" t="s">
        <v>214</v>
      </c>
      <c r="F555" s="538" t="s">
        <v>149</v>
      </c>
      <c r="G555" s="538" t="s">
        <v>239</v>
      </c>
      <c r="H555" s="538" t="s">
        <v>222</v>
      </c>
      <c r="I555" s="538" t="s">
        <v>122</v>
      </c>
      <c r="J555" s="538" t="s">
        <v>2523</v>
      </c>
      <c r="K555" s="538" t="s">
        <v>2524</v>
      </c>
      <c r="L555" s="538" t="s">
        <v>2525</v>
      </c>
      <c r="M555" s="538" t="s">
        <v>1127</v>
      </c>
      <c r="N555" s="538" t="s">
        <v>673</v>
      </c>
      <c r="O555" s="538" t="b">
        <v>1</v>
      </c>
      <c r="P555" s="538" t="b">
        <v>1</v>
      </c>
      <c r="Q555" s="538" t="s">
        <v>79</v>
      </c>
      <c r="R555" s="538" t="s">
        <v>149</v>
      </c>
      <c r="S555" s="538" t="s">
        <v>79</v>
      </c>
      <c r="T555" s="538" t="s">
        <v>149</v>
      </c>
      <c r="U555" s="538" t="s">
        <v>73</v>
      </c>
      <c r="W555" s="538" t="s">
        <v>73</v>
      </c>
      <c r="Y555" s="538" t="s">
        <v>79</v>
      </c>
      <c r="Z555" s="538" t="s">
        <v>149</v>
      </c>
      <c r="AA555" s="538" t="s">
        <v>79</v>
      </c>
      <c r="AB555" s="538" t="s">
        <v>149</v>
      </c>
      <c r="AC555" s="538" t="s">
        <v>79</v>
      </c>
      <c r="AD555" s="538" t="s">
        <v>149</v>
      </c>
      <c r="AE555" s="538" t="s">
        <v>79</v>
      </c>
      <c r="AF555" s="538" t="s">
        <v>149</v>
      </c>
      <c r="AG555" s="538" t="s">
        <v>79</v>
      </c>
      <c r="AH555" s="538" t="s">
        <v>149</v>
      </c>
      <c r="AI555" s="538" t="s">
        <v>79</v>
      </c>
      <c r="AJ555" s="538" t="s">
        <v>149</v>
      </c>
      <c r="AK555" s="538" t="s">
        <v>73</v>
      </c>
      <c r="AM555" s="538" t="s">
        <v>73</v>
      </c>
      <c r="AO555" s="538" t="s">
        <v>79</v>
      </c>
      <c r="AP555" s="538" t="s">
        <v>214</v>
      </c>
      <c r="AQ555" s="538" t="s">
        <v>79</v>
      </c>
      <c r="AR555" s="538" t="s">
        <v>214</v>
      </c>
      <c r="AS555" s="538">
        <v>3.534319381E9</v>
      </c>
      <c r="AT555" s="538">
        <v>1.983933897E9</v>
      </c>
      <c r="AU555" s="538">
        <v>323.0</v>
      </c>
      <c r="AV555" s="538" t="s">
        <v>47</v>
      </c>
      <c r="AZ555" s="538">
        <v>0.5</v>
      </c>
      <c r="BA555" s="538">
        <v>0.6</v>
      </c>
      <c r="BB555" s="538">
        <v>0.7</v>
      </c>
      <c r="BC555" s="538">
        <v>0.8</v>
      </c>
      <c r="BD555" s="538">
        <v>0.9</v>
      </c>
      <c r="BE555" s="538">
        <v>1.0</v>
      </c>
      <c r="BF555" s="538">
        <v>1.0</v>
      </c>
      <c r="BG555" s="538">
        <v>1.0</v>
      </c>
      <c r="BH555" s="538">
        <v>1.0</v>
      </c>
      <c r="BI555" s="538">
        <v>1.0</v>
      </c>
      <c r="BJ555" s="546"/>
      <c r="BK555" s="546"/>
      <c r="BL555" s="546"/>
    </row>
    <row r="556" ht="22.5" customHeight="1">
      <c r="A556" s="538">
        <v>555.0</v>
      </c>
      <c r="B556" s="538" t="s">
        <v>70</v>
      </c>
      <c r="C556" s="538" t="s">
        <v>86</v>
      </c>
      <c r="D556" s="538" t="s">
        <v>2512</v>
      </c>
      <c r="E556" s="538" t="s">
        <v>322</v>
      </c>
      <c r="F556" s="538" t="s">
        <v>149</v>
      </c>
      <c r="G556" s="538" t="s">
        <v>163</v>
      </c>
      <c r="H556" s="538" t="s">
        <v>250</v>
      </c>
      <c r="I556" s="538" t="s">
        <v>122</v>
      </c>
      <c r="J556" s="538" t="s">
        <v>2526</v>
      </c>
      <c r="K556" s="538" t="s">
        <v>2527</v>
      </c>
      <c r="L556" s="538" t="s">
        <v>2528</v>
      </c>
      <c r="M556" s="538" t="s">
        <v>673</v>
      </c>
      <c r="N556" s="538" t="s">
        <v>866</v>
      </c>
      <c r="O556" s="538" t="b">
        <v>0</v>
      </c>
      <c r="P556" s="538" t="b">
        <v>1</v>
      </c>
      <c r="Q556" s="538" t="s">
        <v>79</v>
      </c>
      <c r="R556" s="538" t="s">
        <v>149</v>
      </c>
      <c r="S556" s="538" t="s">
        <v>79</v>
      </c>
      <c r="T556" s="538" t="s">
        <v>149</v>
      </c>
      <c r="U556" s="538" t="s">
        <v>73</v>
      </c>
      <c r="W556" s="538" t="s">
        <v>73</v>
      </c>
      <c r="Y556" s="538" t="s">
        <v>79</v>
      </c>
      <c r="Z556" s="538" t="s">
        <v>149</v>
      </c>
      <c r="AA556" s="538" t="s">
        <v>79</v>
      </c>
      <c r="AB556" s="538" t="s">
        <v>149</v>
      </c>
      <c r="AC556" s="538" t="s">
        <v>79</v>
      </c>
      <c r="AD556" s="538" t="s">
        <v>149</v>
      </c>
      <c r="AE556" s="538" t="s">
        <v>79</v>
      </c>
      <c r="AF556" s="538" t="s">
        <v>149</v>
      </c>
      <c r="AG556" s="538" t="s">
        <v>79</v>
      </c>
      <c r="AH556" s="538" t="s">
        <v>149</v>
      </c>
      <c r="AI556" s="538" t="s">
        <v>79</v>
      </c>
      <c r="AJ556" s="538" t="s">
        <v>149</v>
      </c>
      <c r="AK556" s="538" t="s">
        <v>73</v>
      </c>
      <c r="AM556" s="538" t="s">
        <v>73</v>
      </c>
      <c r="AO556" s="538" t="s">
        <v>79</v>
      </c>
      <c r="AP556" s="538" t="s">
        <v>322</v>
      </c>
      <c r="AQ556" s="538" t="s">
        <v>79</v>
      </c>
      <c r="AR556" s="538" t="s">
        <v>322</v>
      </c>
      <c r="AS556" s="538">
        <v>3.948501792E9</v>
      </c>
      <c r="AT556" s="538">
        <v>1.983933897E9</v>
      </c>
      <c r="AU556" s="538">
        <v>323.0</v>
      </c>
      <c r="AV556" s="538" t="s">
        <v>47</v>
      </c>
      <c r="AZ556" s="538">
        <v>1.0</v>
      </c>
      <c r="BA556" s="538">
        <v>1.0</v>
      </c>
      <c r="BB556" s="538">
        <v>1.0</v>
      </c>
      <c r="BC556" s="538">
        <v>1.0</v>
      </c>
      <c r="BD556" s="538">
        <v>1.0</v>
      </c>
      <c r="BE556" s="538">
        <v>0.1</v>
      </c>
      <c r="BF556" s="538">
        <v>0.2</v>
      </c>
      <c r="BG556" s="538">
        <v>0.3</v>
      </c>
      <c r="BH556" s="538">
        <v>0.4</v>
      </c>
      <c r="BI556" s="538">
        <v>0.5</v>
      </c>
      <c r="BJ556" s="546"/>
      <c r="BK556" s="546"/>
      <c r="BL556" s="546"/>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2.0"/>
    <col customWidth="1" min="2" max="2" width="28.13"/>
    <col customWidth="1" min="3" max="3" width="13.63"/>
    <col customWidth="1" min="4" max="4" width="22.63"/>
    <col customWidth="1" min="5" max="5" width="66.38"/>
    <col customWidth="1" min="6" max="6" width="16.38"/>
    <col customWidth="1" min="7" max="7" width="14.75"/>
    <col customWidth="1" min="8" max="8" width="17.25"/>
    <col customWidth="1" min="9" max="9" width="474.75"/>
    <col customWidth="1" min="10" max="10" width="106.63"/>
    <col customWidth="1" min="11" max="11" width="18.63"/>
    <col customWidth="1" min="12" max="12" width="22.63"/>
    <col customWidth="1" min="13" max="13" width="17.88"/>
    <col customWidth="1" min="14" max="14" width="66.38"/>
    <col customWidth="1" min="15" max="15" width="17.13"/>
    <col customWidth="1" min="16" max="16" width="66.38"/>
    <col customWidth="1" min="17" max="17" width="24.0"/>
    <col customWidth="1" min="18" max="18" width="52.0"/>
    <col customWidth="1" min="19" max="19" width="19.13"/>
    <col customWidth="1" min="20" max="20" width="52.0"/>
    <col customWidth="1" min="21" max="21" width="20.25"/>
    <col customWidth="1" min="22" max="22" width="52.0"/>
    <col customWidth="1" min="23" max="23" width="13.38"/>
    <col customWidth="1" min="24" max="24" width="52.0"/>
    <col customWidth="1" min="25" max="25" width="19.0"/>
    <col customWidth="1" min="26" max="26" width="52.0"/>
    <col customWidth="1" min="27" max="27" width="20.25"/>
    <col customWidth="1" min="28" max="28" width="52.0"/>
    <col customWidth="1" min="29" max="29" width="15.5"/>
    <col customWidth="1" min="30" max="30" width="52.0"/>
    <col customWidth="1" min="31" max="31" width="20.75"/>
    <col customWidth="1" min="32" max="32" width="59.13"/>
    <col customWidth="1" min="33" max="33" width="21.63"/>
    <col customWidth="1" min="34" max="34" width="66.38"/>
    <col customWidth="1" min="35" max="35" width="22.88"/>
    <col customWidth="1" min="36" max="36" width="66.38"/>
    <col customWidth="1" min="37" max="37" width="12.38"/>
    <col customWidth="1" min="38" max="38" width="22.63"/>
    <col customWidth="1" min="39" max="39" width="13.13"/>
    <col customWidth="1" min="40" max="40" width="22.63"/>
    <col customWidth="1" min="41" max="43" width="11.63"/>
    <col customWidth="1" min="44" max="44" width="11.38"/>
    <col customWidth="1" min="45" max="45" width="13.38"/>
    <col customWidth="1" min="46" max="46" width="19.5"/>
    <col customWidth="1" min="47" max="47" width="21.38"/>
    <col customWidth="1" min="48" max="48" width="35.0"/>
  </cols>
  <sheetData>
    <row r="1" ht="22.5" customHeight="1">
      <c r="A1" s="545" t="s">
        <v>605</v>
      </c>
      <c r="B1" s="545" t="s">
        <v>517</v>
      </c>
      <c r="C1" s="545" t="s">
        <v>519</v>
      </c>
      <c r="D1" s="545" t="s">
        <v>111</v>
      </c>
      <c r="E1" s="545" t="s">
        <v>606</v>
      </c>
      <c r="F1" s="545" t="s">
        <v>117</v>
      </c>
      <c r="G1" s="545" t="s">
        <v>119</v>
      </c>
      <c r="H1" s="545" t="s">
        <v>121</v>
      </c>
      <c r="I1" s="545" t="s">
        <v>113</v>
      </c>
      <c r="J1" s="545" t="s">
        <v>607</v>
      </c>
      <c r="K1" s="545" t="s">
        <v>611</v>
      </c>
      <c r="L1" s="545" t="s">
        <v>612</v>
      </c>
      <c r="M1" s="545" t="s">
        <v>613</v>
      </c>
      <c r="N1" s="545" t="s">
        <v>614</v>
      </c>
      <c r="O1" s="545" t="s">
        <v>615</v>
      </c>
      <c r="P1" s="545" t="s">
        <v>616</v>
      </c>
      <c r="Q1" s="545" t="s">
        <v>617</v>
      </c>
      <c r="R1" s="545" t="s">
        <v>618</v>
      </c>
      <c r="S1" s="545" t="s">
        <v>619</v>
      </c>
      <c r="T1" s="545" t="s">
        <v>620</v>
      </c>
      <c r="U1" s="545" t="s">
        <v>621</v>
      </c>
      <c r="V1" s="545" t="s">
        <v>622</v>
      </c>
      <c r="W1" s="545" t="s">
        <v>623</v>
      </c>
      <c r="X1" s="545" t="s">
        <v>624</v>
      </c>
      <c r="Y1" s="545" t="s">
        <v>625</v>
      </c>
      <c r="Z1" s="545" t="s">
        <v>626</v>
      </c>
      <c r="AA1" s="545" t="s">
        <v>627</v>
      </c>
      <c r="AB1" s="545" t="s">
        <v>628</v>
      </c>
      <c r="AC1" s="545" t="s">
        <v>629</v>
      </c>
      <c r="AD1" s="545" t="s">
        <v>630</v>
      </c>
      <c r="AE1" s="545" t="s">
        <v>631</v>
      </c>
      <c r="AF1" s="545" t="s">
        <v>632</v>
      </c>
      <c r="AG1" s="545" t="s">
        <v>633</v>
      </c>
      <c r="AH1" s="545" t="s">
        <v>634</v>
      </c>
      <c r="AI1" s="545" t="s">
        <v>635</v>
      </c>
      <c r="AJ1" s="545" t="s">
        <v>636</v>
      </c>
      <c r="AK1" s="545" t="s">
        <v>637</v>
      </c>
      <c r="AL1" s="545" t="s">
        <v>638</v>
      </c>
      <c r="AM1" s="545" t="s">
        <v>639</v>
      </c>
      <c r="AN1" s="545" t="s">
        <v>640</v>
      </c>
      <c r="AO1" s="545" t="s">
        <v>537</v>
      </c>
      <c r="AP1" s="545" t="s">
        <v>2529</v>
      </c>
      <c r="AQ1" s="545" t="s">
        <v>2530</v>
      </c>
      <c r="AR1" s="545" t="s">
        <v>2531</v>
      </c>
      <c r="AS1" s="545" t="s">
        <v>2532</v>
      </c>
      <c r="AT1" s="545" t="s">
        <v>644</v>
      </c>
      <c r="AU1" s="545" t="s">
        <v>645</v>
      </c>
      <c r="AV1" s="545" t="s">
        <v>646</v>
      </c>
      <c r="AW1" s="548" t="s">
        <v>2533</v>
      </c>
    </row>
    <row r="2" ht="22.5" customHeight="1">
      <c r="A2" s="538">
        <v>1.0</v>
      </c>
      <c r="B2" s="538" t="s">
        <v>2534</v>
      </c>
      <c r="C2" s="538" t="s">
        <v>597</v>
      </c>
      <c r="D2" s="538" t="s">
        <v>331</v>
      </c>
      <c r="F2" s="538" t="s">
        <v>151</v>
      </c>
      <c r="G2" s="538" t="s">
        <v>250</v>
      </c>
      <c r="H2" s="538" t="s">
        <v>122</v>
      </c>
      <c r="I2" s="538" t="s">
        <v>2535</v>
      </c>
      <c r="J2" s="538" t="s">
        <v>2536</v>
      </c>
      <c r="K2" s="538" t="b">
        <v>0</v>
      </c>
      <c r="L2" s="538" t="b">
        <v>1</v>
      </c>
      <c r="M2" s="538" t="s">
        <v>79</v>
      </c>
      <c r="N2" s="538" t="s">
        <v>331</v>
      </c>
      <c r="O2" s="538" t="s">
        <v>79</v>
      </c>
      <c r="P2" s="538" t="s">
        <v>331</v>
      </c>
      <c r="Q2" s="538" t="s">
        <v>79</v>
      </c>
      <c r="R2" s="538" t="s">
        <v>331</v>
      </c>
      <c r="S2" s="538" t="s">
        <v>79</v>
      </c>
      <c r="T2" s="538" t="s">
        <v>331</v>
      </c>
      <c r="U2" s="538" t="s">
        <v>79</v>
      </c>
      <c r="V2" s="538" t="s">
        <v>331</v>
      </c>
      <c r="W2" s="538" t="s">
        <v>79</v>
      </c>
      <c r="X2" s="538" t="s">
        <v>331</v>
      </c>
      <c r="Y2" s="538" t="s">
        <v>79</v>
      </c>
      <c r="Z2" s="538" t="s">
        <v>331</v>
      </c>
      <c r="AA2" s="538" t="s">
        <v>79</v>
      </c>
      <c r="AB2" s="538" t="s">
        <v>331</v>
      </c>
      <c r="AC2" s="538" t="s">
        <v>79</v>
      </c>
      <c r="AD2" s="538" t="s">
        <v>331</v>
      </c>
      <c r="AE2" s="538" t="s">
        <v>79</v>
      </c>
      <c r="AF2" s="538" t="s">
        <v>331</v>
      </c>
      <c r="AG2" s="538" t="s">
        <v>79</v>
      </c>
      <c r="AH2" s="538" t="s">
        <v>331</v>
      </c>
      <c r="AI2" s="538" t="s">
        <v>79</v>
      </c>
      <c r="AJ2" s="538" t="s">
        <v>331</v>
      </c>
      <c r="AK2" s="538" t="s">
        <v>79</v>
      </c>
      <c r="AL2" s="538" t="s">
        <v>331</v>
      </c>
      <c r="AM2" s="538" t="s">
        <v>73</v>
      </c>
      <c r="AO2" s="538">
        <v>3.64965504E9</v>
      </c>
      <c r="AP2" s="538">
        <v>1.0</v>
      </c>
      <c r="AQ2" s="538">
        <v>1.941930528E9</v>
      </c>
      <c r="AR2" s="538">
        <v>1.0</v>
      </c>
      <c r="AS2" s="538" t="s">
        <v>41</v>
      </c>
    </row>
    <row r="3" ht="22.5" customHeight="1">
      <c r="A3" s="538">
        <v>2.0</v>
      </c>
      <c r="B3" s="538" t="s">
        <v>2534</v>
      </c>
      <c r="C3" s="538" t="s">
        <v>597</v>
      </c>
      <c r="D3" s="538" t="s">
        <v>268</v>
      </c>
      <c r="F3" s="538" t="s">
        <v>151</v>
      </c>
      <c r="G3" s="538" t="s">
        <v>250</v>
      </c>
      <c r="H3" s="538" t="s">
        <v>122</v>
      </c>
      <c r="J3" s="538" t="s">
        <v>2537</v>
      </c>
      <c r="K3" s="538" t="b">
        <v>0</v>
      </c>
      <c r="L3" s="538" t="b">
        <v>1</v>
      </c>
      <c r="M3" s="538" t="s">
        <v>79</v>
      </c>
      <c r="N3" s="538" t="s">
        <v>268</v>
      </c>
      <c r="O3" s="538" t="s">
        <v>79</v>
      </c>
      <c r="P3" s="538" t="s">
        <v>268</v>
      </c>
      <c r="Q3" s="538" t="s">
        <v>79</v>
      </c>
      <c r="R3" s="538" t="s">
        <v>268</v>
      </c>
      <c r="S3" s="538" t="s">
        <v>79</v>
      </c>
      <c r="T3" s="538" t="s">
        <v>268</v>
      </c>
      <c r="U3" s="538" t="s">
        <v>79</v>
      </c>
      <c r="V3" s="538" t="s">
        <v>268</v>
      </c>
      <c r="W3" s="538" t="s">
        <v>79</v>
      </c>
      <c r="X3" s="538" t="s">
        <v>268</v>
      </c>
      <c r="Y3" s="538" t="s">
        <v>79</v>
      </c>
      <c r="Z3" s="538" t="s">
        <v>268</v>
      </c>
      <c r="AA3" s="538" t="s">
        <v>79</v>
      </c>
      <c r="AB3" s="538" t="s">
        <v>268</v>
      </c>
      <c r="AC3" s="538" t="s">
        <v>79</v>
      </c>
      <c r="AD3" s="538" t="s">
        <v>268</v>
      </c>
      <c r="AE3" s="538" t="s">
        <v>79</v>
      </c>
      <c r="AF3" s="538" t="s">
        <v>268</v>
      </c>
      <c r="AG3" s="538" t="s">
        <v>79</v>
      </c>
      <c r="AH3" s="538" t="s">
        <v>268</v>
      </c>
      <c r="AI3" s="538" t="s">
        <v>79</v>
      </c>
      <c r="AJ3" s="538" t="s">
        <v>268</v>
      </c>
      <c r="AK3" s="538" t="s">
        <v>79</v>
      </c>
      <c r="AL3" s="538" t="s">
        <v>268</v>
      </c>
      <c r="AM3" s="538" t="s">
        <v>73</v>
      </c>
      <c r="AO3" s="538">
        <v>3.498848461E9</v>
      </c>
      <c r="AP3" s="538">
        <v>2.0</v>
      </c>
      <c r="AQ3" s="538">
        <v>1.941930528E9</v>
      </c>
      <c r="AR3" s="538">
        <v>1.0</v>
      </c>
      <c r="AS3" s="538" t="s">
        <v>41</v>
      </c>
    </row>
    <row r="4" ht="22.5" customHeight="1">
      <c r="A4" s="538">
        <v>3.0</v>
      </c>
      <c r="B4" s="538" t="s">
        <v>2538</v>
      </c>
      <c r="C4" s="538" t="s">
        <v>597</v>
      </c>
      <c r="D4" s="538" t="s">
        <v>310</v>
      </c>
      <c r="F4" s="538" t="s">
        <v>151</v>
      </c>
      <c r="G4" s="538" t="s">
        <v>250</v>
      </c>
      <c r="H4" s="538" t="s">
        <v>122</v>
      </c>
      <c r="J4" s="538" t="s">
        <v>2539</v>
      </c>
      <c r="K4" s="538" t="b">
        <v>0</v>
      </c>
      <c r="L4" s="538" t="b">
        <v>1</v>
      </c>
      <c r="M4" s="538" t="s">
        <v>73</v>
      </c>
      <c r="O4" s="538" t="s">
        <v>73</v>
      </c>
      <c r="Q4" s="538" t="s">
        <v>73</v>
      </c>
      <c r="S4" s="538" t="s">
        <v>73</v>
      </c>
      <c r="U4" s="538" t="s">
        <v>73</v>
      </c>
      <c r="W4" s="538" t="s">
        <v>73</v>
      </c>
      <c r="Y4" s="538" t="s">
        <v>73</v>
      </c>
      <c r="AA4" s="538" t="s">
        <v>73</v>
      </c>
      <c r="AC4" s="538" t="s">
        <v>73</v>
      </c>
      <c r="AE4" s="538" t="s">
        <v>73</v>
      </c>
      <c r="AG4" s="538" t="s">
        <v>73</v>
      </c>
      <c r="AI4" s="538" t="s">
        <v>73</v>
      </c>
      <c r="AK4" s="538" t="s">
        <v>79</v>
      </c>
      <c r="AL4" s="538" t="s">
        <v>310</v>
      </c>
      <c r="AM4" s="538" t="s">
        <v>79</v>
      </c>
      <c r="AN4" s="538" t="s">
        <v>310</v>
      </c>
      <c r="AO4" s="538">
        <v>4.88045092E8</v>
      </c>
      <c r="AP4" s="538">
        <v>1.0</v>
      </c>
      <c r="AQ4" s="538">
        <v>4.82782456E8</v>
      </c>
      <c r="AR4" s="538">
        <v>2.0</v>
      </c>
      <c r="AS4" s="538" t="s">
        <v>41</v>
      </c>
    </row>
    <row r="5" ht="22.5" customHeight="1">
      <c r="A5" s="538">
        <v>4.0</v>
      </c>
      <c r="B5" s="538" t="s">
        <v>2538</v>
      </c>
      <c r="C5" s="538" t="s">
        <v>597</v>
      </c>
      <c r="D5" s="538" t="s">
        <v>363</v>
      </c>
      <c r="F5" s="538" t="s">
        <v>151</v>
      </c>
      <c r="G5" s="538" t="s">
        <v>250</v>
      </c>
      <c r="H5" s="538" t="s">
        <v>122</v>
      </c>
      <c r="J5" s="538" t="s">
        <v>2540</v>
      </c>
      <c r="K5" s="538" t="b">
        <v>0</v>
      </c>
      <c r="L5" s="538" t="b">
        <v>1</v>
      </c>
      <c r="M5" s="538" t="s">
        <v>73</v>
      </c>
      <c r="O5" s="538" t="s">
        <v>73</v>
      </c>
      <c r="Q5" s="538" t="s">
        <v>73</v>
      </c>
      <c r="S5" s="538" t="s">
        <v>73</v>
      </c>
      <c r="U5" s="538" t="s">
        <v>73</v>
      </c>
      <c r="W5" s="538" t="s">
        <v>73</v>
      </c>
      <c r="Y5" s="538" t="s">
        <v>73</v>
      </c>
      <c r="AA5" s="538" t="s">
        <v>73</v>
      </c>
      <c r="AC5" s="538" t="s">
        <v>73</v>
      </c>
      <c r="AE5" s="538" t="s">
        <v>73</v>
      </c>
      <c r="AG5" s="538" t="s">
        <v>73</v>
      </c>
      <c r="AI5" s="538" t="s">
        <v>73</v>
      </c>
      <c r="AK5" s="538" t="s">
        <v>79</v>
      </c>
      <c r="AL5" s="538" t="s">
        <v>363</v>
      </c>
      <c r="AM5" s="538" t="s">
        <v>79</v>
      </c>
      <c r="AN5" s="538" t="s">
        <v>363</v>
      </c>
      <c r="AO5" s="538">
        <v>3.207768523E9</v>
      </c>
      <c r="AP5" s="538">
        <v>2.0</v>
      </c>
      <c r="AQ5" s="538">
        <v>4.82782456E8</v>
      </c>
      <c r="AR5" s="538">
        <v>2.0</v>
      </c>
      <c r="AS5" s="538" t="s">
        <v>41</v>
      </c>
    </row>
    <row r="6" ht="22.5" customHeight="1">
      <c r="A6" s="538">
        <v>5.0</v>
      </c>
      <c r="B6" s="538" t="s">
        <v>2541</v>
      </c>
      <c r="C6" s="538" t="s">
        <v>597</v>
      </c>
      <c r="D6" s="538" t="s">
        <v>218</v>
      </c>
      <c r="E6" s="538" t="s">
        <v>1688</v>
      </c>
      <c r="F6" s="538" t="s">
        <v>163</v>
      </c>
      <c r="G6" s="538" t="s">
        <v>250</v>
      </c>
      <c r="H6" s="538" t="s">
        <v>122</v>
      </c>
      <c r="J6" s="538" t="s">
        <v>2542</v>
      </c>
      <c r="K6" s="538" t="b">
        <v>0</v>
      </c>
      <c r="L6" s="538" t="b">
        <v>1</v>
      </c>
      <c r="M6" s="538" t="s">
        <v>79</v>
      </c>
      <c r="N6" s="538" t="s">
        <v>228</v>
      </c>
      <c r="O6" s="538" t="s">
        <v>79</v>
      </c>
      <c r="P6" s="538" t="s">
        <v>228</v>
      </c>
      <c r="Q6" s="538" t="s">
        <v>73</v>
      </c>
      <c r="S6" s="538" t="s">
        <v>73</v>
      </c>
      <c r="U6" s="538" t="s">
        <v>79</v>
      </c>
      <c r="V6" s="538" t="s">
        <v>228</v>
      </c>
      <c r="W6" s="538" t="s">
        <v>73</v>
      </c>
      <c r="Y6" s="538" t="s">
        <v>79</v>
      </c>
      <c r="Z6" s="538" t="s">
        <v>377</v>
      </c>
      <c r="AA6" s="538" t="s">
        <v>79</v>
      </c>
      <c r="AB6" s="538" t="s">
        <v>377</v>
      </c>
      <c r="AC6" s="538" t="s">
        <v>79</v>
      </c>
      <c r="AD6" s="538" t="s">
        <v>228</v>
      </c>
      <c r="AE6" s="538" t="s">
        <v>79</v>
      </c>
      <c r="AF6" s="538" t="s">
        <v>377</v>
      </c>
      <c r="AG6" s="538" t="s">
        <v>79</v>
      </c>
      <c r="AH6" s="538" t="s">
        <v>228</v>
      </c>
      <c r="AI6" s="538" t="s">
        <v>79</v>
      </c>
      <c r="AJ6" s="538" t="s">
        <v>228</v>
      </c>
      <c r="AK6" s="538" t="s">
        <v>79</v>
      </c>
      <c r="AL6" s="538" t="s">
        <v>218</v>
      </c>
      <c r="AM6" s="538" t="s">
        <v>79</v>
      </c>
      <c r="AN6" s="538" t="s">
        <v>218</v>
      </c>
      <c r="AO6" s="538">
        <v>5.2715685E7</v>
      </c>
      <c r="AP6" s="538">
        <v>1.0</v>
      </c>
      <c r="AQ6" s="538">
        <v>3.126332652E9</v>
      </c>
      <c r="AR6" s="538">
        <v>3.0</v>
      </c>
      <c r="AS6" s="538" t="s">
        <v>41</v>
      </c>
    </row>
    <row r="7" ht="22.5" customHeight="1">
      <c r="A7" s="538">
        <v>6.0</v>
      </c>
      <c r="B7" s="538" t="s">
        <v>2541</v>
      </c>
      <c r="C7" s="538" t="s">
        <v>597</v>
      </c>
      <c r="D7" s="538" t="s">
        <v>286</v>
      </c>
      <c r="F7" s="538" t="s">
        <v>151</v>
      </c>
      <c r="G7" s="538" t="s">
        <v>250</v>
      </c>
      <c r="H7" s="538" t="s">
        <v>122</v>
      </c>
      <c r="J7" s="538" t="s">
        <v>2543</v>
      </c>
      <c r="K7" s="538" t="b">
        <v>0</v>
      </c>
      <c r="L7" s="538" t="b">
        <v>1</v>
      </c>
      <c r="M7" s="538" t="s">
        <v>79</v>
      </c>
      <c r="N7" s="538" t="s">
        <v>286</v>
      </c>
      <c r="O7" s="538" t="s">
        <v>79</v>
      </c>
      <c r="P7" s="538" t="s">
        <v>286</v>
      </c>
      <c r="Q7" s="538" t="s">
        <v>79</v>
      </c>
      <c r="R7" s="538" t="s">
        <v>286</v>
      </c>
      <c r="S7" s="538" t="s">
        <v>79</v>
      </c>
      <c r="T7" s="538" t="s">
        <v>286</v>
      </c>
      <c r="U7" s="538" t="s">
        <v>79</v>
      </c>
      <c r="V7" s="538" t="s">
        <v>286</v>
      </c>
      <c r="W7" s="538" t="s">
        <v>79</v>
      </c>
      <c r="X7" s="538" t="s">
        <v>286</v>
      </c>
      <c r="Y7" s="538" t="s">
        <v>79</v>
      </c>
      <c r="Z7" s="538" t="s">
        <v>286</v>
      </c>
      <c r="AA7" s="538" t="s">
        <v>79</v>
      </c>
      <c r="AB7" s="538" t="s">
        <v>286</v>
      </c>
      <c r="AC7" s="538" t="s">
        <v>79</v>
      </c>
      <c r="AD7" s="538" t="s">
        <v>286</v>
      </c>
      <c r="AE7" s="538" t="s">
        <v>79</v>
      </c>
      <c r="AF7" s="538" t="s">
        <v>286</v>
      </c>
      <c r="AG7" s="538" t="s">
        <v>79</v>
      </c>
      <c r="AH7" s="538" t="s">
        <v>286</v>
      </c>
      <c r="AI7" s="538" t="s">
        <v>79</v>
      </c>
      <c r="AJ7" s="538" t="s">
        <v>286</v>
      </c>
      <c r="AK7" s="538" t="s">
        <v>79</v>
      </c>
      <c r="AL7" s="538" t="s">
        <v>286</v>
      </c>
      <c r="AM7" s="538" t="s">
        <v>73</v>
      </c>
      <c r="AO7" s="538">
        <v>2.789756285E9</v>
      </c>
      <c r="AP7" s="538">
        <v>2.0</v>
      </c>
      <c r="AQ7" s="538">
        <v>3.126332652E9</v>
      </c>
      <c r="AR7" s="538">
        <v>3.0</v>
      </c>
      <c r="AS7" s="538" t="s">
        <v>41</v>
      </c>
    </row>
    <row r="8" ht="22.5" customHeight="1">
      <c r="A8" s="538">
        <v>7.0</v>
      </c>
      <c r="B8" s="538" t="s">
        <v>2544</v>
      </c>
      <c r="C8" s="538" t="s">
        <v>597</v>
      </c>
      <c r="D8" s="538" t="s">
        <v>218</v>
      </c>
      <c r="E8" s="538" t="s">
        <v>2545</v>
      </c>
      <c r="F8" s="538" t="s">
        <v>163</v>
      </c>
      <c r="G8" s="538" t="s">
        <v>250</v>
      </c>
      <c r="H8" s="538" t="s">
        <v>122</v>
      </c>
      <c r="J8" s="538" t="s">
        <v>2546</v>
      </c>
      <c r="K8" s="538" t="b">
        <v>0</v>
      </c>
      <c r="L8" s="538" t="b">
        <v>1</v>
      </c>
      <c r="M8" s="538" t="s">
        <v>79</v>
      </c>
      <c r="N8" s="538" t="s">
        <v>2545</v>
      </c>
      <c r="O8" s="538" t="s">
        <v>79</v>
      </c>
      <c r="P8" s="538" t="s">
        <v>2545</v>
      </c>
      <c r="Q8" s="538" t="s">
        <v>79</v>
      </c>
      <c r="R8" s="538" t="s">
        <v>2545</v>
      </c>
      <c r="S8" s="538" t="s">
        <v>79</v>
      </c>
      <c r="T8" s="538" t="s">
        <v>2545</v>
      </c>
      <c r="U8" s="538" t="s">
        <v>79</v>
      </c>
      <c r="V8" s="538" t="s">
        <v>2545</v>
      </c>
      <c r="W8" s="538" t="s">
        <v>79</v>
      </c>
      <c r="X8" s="538" t="s">
        <v>2545</v>
      </c>
      <c r="Y8" s="538" t="s">
        <v>79</v>
      </c>
      <c r="Z8" s="538" t="s">
        <v>2547</v>
      </c>
      <c r="AA8" s="538" t="s">
        <v>79</v>
      </c>
      <c r="AB8" s="538" t="s">
        <v>2547</v>
      </c>
      <c r="AC8" s="538" t="s">
        <v>79</v>
      </c>
      <c r="AD8" s="538" t="s">
        <v>2545</v>
      </c>
      <c r="AE8" s="538" t="s">
        <v>79</v>
      </c>
      <c r="AF8" s="538" t="s">
        <v>2545</v>
      </c>
      <c r="AG8" s="538" t="s">
        <v>79</v>
      </c>
      <c r="AH8" s="538" t="s">
        <v>2545</v>
      </c>
      <c r="AI8" s="538" t="s">
        <v>79</v>
      </c>
      <c r="AJ8" s="538" t="s">
        <v>2545</v>
      </c>
      <c r="AK8" s="538" t="s">
        <v>79</v>
      </c>
      <c r="AL8" s="538" t="s">
        <v>218</v>
      </c>
      <c r="AM8" s="538" t="s">
        <v>79</v>
      </c>
      <c r="AN8" s="538" t="s">
        <v>218</v>
      </c>
      <c r="AO8" s="538">
        <v>1.167602957E9</v>
      </c>
      <c r="AP8" s="538">
        <v>1.0</v>
      </c>
      <c r="AQ8" s="538">
        <v>2.788591552E9</v>
      </c>
      <c r="AR8" s="538">
        <v>4.0</v>
      </c>
      <c r="AS8" s="538" t="s">
        <v>45</v>
      </c>
    </row>
    <row r="9" ht="22.5" customHeight="1">
      <c r="A9" s="538">
        <v>8.0</v>
      </c>
      <c r="B9" s="538" t="s">
        <v>2544</v>
      </c>
      <c r="C9" s="538" t="s">
        <v>597</v>
      </c>
      <c r="D9" s="538" t="s">
        <v>231</v>
      </c>
      <c r="E9" s="538" t="s">
        <v>2545</v>
      </c>
      <c r="F9" s="538" t="s">
        <v>163</v>
      </c>
      <c r="G9" s="538" t="s">
        <v>250</v>
      </c>
      <c r="H9" s="538" t="s">
        <v>122</v>
      </c>
      <c r="J9" s="538" t="s">
        <v>2548</v>
      </c>
      <c r="K9" s="538" t="b">
        <v>0</v>
      </c>
      <c r="L9" s="538" t="b">
        <v>1</v>
      </c>
      <c r="M9" s="538" t="s">
        <v>79</v>
      </c>
      <c r="N9" s="538" t="s">
        <v>2545</v>
      </c>
      <c r="O9" s="538" t="s">
        <v>79</v>
      </c>
      <c r="P9" s="538" t="s">
        <v>2545</v>
      </c>
      <c r="Q9" s="538" t="s">
        <v>79</v>
      </c>
      <c r="R9" s="538" t="s">
        <v>2545</v>
      </c>
      <c r="S9" s="538" t="s">
        <v>79</v>
      </c>
      <c r="T9" s="538" t="s">
        <v>2545</v>
      </c>
      <c r="U9" s="538" t="s">
        <v>79</v>
      </c>
      <c r="V9" s="538" t="s">
        <v>2545</v>
      </c>
      <c r="W9" s="538" t="s">
        <v>79</v>
      </c>
      <c r="X9" s="538" t="s">
        <v>2545</v>
      </c>
      <c r="Y9" s="538" t="s">
        <v>79</v>
      </c>
      <c r="Z9" s="538" t="s">
        <v>2547</v>
      </c>
      <c r="AA9" s="538" t="s">
        <v>79</v>
      </c>
      <c r="AB9" s="538" t="s">
        <v>2547</v>
      </c>
      <c r="AC9" s="538" t="s">
        <v>79</v>
      </c>
      <c r="AD9" s="538" t="s">
        <v>2545</v>
      </c>
      <c r="AE9" s="538" t="s">
        <v>79</v>
      </c>
      <c r="AF9" s="538" t="s">
        <v>2545</v>
      </c>
      <c r="AG9" s="538" t="s">
        <v>79</v>
      </c>
      <c r="AH9" s="538" t="s">
        <v>2545</v>
      </c>
      <c r="AI9" s="538" t="s">
        <v>79</v>
      </c>
      <c r="AJ9" s="538" t="s">
        <v>2545</v>
      </c>
      <c r="AK9" s="538" t="s">
        <v>79</v>
      </c>
      <c r="AL9" s="538" t="s">
        <v>231</v>
      </c>
      <c r="AM9" s="538" t="s">
        <v>79</v>
      </c>
      <c r="AN9" s="538" t="s">
        <v>231</v>
      </c>
      <c r="AO9" s="538">
        <v>2.657192585E9</v>
      </c>
      <c r="AP9" s="538">
        <v>2.0</v>
      </c>
      <c r="AQ9" s="538">
        <v>2.788591552E9</v>
      </c>
      <c r="AR9" s="538">
        <v>4.0</v>
      </c>
      <c r="AS9" s="538" t="s">
        <v>45</v>
      </c>
    </row>
    <row r="10" ht="22.5" customHeight="1">
      <c r="A10" s="538">
        <v>9.0</v>
      </c>
      <c r="B10" s="538" t="s">
        <v>2544</v>
      </c>
      <c r="C10" s="538" t="s">
        <v>597</v>
      </c>
      <c r="D10" s="538" t="s">
        <v>295</v>
      </c>
      <c r="E10" s="538" t="s">
        <v>2545</v>
      </c>
      <c r="F10" s="538" t="s">
        <v>163</v>
      </c>
      <c r="G10" s="538" t="s">
        <v>250</v>
      </c>
      <c r="H10" s="538" t="s">
        <v>155</v>
      </c>
      <c r="J10" s="538" t="s">
        <v>2549</v>
      </c>
      <c r="K10" s="538" t="b">
        <v>0</v>
      </c>
      <c r="L10" s="538" t="b">
        <v>1</v>
      </c>
      <c r="M10" s="538" t="s">
        <v>79</v>
      </c>
      <c r="N10" s="538" t="s">
        <v>2545</v>
      </c>
      <c r="O10" s="538" t="s">
        <v>79</v>
      </c>
      <c r="P10" s="538" t="s">
        <v>2545</v>
      </c>
      <c r="Q10" s="538" t="s">
        <v>79</v>
      </c>
      <c r="R10" s="538" t="s">
        <v>2545</v>
      </c>
      <c r="S10" s="538" t="s">
        <v>79</v>
      </c>
      <c r="T10" s="538" t="s">
        <v>2545</v>
      </c>
      <c r="U10" s="538" t="s">
        <v>79</v>
      </c>
      <c r="V10" s="538" t="s">
        <v>2545</v>
      </c>
      <c r="W10" s="538" t="s">
        <v>79</v>
      </c>
      <c r="X10" s="538" t="s">
        <v>2545</v>
      </c>
      <c r="Y10" s="538" t="s">
        <v>79</v>
      </c>
      <c r="Z10" s="538" t="s">
        <v>2547</v>
      </c>
      <c r="AA10" s="538" t="s">
        <v>79</v>
      </c>
      <c r="AB10" s="538" t="s">
        <v>2547</v>
      </c>
      <c r="AC10" s="538" t="s">
        <v>79</v>
      </c>
      <c r="AD10" s="538" t="s">
        <v>2545</v>
      </c>
      <c r="AE10" s="538" t="s">
        <v>79</v>
      </c>
      <c r="AF10" s="538" t="s">
        <v>2545</v>
      </c>
      <c r="AG10" s="538" t="s">
        <v>79</v>
      </c>
      <c r="AH10" s="538" t="s">
        <v>2545</v>
      </c>
      <c r="AI10" s="538" t="s">
        <v>79</v>
      </c>
      <c r="AJ10" s="538" t="s">
        <v>2545</v>
      </c>
      <c r="AK10" s="538" t="s">
        <v>79</v>
      </c>
      <c r="AL10" s="538" t="s">
        <v>295</v>
      </c>
      <c r="AM10" s="538" t="s">
        <v>79</v>
      </c>
      <c r="AN10" s="538" t="s">
        <v>295</v>
      </c>
      <c r="AO10" s="538">
        <v>4.232340445E9</v>
      </c>
      <c r="AP10" s="538">
        <v>3.0</v>
      </c>
      <c r="AQ10" s="538">
        <v>2.788591552E9</v>
      </c>
      <c r="AR10" s="538">
        <v>4.0</v>
      </c>
      <c r="AS10" s="538" t="s">
        <v>45</v>
      </c>
    </row>
    <row r="11" ht="22.5" customHeight="1">
      <c r="A11" s="538">
        <v>10.0</v>
      </c>
      <c r="B11" s="538" t="s">
        <v>2550</v>
      </c>
      <c r="C11" s="538" t="s">
        <v>597</v>
      </c>
      <c r="D11" s="538" t="s">
        <v>363</v>
      </c>
      <c r="F11" s="538" t="s">
        <v>151</v>
      </c>
      <c r="G11" s="538" t="s">
        <v>250</v>
      </c>
      <c r="H11" s="538" t="s">
        <v>122</v>
      </c>
      <c r="J11" s="538" t="s">
        <v>2540</v>
      </c>
      <c r="K11" s="538" t="b">
        <v>0</v>
      </c>
      <c r="L11" s="538" t="b">
        <v>1</v>
      </c>
      <c r="M11" s="538" t="s">
        <v>73</v>
      </c>
      <c r="O11" s="538" t="s">
        <v>73</v>
      </c>
      <c r="Q11" s="538" t="s">
        <v>73</v>
      </c>
      <c r="S11" s="538" t="s">
        <v>73</v>
      </c>
      <c r="U11" s="538" t="s">
        <v>73</v>
      </c>
      <c r="W11" s="538" t="s">
        <v>73</v>
      </c>
      <c r="Y11" s="538" t="s">
        <v>73</v>
      </c>
      <c r="AA11" s="538" t="s">
        <v>73</v>
      </c>
      <c r="AC11" s="538" t="s">
        <v>73</v>
      </c>
      <c r="AE11" s="538" t="s">
        <v>73</v>
      </c>
      <c r="AG11" s="538" t="s">
        <v>73</v>
      </c>
      <c r="AI11" s="538" t="s">
        <v>73</v>
      </c>
      <c r="AK11" s="538" t="s">
        <v>79</v>
      </c>
      <c r="AL11" s="538" t="s">
        <v>363</v>
      </c>
      <c r="AM11" s="538" t="s">
        <v>79</v>
      </c>
      <c r="AN11" s="538" t="s">
        <v>363</v>
      </c>
      <c r="AO11" s="538">
        <v>1.545583564E9</v>
      </c>
      <c r="AP11" s="538">
        <v>1.0</v>
      </c>
      <c r="AQ11" s="538">
        <v>1.151304323E9</v>
      </c>
      <c r="AR11" s="538">
        <v>5.0</v>
      </c>
      <c r="AS11" s="538" t="s">
        <v>45</v>
      </c>
    </row>
    <row r="12" ht="22.5" customHeight="1">
      <c r="A12" s="538">
        <v>11.0</v>
      </c>
      <c r="B12" s="538" t="s">
        <v>2550</v>
      </c>
      <c r="C12" s="538" t="s">
        <v>597</v>
      </c>
      <c r="D12" s="538" t="s">
        <v>292</v>
      </c>
      <c r="E12" s="538" t="s">
        <v>233</v>
      </c>
      <c r="F12" s="538" t="s">
        <v>163</v>
      </c>
      <c r="G12" s="538" t="s">
        <v>250</v>
      </c>
      <c r="H12" s="538" t="s">
        <v>155</v>
      </c>
      <c r="I12" s="538" t="s">
        <v>263</v>
      </c>
      <c r="J12" s="538" t="s">
        <v>2551</v>
      </c>
      <c r="K12" s="538" t="b">
        <v>0</v>
      </c>
      <c r="L12" s="538" t="b">
        <v>1</v>
      </c>
      <c r="M12" s="538" t="s">
        <v>79</v>
      </c>
      <c r="N12" s="538" t="s">
        <v>233</v>
      </c>
      <c r="O12" s="538" t="s">
        <v>79</v>
      </c>
      <c r="P12" s="538" t="s">
        <v>233</v>
      </c>
      <c r="Q12" s="538" t="s">
        <v>75</v>
      </c>
      <c r="R12" s="538" t="s">
        <v>2552</v>
      </c>
      <c r="S12" s="538" t="s">
        <v>75</v>
      </c>
      <c r="T12" s="538" t="s">
        <v>2552</v>
      </c>
      <c r="U12" s="538" t="s">
        <v>75</v>
      </c>
      <c r="V12" s="538" t="s">
        <v>2552</v>
      </c>
      <c r="W12" s="538" t="s">
        <v>75</v>
      </c>
      <c r="X12" s="538" t="s">
        <v>2552</v>
      </c>
      <c r="Y12" s="538" t="s">
        <v>75</v>
      </c>
      <c r="Z12" s="538" t="s">
        <v>2552</v>
      </c>
      <c r="AA12" s="538" t="s">
        <v>75</v>
      </c>
      <c r="AB12" s="538" t="s">
        <v>2552</v>
      </c>
      <c r="AC12" s="538" t="s">
        <v>75</v>
      </c>
      <c r="AD12" s="538" t="s">
        <v>2552</v>
      </c>
      <c r="AE12" s="538" t="s">
        <v>79</v>
      </c>
      <c r="AF12" s="538" t="s">
        <v>233</v>
      </c>
      <c r="AG12" s="538" t="s">
        <v>79</v>
      </c>
      <c r="AH12" s="538" t="s">
        <v>233</v>
      </c>
      <c r="AI12" s="538" t="s">
        <v>79</v>
      </c>
      <c r="AJ12" s="538" t="s">
        <v>233</v>
      </c>
      <c r="AK12" s="538" t="s">
        <v>79</v>
      </c>
      <c r="AL12" s="538" t="s">
        <v>292</v>
      </c>
      <c r="AM12" s="538" t="s">
        <v>79</v>
      </c>
      <c r="AN12" s="538" t="s">
        <v>292</v>
      </c>
      <c r="AO12" s="538">
        <v>1.75024905E8</v>
      </c>
      <c r="AP12" s="538">
        <v>2.0</v>
      </c>
      <c r="AQ12" s="538">
        <v>1.151304323E9</v>
      </c>
      <c r="AR12" s="538">
        <v>5.0</v>
      </c>
      <c r="AS12" s="538" t="s">
        <v>45</v>
      </c>
      <c r="AV12" s="538" t="s">
        <v>2552</v>
      </c>
    </row>
    <row r="13" ht="22.5" customHeight="1">
      <c r="A13" s="538">
        <v>12.0</v>
      </c>
      <c r="B13" s="538" t="s">
        <v>2550</v>
      </c>
      <c r="C13" s="538" t="s">
        <v>597</v>
      </c>
      <c r="D13" s="538" t="s">
        <v>292</v>
      </c>
      <c r="E13" s="538" t="s">
        <v>233</v>
      </c>
      <c r="F13" s="538" t="s">
        <v>163</v>
      </c>
      <c r="G13" s="538" t="s">
        <v>250</v>
      </c>
      <c r="H13" s="538" t="s">
        <v>155</v>
      </c>
      <c r="I13" s="538" t="s">
        <v>2553</v>
      </c>
      <c r="J13" s="538" t="s">
        <v>2554</v>
      </c>
      <c r="K13" s="538" t="b">
        <v>0</v>
      </c>
      <c r="L13" s="538" t="b">
        <v>1</v>
      </c>
      <c r="M13" s="538" t="s">
        <v>79</v>
      </c>
      <c r="N13" s="538" t="s">
        <v>233</v>
      </c>
      <c r="O13" s="538" t="s">
        <v>79</v>
      </c>
      <c r="P13" s="538" t="s">
        <v>233</v>
      </c>
      <c r="Q13" s="538" t="s">
        <v>75</v>
      </c>
      <c r="R13" s="538" t="s">
        <v>2555</v>
      </c>
      <c r="S13" s="538" t="s">
        <v>75</v>
      </c>
      <c r="T13" s="538" t="s">
        <v>2555</v>
      </c>
      <c r="U13" s="538" t="s">
        <v>75</v>
      </c>
      <c r="V13" s="538" t="s">
        <v>2555</v>
      </c>
      <c r="W13" s="538" t="s">
        <v>75</v>
      </c>
      <c r="X13" s="538" t="s">
        <v>2555</v>
      </c>
      <c r="Y13" s="538" t="s">
        <v>75</v>
      </c>
      <c r="Z13" s="538" t="s">
        <v>2555</v>
      </c>
      <c r="AA13" s="538" t="s">
        <v>75</v>
      </c>
      <c r="AB13" s="538" t="s">
        <v>2555</v>
      </c>
      <c r="AC13" s="538" t="s">
        <v>75</v>
      </c>
      <c r="AD13" s="538" t="s">
        <v>2555</v>
      </c>
      <c r="AE13" s="538" t="s">
        <v>79</v>
      </c>
      <c r="AF13" s="538" t="s">
        <v>233</v>
      </c>
      <c r="AG13" s="538" t="s">
        <v>79</v>
      </c>
      <c r="AH13" s="538" t="s">
        <v>233</v>
      </c>
      <c r="AI13" s="538" t="s">
        <v>79</v>
      </c>
      <c r="AJ13" s="538" t="s">
        <v>233</v>
      </c>
      <c r="AK13" s="538" t="s">
        <v>79</v>
      </c>
      <c r="AL13" s="538" t="s">
        <v>292</v>
      </c>
      <c r="AM13" s="538" t="s">
        <v>79</v>
      </c>
      <c r="AN13" s="538" t="s">
        <v>292</v>
      </c>
      <c r="AO13" s="538">
        <v>7.01484054E8</v>
      </c>
      <c r="AP13" s="538">
        <v>3.0</v>
      </c>
      <c r="AQ13" s="538">
        <v>1.151304323E9</v>
      </c>
      <c r="AR13" s="538">
        <v>5.0</v>
      </c>
      <c r="AS13" s="538" t="s">
        <v>45</v>
      </c>
      <c r="AV13" s="538" t="s">
        <v>2555</v>
      </c>
    </row>
    <row r="14" ht="22.5" customHeight="1">
      <c r="A14" s="538">
        <v>13.0</v>
      </c>
      <c r="B14" s="538" t="s">
        <v>2556</v>
      </c>
      <c r="C14" s="538" t="s">
        <v>597</v>
      </c>
      <c r="D14" s="538" t="s">
        <v>292</v>
      </c>
      <c r="E14" s="538" t="s">
        <v>288</v>
      </c>
      <c r="F14" s="538" t="s">
        <v>163</v>
      </c>
      <c r="G14" s="538" t="s">
        <v>250</v>
      </c>
      <c r="H14" s="538" t="s">
        <v>155</v>
      </c>
      <c r="J14" s="538" t="s">
        <v>2557</v>
      </c>
      <c r="K14" s="538" t="b">
        <v>0</v>
      </c>
      <c r="L14" s="538" t="b">
        <v>1</v>
      </c>
      <c r="M14" s="538" t="s">
        <v>79</v>
      </c>
      <c r="N14" s="538" t="s">
        <v>288</v>
      </c>
      <c r="O14" s="538" t="s">
        <v>79</v>
      </c>
      <c r="P14" s="538" t="s">
        <v>288</v>
      </c>
      <c r="Q14" s="538" t="s">
        <v>79</v>
      </c>
      <c r="R14" s="538" t="s">
        <v>288</v>
      </c>
      <c r="S14" s="538" t="s">
        <v>79</v>
      </c>
      <c r="T14" s="538" t="s">
        <v>288</v>
      </c>
      <c r="U14" s="538" t="s">
        <v>79</v>
      </c>
      <c r="V14" s="538" t="s">
        <v>288</v>
      </c>
      <c r="W14" s="538" t="s">
        <v>79</v>
      </c>
      <c r="X14" s="538" t="s">
        <v>288</v>
      </c>
      <c r="Y14" s="538" t="s">
        <v>73</v>
      </c>
      <c r="AA14" s="538" t="s">
        <v>79</v>
      </c>
      <c r="AB14" s="538" t="s">
        <v>288</v>
      </c>
      <c r="AC14" s="538" t="s">
        <v>79</v>
      </c>
      <c r="AD14" s="538" t="s">
        <v>288</v>
      </c>
      <c r="AE14" s="538" t="s">
        <v>79</v>
      </c>
      <c r="AF14" s="538" t="s">
        <v>288</v>
      </c>
      <c r="AG14" s="538" t="s">
        <v>79</v>
      </c>
      <c r="AH14" s="538" t="s">
        <v>288</v>
      </c>
      <c r="AI14" s="538" t="s">
        <v>79</v>
      </c>
      <c r="AJ14" s="538" t="s">
        <v>288</v>
      </c>
      <c r="AK14" s="538" t="s">
        <v>79</v>
      </c>
      <c r="AL14" s="538" t="s">
        <v>292</v>
      </c>
      <c r="AM14" s="538" t="s">
        <v>79</v>
      </c>
      <c r="AN14" s="538" t="s">
        <v>292</v>
      </c>
      <c r="AO14" s="538">
        <v>7.54343173E8</v>
      </c>
      <c r="AP14" s="538">
        <v>1.0</v>
      </c>
      <c r="AQ14" s="538">
        <v>3.04473319E9</v>
      </c>
      <c r="AR14" s="538">
        <v>6.0</v>
      </c>
      <c r="AS14" s="538" t="s">
        <v>46</v>
      </c>
    </row>
    <row r="15" ht="22.5" customHeight="1">
      <c r="A15" s="538">
        <v>14.0</v>
      </c>
      <c r="B15" s="538" t="s">
        <v>2556</v>
      </c>
      <c r="C15" s="538" t="s">
        <v>597</v>
      </c>
      <c r="D15" s="538" t="s">
        <v>231</v>
      </c>
      <c r="E15" s="538" t="s">
        <v>288</v>
      </c>
      <c r="F15" s="538" t="s">
        <v>163</v>
      </c>
      <c r="G15" s="538" t="s">
        <v>250</v>
      </c>
      <c r="H15" s="538" t="s">
        <v>122</v>
      </c>
      <c r="J15" s="538" t="s">
        <v>2558</v>
      </c>
      <c r="K15" s="538" t="b">
        <v>0</v>
      </c>
      <c r="L15" s="538" t="b">
        <v>1</v>
      </c>
      <c r="M15" s="538" t="s">
        <v>79</v>
      </c>
      <c r="N15" s="538" t="s">
        <v>288</v>
      </c>
      <c r="O15" s="538" t="s">
        <v>79</v>
      </c>
      <c r="P15" s="538" t="s">
        <v>288</v>
      </c>
      <c r="Q15" s="538" t="s">
        <v>79</v>
      </c>
      <c r="R15" s="538" t="s">
        <v>288</v>
      </c>
      <c r="S15" s="538" t="s">
        <v>79</v>
      </c>
      <c r="T15" s="538" t="s">
        <v>288</v>
      </c>
      <c r="U15" s="538" t="s">
        <v>79</v>
      </c>
      <c r="V15" s="538" t="s">
        <v>288</v>
      </c>
      <c r="W15" s="538" t="s">
        <v>79</v>
      </c>
      <c r="X15" s="538" t="s">
        <v>288</v>
      </c>
      <c r="Y15" s="538" t="s">
        <v>73</v>
      </c>
      <c r="AA15" s="538" t="s">
        <v>79</v>
      </c>
      <c r="AB15" s="538" t="s">
        <v>288</v>
      </c>
      <c r="AC15" s="538" t="s">
        <v>79</v>
      </c>
      <c r="AD15" s="538" t="s">
        <v>288</v>
      </c>
      <c r="AE15" s="538" t="s">
        <v>79</v>
      </c>
      <c r="AF15" s="538" t="s">
        <v>288</v>
      </c>
      <c r="AG15" s="538" t="s">
        <v>79</v>
      </c>
      <c r="AH15" s="538" t="s">
        <v>288</v>
      </c>
      <c r="AI15" s="538" t="s">
        <v>79</v>
      </c>
      <c r="AJ15" s="538" t="s">
        <v>288</v>
      </c>
      <c r="AK15" s="538" t="s">
        <v>79</v>
      </c>
      <c r="AL15" s="538" t="s">
        <v>231</v>
      </c>
      <c r="AM15" s="538" t="s">
        <v>79</v>
      </c>
      <c r="AN15" s="538" t="s">
        <v>231</v>
      </c>
      <c r="AO15" s="538">
        <v>1.365575953E9</v>
      </c>
      <c r="AP15" s="538">
        <v>2.0</v>
      </c>
      <c r="AQ15" s="538">
        <v>3.04473319E9</v>
      </c>
      <c r="AR15" s="538">
        <v>6.0</v>
      </c>
      <c r="AS15" s="538" t="s">
        <v>46</v>
      </c>
    </row>
    <row r="16" ht="22.5" customHeight="1">
      <c r="A16" s="538">
        <v>15.0</v>
      </c>
      <c r="B16" s="538" t="s">
        <v>2556</v>
      </c>
      <c r="C16" s="538" t="s">
        <v>597</v>
      </c>
      <c r="D16" s="538" t="s">
        <v>223</v>
      </c>
      <c r="E16" s="538" t="s">
        <v>288</v>
      </c>
      <c r="F16" s="538" t="s">
        <v>163</v>
      </c>
      <c r="G16" s="538" t="s">
        <v>250</v>
      </c>
      <c r="H16" s="538" t="s">
        <v>122</v>
      </c>
      <c r="J16" s="538" t="s">
        <v>2559</v>
      </c>
      <c r="K16" s="538" t="b">
        <v>0</v>
      </c>
      <c r="L16" s="538" t="b">
        <v>1</v>
      </c>
      <c r="M16" s="538" t="s">
        <v>79</v>
      </c>
      <c r="N16" s="538" t="s">
        <v>288</v>
      </c>
      <c r="O16" s="538" t="s">
        <v>79</v>
      </c>
      <c r="P16" s="538" t="s">
        <v>288</v>
      </c>
      <c r="Q16" s="538" t="s">
        <v>79</v>
      </c>
      <c r="R16" s="538" t="s">
        <v>288</v>
      </c>
      <c r="S16" s="538" t="s">
        <v>79</v>
      </c>
      <c r="T16" s="538" t="s">
        <v>288</v>
      </c>
      <c r="U16" s="538" t="s">
        <v>79</v>
      </c>
      <c r="V16" s="538" t="s">
        <v>288</v>
      </c>
      <c r="W16" s="538" t="s">
        <v>79</v>
      </c>
      <c r="X16" s="538" t="s">
        <v>288</v>
      </c>
      <c r="Y16" s="538" t="s">
        <v>73</v>
      </c>
      <c r="AA16" s="538" t="s">
        <v>79</v>
      </c>
      <c r="AB16" s="538" t="s">
        <v>288</v>
      </c>
      <c r="AC16" s="538" t="s">
        <v>79</v>
      </c>
      <c r="AD16" s="538" t="s">
        <v>288</v>
      </c>
      <c r="AE16" s="538" t="s">
        <v>79</v>
      </c>
      <c r="AF16" s="538" t="s">
        <v>288</v>
      </c>
      <c r="AG16" s="538" t="s">
        <v>79</v>
      </c>
      <c r="AH16" s="538" t="s">
        <v>288</v>
      </c>
      <c r="AI16" s="538" t="s">
        <v>79</v>
      </c>
      <c r="AJ16" s="538" t="s">
        <v>288</v>
      </c>
      <c r="AK16" s="538" t="s">
        <v>79</v>
      </c>
      <c r="AL16" s="538" t="s">
        <v>223</v>
      </c>
      <c r="AM16" s="538" t="s">
        <v>79</v>
      </c>
      <c r="AN16" s="538" t="s">
        <v>223</v>
      </c>
      <c r="AO16" s="538">
        <v>7.73118145E8</v>
      </c>
      <c r="AP16" s="538">
        <v>3.0</v>
      </c>
      <c r="AQ16" s="538">
        <v>3.04473319E9</v>
      </c>
      <c r="AR16" s="538">
        <v>6.0</v>
      </c>
      <c r="AS16" s="538" t="s">
        <v>46</v>
      </c>
    </row>
    <row r="17" ht="22.5" customHeight="1">
      <c r="A17" s="538">
        <v>16.0</v>
      </c>
      <c r="B17" s="538" t="s">
        <v>2556</v>
      </c>
      <c r="C17" s="538" t="s">
        <v>597</v>
      </c>
      <c r="D17" s="538" t="s">
        <v>295</v>
      </c>
      <c r="E17" s="538" t="s">
        <v>288</v>
      </c>
      <c r="F17" s="538" t="s">
        <v>163</v>
      </c>
      <c r="G17" s="538" t="s">
        <v>250</v>
      </c>
      <c r="H17" s="538" t="s">
        <v>155</v>
      </c>
      <c r="J17" s="538" t="s">
        <v>2560</v>
      </c>
      <c r="K17" s="538" t="b">
        <v>0</v>
      </c>
      <c r="L17" s="538" t="b">
        <v>1</v>
      </c>
      <c r="M17" s="538" t="s">
        <v>79</v>
      </c>
      <c r="N17" s="538" t="s">
        <v>288</v>
      </c>
      <c r="O17" s="538" t="s">
        <v>79</v>
      </c>
      <c r="P17" s="538" t="s">
        <v>288</v>
      </c>
      <c r="Q17" s="538" t="s">
        <v>79</v>
      </c>
      <c r="R17" s="538" t="s">
        <v>288</v>
      </c>
      <c r="S17" s="538" t="s">
        <v>79</v>
      </c>
      <c r="T17" s="538" t="s">
        <v>288</v>
      </c>
      <c r="U17" s="538" t="s">
        <v>79</v>
      </c>
      <c r="V17" s="538" t="s">
        <v>288</v>
      </c>
      <c r="W17" s="538" t="s">
        <v>79</v>
      </c>
      <c r="X17" s="538" t="s">
        <v>288</v>
      </c>
      <c r="Y17" s="538" t="s">
        <v>73</v>
      </c>
      <c r="AA17" s="538" t="s">
        <v>79</v>
      </c>
      <c r="AB17" s="538" t="s">
        <v>288</v>
      </c>
      <c r="AC17" s="538" t="s">
        <v>79</v>
      </c>
      <c r="AD17" s="538" t="s">
        <v>288</v>
      </c>
      <c r="AE17" s="538" t="s">
        <v>79</v>
      </c>
      <c r="AF17" s="538" t="s">
        <v>288</v>
      </c>
      <c r="AG17" s="538" t="s">
        <v>79</v>
      </c>
      <c r="AH17" s="538" t="s">
        <v>288</v>
      </c>
      <c r="AI17" s="538" t="s">
        <v>79</v>
      </c>
      <c r="AJ17" s="538" t="s">
        <v>288</v>
      </c>
      <c r="AK17" s="538" t="s">
        <v>79</v>
      </c>
      <c r="AL17" s="538" t="s">
        <v>295</v>
      </c>
      <c r="AM17" s="538" t="s">
        <v>79</v>
      </c>
      <c r="AN17" s="538" t="s">
        <v>295</v>
      </c>
      <c r="AO17" s="538">
        <v>3.246390176E9</v>
      </c>
      <c r="AP17" s="538">
        <v>4.0</v>
      </c>
      <c r="AQ17" s="538">
        <v>3.04473319E9</v>
      </c>
      <c r="AR17" s="538">
        <v>6.0</v>
      </c>
      <c r="AS17" s="538" t="s">
        <v>46</v>
      </c>
    </row>
    <row r="18" ht="22.5" customHeight="1">
      <c r="A18" s="538">
        <v>17.0</v>
      </c>
      <c r="B18" s="538" t="s">
        <v>2561</v>
      </c>
      <c r="C18" s="538" t="s">
        <v>597</v>
      </c>
      <c r="D18" s="538" t="s">
        <v>331</v>
      </c>
      <c r="F18" s="538" t="s">
        <v>151</v>
      </c>
      <c r="G18" s="538" t="s">
        <v>250</v>
      </c>
      <c r="H18" s="538" t="s">
        <v>122</v>
      </c>
      <c r="I18" s="538" t="s">
        <v>409</v>
      </c>
      <c r="J18" s="538" t="s">
        <v>2562</v>
      </c>
      <c r="K18" s="538" t="b">
        <v>0</v>
      </c>
      <c r="L18" s="538" t="b">
        <v>1</v>
      </c>
      <c r="M18" s="538" t="s">
        <v>79</v>
      </c>
      <c r="N18" s="538" t="s">
        <v>331</v>
      </c>
      <c r="O18" s="538" t="s">
        <v>79</v>
      </c>
      <c r="P18" s="538" t="s">
        <v>331</v>
      </c>
      <c r="Q18" s="538" t="s">
        <v>79</v>
      </c>
      <c r="R18" s="538" t="s">
        <v>331</v>
      </c>
      <c r="S18" s="538" t="s">
        <v>79</v>
      </c>
      <c r="T18" s="538" t="s">
        <v>331</v>
      </c>
      <c r="U18" s="538" t="s">
        <v>79</v>
      </c>
      <c r="V18" s="538" t="s">
        <v>331</v>
      </c>
      <c r="W18" s="538" t="s">
        <v>79</v>
      </c>
      <c r="X18" s="538" t="s">
        <v>331</v>
      </c>
      <c r="Y18" s="538" t="s">
        <v>79</v>
      </c>
      <c r="Z18" s="538" t="s">
        <v>331</v>
      </c>
      <c r="AA18" s="538" t="s">
        <v>79</v>
      </c>
      <c r="AB18" s="538" t="s">
        <v>331</v>
      </c>
      <c r="AC18" s="538" t="s">
        <v>79</v>
      </c>
      <c r="AD18" s="538" t="s">
        <v>331</v>
      </c>
      <c r="AE18" s="538" t="s">
        <v>79</v>
      </c>
      <c r="AF18" s="538" t="s">
        <v>331</v>
      </c>
      <c r="AG18" s="538" t="s">
        <v>79</v>
      </c>
      <c r="AH18" s="538" t="s">
        <v>331</v>
      </c>
      <c r="AI18" s="538" t="s">
        <v>79</v>
      </c>
      <c r="AJ18" s="538" t="s">
        <v>331</v>
      </c>
      <c r="AK18" s="538" t="s">
        <v>79</v>
      </c>
      <c r="AL18" s="538" t="s">
        <v>331</v>
      </c>
      <c r="AM18" s="538" t="s">
        <v>73</v>
      </c>
      <c r="AO18" s="538">
        <v>3.279237699E9</v>
      </c>
      <c r="AP18" s="538">
        <v>1.0</v>
      </c>
      <c r="AQ18" s="538">
        <v>1.15391048E8</v>
      </c>
      <c r="AR18" s="538">
        <v>7.0</v>
      </c>
      <c r="AS18" s="538" t="s">
        <v>46</v>
      </c>
    </row>
    <row r="19" ht="22.5" customHeight="1">
      <c r="A19" s="538">
        <v>18.0</v>
      </c>
      <c r="B19" s="538" t="s">
        <v>2561</v>
      </c>
      <c r="C19" s="538" t="s">
        <v>597</v>
      </c>
      <c r="D19" s="538" t="s">
        <v>265</v>
      </c>
      <c r="F19" s="538" t="s">
        <v>151</v>
      </c>
      <c r="G19" s="538" t="s">
        <v>250</v>
      </c>
      <c r="H19" s="538" t="s">
        <v>122</v>
      </c>
      <c r="J19" s="538" t="s">
        <v>2563</v>
      </c>
      <c r="K19" s="538" t="b">
        <v>0</v>
      </c>
      <c r="L19" s="538" t="b">
        <v>1</v>
      </c>
      <c r="M19" s="538" t="s">
        <v>79</v>
      </c>
      <c r="N19" s="538" t="s">
        <v>265</v>
      </c>
      <c r="O19" s="538" t="s">
        <v>79</v>
      </c>
      <c r="P19" s="538" t="s">
        <v>265</v>
      </c>
      <c r="Q19" s="538" t="s">
        <v>79</v>
      </c>
      <c r="R19" s="538" t="s">
        <v>265</v>
      </c>
      <c r="S19" s="538" t="s">
        <v>79</v>
      </c>
      <c r="T19" s="538" t="s">
        <v>265</v>
      </c>
      <c r="U19" s="538" t="s">
        <v>79</v>
      </c>
      <c r="V19" s="538" t="s">
        <v>265</v>
      </c>
      <c r="W19" s="538" t="s">
        <v>79</v>
      </c>
      <c r="X19" s="538" t="s">
        <v>265</v>
      </c>
      <c r="Y19" s="538" t="s">
        <v>79</v>
      </c>
      <c r="Z19" s="538" t="s">
        <v>265</v>
      </c>
      <c r="AA19" s="538" t="s">
        <v>79</v>
      </c>
      <c r="AB19" s="538" t="s">
        <v>265</v>
      </c>
      <c r="AC19" s="538" t="s">
        <v>79</v>
      </c>
      <c r="AD19" s="538" t="s">
        <v>265</v>
      </c>
      <c r="AE19" s="538" t="s">
        <v>79</v>
      </c>
      <c r="AF19" s="538" t="s">
        <v>265</v>
      </c>
      <c r="AG19" s="538" t="s">
        <v>79</v>
      </c>
      <c r="AH19" s="538" t="s">
        <v>265</v>
      </c>
      <c r="AI19" s="538" t="s">
        <v>79</v>
      </c>
      <c r="AJ19" s="538" t="s">
        <v>265</v>
      </c>
      <c r="AK19" s="538" t="s">
        <v>79</v>
      </c>
      <c r="AL19" s="538" t="s">
        <v>265</v>
      </c>
      <c r="AM19" s="538" t="s">
        <v>73</v>
      </c>
      <c r="AO19" s="538">
        <v>2.378877032E9</v>
      </c>
      <c r="AP19" s="538">
        <v>2.0</v>
      </c>
      <c r="AQ19" s="538">
        <v>1.15391048E8</v>
      </c>
      <c r="AR19" s="538">
        <v>7.0</v>
      </c>
      <c r="AS19" s="538" t="s">
        <v>46</v>
      </c>
    </row>
    <row r="20" ht="22.5" customHeight="1">
      <c r="A20" s="538">
        <v>19.0</v>
      </c>
      <c r="B20" s="538" t="s">
        <v>2561</v>
      </c>
      <c r="C20" s="538" t="s">
        <v>597</v>
      </c>
      <c r="D20" s="538" t="s">
        <v>331</v>
      </c>
      <c r="F20" s="538" t="s">
        <v>151</v>
      </c>
      <c r="G20" s="538" t="s">
        <v>250</v>
      </c>
      <c r="H20" s="538" t="s">
        <v>122</v>
      </c>
      <c r="I20" s="538" t="s">
        <v>2564</v>
      </c>
      <c r="J20" s="538" t="s">
        <v>2536</v>
      </c>
      <c r="K20" s="538" t="b">
        <v>0</v>
      </c>
      <c r="L20" s="538" t="b">
        <v>1</v>
      </c>
      <c r="M20" s="538" t="s">
        <v>79</v>
      </c>
      <c r="N20" s="538" t="s">
        <v>331</v>
      </c>
      <c r="O20" s="538" t="s">
        <v>79</v>
      </c>
      <c r="P20" s="538" t="s">
        <v>331</v>
      </c>
      <c r="Q20" s="538" t="s">
        <v>79</v>
      </c>
      <c r="R20" s="538" t="s">
        <v>331</v>
      </c>
      <c r="S20" s="538" t="s">
        <v>79</v>
      </c>
      <c r="T20" s="538" t="s">
        <v>331</v>
      </c>
      <c r="U20" s="538" t="s">
        <v>79</v>
      </c>
      <c r="V20" s="538" t="s">
        <v>331</v>
      </c>
      <c r="W20" s="538" t="s">
        <v>79</v>
      </c>
      <c r="X20" s="538" t="s">
        <v>331</v>
      </c>
      <c r="Y20" s="538" t="s">
        <v>79</v>
      </c>
      <c r="Z20" s="538" t="s">
        <v>331</v>
      </c>
      <c r="AA20" s="538" t="s">
        <v>79</v>
      </c>
      <c r="AB20" s="538" t="s">
        <v>331</v>
      </c>
      <c r="AC20" s="538" t="s">
        <v>79</v>
      </c>
      <c r="AD20" s="538" t="s">
        <v>331</v>
      </c>
      <c r="AE20" s="538" t="s">
        <v>79</v>
      </c>
      <c r="AF20" s="538" t="s">
        <v>331</v>
      </c>
      <c r="AG20" s="538" t="s">
        <v>79</v>
      </c>
      <c r="AH20" s="538" t="s">
        <v>331</v>
      </c>
      <c r="AI20" s="538" t="s">
        <v>79</v>
      </c>
      <c r="AJ20" s="538" t="s">
        <v>331</v>
      </c>
      <c r="AK20" s="538" t="s">
        <v>79</v>
      </c>
      <c r="AL20" s="538" t="s">
        <v>331</v>
      </c>
      <c r="AM20" s="538" t="s">
        <v>73</v>
      </c>
      <c r="AO20" s="538">
        <v>3.3374454E8</v>
      </c>
      <c r="AP20" s="538">
        <v>3.0</v>
      </c>
      <c r="AQ20" s="538">
        <v>1.15391048E8</v>
      </c>
      <c r="AR20" s="538">
        <v>7.0</v>
      </c>
      <c r="AS20" s="538" t="s">
        <v>46</v>
      </c>
    </row>
    <row r="21" ht="22.5" customHeight="1">
      <c r="A21" s="538">
        <v>20.0</v>
      </c>
      <c r="B21" s="538" t="s">
        <v>2561</v>
      </c>
      <c r="C21" s="538" t="s">
        <v>597</v>
      </c>
      <c r="D21" s="538" t="s">
        <v>268</v>
      </c>
      <c r="F21" s="538" t="s">
        <v>151</v>
      </c>
      <c r="G21" s="538" t="s">
        <v>250</v>
      </c>
      <c r="H21" s="538" t="s">
        <v>122</v>
      </c>
      <c r="J21" s="538" t="s">
        <v>2537</v>
      </c>
      <c r="K21" s="538" t="b">
        <v>0</v>
      </c>
      <c r="L21" s="538" t="b">
        <v>1</v>
      </c>
      <c r="M21" s="538" t="s">
        <v>79</v>
      </c>
      <c r="N21" s="538" t="s">
        <v>268</v>
      </c>
      <c r="O21" s="538" t="s">
        <v>79</v>
      </c>
      <c r="P21" s="538" t="s">
        <v>268</v>
      </c>
      <c r="Q21" s="538" t="s">
        <v>79</v>
      </c>
      <c r="R21" s="538" t="s">
        <v>268</v>
      </c>
      <c r="S21" s="538" t="s">
        <v>79</v>
      </c>
      <c r="T21" s="538" t="s">
        <v>268</v>
      </c>
      <c r="U21" s="538" t="s">
        <v>79</v>
      </c>
      <c r="V21" s="538" t="s">
        <v>268</v>
      </c>
      <c r="W21" s="538" t="s">
        <v>79</v>
      </c>
      <c r="X21" s="538" t="s">
        <v>268</v>
      </c>
      <c r="Y21" s="538" t="s">
        <v>79</v>
      </c>
      <c r="Z21" s="538" t="s">
        <v>268</v>
      </c>
      <c r="AA21" s="538" t="s">
        <v>79</v>
      </c>
      <c r="AB21" s="538" t="s">
        <v>268</v>
      </c>
      <c r="AC21" s="538" t="s">
        <v>79</v>
      </c>
      <c r="AD21" s="538" t="s">
        <v>268</v>
      </c>
      <c r="AE21" s="538" t="s">
        <v>79</v>
      </c>
      <c r="AF21" s="538" t="s">
        <v>268</v>
      </c>
      <c r="AG21" s="538" t="s">
        <v>79</v>
      </c>
      <c r="AH21" s="538" t="s">
        <v>268</v>
      </c>
      <c r="AI21" s="538" t="s">
        <v>79</v>
      </c>
      <c r="AJ21" s="538" t="s">
        <v>268</v>
      </c>
      <c r="AK21" s="538" t="s">
        <v>79</v>
      </c>
      <c r="AL21" s="538" t="s">
        <v>268</v>
      </c>
      <c r="AM21" s="538" t="s">
        <v>73</v>
      </c>
      <c r="AO21" s="538">
        <v>1.619675909E9</v>
      </c>
      <c r="AP21" s="538">
        <v>4.0</v>
      </c>
      <c r="AQ21" s="538">
        <v>1.15391048E8</v>
      </c>
      <c r="AR21" s="538">
        <v>7.0</v>
      </c>
      <c r="AS21" s="538" t="s">
        <v>46</v>
      </c>
    </row>
    <row r="22" ht="22.5" customHeight="1">
      <c r="A22" s="538">
        <v>21.0</v>
      </c>
      <c r="B22" s="538" t="s">
        <v>2565</v>
      </c>
      <c r="C22" s="538" t="s">
        <v>597</v>
      </c>
      <c r="D22" s="538" t="s">
        <v>331</v>
      </c>
      <c r="F22" s="538" t="s">
        <v>151</v>
      </c>
      <c r="G22" s="538" t="s">
        <v>250</v>
      </c>
      <c r="H22" s="538" t="s">
        <v>122</v>
      </c>
      <c r="I22" s="538" t="s">
        <v>419</v>
      </c>
      <c r="J22" s="538" t="s">
        <v>2566</v>
      </c>
      <c r="K22" s="538" t="b">
        <v>0</v>
      </c>
      <c r="L22" s="538" t="b">
        <v>1</v>
      </c>
      <c r="M22" s="538" t="s">
        <v>79</v>
      </c>
      <c r="N22" s="538" t="s">
        <v>331</v>
      </c>
      <c r="O22" s="538" t="s">
        <v>79</v>
      </c>
      <c r="P22" s="538" t="s">
        <v>331</v>
      </c>
      <c r="Q22" s="538" t="s">
        <v>79</v>
      </c>
      <c r="R22" s="538" t="s">
        <v>331</v>
      </c>
      <c r="S22" s="538" t="s">
        <v>79</v>
      </c>
      <c r="T22" s="538" t="s">
        <v>331</v>
      </c>
      <c r="U22" s="538" t="s">
        <v>79</v>
      </c>
      <c r="V22" s="538" t="s">
        <v>331</v>
      </c>
      <c r="W22" s="538" t="s">
        <v>79</v>
      </c>
      <c r="X22" s="538" t="s">
        <v>331</v>
      </c>
      <c r="Y22" s="538" t="s">
        <v>79</v>
      </c>
      <c r="Z22" s="538" t="s">
        <v>331</v>
      </c>
      <c r="AA22" s="538" t="s">
        <v>79</v>
      </c>
      <c r="AB22" s="538" t="s">
        <v>331</v>
      </c>
      <c r="AC22" s="538" t="s">
        <v>79</v>
      </c>
      <c r="AD22" s="538" t="s">
        <v>331</v>
      </c>
      <c r="AE22" s="538" t="s">
        <v>79</v>
      </c>
      <c r="AF22" s="538" t="s">
        <v>331</v>
      </c>
      <c r="AG22" s="538" t="s">
        <v>79</v>
      </c>
      <c r="AH22" s="538" t="s">
        <v>331</v>
      </c>
      <c r="AI22" s="538" t="s">
        <v>79</v>
      </c>
      <c r="AJ22" s="538" t="s">
        <v>331</v>
      </c>
      <c r="AK22" s="538" t="s">
        <v>79</v>
      </c>
      <c r="AL22" s="538" t="s">
        <v>331</v>
      </c>
      <c r="AM22" s="538" t="s">
        <v>73</v>
      </c>
      <c r="AO22" s="538">
        <v>8.50425054E8</v>
      </c>
      <c r="AP22" s="538">
        <v>1.0</v>
      </c>
      <c r="AQ22" s="538">
        <v>2.399101438E9</v>
      </c>
      <c r="AR22" s="538">
        <v>8.0</v>
      </c>
      <c r="AS22" s="538" t="s">
        <v>46</v>
      </c>
    </row>
    <row r="23" ht="22.5" customHeight="1">
      <c r="A23" s="538">
        <v>22.0</v>
      </c>
      <c r="B23" s="538" t="s">
        <v>2565</v>
      </c>
      <c r="C23" s="538" t="s">
        <v>597</v>
      </c>
      <c r="D23" s="538" t="s">
        <v>265</v>
      </c>
      <c r="F23" s="538" t="s">
        <v>151</v>
      </c>
      <c r="G23" s="538" t="s">
        <v>250</v>
      </c>
      <c r="H23" s="538" t="s">
        <v>122</v>
      </c>
      <c r="J23" s="538" t="s">
        <v>2563</v>
      </c>
      <c r="K23" s="538" t="b">
        <v>0</v>
      </c>
      <c r="L23" s="538" t="b">
        <v>1</v>
      </c>
      <c r="M23" s="538" t="s">
        <v>79</v>
      </c>
      <c r="N23" s="538" t="s">
        <v>265</v>
      </c>
      <c r="O23" s="538" t="s">
        <v>79</v>
      </c>
      <c r="P23" s="538" t="s">
        <v>265</v>
      </c>
      <c r="Q23" s="538" t="s">
        <v>79</v>
      </c>
      <c r="R23" s="538" t="s">
        <v>265</v>
      </c>
      <c r="S23" s="538" t="s">
        <v>79</v>
      </c>
      <c r="T23" s="538" t="s">
        <v>265</v>
      </c>
      <c r="U23" s="538" t="s">
        <v>79</v>
      </c>
      <c r="V23" s="538" t="s">
        <v>265</v>
      </c>
      <c r="W23" s="538" t="s">
        <v>79</v>
      </c>
      <c r="X23" s="538" t="s">
        <v>265</v>
      </c>
      <c r="Y23" s="538" t="s">
        <v>79</v>
      </c>
      <c r="Z23" s="538" t="s">
        <v>265</v>
      </c>
      <c r="AA23" s="538" t="s">
        <v>79</v>
      </c>
      <c r="AB23" s="538" t="s">
        <v>265</v>
      </c>
      <c r="AC23" s="538" t="s">
        <v>79</v>
      </c>
      <c r="AD23" s="538" t="s">
        <v>265</v>
      </c>
      <c r="AE23" s="538" t="s">
        <v>79</v>
      </c>
      <c r="AF23" s="538" t="s">
        <v>265</v>
      </c>
      <c r="AG23" s="538" t="s">
        <v>79</v>
      </c>
      <c r="AH23" s="538" t="s">
        <v>265</v>
      </c>
      <c r="AI23" s="538" t="s">
        <v>79</v>
      </c>
      <c r="AJ23" s="538" t="s">
        <v>265</v>
      </c>
      <c r="AK23" s="538" t="s">
        <v>79</v>
      </c>
      <c r="AL23" s="538" t="s">
        <v>265</v>
      </c>
      <c r="AM23" s="538" t="s">
        <v>73</v>
      </c>
      <c r="AO23" s="538">
        <v>2.168896816E9</v>
      </c>
      <c r="AP23" s="538">
        <v>2.0</v>
      </c>
      <c r="AQ23" s="538">
        <v>2.399101438E9</v>
      </c>
      <c r="AR23" s="538">
        <v>8.0</v>
      </c>
      <c r="AS23" s="538" t="s">
        <v>46</v>
      </c>
    </row>
    <row r="24" ht="22.5" customHeight="1">
      <c r="A24" s="538">
        <v>23.0</v>
      </c>
      <c r="B24" s="538" t="s">
        <v>2565</v>
      </c>
      <c r="C24" s="538" t="s">
        <v>597</v>
      </c>
      <c r="D24" s="538" t="s">
        <v>331</v>
      </c>
      <c r="F24" s="538" t="s">
        <v>151</v>
      </c>
      <c r="G24" s="538" t="s">
        <v>250</v>
      </c>
      <c r="H24" s="538" t="s">
        <v>122</v>
      </c>
      <c r="I24" s="538" t="s">
        <v>2564</v>
      </c>
      <c r="J24" s="538" t="s">
        <v>2536</v>
      </c>
      <c r="K24" s="538" t="b">
        <v>0</v>
      </c>
      <c r="L24" s="538" t="b">
        <v>1</v>
      </c>
      <c r="M24" s="538" t="s">
        <v>79</v>
      </c>
      <c r="N24" s="538" t="s">
        <v>331</v>
      </c>
      <c r="O24" s="538" t="s">
        <v>79</v>
      </c>
      <c r="P24" s="538" t="s">
        <v>331</v>
      </c>
      <c r="Q24" s="538" t="s">
        <v>79</v>
      </c>
      <c r="R24" s="538" t="s">
        <v>331</v>
      </c>
      <c r="S24" s="538" t="s">
        <v>79</v>
      </c>
      <c r="T24" s="538" t="s">
        <v>331</v>
      </c>
      <c r="U24" s="538" t="s">
        <v>79</v>
      </c>
      <c r="V24" s="538" t="s">
        <v>331</v>
      </c>
      <c r="W24" s="538" t="s">
        <v>79</v>
      </c>
      <c r="X24" s="538" t="s">
        <v>331</v>
      </c>
      <c r="Y24" s="538" t="s">
        <v>79</v>
      </c>
      <c r="Z24" s="538" t="s">
        <v>331</v>
      </c>
      <c r="AA24" s="538" t="s">
        <v>79</v>
      </c>
      <c r="AB24" s="538" t="s">
        <v>331</v>
      </c>
      <c r="AC24" s="538" t="s">
        <v>79</v>
      </c>
      <c r="AD24" s="538" t="s">
        <v>331</v>
      </c>
      <c r="AE24" s="538" t="s">
        <v>79</v>
      </c>
      <c r="AF24" s="538" t="s">
        <v>331</v>
      </c>
      <c r="AG24" s="538" t="s">
        <v>79</v>
      </c>
      <c r="AH24" s="538" t="s">
        <v>331</v>
      </c>
      <c r="AI24" s="538" t="s">
        <v>79</v>
      </c>
      <c r="AJ24" s="538" t="s">
        <v>331</v>
      </c>
      <c r="AK24" s="538" t="s">
        <v>79</v>
      </c>
      <c r="AL24" s="538" t="s">
        <v>331</v>
      </c>
      <c r="AM24" s="538" t="s">
        <v>73</v>
      </c>
      <c r="AO24" s="538">
        <v>3.70342095E8</v>
      </c>
      <c r="AP24" s="538">
        <v>3.0</v>
      </c>
      <c r="AQ24" s="538">
        <v>2.399101438E9</v>
      </c>
      <c r="AR24" s="538">
        <v>8.0</v>
      </c>
      <c r="AS24" s="538" t="s">
        <v>46</v>
      </c>
    </row>
    <row r="25" ht="22.5" customHeight="1">
      <c r="A25" s="538">
        <v>24.0</v>
      </c>
      <c r="B25" s="538" t="s">
        <v>2565</v>
      </c>
      <c r="C25" s="538" t="s">
        <v>597</v>
      </c>
      <c r="D25" s="538" t="s">
        <v>268</v>
      </c>
      <c r="F25" s="538" t="s">
        <v>151</v>
      </c>
      <c r="G25" s="538" t="s">
        <v>250</v>
      </c>
      <c r="H25" s="538" t="s">
        <v>122</v>
      </c>
      <c r="J25" s="538" t="s">
        <v>2537</v>
      </c>
      <c r="K25" s="538" t="b">
        <v>0</v>
      </c>
      <c r="L25" s="538" t="b">
        <v>1</v>
      </c>
      <c r="M25" s="538" t="s">
        <v>79</v>
      </c>
      <c r="N25" s="538" t="s">
        <v>268</v>
      </c>
      <c r="O25" s="538" t="s">
        <v>79</v>
      </c>
      <c r="P25" s="538" t="s">
        <v>268</v>
      </c>
      <c r="Q25" s="538" t="s">
        <v>79</v>
      </c>
      <c r="R25" s="538" t="s">
        <v>268</v>
      </c>
      <c r="S25" s="538" t="s">
        <v>79</v>
      </c>
      <c r="T25" s="538" t="s">
        <v>268</v>
      </c>
      <c r="U25" s="538" t="s">
        <v>79</v>
      </c>
      <c r="V25" s="538" t="s">
        <v>268</v>
      </c>
      <c r="W25" s="538" t="s">
        <v>79</v>
      </c>
      <c r="X25" s="538" t="s">
        <v>268</v>
      </c>
      <c r="Y25" s="538" t="s">
        <v>79</v>
      </c>
      <c r="Z25" s="538" t="s">
        <v>268</v>
      </c>
      <c r="AA25" s="538" t="s">
        <v>79</v>
      </c>
      <c r="AB25" s="538" t="s">
        <v>268</v>
      </c>
      <c r="AC25" s="538" t="s">
        <v>79</v>
      </c>
      <c r="AD25" s="538" t="s">
        <v>268</v>
      </c>
      <c r="AE25" s="538" t="s">
        <v>79</v>
      </c>
      <c r="AF25" s="538" t="s">
        <v>268</v>
      </c>
      <c r="AG25" s="538" t="s">
        <v>79</v>
      </c>
      <c r="AH25" s="538" t="s">
        <v>268</v>
      </c>
      <c r="AI25" s="538" t="s">
        <v>79</v>
      </c>
      <c r="AJ25" s="538" t="s">
        <v>268</v>
      </c>
      <c r="AK25" s="538" t="s">
        <v>79</v>
      </c>
      <c r="AL25" s="538" t="s">
        <v>268</v>
      </c>
      <c r="AM25" s="538" t="s">
        <v>73</v>
      </c>
      <c r="AO25" s="538">
        <v>2.55682826E8</v>
      </c>
      <c r="AP25" s="538">
        <v>4.0</v>
      </c>
      <c r="AQ25" s="538">
        <v>2.399101438E9</v>
      </c>
      <c r="AR25" s="538">
        <v>8.0</v>
      </c>
      <c r="AS25" s="538" t="s">
        <v>46</v>
      </c>
    </row>
    <row r="26" ht="22.5" customHeight="1">
      <c r="A26" s="538">
        <v>25.0</v>
      </c>
      <c r="B26" s="538" t="s">
        <v>2567</v>
      </c>
      <c r="C26" s="538" t="s">
        <v>597</v>
      </c>
      <c r="D26" s="538" t="s">
        <v>331</v>
      </c>
      <c r="F26" s="538" t="s">
        <v>151</v>
      </c>
      <c r="G26" s="538" t="s">
        <v>250</v>
      </c>
      <c r="H26" s="538" t="s">
        <v>122</v>
      </c>
      <c r="I26" s="538" t="s">
        <v>403</v>
      </c>
      <c r="J26" s="538" t="s">
        <v>2568</v>
      </c>
      <c r="K26" s="538" t="b">
        <v>0</v>
      </c>
      <c r="L26" s="538" t="b">
        <v>1</v>
      </c>
      <c r="M26" s="538" t="s">
        <v>79</v>
      </c>
      <c r="N26" s="538" t="s">
        <v>331</v>
      </c>
      <c r="O26" s="538" t="s">
        <v>79</v>
      </c>
      <c r="P26" s="538" t="s">
        <v>331</v>
      </c>
      <c r="Q26" s="538" t="s">
        <v>79</v>
      </c>
      <c r="R26" s="538" t="s">
        <v>331</v>
      </c>
      <c r="S26" s="538" t="s">
        <v>79</v>
      </c>
      <c r="T26" s="538" t="s">
        <v>331</v>
      </c>
      <c r="U26" s="538" t="s">
        <v>79</v>
      </c>
      <c r="V26" s="538" t="s">
        <v>331</v>
      </c>
      <c r="W26" s="538" t="s">
        <v>79</v>
      </c>
      <c r="X26" s="538" t="s">
        <v>331</v>
      </c>
      <c r="Y26" s="538" t="s">
        <v>79</v>
      </c>
      <c r="Z26" s="538" t="s">
        <v>331</v>
      </c>
      <c r="AA26" s="538" t="s">
        <v>79</v>
      </c>
      <c r="AB26" s="538" t="s">
        <v>331</v>
      </c>
      <c r="AC26" s="538" t="s">
        <v>79</v>
      </c>
      <c r="AD26" s="538" t="s">
        <v>331</v>
      </c>
      <c r="AE26" s="538" t="s">
        <v>79</v>
      </c>
      <c r="AF26" s="538" t="s">
        <v>331</v>
      </c>
      <c r="AG26" s="538" t="s">
        <v>79</v>
      </c>
      <c r="AH26" s="538" t="s">
        <v>331</v>
      </c>
      <c r="AI26" s="538" t="s">
        <v>79</v>
      </c>
      <c r="AJ26" s="538" t="s">
        <v>331</v>
      </c>
      <c r="AK26" s="538" t="s">
        <v>79</v>
      </c>
      <c r="AL26" s="538" t="s">
        <v>331</v>
      </c>
      <c r="AM26" s="538" t="s">
        <v>73</v>
      </c>
      <c r="AO26" s="538">
        <v>8.62629388E8</v>
      </c>
      <c r="AP26" s="538">
        <v>1.0</v>
      </c>
      <c r="AQ26" s="538">
        <v>3.510037081E9</v>
      </c>
      <c r="AR26" s="538">
        <v>9.0</v>
      </c>
      <c r="AS26" s="538" t="s">
        <v>46</v>
      </c>
    </row>
    <row r="27" ht="22.5" customHeight="1">
      <c r="A27" s="538">
        <v>26.0</v>
      </c>
      <c r="B27" s="538" t="s">
        <v>2567</v>
      </c>
      <c r="C27" s="538" t="s">
        <v>597</v>
      </c>
      <c r="D27" s="538" t="s">
        <v>265</v>
      </c>
      <c r="F27" s="538" t="s">
        <v>151</v>
      </c>
      <c r="G27" s="538" t="s">
        <v>250</v>
      </c>
      <c r="H27" s="538" t="s">
        <v>122</v>
      </c>
      <c r="J27" s="538" t="s">
        <v>2563</v>
      </c>
      <c r="K27" s="538" t="b">
        <v>0</v>
      </c>
      <c r="L27" s="538" t="b">
        <v>1</v>
      </c>
      <c r="M27" s="538" t="s">
        <v>79</v>
      </c>
      <c r="N27" s="538" t="s">
        <v>265</v>
      </c>
      <c r="O27" s="538" t="s">
        <v>79</v>
      </c>
      <c r="P27" s="538" t="s">
        <v>265</v>
      </c>
      <c r="Q27" s="538" t="s">
        <v>79</v>
      </c>
      <c r="R27" s="538" t="s">
        <v>265</v>
      </c>
      <c r="S27" s="538" t="s">
        <v>79</v>
      </c>
      <c r="T27" s="538" t="s">
        <v>265</v>
      </c>
      <c r="U27" s="538" t="s">
        <v>79</v>
      </c>
      <c r="V27" s="538" t="s">
        <v>265</v>
      </c>
      <c r="W27" s="538" t="s">
        <v>79</v>
      </c>
      <c r="X27" s="538" t="s">
        <v>265</v>
      </c>
      <c r="Y27" s="538" t="s">
        <v>79</v>
      </c>
      <c r="Z27" s="538" t="s">
        <v>265</v>
      </c>
      <c r="AA27" s="538" t="s">
        <v>79</v>
      </c>
      <c r="AB27" s="538" t="s">
        <v>265</v>
      </c>
      <c r="AC27" s="538" t="s">
        <v>79</v>
      </c>
      <c r="AD27" s="538" t="s">
        <v>265</v>
      </c>
      <c r="AE27" s="538" t="s">
        <v>79</v>
      </c>
      <c r="AF27" s="538" t="s">
        <v>265</v>
      </c>
      <c r="AG27" s="538" t="s">
        <v>79</v>
      </c>
      <c r="AH27" s="538" t="s">
        <v>265</v>
      </c>
      <c r="AI27" s="538" t="s">
        <v>79</v>
      </c>
      <c r="AJ27" s="538" t="s">
        <v>265</v>
      </c>
      <c r="AK27" s="538" t="s">
        <v>79</v>
      </c>
      <c r="AL27" s="538" t="s">
        <v>265</v>
      </c>
      <c r="AM27" s="538" t="s">
        <v>73</v>
      </c>
      <c r="AO27" s="538">
        <v>2.446284329E9</v>
      </c>
      <c r="AP27" s="538">
        <v>2.0</v>
      </c>
      <c r="AQ27" s="538">
        <v>3.510037081E9</v>
      </c>
      <c r="AR27" s="538">
        <v>9.0</v>
      </c>
      <c r="AS27" s="538" t="s">
        <v>46</v>
      </c>
    </row>
    <row r="28" ht="22.5" customHeight="1">
      <c r="A28" s="538">
        <v>27.0</v>
      </c>
      <c r="B28" s="538" t="s">
        <v>2567</v>
      </c>
      <c r="C28" s="538" t="s">
        <v>597</v>
      </c>
      <c r="D28" s="538" t="s">
        <v>331</v>
      </c>
      <c r="F28" s="538" t="s">
        <v>151</v>
      </c>
      <c r="G28" s="538" t="s">
        <v>250</v>
      </c>
      <c r="H28" s="538" t="s">
        <v>122</v>
      </c>
      <c r="I28" s="538" t="s">
        <v>2564</v>
      </c>
      <c r="J28" s="538" t="s">
        <v>2536</v>
      </c>
      <c r="K28" s="538" t="b">
        <v>0</v>
      </c>
      <c r="L28" s="538" t="b">
        <v>1</v>
      </c>
      <c r="M28" s="538" t="s">
        <v>79</v>
      </c>
      <c r="N28" s="538" t="s">
        <v>331</v>
      </c>
      <c r="O28" s="538" t="s">
        <v>79</v>
      </c>
      <c r="P28" s="538" t="s">
        <v>331</v>
      </c>
      <c r="Q28" s="538" t="s">
        <v>79</v>
      </c>
      <c r="R28" s="538" t="s">
        <v>331</v>
      </c>
      <c r="S28" s="538" t="s">
        <v>79</v>
      </c>
      <c r="T28" s="538" t="s">
        <v>331</v>
      </c>
      <c r="U28" s="538" t="s">
        <v>79</v>
      </c>
      <c r="V28" s="538" t="s">
        <v>331</v>
      </c>
      <c r="W28" s="538" t="s">
        <v>79</v>
      </c>
      <c r="X28" s="538" t="s">
        <v>331</v>
      </c>
      <c r="Y28" s="538" t="s">
        <v>79</v>
      </c>
      <c r="Z28" s="538" t="s">
        <v>331</v>
      </c>
      <c r="AA28" s="538" t="s">
        <v>79</v>
      </c>
      <c r="AB28" s="538" t="s">
        <v>331</v>
      </c>
      <c r="AC28" s="538" t="s">
        <v>79</v>
      </c>
      <c r="AD28" s="538" t="s">
        <v>331</v>
      </c>
      <c r="AE28" s="538" t="s">
        <v>79</v>
      </c>
      <c r="AF28" s="538" t="s">
        <v>331</v>
      </c>
      <c r="AG28" s="538" t="s">
        <v>79</v>
      </c>
      <c r="AH28" s="538" t="s">
        <v>331</v>
      </c>
      <c r="AI28" s="538" t="s">
        <v>79</v>
      </c>
      <c r="AJ28" s="538" t="s">
        <v>331</v>
      </c>
      <c r="AK28" s="538" t="s">
        <v>79</v>
      </c>
      <c r="AL28" s="538" t="s">
        <v>331</v>
      </c>
      <c r="AM28" s="538" t="s">
        <v>73</v>
      </c>
      <c r="AO28" s="538">
        <v>5.5128439E7</v>
      </c>
      <c r="AP28" s="538">
        <v>3.0</v>
      </c>
      <c r="AQ28" s="538">
        <v>3.510037081E9</v>
      </c>
      <c r="AR28" s="538">
        <v>9.0</v>
      </c>
      <c r="AS28" s="538" t="s">
        <v>46</v>
      </c>
    </row>
    <row r="29" ht="22.5" customHeight="1">
      <c r="A29" s="538">
        <v>28.0</v>
      </c>
      <c r="B29" s="538" t="s">
        <v>2567</v>
      </c>
      <c r="C29" s="538" t="s">
        <v>597</v>
      </c>
      <c r="D29" s="538" t="s">
        <v>268</v>
      </c>
      <c r="F29" s="538" t="s">
        <v>151</v>
      </c>
      <c r="G29" s="538" t="s">
        <v>250</v>
      </c>
      <c r="H29" s="538" t="s">
        <v>122</v>
      </c>
      <c r="J29" s="538" t="s">
        <v>2537</v>
      </c>
      <c r="K29" s="538" t="b">
        <v>0</v>
      </c>
      <c r="L29" s="538" t="b">
        <v>1</v>
      </c>
      <c r="M29" s="538" t="s">
        <v>79</v>
      </c>
      <c r="N29" s="538" t="s">
        <v>268</v>
      </c>
      <c r="O29" s="538" t="s">
        <v>79</v>
      </c>
      <c r="P29" s="538" t="s">
        <v>268</v>
      </c>
      <c r="Q29" s="538" t="s">
        <v>79</v>
      </c>
      <c r="R29" s="538" t="s">
        <v>268</v>
      </c>
      <c r="S29" s="538" t="s">
        <v>79</v>
      </c>
      <c r="T29" s="538" t="s">
        <v>268</v>
      </c>
      <c r="U29" s="538" t="s">
        <v>79</v>
      </c>
      <c r="V29" s="538" t="s">
        <v>268</v>
      </c>
      <c r="W29" s="538" t="s">
        <v>79</v>
      </c>
      <c r="X29" s="538" t="s">
        <v>268</v>
      </c>
      <c r="Y29" s="538" t="s">
        <v>79</v>
      </c>
      <c r="Z29" s="538" t="s">
        <v>268</v>
      </c>
      <c r="AA29" s="538" t="s">
        <v>79</v>
      </c>
      <c r="AB29" s="538" t="s">
        <v>268</v>
      </c>
      <c r="AC29" s="538" t="s">
        <v>79</v>
      </c>
      <c r="AD29" s="538" t="s">
        <v>268</v>
      </c>
      <c r="AE29" s="538" t="s">
        <v>79</v>
      </c>
      <c r="AF29" s="538" t="s">
        <v>268</v>
      </c>
      <c r="AG29" s="538" t="s">
        <v>79</v>
      </c>
      <c r="AH29" s="538" t="s">
        <v>268</v>
      </c>
      <c r="AI29" s="538" t="s">
        <v>79</v>
      </c>
      <c r="AJ29" s="538" t="s">
        <v>268</v>
      </c>
      <c r="AK29" s="538" t="s">
        <v>79</v>
      </c>
      <c r="AL29" s="538" t="s">
        <v>268</v>
      </c>
      <c r="AM29" s="538" t="s">
        <v>73</v>
      </c>
      <c r="AO29" s="538">
        <v>2.753903607E9</v>
      </c>
      <c r="AP29" s="538">
        <v>4.0</v>
      </c>
      <c r="AQ29" s="538">
        <v>3.510037081E9</v>
      </c>
      <c r="AR29" s="538">
        <v>9.0</v>
      </c>
      <c r="AS29" s="538" t="s">
        <v>46</v>
      </c>
    </row>
    <row r="30" ht="22.5" customHeight="1">
      <c r="A30" s="538">
        <v>29.0</v>
      </c>
      <c r="B30" s="538" t="s">
        <v>2569</v>
      </c>
      <c r="C30" s="538" t="s">
        <v>597</v>
      </c>
      <c r="D30" s="538" t="s">
        <v>292</v>
      </c>
      <c r="E30" s="538" t="s">
        <v>233</v>
      </c>
      <c r="F30" s="538" t="s">
        <v>163</v>
      </c>
      <c r="G30" s="538" t="s">
        <v>250</v>
      </c>
      <c r="H30" s="538" t="s">
        <v>155</v>
      </c>
      <c r="I30" s="538" t="s">
        <v>2570</v>
      </c>
      <c r="J30" s="538" t="s">
        <v>2571</v>
      </c>
      <c r="K30" s="538" t="b">
        <v>0</v>
      </c>
      <c r="L30" s="538" t="b">
        <v>1</v>
      </c>
      <c r="M30" s="538" t="s">
        <v>79</v>
      </c>
      <c r="N30" s="538" t="s">
        <v>233</v>
      </c>
      <c r="O30" s="538" t="s">
        <v>79</v>
      </c>
      <c r="P30" s="538" t="s">
        <v>233</v>
      </c>
      <c r="Q30" s="538" t="s">
        <v>75</v>
      </c>
      <c r="R30" s="538" t="s">
        <v>2572</v>
      </c>
      <c r="S30" s="538" t="s">
        <v>75</v>
      </c>
      <c r="T30" s="538" t="s">
        <v>2572</v>
      </c>
      <c r="U30" s="538" t="s">
        <v>75</v>
      </c>
      <c r="V30" s="538" t="s">
        <v>2572</v>
      </c>
      <c r="W30" s="538" t="s">
        <v>75</v>
      </c>
      <c r="X30" s="538" t="s">
        <v>2572</v>
      </c>
      <c r="Y30" s="538" t="s">
        <v>75</v>
      </c>
      <c r="Z30" s="538" t="s">
        <v>2572</v>
      </c>
      <c r="AA30" s="538" t="s">
        <v>75</v>
      </c>
      <c r="AB30" s="538" t="s">
        <v>2572</v>
      </c>
      <c r="AC30" s="538" t="s">
        <v>75</v>
      </c>
      <c r="AD30" s="538" t="s">
        <v>2572</v>
      </c>
      <c r="AE30" s="538" t="s">
        <v>79</v>
      </c>
      <c r="AF30" s="538" t="s">
        <v>233</v>
      </c>
      <c r="AG30" s="538" t="s">
        <v>79</v>
      </c>
      <c r="AH30" s="538" t="s">
        <v>233</v>
      </c>
      <c r="AI30" s="538" t="s">
        <v>79</v>
      </c>
      <c r="AJ30" s="538" t="s">
        <v>233</v>
      </c>
      <c r="AK30" s="538" t="s">
        <v>79</v>
      </c>
      <c r="AL30" s="538" t="s">
        <v>292</v>
      </c>
      <c r="AM30" s="538" t="s">
        <v>79</v>
      </c>
      <c r="AN30" s="538" t="s">
        <v>292</v>
      </c>
      <c r="AO30" s="538">
        <v>3.097069859E9</v>
      </c>
      <c r="AP30" s="538">
        <v>1.0</v>
      </c>
      <c r="AQ30" s="538">
        <v>7.33381942E8</v>
      </c>
      <c r="AR30" s="538">
        <v>10.0</v>
      </c>
      <c r="AS30" s="538" t="s">
        <v>46</v>
      </c>
      <c r="AV30" s="538" t="s">
        <v>2572</v>
      </c>
    </row>
    <row r="31" ht="22.5" customHeight="1">
      <c r="A31" s="538">
        <v>30.0</v>
      </c>
      <c r="B31" s="538" t="s">
        <v>2569</v>
      </c>
      <c r="C31" s="538" t="s">
        <v>597</v>
      </c>
      <c r="D31" s="538" t="s">
        <v>310</v>
      </c>
      <c r="E31" s="538" t="s">
        <v>339</v>
      </c>
      <c r="F31" s="538" t="s">
        <v>151</v>
      </c>
      <c r="G31" s="538" t="s">
        <v>250</v>
      </c>
      <c r="H31" s="538" t="s">
        <v>122</v>
      </c>
      <c r="J31" s="538" t="s">
        <v>2573</v>
      </c>
      <c r="K31" s="538" t="b">
        <v>0</v>
      </c>
      <c r="L31" s="538" t="b">
        <v>1</v>
      </c>
      <c r="M31" s="538" t="s">
        <v>79</v>
      </c>
      <c r="N31" s="538" t="s">
        <v>339</v>
      </c>
      <c r="O31" s="538" t="s">
        <v>79</v>
      </c>
      <c r="P31" s="538" t="s">
        <v>339</v>
      </c>
      <c r="Q31" s="538" t="s">
        <v>79</v>
      </c>
      <c r="R31" s="538" t="s">
        <v>339</v>
      </c>
      <c r="S31" s="538" t="s">
        <v>79</v>
      </c>
      <c r="T31" s="538" t="s">
        <v>339</v>
      </c>
      <c r="U31" s="538" t="s">
        <v>79</v>
      </c>
      <c r="V31" s="538" t="s">
        <v>339</v>
      </c>
      <c r="W31" s="538" t="s">
        <v>79</v>
      </c>
      <c r="X31" s="538" t="s">
        <v>339</v>
      </c>
      <c r="Y31" s="538" t="s">
        <v>79</v>
      </c>
      <c r="Z31" s="538" t="s">
        <v>339</v>
      </c>
      <c r="AA31" s="538" t="s">
        <v>79</v>
      </c>
      <c r="AB31" s="538" t="s">
        <v>339</v>
      </c>
      <c r="AC31" s="538" t="s">
        <v>79</v>
      </c>
      <c r="AD31" s="538" t="s">
        <v>339</v>
      </c>
      <c r="AE31" s="538" t="s">
        <v>79</v>
      </c>
      <c r="AF31" s="538" t="s">
        <v>339</v>
      </c>
      <c r="AG31" s="538" t="s">
        <v>79</v>
      </c>
      <c r="AH31" s="538" t="s">
        <v>339</v>
      </c>
      <c r="AI31" s="538" t="s">
        <v>79</v>
      </c>
      <c r="AJ31" s="538" t="s">
        <v>339</v>
      </c>
      <c r="AK31" s="538" t="s">
        <v>79</v>
      </c>
      <c r="AL31" s="538" t="s">
        <v>310</v>
      </c>
      <c r="AM31" s="538" t="s">
        <v>79</v>
      </c>
      <c r="AN31" s="538" t="s">
        <v>310</v>
      </c>
      <c r="AO31" s="538">
        <v>9.51355866E8</v>
      </c>
      <c r="AP31" s="538">
        <v>2.0</v>
      </c>
      <c r="AQ31" s="538">
        <v>7.33381942E8</v>
      </c>
      <c r="AR31" s="538">
        <v>10.0</v>
      </c>
      <c r="AS31" s="538" t="s">
        <v>46</v>
      </c>
    </row>
    <row r="32" ht="22.5" customHeight="1">
      <c r="A32" s="538">
        <v>31.0</v>
      </c>
      <c r="B32" s="538" t="s">
        <v>2569</v>
      </c>
      <c r="C32" s="538" t="s">
        <v>597</v>
      </c>
      <c r="D32" s="538" t="s">
        <v>277</v>
      </c>
      <c r="F32" s="538" t="s">
        <v>151</v>
      </c>
      <c r="G32" s="538" t="s">
        <v>250</v>
      </c>
      <c r="H32" s="538" t="s">
        <v>122</v>
      </c>
      <c r="J32" s="538" t="s">
        <v>2574</v>
      </c>
      <c r="K32" s="538" t="b">
        <v>0</v>
      </c>
      <c r="L32" s="538" t="b">
        <v>1</v>
      </c>
      <c r="M32" s="538" t="s">
        <v>79</v>
      </c>
      <c r="N32" s="538" t="s">
        <v>277</v>
      </c>
      <c r="O32" s="538" t="s">
        <v>79</v>
      </c>
      <c r="P32" s="538" t="s">
        <v>277</v>
      </c>
      <c r="Q32" s="538" t="s">
        <v>73</v>
      </c>
      <c r="S32" s="538" t="s">
        <v>79</v>
      </c>
      <c r="T32" s="538" t="s">
        <v>277</v>
      </c>
      <c r="U32" s="538" t="s">
        <v>79</v>
      </c>
      <c r="V32" s="538" t="s">
        <v>277</v>
      </c>
      <c r="W32" s="538" t="s">
        <v>79</v>
      </c>
      <c r="X32" s="538" t="s">
        <v>277</v>
      </c>
      <c r="Y32" s="538" t="s">
        <v>73</v>
      </c>
      <c r="AA32" s="538" t="s">
        <v>73</v>
      </c>
      <c r="AC32" s="538" t="s">
        <v>79</v>
      </c>
      <c r="AD32" s="538" t="s">
        <v>277</v>
      </c>
      <c r="AE32" s="538" t="s">
        <v>73</v>
      </c>
      <c r="AG32" s="538" t="s">
        <v>73</v>
      </c>
      <c r="AI32" s="538" t="s">
        <v>73</v>
      </c>
      <c r="AK32" s="538" t="s">
        <v>73</v>
      </c>
      <c r="AM32" s="538" t="s">
        <v>79</v>
      </c>
      <c r="AN32" s="538" t="s">
        <v>277</v>
      </c>
      <c r="AO32" s="538">
        <v>4.177071656E9</v>
      </c>
      <c r="AP32" s="538">
        <v>3.0</v>
      </c>
      <c r="AQ32" s="538">
        <v>7.33381942E8</v>
      </c>
      <c r="AR32" s="538">
        <v>10.0</v>
      </c>
      <c r="AS32" s="538" t="s">
        <v>46</v>
      </c>
    </row>
    <row r="33" ht="22.5" customHeight="1">
      <c r="A33" s="538">
        <v>32.0</v>
      </c>
      <c r="B33" s="538" t="s">
        <v>2569</v>
      </c>
      <c r="C33" s="538" t="s">
        <v>597</v>
      </c>
      <c r="D33" s="538" t="s">
        <v>295</v>
      </c>
      <c r="E33" s="538" t="s">
        <v>1688</v>
      </c>
      <c r="F33" s="538" t="s">
        <v>163</v>
      </c>
      <c r="G33" s="538" t="s">
        <v>250</v>
      </c>
      <c r="H33" s="538" t="s">
        <v>155</v>
      </c>
      <c r="J33" s="538" t="s">
        <v>2575</v>
      </c>
      <c r="K33" s="538" t="b">
        <v>0</v>
      </c>
      <c r="L33" s="538" t="b">
        <v>1</v>
      </c>
      <c r="M33" s="538" t="s">
        <v>79</v>
      </c>
      <c r="N33" s="538" t="s">
        <v>228</v>
      </c>
      <c r="O33" s="538" t="s">
        <v>79</v>
      </c>
      <c r="P33" s="538" t="s">
        <v>228</v>
      </c>
      <c r="Q33" s="538" t="s">
        <v>73</v>
      </c>
      <c r="S33" s="538" t="s">
        <v>73</v>
      </c>
      <c r="U33" s="538" t="s">
        <v>79</v>
      </c>
      <c r="V33" s="538" t="s">
        <v>228</v>
      </c>
      <c r="W33" s="538" t="s">
        <v>73</v>
      </c>
      <c r="Y33" s="538" t="s">
        <v>79</v>
      </c>
      <c r="Z33" s="538" t="s">
        <v>377</v>
      </c>
      <c r="AA33" s="538" t="s">
        <v>79</v>
      </c>
      <c r="AB33" s="538" t="s">
        <v>377</v>
      </c>
      <c r="AC33" s="538" t="s">
        <v>79</v>
      </c>
      <c r="AD33" s="538" t="s">
        <v>228</v>
      </c>
      <c r="AE33" s="538" t="s">
        <v>79</v>
      </c>
      <c r="AF33" s="538" t="s">
        <v>377</v>
      </c>
      <c r="AG33" s="538" t="s">
        <v>79</v>
      </c>
      <c r="AH33" s="538" t="s">
        <v>228</v>
      </c>
      <c r="AI33" s="538" t="s">
        <v>79</v>
      </c>
      <c r="AJ33" s="538" t="s">
        <v>228</v>
      </c>
      <c r="AK33" s="538" t="s">
        <v>79</v>
      </c>
      <c r="AL33" s="538" t="s">
        <v>295</v>
      </c>
      <c r="AM33" s="538" t="s">
        <v>79</v>
      </c>
      <c r="AN33" s="538" t="s">
        <v>295</v>
      </c>
      <c r="AO33" s="538">
        <v>3.47924183E9</v>
      </c>
      <c r="AP33" s="538">
        <v>4.0</v>
      </c>
      <c r="AQ33" s="538">
        <v>7.33381942E8</v>
      </c>
      <c r="AR33" s="538">
        <v>10.0</v>
      </c>
      <c r="AS33" s="538" t="s">
        <v>46</v>
      </c>
    </row>
    <row r="34" ht="22.5" customHeight="1">
      <c r="A34" s="538">
        <v>33.0</v>
      </c>
      <c r="B34" s="538" t="s">
        <v>2576</v>
      </c>
      <c r="C34" s="538" t="s">
        <v>597</v>
      </c>
      <c r="D34" s="538" t="s">
        <v>218</v>
      </c>
      <c r="E34" s="538" t="s">
        <v>2577</v>
      </c>
      <c r="F34" s="538" t="s">
        <v>163</v>
      </c>
      <c r="G34" s="538" t="s">
        <v>250</v>
      </c>
      <c r="H34" s="538" t="s">
        <v>122</v>
      </c>
      <c r="J34" s="538" t="s">
        <v>2578</v>
      </c>
      <c r="K34" s="538" t="b">
        <v>0</v>
      </c>
      <c r="L34" s="538" t="b">
        <v>1</v>
      </c>
      <c r="M34" s="538" t="s">
        <v>73</v>
      </c>
      <c r="O34" s="538" t="s">
        <v>79</v>
      </c>
      <c r="P34" s="538" t="s">
        <v>303</v>
      </c>
      <c r="Q34" s="538" t="s">
        <v>79</v>
      </c>
      <c r="R34" s="538" t="s">
        <v>2577</v>
      </c>
      <c r="S34" s="538" t="s">
        <v>79</v>
      </c>
      <c r="T34" s="538" t="s">
        <v>2577</v>
      </c>
      <c r="U34" s="538" t="s">
        <v>79</v>
      </c>
      <c r="V34" s="538" t="s">
        <v>2577</v>
      </c>
      <c r="W34" s="538" t="s">
        <v>79</v>
      </c>
      <c r="X34" s="538" t="s">
        <v>2577</v>
      </c>
      <c r="Y34" s="538" t="s">
        <v>79</v>
      </c>
      <c r="Z34" s="538" t="s">
        <v>2577</v>
      </c>
      <c r="AA34" s="538" t="s">
        <v>79</v>
      </c>
      <c r="AB34" s="538" t="s">
        <v>2577</v>
      </c>
      <c r="AC34" s="538" t="s">
        <v>79</v>
      </c>
      <c r="AD34" s="538" t="s">
        <v>2577</v>
      </c>
      <c r="AE34" s="538" t="s">
        <v>79</v>
      </c>
      <c r="AF34" s="538" t="s">
        <v>2577</v>
      </c>
      <c r="AG34" s="538" t="s">
        <v>79</v>
      </c>
      <c r="AH34" s="538" t="s">
        <v>2577</v>
      </c>
      <c r="AI34" s="538" t="s">
        <v>79</v>
      </c>
      <c r="AJ34" s="538" t="s">
        <v>2577</v>
      </c>
      <c r="AK34" s="538" t="s">
        <v>79</v>
      </c>
      <c r="AL34" s="538" t="s">
        <v>218</v>
      </c>
      <c r="AM34" s="538" t="s">
        <v>79</v>
      </c>
      <c r="AN34" s="538" t="s">
        <v>218</v>
      </c>
      <c r="AO34" s="538">
        <v>2.865653071E9</v>
      </c>
      <c r="AP34" s="538">
        <v>1.0</v>
      </c>
      <c r="AQ34" s="538">
        <v>1.848611163E9</v>
      </c>
      <c r="AR34" s="538">
        <v>11.0</v>
      </c>
      <c r="AS34" s="538" t="s">
        <v>46</v>
      </c>
    </row>
    <row r="35" ht="22.5" customHeight="1">
      <c r="A35" s="538">
        <v>34.0</v>
      </c>
      <c r="B35" s="538" t="s">
        <v>2576</v>
      </c>
      <c r="C35" s="538" t="s">
        <v>597</v>
      </c>
      <c r="D35" s="538" t="s">
        <v>223</v>
      </c>
      <c r="E35" s="538" t="s">
        <v>2577</v>
      </c>
      <c r="F35" s="538" t="s">
        <v>163</v>
      </c>
      <c r="G35" s="538" t="s">
        <v>250</v>
      </c>
      <c r="H35" s="538" t="s">
        <v>122</v>
      </c>
      <c r="J35" s="538" t="s">
        <v>2579</v>
      </c>
      <c r="K35" s="538" t="b">
        <v>0</v>
      </c>
      <c r="L35" s="538" t="b">
        <v>1</v>
      </c>
      <c r="M35" s="538" t="s">
        <v>73</v>
      </c>
      <c r="O35" s="538" t="s">
        <v>79</v>
      </c>
      <c r="P35" s="538" t="s">
        <v>303</v>
      </c>
      <c r="Q35" s="538" t="s">
        <v>79</v>
      </c>
      <c r="R35" s="538" t="s">
        <v>2577</v>
      </c>
      <c r="S35" s="538" t="s">
        <v>79</v>
      </c>
      <c r="T35" s="538" t="s">
        <v>2577</v>
      </c>
      <c r="U35" s="538" t="s">
        <v>79</v>
      </c>
      <c r="V35" s="538" t="s">
        <v>2577</v>
      </c>
      <c r="W35" s="538" t="s">
        <v>79</v>
      </c>
      <c r="X35" s="538" t="s">
        <v>2577</v>
      </c>
      <c r="Y35" s="538" t="s">
        <v>79</v>
      </c>
      <c r="Z35" s="538" t="s">
        <v>2577</v>
      </c>
      <c r="AA35" s="538" t="s">
        <v>79</v>
      </c>
      <c r="AB35" s="538" t="s">
        <v>2577</v>
      </c>
      <c r="AC35" s="538" t="s">
        <v>79</v>
      </c>
      <c r="AD35" s="538" t="s">
        <v>2577</v>
      </c>
      <c r="AE35" s="538" t="s">
        <v>79</v>
      </c>
      <c r="AF35" s="538" t="s">
        <v>2577</v>
      </c>
      <c r="AG35" s="538" t="s">
        <v>79</v>
      </c>
      <c r="AH35" s="538" t="s">
        <v>2577</v>
      </c>
      <c r="AI35" s="538" t="s">
        <v>79</v>
      </c>
      <c r="AJ35" s="538" t="s">
        <v>2577</v>
      </c>
      <c r="AK35" s="538" t="s">
        <v>79</v>
      </c>
      <c r="AL35" s="538" t="s">
        <v>223</v>
      </c>
      <c r="AM35" s="538" t="s">
        <v>79</v>
      </c>
      <c r="AN35" s="538" t="s">
        <v>223</v>
      </c>
      <c r="AO35" s="538">
        <v>1.040449258E9</v>
      </c>
      <c r="AP35" s="538">
        <v>2.0</v>
      </c>
      <c r="AQ35" s="538">
        <v>1.848611163E9</v>
      </c>
      <c r="AR35" s="538">
        <v>11.0</v>
      </c>
      <c r="AS35" s="538" t="s">
        <v>46</v>
      </c>
    </row>
    <row r="36" ht="22.5" customHeight="1">
      <c r="A36" s="538">
        <v>35.0</v>
      </c>
      <c r="B36" s="538" t="s">
        <v>2576</v>
      </c>
      <c r="C36" s="538" t="s">
        <v>597</v>
      </c>
      <c r="D36" s="538" t="s">
        <v>292</v>
      </c>
      <c r="E36" s="538" t="s">
        <v>2577</v>
      </c>
      <c r="F36" s="538" t="s">
        <v>216</v>
      </c>
      <c r="G36" s="538" t="s">
        <v>222</v>
      </c>
      <c r="H36" s="538" t="s">
        <v>201</v>
      </c>
      <c r="I36" s="538" t="s">
        <v>350</v>
      </c>
      <c r="J36" s="538" t="s">
        <v>2580</v>
      </c>
      <c r="K36" s="538" t="b">
        <v>0</v>
      </c>
      <c r="L36" s="538" t="b">
        <v>1</v>
      </c>
      <c r="M36" s="538" t="s">
        <v>73</v>
      </c>
      <c r="O36" s="538" t="s">
        <v>79</v>
      </c>
      <c r="P36" s="538" t="s">
        <v>303</v>
      </c>
      <c r="Q36" s="538" t="s">
        <v>79</v>
      </c>
      <c r="R36" s="538" t="s">
        <v>2577</v>
      </c>
      <c r="S36" s="538" t="s">
        <v>79</v>
      </c>
      <c r="T36" s="538" t="s">
        <v>2577</v>
      </c>
      <c r="U36" s="538" t="s">
        <v>79</v>
      </c>
      <c r="V36" s="538" t="s">
        <v>2577</v>
      </c>
      <c r="W36" s="538" t="s">
        <v>79</v>
      </c>
      <c r="X36" s="538" t="s">
        <v>2577</v>
      </c>
      <c r="Y36" s="538" t="s">
        <v>79</v>
      </c>
      <c r="Z36" s="538" t="s">
        <v>2577</v>
      </c>
      <c r="AA36" s="538" t="s">
        <v>79</v>
      </c>
      <c r="AB36" s="538" t="s">
        <v>2577</v>
      </c>
      <c r="AC36" s="538" t="s">
        <v>79</v>
      </c>
      <c r="AD36" s="538" t="s">
        <v>2577</v>
      </c>
      <c r="AE36" s="538" t="s">
        <v>79</v>
      </c>
      <c r="AF36" s="538" t="s">
        <v>2577</v>
      </c>
      <c r="AG36" s="538" t="s">
        <v>79</v>
      </c>
      <c r="AH36" s="538" t="s">
        <v>2577</v>
      </c>
      <c r="AI36" s="538" t="s">
        <v>79</v>
      </c>
      <c r="AJ36" s="538" t="s">
        <v>2577</v>
      </c>
      <c r="AK36" s="538" t="s">
        <v>79</v>
      </c>
      <c r="AL36" s="538" t="s">
        <v>292</v>
      </c>
      <c r="AM36" s="538" t="s">
        <v>79</v>
      </c>
      <c r="AN36" s="538" t="s">
        <v>292</v>
      </c>
      <c r="AO36" s="538">
        <v>1.825445793E9</v>
      </c>
      <c r="AP36" s="538">
        <v>3.0</v>
      </c>
      <c r="AQ36" s="538">
        <v>1.848611163E9</v>
      </c>
      <c r="AR36" s="538">
        <v>11.0</v>
      </c>
      <c r="AS36" s="538" t="s">
        <v>46</v>
      </c>
    </row>
    <row r="37" ht="22.5" customHeight="1">
      <c r="A37" s="538">
        <v>36.0</v>
      </c>
      <c r="B37" s="538" t="s">
        <v>2576</v>
      </c>
      <c r="C37" s="538" t="s">
        <v>597</v>
      </c>
      <c r="D37" s="538" t="s">
        <v>295</v>
      </c>
      <c r="E37" s="538" t="s">
        <v>2577</v>
      </c>
      <c r="F37" s="538" t="s">
        <v>163</v>
      </c>
      <c r="G37" s="538" t="s">
        <v>250</v>
      </c>
      <c r="H37" s="538" t="s">
        <v>155</v>
      </c>
      <c r="J37" s="538" t="s">
        <v>2581</v>
      </c>
      <c r="K37" s="538" t="b">
        <v>0</v>
      </c>
      <c r="L37" s="538" t="b">
        <v>1</v>
      </c>
      <c r="M37" s="538" t="s">
        <v>73</v>
      </c>
      <c r="O37" s="538" t="s">
        <v>79</v>
      </c>
      <c r="P37" s="538" t="s">
        <v>303</v>
      </c>
      <c r="Q37" s="538" t="s">
        <v>79</v>
      </c>
      <c r="R37" s="538" t="s">
        <v>2577</v>
      </c>
      <c r="S37" s="538" t="s">
        <v>79</v>
      </c>
      <c r="T37" s="538" t="s">
        <v>2577</v>
      </c>
      <c r="U37" s="538" t="s">
        <v>79</v>
      </c>
      <c r="V37" s="538" t="s">
        <v>2577</v>
      </c>
      <c r="W37" s="538" t="s">
        <v>79</v>
      </c>
      <c r="X37" s="538" t="s">
        <v>2577</v>
      </c>
      <c r="Y37" s="538" t="s">
        <v>79</v>
      </c>
      <c r="Z37" s="538" t="s">
        <v>2577</v>
      </c>
      <c r="AA37" s="538" t="s">
        <v>79</v>
      </c>
      <c r="AB37" s="538" t="s">
        <v>2577</v>
      </c>
      <c r="AC37" s="538" t="s">
        <v>79</v>
      </c>
      <c r="AD37" s="538" t="s">
        <v>2577</v>
      </c>
      <c r="AE37" s="538" t="s">
        <v>79</v>
      </c>
      <c r="AF37" s="538" t="s">
        <v>2577</v>
      </c>
      <c r="AG37" s="538" t="s">
        <v>79</v>
      </c>
      <c r="AH37" s="538" t="s">
        <v>2577</v>
      </c>
      <c r="AI37" s="538" t="s">
        <v>79</v>
      </c>
      <c r="AJ37" s="538" t="s">
        <v>2577</v>
      </c>
      <c r="AK37" s="538" t="s">
        <v>79</v>
      </c>
      <c r="AL37" s="538" t="s">
        <v>295</v>
      </c>
      <c r="AM37" s="538" t="s">
        <v>79</v>
      </c>
      <c r="AN37" s="538" t="s">
        <v>295</v>
      </c>
      <c r="AO37" s="538">
        <v>5281195.0</v>
      </c>
      <c r="AP37" s="538">
        <v>4.0</v>
      </c>
      <c r="AQ37" s="538">
        <v>1.848611163E9</v>
      </c>
      <c r="AR37" s="538">
        <v>11.0</v>
      </c>
      <c r="AS37" s="538" t="s">
        <v>46</v>
      </c>
    </row>
    <row r="38" ht="22.5" customHeight="1">
      <c r="A38" s="538">
        <v>37.0</v>
      </c>
      <c r="B38" s="538" t="s">
        <v>2582</v>
      </c>
      <c r="C38" s="538" t="s">
        <v>597</v>
      </c>
      <c r="D38" s="538" t="s">
        <v>218</v>
      </c>
      <c r="E38" s="538" t="s">
        <v>248</v>
      </c>
      <c r="F38" s="538" t="s">
        <v>163</v>
      </c>
      <c r="G38" s="538" t="s">
        <v>250</v>
      </c>
      <c r="H38" s="538" t="s">
        <v>122</v>
      </c>
      <c r="J38" s="538" t="s">
        <v>2583</v>
      </c>
      <c r="K38" s="538" t="b">
        <v>0</v>
      </c>
      <c r="L38" s="538" t="b">
        <v>1</v>
      </c>
      <c r="M38" s="538" t="s">
        <v>73</v>
      </c>
      <c r="O38" s="538" t="s">
        <v>73</v>
      </c>
      <c r="Q38" s="538" t="s">
        <v>79</v>
      </c>
      <c r="R38" s="538" t="s">
        <v>248</v>
      </c>
      <c r="S38" s="538" t="s">
        <v>79</v>
      </c>
      <c r="T38" s="538" t="s">
        <v>248</v>
      </c>
      <c r="U38" s="538" t="s">
        <v>79</v>
      </c>
      <c r="V38" s="538" t="s">
        <v>248</v>
      </c>
      <c r="W38" s="538" t="s">
        <v>79</v>
      </c>
      <c r="X38" s="538" t="s">
        <v>248</v>
      </c>
      <c r="Y38" s="538" t="s">
        <v>79</v>
      </c>
      <c r="Z38" s="538" t="s">
        <v>248</v>
      </c>
      <c r="AA38" s="538" t="s">
        <v>79</v>
      </c>
      <c r="AB38" s="538" t="s">
        <v>248</v>
      </c>
      <c r="AC38" s="538" t="s">
        <v>79</v>
      </c>
      <c r="AD38" s="538" t="s">
        <v>248</v>
      </c>
      <c r="AE38" s="538" t="s">
        <v>79</v>
      </c>
      <c r="AF38" s="538" t="s">
        <v>248</v>
      </c>
      <c r="AG38" s="538" t="s">
        <v>79</v>
      </c>
      <c r="AH38" s="538" t="s">
        <v>248</v>
      </c>
      <c r="AI38" s="538" t="s">
        <v>79</v>
      </c>
      <c r="AJ38" s="538" t="s">
        <v>248</v>
      </c>
      <c r="AK38" s="538" t="s">
        <v>79</v>
      </c>
      <c r="AL38" s="538" t="s">
        <v>218</v>
      </c>
      <c r="AM38" s="538" t="s">
        <v>79</v>
      </c>
      <c r="AN38" s="538" t="s">
        <v>218</v>
      </c>
      <c r="AO38" s="538">
        <v>2.74083612E8</v>
      </c>
      <c r="AP38" s="538">
        <v>1.0</v>
      </c>
      <c r="AQ38" s="538">
        <v>1.296092881E9</v>
      </c>
      <c r="AR38" s="538">
        <v>12.0</v>
      </c>
      <c r="AS38" s="538" t="s">
        <v>47</v>
      </c>
    </row>
    <row r="39" ht="22.5" customHeight="1">
      <c r="A39" s="538">
        <v>38.0</v>
      </c>
      <c r="B39" s="538" t="s">
        <v>2582</v>
      </c>
      <c r="C39" s="538" t="s">
        <v>597</v>
      </c>
      <c r="D39" s="538" t="s">
        <v>310</v>
      </c>
      <c r="F39" s="538" t="s">
        <v>151</v>
      </c>
      <c r="G39" s="538" t="s">
        <v>250</v>
      </c>
      <c r="H39" s="538" t="s">
        <v>122</v>
      </c>
      <c r="J39" s="538" t="s">
        <v>2539</v>
      </c>
      <c r="K39" s="538" t="b">
        <v>0</v>
      </c>
      <c r="L39" s="538" t="b">
        <v>1</v>
      </c>
      <c r="M39" s="538" t="s">
        <v>73</v>
      </c>
      <c r="O39" s="538" t="s">
        <v>73</v>
      </c>
      <c r="Q39" s="538" t="s">
        <v>73</v>
      </c>
      <c r="S39" s="538" t="s">
        <v>73</v>
      </c>
      <c r="U39" s="538" t="s">
        <v>73</v>
      </c>
      <c r="W39" s="538" t="s">
        <v>73</v>
      </c>
      <c r="Y39" s="538" t="s">
        <v>73</v>
      </c>
      <c r="AA39" s="538" t="s">
        <v>73</v>
      </c>
      <c r="AC39" s="538" t="s">
        <v>73</v>
      </c>
      <c r="AE39" s="538" t="s">
        <v>73</v>
      </c>
      <c r="AG39" s="538" t="s">
        <v>73</v>
      </c>
      <c r="AI39" s="538" t="s">
        <v>73</v>
      </c>
      <c r="AK39" s="538" t="s">
        <v>79</v>
      </c>
      <c r="AL39" s="538" t="s">
        <v>310</v>
      </c>
      <c r="AM39" s="538" t="s">
        <v>79</v>
      </c>
      <c r="AN39" s="538" t="s">
        <v>310</v>
      </c>
      <c r="AO39" s="538">
        <v>2.073002029E9</v>
      </c>
      <c r="AP39" s="538">
        <v>2.0</v>
      </c>
      <c r="AQ39" s="538">
        <v>1.296092881E9</v>
      </c>
      <c r="AR39" s="538">
        <v>12.0</v>
      </c>
      <c r="AS39" s="538" t="s">
        <v>47</v>
      </c>
    </row>
    <row r="40" ht="22.5" customHeight="1">
      <c r="A40" s="538">
        <v>39.0</v>
      </c>
      <c r="B40" s="538" t="s">
        <v>2582</v>
      </c>
      <c r="C40" s="538" t="s">
        <v>597</v>
      </c>
      <c r="D40" s="538" t="s">
        <v>295</v>
      </c>
      <c r="E40" s="538" t="s">
        <v>2577</v>
      </c>
      <c r="F40" s="538" t="s">
        <v>163</v>
      </c>
      <c r="G40" s="538" t="s">
        <v>250</v>
      </c>
      <c r="H40" s="538" t="s">
        <v>155</v>
      </c>
      <c r="J40" s="538" t="s">
        <v>2581</v>
      </c>
      <c r="K40" s="538" t="b">
        <v>0</v>
      </c>
      <c r="L40" s="538" t="b">
        <v>1</v>
      </c>
      <c r="M40" s="538" t="s">
        <v>73</v>
      </c>
      <c r="O40" s="538" t="s">
        <v>79</v>
      </c>
      <c r="P40" s="538" t="s">
        <v>303</v>
      </c>
      <c r="Q40" s="538" t="s">
        <v>79</v>
      </c>
      <c r="R40" s="538" t="s">
        <v>2577</v>
      </c>
      <c r="S40" s="538" t="s">
        <v>79</v>
      </c>
      <c r="T40" s="538" t="s">
        <v>2577</v>
      </c>
      <c r="U40" s="538" t="s">
        <v>79</v>
      </c>
      <c r="V40" s="538" t="s">
        <v>2577</v>
      </c>
      <c r="W40" s="538" t="s">
        <v>79</v>
      </c>
      <c r="X40" s="538" t="s">
        <v>2577</v>
      </c>
      <c r="Y40" s="538" t="s">
        <v>79</v>
      </c>
      <c r="Z40" s="538" t="s">
        <v>2577</v>
      </c>
      <c r="AA40" s="538" t="s">
        <v>79</v>
      </c>
      <c r="AB40" s="538" t="s">
        <v>2577</v>
      </c>
      <c r="AC40" s="538" t="s">
        <v>79</v>
      </c>
      <c r="AD40" s="538" t="s">
        <v>2577</v>
      </c>
      <c r="AE40" s="538" t="s">
        <v>79</v>
      </c>
      <c r="AF40" s="538" t="s">
        <v>2577</v>
      </c>
      <c r="AG40" s="538" t="s">
        <v>79</v>
      </c>
      <c r="AH40" s="538" t="s">
        <v>2577</v>
      </c>
      <c r="AI40" s="538" t="s">
        <v>79</v>
      </c>
      <c r="AJ40" s="538" t="s">
        <v>2577</v>
      </c>
      <c r="AK40" s="538" t="s">
        <v>79</v>
      </c>
      <c r="AL40" s="538" t="s">
        <v>295</v>
      </c>
      <c r="AM40" s="538" t="s">
        <v>79</v>
      </c>
      <c r="AN40" s="538" t="s">
        <v>295</v>
      </c>
      <c r="AO40" s="538">
        <v>3.082560784E9</v>
      </c>
      <c r="AP40" s="538">
        <v>3.0</v>
      </c>
      <c r="AQ40" s="538">
        <v>1.296092881E9</v>
      </c>
      <c r="AR40" s="538">
        <v>12.0</v>
      </c>
      <c r="AS40" s="538" t="s">
        <v>47</v>
      </c>
    </row>
    <row r="41" ht="22.5" customHeight="1">
      <c r="A41" s="538">
        <v>40.0</v>
      </c>
      <c r="B41" s="538" t="s">
        <v>2582</v>
      </c>
      <c r="C41" s="538" t="s">
        <v>597</v>
      </c>
      <c r="D41" s="538" t="s">
        <v>218</v>
      </c>
      <c r="E41" s="538" t="s">
        <v>2584</v>
      </c>
      <c r="F41" s="538" t="s">
        <v>163</v>
      </c>
      <c r="G41" s="538" t="s">
        <v>250</v>
      </c>
      <c r="H41" s="538" t="s">
        <v>122</v>
      </c>
      <c r="J41" s="538" t="s">
        <v>2585</v>
      </c>
      <c r="K41" s="538" t="b">
        <v>0</v>
      </c>
      <c r="L41" s="538" t="b">
        <v>1</v>
      </c>
      <c r="M41" s="538" t="s">
        <v>79</v>
      </c>
      <c r="N41" s="538" t="s">
        <v>2586</v>
      </c>
      <c r="O41" s="538" t="s">
        <v>79</v>
      </c>
      <c r="P41" s="538" t="s">
        <v>2586</v>
      </c>
      <c r="Q41" s="538" t="s">
        <v>79</v>
      </c>
      <c r="R41" s="538" t="s">
        <v>2584</v>
      </c>
      <c r="S41" s="538" t="s">
        <v>79</v>
      </c>
      <c r="T41" s="538" t="s">
        <v>2584</v>
      </c>
      <c r="U41" s="538" t="s">
        <v>79</v>
      </c>
      <c r="V41" s="538" t="s">
        <v>2584</v>
      </c>
      <c r="W41" s="538" t="s">
        <v>79</v>
      </c>
      <c r="X41" s="538" t="s">
        <v>2584</v>
      </c>
      <c r="Y41" s="538" t="s">
        <v>79</v>
      </c>
      <c r="Z41" s="538" t="s">
        <v>2584</v>
      </c>
      <c r="AA41" s="538" t="s">
        <v>79</v>
      </c>
      <c r="AB41" s="538" t="s">
        <v>2584</v>
      </c>
      <c r="AC41" s="538" t="s">
        <v>79</v>
      </c>
      <c r="AD41" s="538" t="s">
        <v>2584</v>
      </c>
      <c r="AE41" s="538" t="s">
        <v>79</v>
      </c>
      <c r="AF41" s="538" t="s">
        <v>2584</v>
      </c>
      <c r="AG41" s="538" t="s">
        <v>79</v>
      </c>
      <c r="AH41" s="538" t="s">
        <v>2584</v>
      </c>
      <c r="AI41" s="538" t="s">
        <v>79</v>
      </c>
      <c r="AJ41" s="538" t="s">
        <v>2584</v>
      </c>
      <c r="AK41" s="538" t="s">
        <v>79</v>
      </c>
      <c r="AL41" s="538" t="s">
        <v>218</v>
      </c>
      <c r="AM41" s="538" t="s">
        <v>79</v>
      </c>
      <c r="AN41" s="538" t="s">
        <v>218</v>
      </c>
      <c r="AO41" s="538">
        <v>2.867004475E9</v>
      </c>
      <c r="AP41" s="538">
        <v>4.0</v>
      </c>
      <c r="AQ41" s="538">
        <v>1.296092881E9</v>
      </c>
      <c r="AR41" s="538">
        <v>12.0</v>
      </c>
      <c r="AS41" s="538" t="s">
        <v>47</v>
      </c>
    </row>
    <row r="42" ht="22.5" customHeight="1">
      <c r="A42" s="538">
        <v>41.0</v>
      </c>
      <c r="B42" s="538" t="s">
        <v>2587</v>
      </c>
      <c r="C42" s="538" t="s">
        <v>597</v>
      </c>
      <c r="D42" s="538" t="s">
        <v>218</v>
      </c>
      <c r="E42" s="538" t="s">
        <v>248</v>
      </c>
      <c r="F42" s="538" t="s">
        <v>163</v>
      </c>
      <c r="G42" s="538" t="s">
        <v>250</v>
      </c>
      <c r="H42" s="538" t="s">
        <v>122</v>
      </c>
      <c r="J42" s="538" t="s">
        <v>2583</v>
      </c>
      <c r="K42" s="538" t="b">
        <v>0</v>
      </c>
      <c r="L42" s="538" t="b">
        <v>1</v>
      </c>
      <c r="M42" s="538" t="s">
        <v>73</v>
      </c>
      <c r="O42" s="538" t="s">
        <v>73</v>
      </c>
      <c r="Q42" s="538" t="s">
        <v>79</v>
      </c>
      <c r="R42" s="538" t="s">
        <v>248</v>
      </c>
      <c r="S42" s="538" t="s">
        <v>79</v>
      </c>
      <c r="T42" s="538" t="s">
        <v>248</v>
      </c>
      <c r="U42" s="538" t="s">
        <v>79</v>
      </c>
      <c r="V42" s="538" t="s">
        <v>248</v>
      </c>
      <c r="W42" s="538" t="s">
        <v>79</v>
      </c>
      <c r="X42" s="538" t="s">
        <v>248</v>
      </c>
      <c r="Y42" s="538" t="s">
        <v>79</v>
      </c>
      <c r="Z42" s="538" t="s">
        <v>248</v>
      </c>
      <c r="AA42" s="538" t="s">
        <v>79</v>
      </c>
      <c r="AB42" s="538" t="s">
        <v>248</v>
      </c>
      <c r="AC42" s="538" t="s">
        <v>79</v>
      </c>
      <c r="AD42" s="538" t="s">
        <v>248</v>
      </c>
      <c r="AE42" s="538" t="s">
        <v>79</v>
      </c>
      <c r="AF42" s="538" t="s">
        <v>248</v>
      </c>
      <c r="AG42" s="538" t="s">
        <v>79</v>
      </c>
      <c r="AH42" s="538" t="s">
        <v>248</v>
      </c>
      <c r="AI42" s="538" t="s">
        <v>79</v>
      </c>
      <c r="AJ42" s="538" t="s">
        <v>248</v>
      </c>
      <c r="AK42" s="538" t="s">
        <v>79</v>
      </c>
      <c r="AL42" s="538" t="s">
        <v>218</v>
      </c>
      <c r="AM42" s="538" t="s">
        <v>79</v>
      </c>
      <c r="AN42" s="538" t="s">
        <v>218</v>
      </c>
      <c r="AO42" s="538">
        <v>1.19934526E8</v>
      </c>
      <c r="AP42" s="538">
        <v>1.0</v>
      </c>
      <c r="AQ42" s="538">
        <v>2.923149282E9</v>
      </c>
      <c r="AR42" s="538">
        <v>13.0</v>
      </c>
      <c r="AS42" s="538" t="s">
        <v>47</v>
      </c>
    </row>
    <row r="43" ht="22.5" customHeight="1">
      <c r="A43" s="538">
        <v>42.0</v>
      </c>
      <c r="B43" s="538" t="s">
        <v>2587</v>
      </c>
      <c r="C43" s="538" t="s">
        <v>597</v>
      </c>
      <c r="D43" s="538" t="s">
        <v>310</v>
      </c>
      <c r="F43" s="538" t="s">
        <v>151</v>
      </c>
      <c r="G43" s="538" t="s">
        <v>250</v>
      </c>
      <c r="H43" s="538" t="s">
        <v>122</v>
      </c>
      <c r="J43" s="538" t="s">
        <v>2539</v>
      </c>
      <c r="K43" s="538" t="b">
        <v>0</v>
      </c>
      <c r="L43" s="538" t="b">
        <v>1</v>
      </c>
      <c r="M43" s="538" t="s">
        <v>73</v>
      </c>
      <c r="O43" s="538" t="s">
        <v>73</v>
      </c>
      <c r="Q43" s="538" t="s">
        <v>73</v>
      </c>
      <c r="S43" s="538" t="s">
        <v>73</v>
      </c>
      <c r="U43" s="538" t="s">
        <v>73</v>
      </c>
      <c r="W43" s="538" t="s">
        <v>73</v>
      </c>
      <c r="Y43" s="538" t="s">
        <v>73</v>
      </c>
      <c r="AA43" s="538" t="s">
        <v>73</v>
      </c>
      <c r="AC43" s="538" t="s">
        <v>73</v>
      </c>
      <c r="AE43" s="538" t="s">
        <v>73</v>
      </c>
      <c r="AG43" s="538" t="s">
        <v>73</v>
      </c>
      <c r="AI43" s="538" t="s">
        <v>73</v>
      </c>
      <c r="AK43" s="538" t="s">
        <v>79</v>
      </c>
      <c r="AL43" s="538" t="s">
        <v>310</v>
      </c>
      <c r="AM43" s="538" t="s">
        <v>79</v>
      </c>
      <c r="AN43" s="538" t="s">
        <v>310</v>
      </c>
      <c r="AO43" s="538">
        <v>4.063817401E9</v>
      </c>
      <c r="AP43" s="538">
        <v>2.0</v>
      </c>
      <c r="AQ43" s="538">
        <v>2.923149282E9</v>
      </c>
      <c r="AR43" s="538">
        <v>13.0</v>
      </c>
      <c r="AS43" s="538" t="s">
        <v>47</v>
      </c>
    </row>
    <row r="44" ht="22.5" customHeight="1">
      <c r="A44" s="538">
        <v>43.0</v>
      </c>
      <c r="B44" s="538" t="s">
        <v>2587</v>
      </c>
      <c r="C44" s="538" t="s">
        <v>597</v>
      </c>
      <c r="D44" s="538" t="s">
        <v>218</v>
      </c>
      <c r="E44" s="538" t="s">
        <v>248</v>
      </c>
      <c r="F44" s="538" t="s">
        <v>244</v>
      </c>
      <c r="G44" s="538" t="s">
        <v>250</v>
      </c>
      <c r="H44" s="538" t="s">
        <v>122</v>
      </c>
      <c r="I44" s="538" t="s">
        <v>114</v>
      </c>
      <c r="J44" s="538" t="s">
        <v>2588</v>
      </c>
      <c r="K44" s="538" t="b">
        <v>0</v>
      </c>
      <c r="L44" s="538" t="b">
        <v>1</v>
      </c>
      <c r="M44" s="538" t="s">
        <v>73</v>
      </c>
      <c r="O44" s="538" t="s">
        <v>73</v>
      </c>
      <c r="Q44" s="538" t="s">
        <v>79</v>
      </c>
      <c r="R44" s="538" t="s">
        <v>248</v>
      </c>
      <c r="S44" s="538" t="s">
        <v>79</v>
      </c>
      <c r="T44" s="538" t="s">
        <v>248</v>
      </c>
      <c r="U44" s="538" t="s">
        <v>79</v>
      </c>
      <c r="V44" s="538" t="s">
        <v>248</v>
      </c>
      <c r="W44" s="538" t="s">
        <v>79</v>
      </c>
      <c r="X44" s="538" t="s">
        <v>248</v>
      </c>
      <c r="Y44" s="538" t="s">
        <v>79</v>
      </c>
      <c r="Z44" s="538" t="s">
        <v>248</v>
      </c>
      <c r="AA44" s="538" t="s">
        <v>79</v>
      </c>
      <c r="AB44" s="538" t="s">
        <v>248</v>
      </c>
      <c r="AC44" s="538" t="s">
        <v>79</v>
      </c>
      <c r="AD44" s="538" t="s">
        <v>248</v>
      </c>
      <c r="AE44" s="538" t="s">
        <v>79</v>
      </c>
      <c r="AF44" s="538" t="s">
        <v>248</v>
      </c>
      <c r="AG44" s="538" t="s">
        <v>79</v>
      </c>
      <c r="AH44" s="538" t="s">
        <v>248</v>
      </c>
      <c r="AI44" s="538" t="s">
        <v>79</v>
      </c>
      <c r="AJ44" s="538" t="s">
        <v>248</v>
      </c>
      <c r="AK44" s="538" t="s">
        <v>79</v>
      </c>
      <c r="AL44" s="538" t="s">
        <v>218</v>
      </c>
      <c r="AM44" s="538" t="s">
        <v>79</v>
      </c>
      <c r="AN44" s="538" t="s">
        <v>218</v>
      </c>
      <c r="AO44" s="538">
        <v>3.602421416E9</v>
      </c>
      <c r="AP44" s="538">
        <v>3.0</v>
      </c>
      <c r="AQ44" s="538">
        <v>2.923149282E9</v>
      </c>
      <c r="AR44" s="538">
        <v>13.0</v>
      </c>
      <c r="AS44" s="538" t="s">
        <v>47</v>
      </c>
    </row>
    <row r="45" ht="22.5" customHeight="1">
      <c r="A45" s="538">
        <v>44.0</v>
      </c>
      <c r="B45" s="538" t="s">
        <v>2587</v>
      </c>
      <c r="C45" s="538" t="s">
        <v>597</v>
      </c>
      <c r="D45" s="538" t="s">
        <v>218</v>
      </c>
      <c r="E45" s="538" t="s">
        <v>2589</v>
      </c>
      <c r="F45" s="538" t="s">
        <v>163</v>
      </c>
      <c r="G45" s="538" t="s">
        <v>250</v>
      </c>
      <c r="H45" s="538" t="s">
        <v>122</v>
      </c>
      <c r="J45" s="538" t="s">
        <v>2590</v>
      </c>
      <c r="K45" s="538" t="b">
        <v>0</v>
      </c>
      <c r="L45" s="538" t="b">
        <v>1</v>
      </c>
      <c r="M45" s="538" t="s">
        <v>79</v>
      </c>
      <c r="N45" s="538" t="s">
        <v>2591</v>
      </c>
      <c r="O45" s="538" t="s">
        <v>79</v>
      </c>
      <c r="P45" s="538" t="s">
        <v>2591</v>
      </c>
      <c r="Q45" s="538" t="s">
        <v>79</v>
      </c>
      <c r="R45" s="538" t="s">
        <v>2589</v>
      </c>
      <c r="S45" s="538" t="s">
        <v>79</v>
      </c>
      <c r="T45" s="538" t="s">
        <v>2589</v>
      </c>
      <c r="U45" s="538" t="s">
        <v>79</v>
      </c>
      <c r="V45" s="538" t="s">
        <v>2589</v>
      </c>
      <c r="W45" s="538" t="s">
        <v>79</v>
      </c>
      <c r="X45" s="538" t="s">
        <v>2589</v>
      </c>
      <c r="Y45" s="538" t="s">
        <v>79</v>
      </c>
      <c r="Z45" s="538" t="s">
        <v>2589</v>
      </c>
      <c r="AA45" s="538" t="s">
        <v>79</v>
      </c>
      <c r="AB45" s="538" t="s">
        <v>2589</v>
      </c>
      <c r="AC45" s="538" t="s">
        <v>79</v>
      </c>
      <c r="AD45" s="538" t="s">
        <v>2589</v>
      </c>
      <c r="AE45" s="538" t="s">
        <v>79</v>
      </c>
      <c r="AF45" s="538" t="s">
        <v>2589</v>
      </c>
      <c r="AG45" s="538" t="s">
        <v>79</v>
      </c>
      <c r="AH45" s="538" t="s">
        <v>2589</v>
      </c>
      <c r="AI45" s="538" t="s">
        <v>79</v>
      </c>
      <c r="AJ45" s="538" t="s">
        <v>2589</v>
      </c>
      <c r="AK45" s="538" t="s">
        <v>79</v>
      </c>
      <c r="AL45" s="538" t="s">
        <v>218</v>
      </c>
      <c r="AM45" s="538" t="s">
        <v>79</v>
      </c>
      <c r="AN45" s="538" t="s">
        <v>218</v>
      </c>
      <c r="AO45" s="538">
        <v>3.347253112E9</v>
      </c>
      <c r="AP45" s="538">
        <v>4.0</v>
      </c>
      <c r="AQ45" s="538">
        <v>2.923149282E9</v>
      </c>
      <c r="AR45" s="538">
        <v>13.0</v>
      </c>
      <c r="AS45" s="538" t="s">
        <v>47</v>
      </c>
    </row>
    <row r="46" ht="22.5" customHeight="1">
      <c r="A46" s="538">
        <v>45.0</v>
      </c>
      <c r="B46" s="538" t="s">
        <v>2592</v>
      </c>
      <c r="C46" s="538" t="s">
        <v>597</v>
      </c>
      <c r="D46" s="538" t="s">
        <v>218</v>
      </c>
      <c r="E46" s="538" t="s">
        <v>248</v>
      </c>
      <c r="F46" s="538" t="s">
        <v>163</v>
      </c>
      <c r="G46" s="538" t="s">
        <v>250</v>
      </c>
      <c r="H46" s="538" t="s">
        <v>122</v>
      </c>
      <c r="J46" s="538" t="s">
        <v>2583</v>
      </c>
      <c r="K46" s="538" t="b">
        <v>0</v>
      </c>
      <c r="L46" s="538" t="b">
        <v>1</v>
      </c>
      <c r="M46" s="538" t="s">
        <v>73</v>
      </c>
      <c r="O46" s="538" t="s">
        <v>73</v>
      </c>
      <c r="Q46" s="538" t="s">
        <v>79</v>
      </c>
      <c r="R46" s="538" t="s">
        <v>248</v>
      </c>
      <c r="S46" s="538" t="s">
        <v>79</v>
      </c>
      <c r="T46" s="538" t="s">
        <v>248</v>
      </c>
      <c r="U46" s="538" t="s">
        <v>79</v>
      </c>
      <c r="V46" s="538" t="s">
        <v>248</v>
      </c>
      <c r="W46" s="538" t="s">
        <v>79</v>
      </c>
      <c r="X46" s="538" t="s">
        <v>248</v>
      </c>
      <c r="Y46" s="538" t="s">
        <v>79</v>
      </c>
      <c r="Z46" s="538" t="s">
        <v>248</v>
      </c>
      <c r="AA46" s="538" t="s">
        <v>79</v>
      </c>
      <c r="AB46" s="538" t="s">
        <v>248</v>
      </c>
      <c r="AC46" s="538" t="s">
        <v>79</v>
      </c>
      <c r="AD46" s="538" t="s">
        <v>248</v>
      </c>
      <c r="AE46" s="538" t="s">
        <v>79</v>
      </c>
      <c r="AF46" s="538" t="s">
        <v>248</v>
      </c>
      <c r="AG46" s="538" t="s">
        <v>79</v>
      </c>
      <c r="AH46" s="538" t="s">
        <v>248</v>
      </c>
      <c r="AI46" s="538" t="s">
        <v>79</v>
      </c>
      <c r="AJ46" s="538" t="s">
        <v>248</v>
      </c>
      <c r="AK46" s="538" t="s">
        <v>79</v>
      </c>
      <c r="AL46" s="538" t="s">
        <v>218</v>
      </c>
      <c r="AM46" s="538" t="s">
        <v>79</v>
      </c>
      <c r="AN46" s="538" t="s">
        <v>218</v>
      </c>
      <c r="AO46" s="538">
        <v>1.828759518E9</v>
      </c>
      <c r="AP46" s="538">
        <v>1.0</v>
      </c>
      <c r="AQ46" s="538">
        <v>1.930376004E9</v>
      </c>
      <c r="AR46" s="538">
        <v>14.0</v>
      </c>
      <c r="AS46" s="538" t="s">
        <v>47</v>
      </c>
    </row>
    <row r="47" ht="22.5" customHeight="1">
      <c r="A47" s="538">
        <v>46.0</v>
      </c>
      <c r="B47" s="538" t="s">
        <v>2592</v>
      </c>
      <c r="C47" s="538" t="s">
        <v>597</v>
      </c>
      <c r="D47" s="538" t="s">
        <v>310</v>
      </c>
      <c r="F47" s="538" t="s">
        <v>151</v>
      </c>
      <c r="G47" s="538" t="s">
        <v>250</v>
      </c>
      <c r="H47" s="538" t="s">
        <v>122</v>
      </c>
      <c r="J47" s="538" t="s">
        <v>2539</v>
      </c>
      <c r="K47" s="538" t="b">
        <v>0</v>
      </c>
      <c r="L47" s="538" t="b">
        <v>1</v>
      </c>
      <c r="M47" s="538" t="s">
        <v>73</v>
      </c>
      <c r="O47" s="538" t="s">
        <v>73</v>
      </c>
      <c r="Q47" s="538" t="s">
        <v>73</v>
      </c>
      <c r="S47" s="538" t="s">
        <v>73</v>
      </c>
      <c r="U47" s="538" t="s">
        <v>73</v>
      </c>
      <c r="W47" s="538" t="s">
        <v>73</v>
      </c>
      <c r="Y47" s="538" t="s">
        <v>73</v>
      </c>
      <c r="AA47" s="538" t="s">
        <v>73</v>
      </c>
      <c r="AC47" s="538" t="s">
        <v>73</v>
      </c>
      <c r="AE47" s="538" t="s">
        <v>73</v>
      </c>
      <c r="AG47" s="538" t="s">
        <v>73</v>
      </c>
      <c r="AI47" s="538" t="s">
        <v>73</v>
      </c>
      <c r="AK47" s="538" t="s">
        <v>79</v>
      </c>
      <c r="AL47" s="538" t="s">
        <v>310</v>
      </c>
      <c r="AM47" s="538" t="s">
        <v>79</v>
      </c>
      <c r="AN47" s="538" t="s">
        <v>310</v>
      </c>
      <c r="AO47" s="538">
        <v>4.12101137E9</v>
      </c>
      <c r="AP47" s="538">
        <v>2.0</v>
      </c>
      <c r="AQ47" s="538">
        <v>1.930376004E9</v>
      </c>
      <c r="AR47" s="538">
        <v>14.0</v>
      </c>
      <c r="AS47" s="538" t="s">
        <v>47</v>
      </c>
    </row>
    <row r="48" ht="22.5" customHeight="1">
      <c r="A48" s="538">
        <v>47.0</v>
      </c>
      <c r="B48" s="538" t="s">
        <v>2592</v>
      </c>
      <c r="C48" s="538" t="s">
        <v>597</v>
      </c>
      <c r="D48" s="538" t="s">
        <v>295</v>
      </c>
      <c r="E48" s="538" t="s">
        <v>2577</v>
      </c>
      <c r="F48" s="538" t="s">
        <v>163</v>
      </c>
      <c r="G48" s="538" t="s">
        <v>250</v>
      </c>
      <c r="H48" s="538" t="s">
        <v>155</v>
      </c>
      <c r="J48" s="538" t="s">
        <v>2581</v>
      </c>
      <c r="K48" s="538" t="b">
        <v>0</v>
      </c>
      <c r="L48" s="538" t="b">
        <v>1</v>
      </c>
      <c r="M48" s="538" t="s">
        <v>73</v>
      </c>
      <c r="O48" s="538" t="s">
        <v>79</v>
      </c>
      <c r="P48" s="538" t="s">
        <v>303</v>
      </c>
      <c r="Q48" s="538" t="s">
        <v>79</v>
      </c>
      <c r="R48" s="538" t="s">
        <v>2577</v>
      </c>
      <c r="S48" s="538" t="s">
        <v>79</v>
      </c>
      <c r="T48" s="538" t="s">
        <v>2577</v>
      </c>
      <c r="U48" s="538" t="s">
        <v>79</v>
      </c>
      <c r="V48" s="538" t="s">
        <v>2577</v>
      </c>
      <c r="W48" s="538" t="s">
        <v>79</v>
      </c>
      <c r="X48" s="538" t="s">
        <v>2577</v>
      </c>
      <c r="Y48" s="538" t="s">
        <v>79</v>
      </c>
      <c r="Z48" s="538" t="s">
        <v>2577</v>
      </c>
      <c r="AA48" s="538" t="s">
        <v>79</v>
      </c>
      <c r="AB48" s="538" t="s">
        <v>2577</v>
      </c>
      <c r="AC48" s="538" t="s">
        <v>79</v>
      </c>
      <c r="AD48" s="538" t="s">
        <v>2577</v>
      </c>
      <c r="AE48" s="538" t="s">
        <v>79</v>
      </c>
      <c r="AF48" s="538" t="s">
        <v>2577</v>
      </c>
      <c r="AG48" s="538" t="s">
        <v>79</v>
      </c>
      <c r="AH48" s="538" t="s">
        <v>2577</v>
      </c>
      <c r="AI48" s="538" t="s">
        <v>79</v>
      </c>
      <c r="AJ48" s="538" t="s">
        <v>2577</v>
      </c>
      <c r="AK48" s="538" t="s">
        <v>79</v>
      </c>
      <c r="AL48" s="538" t="s">
        <v>295</v>
      </c>
      <c r="AM48" s="538" t="s">
        <v>79</v>
      </c>
      <c r="AN48" s="538" t="s">
        <v>295</v>
      </c>
      <c r="AO48" s="538">
        <v>3.125951545E9</v>
      </c>
      <c r="AP48" s="538">
        <v>3.0</v>
      </c>
      <c r="AQ48" s="538">
        <v>1.930376004E9</v>
      </c>
      <c r="AR48" s="538">
        <v>14.0</v>
      </c>
      <c r="AS48" s="538" t="s">
        <v>47</v>
      </c>
    </row>
    <row r="49" ht="22.5" customHeight="1">
      <c r="A49" s="538">
        <v>48.0</v>
      </c>
      <c r="B49" s="538" t="s">
        <v>2592</v>
      </c>
      <c r="C49" s="538" t="s">
        <v>597</v>
      </c>
      <c r="D49" s="538" t="s">
        <v>218</v>
      </c>
      <c r="E49" s="538" t="s">
        <v>2593</v>
      </c>
      <c r="F49" s="538" t="s">
        <v>163</v>
      </c>
      <c r="G49" s="538" t="s">
        <v>250</v>
      </c>
      <c r="H49" s="538" t="s">
        <v>122</v>
      </c>
      <c r="J49" s="538" t="s">
        <v>2594</v>
      </c>
      <c r="K49" s="538" t="b">
        <v>0</v>
      </c>
      <c r="L49" s="538" t="b">
        <v>1</v>
      </c>
      <c r="M49" s="538" t="s">
        <v>79</v>
      </c>
      <c r="N49" s="538" t="s">
        <v>2595</v>
      </c>
      <c r="O49" s="538" t="s">
        <v>79</v>
      </c>
      <c r="P49" s="538" t="s">
        <v>2595</v>
      </c>
      <c r="Q49" s="538" t="s">
        <v>79</v>
      </c>
      <c r="R49" s="538" t="s">
        <v>2593</v>
      </c>
      <c r="S49" s="538" t="s">
        <v>79</v>
      </c>
      <c r="T49" s="538" t="s">
        <v>2593</v>
      </c>
      <c r="U49" s="538" t="s">
        <v>79</v>
      </c>
      <c r="V49" s="538" t="s">
        <v>2593</v>
      </c>
      <c r="W49" s="538" t="s">
        <v>79</v>
      </c>
      <c r="X49" s="538" t="s">
        <v>2593</v>
      </c>
      <c r="Y49" s="538" t="s">
        <v>79</v>
      </c>
      <c r="Z49" s="538" t="s">
        <v>2593</v>
      </c>
      <c r="AA49" s="538" t="s">
        <v>79</v>
      </c>
      <c r="AB49" s="538" t="s">
        <v>2593</v>
      </c>
      <c r="AC49" s="538" t="s">
        <v>79</v>
      </c>
      <c r="AD49" s="538" t="s">
        <v>2593</v>
      </c>
      <c r="AE49" s="538" t="s">
        <v>79</v>
      </c>
      <c r="AF49" s="538" t="s">
        <v>2593</v>
      </c>
      <c r="AG49" s="538" t="s">
        <v>79</v>
      </c>
      <c r="AH49" s="538" t="s">
        <v>2593</v>
      </c>
      <c r="AI49" s="538" t="s">
        <v>79</v>
      </c>
      <c r="AJ49" s="538" t="s">
        <v>2593</v>
      </c>
      <c r="AK49" s="538" t="s">
        <v>79</v>
      </c>
      <c r="AL49" s="538" t="s">
        <v>218</v>
      </c>
      <c r="AM49" s="538" t="s">
        <v>79</v>
      </c>
      <c r="AN49" s="538" t="s">
        <v>218</v>
      </c>
      <c r="AO49" s="538">
        <v>2.013593131E9</v>
      </c>
      <c r="AP49" s="538">
        <v>4.0</v>
      </c>
      <c r="AQ49" s="538">
        <v>1.930376004E9</v>
      </c>
      <c r="AR49" s="538">
        <v>14.0</v>
      </c>
      <c r="AS49" s="538" t="s">
        <v>47</v>
      </c>
    </row>
    <row r="50" ht="22.5" customHeight="1">
      <c r="A50" s="538">
        <v>49.0</v>
      </c>
      <c r="B50" s="538" t="s">
        <v>2596</v>
      </c>
      <c r="C50" s="538" t="s">
        <v>597</v>
      </c>
      <c r="D50" s="538" t="s">
        <v>218</v>
      </c>
      <c r="E50" s="538" t="s">
        <v>1688</v>
      </c>
      <c r="F50" s="538" t="s">
        <v>163</v>
      </c>
      <c r="G50" s="538" t="s">
        <v>250</v>
      </c>
      <c r="H50" s="538" t="s">
        <v>122</v>
      </c>
      <c r="J50" s="538" t="s">
        <v>2542</v>
      </c>
      <c r="K50" s="538" t="b">
        <v>0</v>
      </c>
      <c r="L50" s="538" t="b">
        <v>1</v>
      </c>
      <c r="M50" s="538" t="s">
        <v>79</v>
      </c>
      <c r="N50" s="538" t="s">
        <v>228</v>
      </c>
      <c r="O50" s="538" t="s">
        <v>79</v>
      </c>
      <c r="P50" s="538" t="s">
        <v>228</v>
      </c>
      <c r="Q50" s="538" t="s">
        <v>73</v>
      </c>
      <c r="S50" s="538" t="s">
        <v>73</v>
      </c>
      <c r="U50" s="538" t="s">
        <v>79</v>
      </c>
      <c r="V50" s="538" t="s">
        <v>228</v>
      </c>
      <c r="W50" s="538" t="s">
        <v>73</v>
      </c>
      <c r="Y50" s="538" t="s">
        <v>79</v>
      </c>
      <c r="Z50" s="538" t="s">
        <v>377</v>
      </c>
      <c r="AA50" s="538" t="s">
        <v>79</v>
      </c>
      <c r="AB50" s="538" t="s">
        <v>377</v>
      </c>
      <c r="AC50" s="538" t="s">
        <v>79</v>
      </c>
      <c r="AD50" s="538" t="s">
        <v>228</v>
      </c>
      <c r="AE50" s="538" t="s">
        <v>79</v>
      </c>
      <c r="AF50" s="538" t="s">
        <v>377</v>
      </c>
      <c r="AG50" s="538" t="s">
        <v>79</v>
      </c>
      <c r="AH50" s="538" t="s">
        <v>228</v>
      </c>
      <c r="AI50" s="538" t="s">
        <v>79</v>
      </c>
      <c r="AJ50" s="538" t="s">
        <v>228</v>
      </c>
      <c r="AK50" s="538" t="s">
        <v>79</v>
      </c>
      <c r="AL50" s="538" t="s">
        <v>218</v>
      </c>
      <c r="AM50" s="538" t="s">
        <v>79</v>
      </c>
      <c r="AN50" s="538" t="s">
        <v>218</v>
      </c>
      <c r="AO50" s="538">
        <v>1.271566143E9</v>
      </c>
      <c r="AP50" s="538">
        <v>1.0</v>
      </c>
      <c r="AQ50" s="538">
        <v>8.50351327E8</v>
      </c>
      <c r="AR50" s="538">
        <v>15.0</v>
      </c>
      <c r="AS50" s="538" t="s">
        <v>47</v>
      </c>
    </row>
    <row r="51" ht="22.5" customHeight="1">
      <c r="A51" s="538">
        <v>50.0</v>
      </c>
      <c r="B51" s="538" t="s">
        <v>2596</v>
      </c>
      <c r="C51" s="538" t="s">
        <v>597</v>
      </c>
      <c r="D51" s="538" t="s">
        <v>310</v>
      </c>
      <c r="F51" s="538" t="s">
        <v>151</v>
      </c>
      <c r="G51" s="538" t="s">
        <v>250</v>
      </c>
      <c r="H51" s="538" t="s">
        <v>122</v>
      </c>
      <c r="J51" s="538" t="s">
        <v>2539</v>
      </c>
      <c r="K51" s="538" t="b">
        <v>0</v>
      </c>
      <c r="L51" s="538" t="b">
        <v>1</v>
      </c>
      <c r="M51" s="538" t="s">
        <v>73</v>
      </c>
      <c r="O51" s="538" t="s">
        <v>73</v>
      </c>
      <c r="Q51" s="538" t="s">
        <v>73</v>
      </c>
      <c r="S51" s="538" t="s">
        <v>73</v>
      </c>
      <c r="U51" s="538" t="s">
        <v>73</v>
      </c>
      <c r="W51" s="538" t="s">
        <v>73</v>
      </c>
      <c r="Y51" s="538" t="s">
        <v>73</v>
      </c>
      <c r="AA51" s="538" t="s">
        <v>73</v>
      </c>
      <c r="AC51" s="538" t="s">
        <v>73</v>
      </c>
      <c r="AE51" s="538" t="s">
        <v>73</v>
      </c>
      <c r="AG51" s="538" t="s">
        <v>73</v>
      </c>
      <c r="AI51" s="538" t="s">
        <v>73</v>
      </c>
      <c r="AK51" s="538" t="s">
        <v>79</v>
      </c>
      <c r="AL51" s="538" t="s">
        <v>310</v>
      </c>
      <c r="AM51" s="538" t="s">
        <v>79</v>
      </c>
      <c r="AN51" s="538" t="s">
        <v>310</v>
      </c>
      <c r="AO51" s="538">
        <v>2.336395336E9</v>
      </c>
      <c r="AP51" s="538">
        <v>2.0</v>
      </c>
      <c r="AQ51" s="538">
        <v>8.50351327E8</v>
      </c>
      <c r="AR51" s="538">
        <v>15.0</v>
      </c>
      <c r="AS51" s="538" t="s">
        <v>47</v>
      </c>
    </row>
    <row r="52" ht="22.5" customHeight="1">
      <c r="A52" s="538">
        <v>51.0</v>
      </c>
      <c r="B52" s="538" t="s">
        <v>2596</v>
      </c>
      <c r="C52" s="538" t="s">
        <v>597</v>
      </c>
      <c r="D52" s="538" t="s">
        <v>292</v>
      </c>
      <c r="E52" s="538" t="s">
        <v>1688</v>
      </c>
      <c r="F52" s="538" t="s">
        <v>163</v>
      </c>
      <c r="G52" s="538" t="s">
        <v>250</v>
      </c>
      <c r="H52" s="538" t="s">
        <v>155</v>
      </c>
      <c r="I52" s="538" t="s">
        <v>367</v>
      </c>
      <c r="J52" s="538" t="s">
        <v>2597</v>
      </c>
      <c r="K52" s="538" t="b">
        <v>0</v>
      </c>
      <c r="L52" s="538" t="b">
        <v>1</v>
      </c>
      <c r="M52" s="538" t="s">
        <v>79</v>
      </c>
      <c r="N52" s="538" t="s">
        <v>228</v>
      </c>
      <c r="O52" s="538" t="s">
        <v>79</v>
      </c>
      <c r="P52" s="538" t="s">
        <v>228</v>
      </c>
      <c r="Q52" s="538" t="s">
        <v>73</v>
      </c>
      <c r="S52" s="538" t="s">
        <v>73</v>
      </c>
      <c r="U52" s="538" t="s">
        <v>79</v>
      </c>
      <c r="V52" s="538" t="s">
        <v>228</v>
      </c>
      <c r="W52" s="538" t="s">
        <v>73</v>
      </c>
      <c r="Y52" s="538" t="s">
        <v>79</v>
      </c>
      <c r="Z52" s="538" t="s">
        <v>377</v>
      </c>
      <c r="AA52" s="538" t="s">
        <v>79</v>
      </c>
      <c r="AB52" s="538" t="s">
        <v>377</v>
      </c>
      <c r="AC52" s="538" t="s">
        <v>79</v>
      </c>
      <c r="AD52" s="538" t="s">
        <v>228</v>
      </c>
      <c r="AE52" s="538" t="s">
        <v>79</v>
      </c>
      <c r="AF52" s="538" t="s">
        <v>377</v>
      </c>
      <c r="AG52" s="538" t="s">
        <v>79</v>
      </c>
      <c r="AH52" s="538" t="s">
        <v>228</v>
      </c>
      <c r="AI52" s="538" t="s">
        <v>79</v>
      </c>
      <c r="AJ52" s="538" t="s">
        <v>228</v>
      </c>
      <c r="AK52" s="538" t="s">
        <v>79</v>
      </c>
      <c r="AL52" s="538" t="s">
        <v>292</v>
      </c>
      <c r="AM52" s="538" t="s">
        <v>79</v>
      </c>
      <c r="AN52" s="538" t="s">
        <v>292</v>
      </c>
      <c r="AO52" s="538">
        <v>4.02510116E8</v>
      </c>
      <c r="AP52" s="538">
        <v>3.0</v>
      </c>
      <c r="AQ52" s="538">
        <v>8.50351327E8</v>
      </c>
      <c r="AR52" s="538">
        <v>15.0</v>
      </c>
      <c r="AS52" s="538" t="s">
        <v>47</v>
      </c>
    </row>
    <row r="53" ht="22.5" customHeight="1">
      <c r="A53" s="538">
        <v>52.0</v>
      </c>
      <c r="B53" s="538" t="s">
        <v>2596</v>
      </c>
      <c r="C53" s="538" t="s">
        <v>597</v>
      </c>
      <c r="D53" s="538" t="s">
        <v>295</v>
      </c>
      <c r="E53" s="538" t="s">
        <v>1688</v>
      </c>
      <c r="F53" s="538" t="s">
        <v>163</v>
      </c>
      <c r="G53" s="538" t="s">
        <v>250</v>
      </c>
      <c r="H53" s="538" t="s">
        <v>155</v>
      </c>
      <c r="J53" s="538" t="s">
        <v>2575</v>
      </c>
      <c r="K53" s="538" t="b">
        <v>0</v>
      </c>
      <c r="L53" s="538" t="b">
        <v>1</v>
      </c>
      <c r="M53" s="538" t="s">
        <v>79</v>
      </c>
      <c r="N53" s="538" t="s">
        <v>228</v>
      </c>
      <c r="O53" s="538" t="s">
        <v>79</v>
      </c>
      <c r="P53" s="538" t="s">
        <v>228</v>
      </c>
      <c r="Q53" s="538" t="s">
        <v>73</v>
      </c>
      <c r="S53" s="538" t="s">
        <v>73</v>
      </c>
      <c r="U53" s="538" t="s">
        <v>79</v>
      </c>
      <c r="V53" s="538" t="s">
        <v>228</v>
      </c>
      <c r="W53" s="538" t="s">
        <v>73</v>
      </c>
      <c r="Y53" s="538" t="s">
        <v>79</v>
      </c>
      <c r="Z53" s="538" t="s">
        <v>377</v>
      </c>
      <c r="AA53" s="538" t="s">
        <v>79</v>
      </c>
      <c r="AB53" s="538" t="s">
        <v>377</v>
      </c>
      <c r="AC53" s="538" t="s">
        <v>79</v>
      </c>
      <c r="AD53" s="538" t="s">
        <v>228</v>
      </c>
      <c r="AE53" s="538" t="s">
        <v>79</v>
      </c>
      <c r="AF53" s="538" t="s">
        <v>377</v>
      </c>
      <c r="AG53" s="538" t="s">
        <v>79</v>
      </c>
      <c r="AH53" s="538" t="s">
        <v>228</v>
      </c>
      <c r="AI53" s="538" t="s">
        <v>79</v>
      </c>
      <c r="AJ53" s="538" t="s">
        <v>228</v>
      </c>
      <c r="AK53" s="538" t="s">
        <v>79</v>
      </c>
      <c r="AL53" s="538" t="s">
        <v>295</v>
      </c>
      <c r="AM53" s="538" t="s">
        <v>79</v>
      </c>
      <c r="AN53" s="538" t="s">
        <v>295</v>
      </c>
      <c r="AO53" s="538">
        <v>1.37999562E9</v>
      </c>
      <c r="AP53" s="538">
        <v>4.0</v>
      </c>
      <c r="AQ53" s="538">
        <v>8.50351327E8</v>
      </c>
      <c r="AR53" s="538">
        <v>15.0</v>
      </c>
      <c r="AS53" s="538" t="s">
        <v>47</v>
      </c>
    </row>
    <row r="54" ht="22.5" customHeight="1">
      <c r="A54" s="538">
        <v>53.0</v>
      </c>
      <c r="B54" s="538" t="s">
        <v>2598</v>
      </c>
      <c r="C54" s="538" t="s">
        <v>597</v>
      </c>
      <c r="D54" s="538" t="s">
        <v>223</v>
      </c>
      <c r="E54" s="538" t="s">
        <v>2599</v>
      </c>
      <c r="F54" s="538" t="s">
        <v>163</v>
      </c>
      <c r="G54" s="538" t="s">
        <v>250</v>
      </c>
      <c r="H54" s="538" t="s">
        <v>122</v>
      </c>
      <c r="J54" s="538" t="s">
        <v>2600</v>
      </c>
      <c r="K54" s="538" t="b">
        <v>0</v>
      </c>
      <c r="L54" s="538" t="b">
        <v>1</v>
      </c>
      <c r="M54" s="538" t="s">
        <v>79</v>
      </c>
      <c r="N54" s="538" t="s">
        <v>2599</v>
      </c>
      <c r="O54" s="538" t="s">
        <v>79</v>
      </c>
      <c r="P54" s="538" t="s">
        <v>2599</v>
      </c>
      <c r="Q54" s="538" t="s">
        <v>75</v>
      </c>
      <c r="R54" s="538" t="s">
        <v>309</v>
      </c>
      <c r="S54" s="538" t="s">
        <v>75</v>
      </c>
      <c r="T54" s="538" t="s">
        <v>309</v>
      </c>
      <c r="U54" s="538" t="s">
        <v>79</v>
      </c>
      <c r="V54" s="538" t="s">
        <v>2599</v>
      </c>
      <c r="W54" s="538" t="s">
        <v>75</v>
      </c>
      <c r="X54" s="538" t="s">
        <v>309</v>
      </c>
      <c r="Y54" s="538" t="s">
        <v>75</v>
      </c>
      <c r="Z54" s="538" t="s">
        <v>309</v>
      </c>
      <c r="AA54" s="538" t="s">
        <v>75</v>
      </c>
      <c r="AB54" s="538" t="s">
        <v>309</v>
      </c>
      <c r="AC54" s="538" t="s">
        <v>79</v>
      </c>
      <c r="AD54" s="538" t="s">
        <v>2599</v>
      </c>
      <c r="AE54" s="538" t="s">
        <v>75</v>
      </c>
      <c r="AF54" s="538" t="s">
        <v>309</v>
      </c>
      <c r="AG54" s="538" t="s">
        <v>79</v>
      </c>
      <c r="AH54" s="538" t="s">
        <v>2599</v>
      </c>
      <c r="AI54" s="538" t="s">
        <v>79</v>
      </c>
      <c r="AJ54" s="538" t="s">
        <v>2599</v>
      </c>
      <c r="AK54" s="538" t="s">
        <v>79</v>
      </c>
      <c r="AL54" s="538" t="s">
        <v>223</v>
      </c>
      <c r="AM54" s="538" t="s">
        <v>79</v>
      </c>
      <c r="AN54" s="538" t="s">
        <v>223</v>
      </c>
      <c r="AO54" s="538">
        <v>3.750681956E9</v>
      </c>
      <c r="AP54" s="538">
        <v>1.0</v>
      </c>
      <c r="AQ54" s="538">
        <v>2.423550592E9</v>
      </c>
      <c r="AR54" s="538">
        <v>17.0</v>
      </c>
      <c r="AS54" s="538" t="s">
        <v>46</v>
      </c>
      <c r="AV54" s="538" t="s">
        <v>309</v>
      </c>
    </row>
    <row r="55" ht="22.5" customHeight="1">
      <c r="A55" s="538">
        <v>54.0</v>
      </c>
      <c r="B55" s="538" t="s">
        <v>2598</v>
      </c>
      <c r="C55" s="538" t="s">
        <v>597</v>
      </c>
      <c r="D55" s="538" t="s">
        <v>310</v>
      </c>
      <c r="E55" s="538" t="s">
        <v>309</v>
      </c>
      <c r="F55" s="538" t="s">
        <v>151</v>
      </c>
      <c r="G55" s="538" t="s">
        <v>250</v>
      </c>
      <c r="H55" s="538" t="s">
        <v>122</v>
      </c>
      <c r="J55" s="538" t="s">
        <v>2601</v>
      </c>
      <c r="K55" s="538" t="b">
        <v>0</v>
      </c>
      <c r="L55" s="538" t="b">
        <v>1</v>
      </c>
      <c r="M55" s="538" t="s">
        <v>75</v>
      </c>
      <c r="N55" s="538" t="s">
        <v>309</v>
      </c>
      <c r="O55" s="538" t="s">
        <v>75</v>
      </c>
      <c r="P55" s="538" t="s">
        <v>309</v>
      </c>
      <c r="Q55" s="538" t="s">
        <v>75</v>
      </c>
      <c r="R55" s="538" t="s">
        <v>309</v>
      </c>
      <c r="S55" s="538" t="s">
        <v>75</v>
      </c>
      <c r="T55" s="538" t="s">
        <v>309</v>
      </c>
      <c r="U55" s="538" t="s">
        <v>75</v>
      </c>
      <c r="V55" s="538" t="s">
        <v>309</v>
      </c>
      <c r="W55" s="538" t="s">
        <v>75</v>
      </c>
      <c r="X55" s="538" t="s">
        <v>309</v>
      </c>
      <c r="Y55" s="538" t="s">
        <v>75</v>
      </c>
      <c r="Z55" s="538" t="s">
        <v>309</v>
      </c>
      <c r="AA55" s="538" t="s">
        <v>75</v>
      </c>
      <c r="AB55" s="538" t="s">
        <v>309</v>
      </c>
      <c r="AC55" s="538" t="s">
        <v>75</v>
      </c>
      <c r="AD55" s="538" t="s">
        <v>309</v>
      </c>
      <c r="AE55" s="538" t="s">
        <v>75</v>
      </c>
      <c r="AF55" s="538" t="s">
        <v>309</v>
      </c>
      <c r="AG55" s="538" t="s">
        <v>75</v>
      </c>
      <c r="AH55" s="538" t="s">
        <v>309</v>
      </c>
      <c r="AI55" s="538" t="s">
        <v>75</v>
      </c>
      <c r="AJ55" s="538" t="s">
        <v>309</v>
      </c>
      <c r="AK55" s="538" t="s">
        <v>79</v>
      </c>
      <c r="AL55" s="538" t="s">
        <v>310</v>
      </c>
      <c r="AM55" s="538" t="s">
        <v>79</v>
      </c>
      <c r="AN55" s="538" t="s">
        <v>310</v>
      </c>
      <c r="AO55" s="538">
        <v>2.775846787E9</v>
      </c>
      <c r="AP55" s="538">
        <v>2.0</v>
      </c>
      <c r="AQ55" s="538">
        <v>2.423550592E9</v>
      </c>
      <c r="AR55" s="538">
        <v>17.0</v>
      </c>
      <c r="AS55" s="538" t="s">
        <v>46</v>
      </c>
      <c r="AV55" s="538" t="s">
        <v>309</v>
      </c>
    </row>
    <row r="56" ht="22.5" customHeight="1">
      <c r="A56" s="538">
        <v>55.0</v>
      </c>
      <c r="B56" s="538" t="s">
        <v>2598</v>
      </c>
      <c r="C56" s="538" t="s">
        <v>597</v>
      </c>
      <c r="D56" s="538" t="s">
        <v>231</v>
      </c>
      <c r="E56" s="538" t="s">
        <v>2599</v>
      </c>
      <c r="F56" s="538" t="s">
        <v>163</v>
      </c>
      <c r="G56" s="538" t="s">
        <v>250</v>
      </c>
      <c r="H56" s="538" t="s">
        <v>122</v>
      </c>
      <c r="J56" s="538" t="s">
        <v>2602</v>
      </c>
      <c r="K56" s="538" t="b">
        <v>0</v>
      </c>
      <c r="L56" s="538" t="b">
        <v>1</v>
      </c>
      <c r="M56" s="538" t="s">
        <v>79</v>
      </c>
      <c r="N56" s="538" t="s">
        <v>2599</v>
      </c>
      <c r="O56" s="538" t="s">
        <v>79</v>
      </c>
      <c r="P56" s="538" t="s">
        <v>2599</v>
      </c>
      <c r="Q56" s="538" t="s">
        <v>75</v>
      </c>
      <c r="R56" s="538" t="s">
        <v>309</v>
      </c>
      <c r="S56" s="538" t="s">
        <v>75</v>
      </c>
      <c r="T56" s="538" t="s">
        <v>309</v>
      </c>
      <c r="U56" s="538" t="s">
        <v>79</v>
      </c>
      <c r="V56" s="538" t="s">
        <v>2599</v>
      </c>
      <c r="W56" s="538" t="s">
        <v>75</v>
      </c>
      <c r="X56" s="538" t="s">
        <v>309</v>
      </c>
      <c r="Y56" s="538" t="s">
        <v>75</v>
      </c>
      <c r="Z56" s="538" t="s">
        <v>309</v>
      </c>
      <c r="AA56" s="538" t="s">
        <v>75</v>
      </c>
      <c r="AB56" s="538" t="s">
        <v>309</v>
      </c>
      <c r="AC56" s="538" t="s">
        <v>79</v>
      </c>
      <c r="AD56" s="538" t="s">
        <v>2599</v>
      </c>
      <c r="AE56" s="538" t="s">
        <v>75</v>
      </c>
      <c r="AF56" s="538" t="s">
        <v>309</v>
      </c>
      <c r="AG56" s="538" t="s">
        <v>79</v>
      </c>
      <c r="AH56" s="538" t="s">
        <v>2599</v>
      </c>
      <c r="AI56" s="538" t="s">
        <v>79</v>
      </c>
      <c r="AJ56" s="538" t="s">
        <v>2599</v>
      </c>
      <c r="AK56" s="538" t="s">
        <v>79</v>
      </c>
      <c r="AL56" s="538" t="s">
        <v>231</v>
      </c>
      <c r="AM56" s="538" t="s">
        <v>79</v>
      </c>
      <c r="AN56" s="538" t="s">
        <v>231</v>
      </c>
      <c r="AO56" s="538">
        <v>2.565590754E9</v>
      </c>
      <c r="AP56" s="538">
        <v>3.0</v>
      </c>
      <c r="AQ56" s="538">
        <v>2.423550592E9</v>
      </c>
      <c r="AR56" s="538">
        <v>17.0</v>
      </c>
      <c r="AS56" s="538" t="s">
        <v>46</v>
      </c>
      <c r="AV56" s="538" t="s">
        <v>309</v>
      </c>
    </row>
    <row r="57" ht="22.5" customHeight="1">
      <c r="A57" s="538">
        <v>56.0</v>
      </c>
      <c r="B57" s="538" t="s">
        <v>2598</v>
      </c>
      <c r="C57" s="538" t="s">
        <v>597</v>
      </c>
      <c r="D57" s="538" t="s">
        <v>218</v>
      </c>
      <c r="E57" s="538" t="s">
        <v>2599</v>
      </c>
      <c r="F57" s="538" t="s">
        <v>163</v>
      </c>
      <c r="G57" s="538" t="s">
        <v>250</v>
      </c>
      <c r="H57" s="538" t="s">
        <v>122</v>
      </c>
      <c r="J57" s="538" t="s">
        <v>2603</v>
      </c>
      <c r="K57" s="538" t="b">
        <v>0</v>
      </c>
      <c r="L57" s="538" t="b">
        <v>1</v>
      </c>
      <c r="M57" s="538" t="s">
        <v>79</v>
      </c>
      <c r="N57" s="538" t="s">
        <v>2599</v>
      </c>
      <c r="O57" s="538" t="s">
        <v>79</v>
      </c>
      <c r="P57" s="538" t="s">
        <v>2599</v>
      </c>
      <c r="Q57" s="538" t="s">
        <v>75</v>
      </c>
      <c r="R57" s="538" t="s">
        <v>309</v>
      </c>
      <c r="S57" s="538" t="s">
        <v>75</v>
      </c>
      <c r="T57" s="538" t="s">
        <v>309</v>
      </c>
      <c r="U57" s="538" t="s">
        <v>79</v>
      </c>
      <c r="V57" s="538" t="s">
        <v>2599</v>
      </c>
      <c r="W57" s="538" t="s">
        <v>75</v>
      </c>
      <c r="X57" s="538" t="s">
        <v>309</v>
      </c>
      <c r="Y57" s="538" t="s">
        <v>75</v>
      </c>
      <c r="Z57" s="538" t="s">
        <v>309</v>
      </c>
      <c r="AA57" s="538" t="s">
        <v>75</v>
      </c>
      <c r="AB57" s="538" t="s">
        <v>309</v>
      </c>
      <c r="AC57" s="538" t="s">
        <v>79</v>
      </c>
      <c r="AD57" s="538" t="s">
        <v>2599</v>
      </c>
      <c r="AE57" s="538" t="s">
        <v>75</v>
      </c>
      <c r="AF57" s="538" t="s">
        <v>309</v>
      </c>
      <c r="AG57" s="538" t="s">
        <v>79</v>
      </c>
      <c r="AH57" s="538" t="s">
        <v>2599</v>
      </c>
      <c r="AI57" s="538" t="s">
        <v>79</v>
      </c>
      <c r="AJ57" s="538" t="s">
        <v>2599</v>
      </c>
      <c r="AK57" s="538" t="s">
        <v>79</v>
      </c>
      <c r="AL57" s="538" t="s">
        <v>218</v>
      </c>
      <c r="AM57" s="538" t="s">
        <v>79</v>
      </c>
      <c r="AN57" s="538" t="s">
        <v>218</v>
      </c>
      <c r="AO57" s="538">
        <v>3.941102913E9</v>
      </c>
      <c r="AP57" s="538">
        <v>4.0</v>
      </c>
      <c r="AQ57" s="538">
        <v>2.423550592E9</v>
      </c>
      <c r="AR57" s="538">
        <v>17.0</v>
      </c>
      <c r="AS57" s="538" t="s">
        <v>46</v>
      </c>
      <c r="AV57" s="538" t="s">
        <v>309</v>
      </c>
    </row>
    <row r="58" ht="22.5" customHeight="1">
      <c r="A58" s="538">
        <v>57.0</v>
      </c>
      <c r="B58" s="538" t="s">
        <v>2604</v>
      </c>
      <c r="C58" s="538" t="s">
        <v>597</v>
      </c>
      <c r="D58" s="538" t="s">
        <v>223</v>
      </c>
      <c r="E58" s="538" t="s">
        <v>2605</v>
      </c>
      <c r="F58" s="538" t="s">
        <v>163</v>
      </c>
      <c r="G58" s="538" t="s">
        <v>250</v>
      </c>
      <c r="H58" s="538" t="s">
        <v>122</v>
      </c>
      <c r="J58" s="538" t="s">
        <v>2606</v>
      </c>
      <c r="K58" s="538" t="b">
        <v>0</v>
      </c>
      <c r="L58" s="538" t="b">
        <v>1</v>
      </c>
      <c r="M58" s="538" t="s">
        <v>79</v>
      </c>
      <c r="N58" s="538" t="s">
        <v>2605</v>
      </c>
      <c r="O58" s="538" t="s">
        <v>79</v>
      </c>
      <c r="P58" s="538" t="s">
        <v>2605</v>
      </c>
      <c r="Q58" s="538" t="s">
        <v>75</v>
      </c>
      <c r="R58" s="538" t="s">
        <v>342</v>
      </c>
      <c r="S58" s="538" t="s">
        <v>75</v>
      </c>
      <c r="T58" s="538" t="s">
        <v>342</v>
      </c>
      <c r="U58" s="538" t="s">
        <v>79</v>
      </c>
      <c r="V58" s="538" t="s">
        <v>2605</v>
      </c>
      <c r="W58" s="538" t="s">
        <v>75</v>
      </c>
      <c r="X58" s="538" t="s">
        <v>342</v>
      </c>
      <c r="Y58" s="538" t="s">
        <v>75</v>
      </c>
      <c r="Z58" s="538" t="s">
        <v>342</v>
      </c>
      <c r="AA58" s="538" t="s">
        <v>75</v>
      </c>
      <c r="AB58" s="538" t="s">
        <v>342</v>
      </c>
      <c r="AC58" s="538" t="s">
        <v>79</v>
      </c>
      <c r="AD58" s="538" t="s">
        <v>2605</v>
      </c>
      <c r="AE58" s="538" t="s">
        <v>75</v>
      </c>
      <c r="AF58" s="538" t="s">
        <v>342</v>
      </c>
      <c r="AG58" s="538" t="s">
        <v>79</v>
      </c>
      <c r="AH58" s="538" t="s">
        <v>2605</v>
      </c>
      <c r="AI58" s="538" t="s">
        <v>79</v>
      </c>
      <c r="AJ58" s="538" t="s">
        <v>2605</v>
      </c>
      <c r="AK58" s="538" t="s">
        <v>79</v>
      </c>
      <c r="AL58" s="538" t="s">
        <v>223</v>
      </c>
      <c r="AM58" s="538" t="s">
        <v>79</v>
      </c>
      <c r="AN58" s="538" t="s">
        <v>223</v>
      </c>
      <c r="AO58" s="538">
        <v>3.320916753E9</v>
      </c>
      <c r="AP58" s="538">
        <v>1.0</v>
      </c>
      <c r="AQ58" s="538">
        <v>1.364700249E9</v>
      </c>
      <c r="AR58" s="538">
        <v>16.0</v>
      </c>
      <c r="AS58" s="538" t="s">
        <v>46</v>
      </c>
      <c r="AV58" s="538" t="s">
        <v>342</v>
      </c>
    </row>
    <row r="59" ht="22.5" customHeight="1">
      <c r="A59" s="538">
        <v>58.0</v>
      </c>
      <c r="B59" s="538" t="s">
        <v>2604</v>
      </c>
      <c r="C59" s="538" t="s">
        <v>597</v>
      </c>
      <c r="D59" s="538" t="s">
        <v>310</v>
      </c>
      <c r="E59" s="538" t="s">
        <v>342</v>
      </c>
      <c r="F59" s="538" t="s">
        <v>151</v>
      </c>
      <c r="G59" s="538" t="s">
        <v>250</v>
      </c>
      <c r="H59" s="538" t="s">
        <v>122</v>
      </c>
      <c r="J59" s="538" t="s">
        <v>2607</v>
      </c>
      <c r="K59" s="538" t="b">
        <v>0</v>
      </c>
      <c r="L59" s="538" t="b">
        <v>1</v>
      </c>
      <c r="M59" s="538" t="s">
        <v>75</v>
      </c>
      <c r="N59" s="538" t="s">
        <v>342</v>
      </c>
      <c r="O59" s="538" t="s">
        <v>75</v>
      </c>
      <c r="P59" s="538" t="s">
        <v>342</v>
      </c>
      <c r="Q59" s="538" t="s">
        <v>75</v>
      </c>
      <c r="R59" s="538" t="s">
        <v>342</v>
      </c>
      <c r="S59" s="538" t="s">
        <v>75</v>
      </c>
      <c r="T59" s="538" t="s">
        <v>342</v>
      </c>
      <c r="U59" s="538" t="s">
        <v>75</v>
      </c>
      <c r="V59" s="538" t="s">
        <v>342</v>
      </c>
      <c r="W59" s="538" t="s">
        <v>75</v>
      </c>
      <c r="X59" s="538" t="s">
        <v>342</v>
      </c>
      <c r="Y59" s="538" t="s">
        <v>75</v>
      </c>
      <c r="Z59" s="538" t="s">
        <v>342</v>
      </c>
      <c r="AA59" s="538" t="s">
        <v>75</v>
      </c>
      <c r="AB59" s="538" t="s">
        <v>342</v>
      </c>
      <c r="AC59" s="538" t="s">
        <v>75</v>
      </c>
      <c r="AD59" s="538" t="s">
        <v>342</v>
      </c>
      <c r="AE59" s="538" t="s">
        <v>75</v>
      </c>
      <c r="AF59" s="538" t="s">
        <v>342</v>
      </c>
      <c r="AG59" s="538" t="s">
        <v>75</v>
      </c>
      <c r="AH59" s="538" t="s">
        <v>342</v>
      </c>
      <c r="AI59" s="538" t="s">
        <v>75</v>
      </c>
      <c r="AJ59" s="538" t="s">
        <v>342</v>
      </c>
      <c r="AK59" s="538" t="s">
        <v>79</v>
      </c>
      <c r="AL59" s="538" t="s">
        <v>310</v>
      </c>
      <c r="AM59" s="538" t="s">
        <v>79</v>
      </c>
      <c r="AN59" s="538" t="s">
        <v>310</v>
      </c>
      <c r="AO59" s="538">
        <v>3.47352983E9</v>
      </c>
      <c r="AP59" s="538">
        <v>2.0</v>
      </c>
      <c r="AQ59" s="538">
        <v>1.364700249E9</v>
      </c>
      <c r="AR59" s="538">
        <v>16.0</v>
      </c>
      <c r="AS59" s="538" t="s">
        <v>46</v>
      </c>
      <c r="AV59" s="538" t="s">
        <v>342</v>
      </c>
    </row>
    <row r="60" ht="22.5" customHeight="1">
      <c r="A60" s="538">
        <v>59.0</v>
      </c>
      <c r="B60" s="538" t="s">
        <v>2604</v>
      </c>
      <c r="C60" s="538" t="s">
        <v>597</v>
      </c>
      <c r="D60" s="538" t="s">
        <v>231</v>
      </c>
      <c r="E60" s="538" t="s">
        <v>2605</v>
      </c>
      <c r="F60" s="538" t="s">
        <v>163</v>
      </c>
      <c r="G60" s="538" t="s">
        <v>250</v>
      </c>
      <c r="H60" s="538" t="s">
        <v>122</v>
      </c>
      <c r="J60" s="538" t="s">
        <v>2608</v>
      </c>
      <c r="K60" s="538" t="b">
        <v>0</v>
      </c>
      <c r="L60" s="538" t="b">
        <v>1</v>
      </c>
      <c r="M60" s="538" t="s">
        <v>79</v>
      </c>
      <c r="N60" s="538" t="s">
        <v>2605</v>
      </c>
      <c r="O60" s="538" t="s">
        <v>79</v>
      </c>
      <c r="P60" s="538" t="s">
        <v>2605</v>
      </c>
      <c r="Q60" s="538" t="s">
        <v>75</v>
      </c>
      <c r="R60" s="538" t="s">
        <v>342</v>
      </c>
      <c r="S60" s="538" t="s">
        <v>75</v>
      </c>
      <c r="T60" s="538" t="s">
        <v>342</v>
      </c>
      <c r="U60" s="538" t="s">
        <v>79</v>
      </c>
      <c r="V60" s="538" t="s">
        <v>2605</v>
      </c>
      <c r="W60" s="538" t="s">
        <v>75</v>
      </c>
      <c r="X60" s="538" t="s">
        <v>342</v>
      </c>
      <c r="Y60" s="538" t="s">
        <v>75</v>
      </c>
      <c r="Z60" s="538" t="s">
        <v>342</v>
      </c>
      <c r="AA60" s="538" t="s">
        <v>75</v>
      </c>
      <c r="AB60" s="538" t="s">
        <v>342</v>
      </c>
      <c r="AC60" s="538" t="s">
        <v>79</v>
      </c>
      <c r="AD60" s="538" t="s">
        <v>2605</v>
      </c>
      <c r="AE60" s="538" t="s">
        <v>75</v>
      </c>
      <c r="AF60" s="538" t="s">
        <v>342</v>
      </c>
      <c r="AG60" s="538" t="s">
        <v>79</v>
      </c>
      <c r="AH60" s="538" t="s">
        <v>2605</v>
      </c>
      <c r="AI60" s="538" t="s">
        <v>79</v>
      </c>
      <c r="AJ60" s="538" t="s">
        <v>2605</v>
      </c>
      <c r="AK60" s="538" t="s">
        <v>79</v>
      </c>
      <c r="AL60" s="538" t="s">
        <v>231</v>
      </c>
      <c r="AM60" s="538" t="s">
        <v>79</v>
      </c>
      <c r="AN60" s="538" t="s">
        <v>231</v>
      </c>
      <c r="AO60" s="538">
        <v>8.72462817E8</v>
      </c>
      <c r="AP60" s="538">
        <v>3.0</v>
      </c>
      <c r="AQ60" s="538">
        <v>1.364700249E9</v>
      </c>
      <c r="AR60" s="538">
        <v>16.0</v>
      </c>
      <c r="AS60" s="538" t="s">
        <v>46</v>
      </c>
      <c r="AV60" s="538" t="s">
        <v>342</v>
      </c>
    </row>
    <row r="61" ht="22.5" customHeight="1">
      <c r="A61" s="538">
        <v>60.0</v>
      </c>
      <c r="B61" s="538" t="s">
        <v>2604</v>
      </c>
      <c r="C61" s="538" t="s">
        <v>597</v>
      </c>
      <c r="D61" s="538" t="s">
        <v>218</v>
      </c>
      <c r="E61" s="538" t="s">
        <v>2605</v>
      </c>
      <c r="F61" s="538" t="s">
        <v>163</v>
      </c>
      <c r="G61" s="538" t="s">
        <v>250</v>
      </c>
      <c r="H61" s="538" t="s">
        <v>122</v>
      </c>
      <c r="J61" s="538" t="s">
        <v>2609</v>
      </c>
      <c r="K61" s="538" t="b">
        <v>0</v>
      </c>
      <c r="L61" s="538" t="b">
        <v>1</v>
      </c>
      <c r="M61" s="538" t="s">
        <v>79</v>
      </c>
      <c r="N61" s="538" t="s">
        <v>2605</v>
      </c>
      <c r="O61" s="538" t="s">
        <v>79</v>
      </c>
      <c r="P61" s="538" t="s">
        <v>2605</v>
      </c>
      <c r="Q61" s="538" t="s">
        <v>75</v>
      </c>
      <c r="R61" s="538" t="s">
        <v>342</v>
      </c>
      <c r="S61" s="538" t="s">
        <v>75</v>
      </c>
      <c r="T61" s="538" t="s">
        <v>342</v>
      </c>
      <c r="U61" s="538" t="s">
        <v>79</v>
      </c>
      <c r="V61" s="538" t="s">
        <v>2605</v>
      </c>
      <c r="W61" s="538" t="s">
        <v>75</v>
      </c>
      <c r="X61" s="538" t="s">
        <v>342</v>
      </c>
      <c r="Y61" s="538" t="s">
        <v>75</v>
      </c>
      <c r="Z61" s="538" t="s">
        <v>342</v>
      </c>
      <c r="AA61" s="538" t="s">
        <v>75</v>
      </c>
      <c r="AB61" s="538" t="s">
        <v>342</v>
      </c>
      <c r="AC61" s="538" t="s">
        <v>79</v>
      </c>
      <c r="AD61" s="538" t="s">
        <v>2605</v>
      </c>
      <c r="AE61" s="538" t="s">
        <v>75</v>
      </c>
      <c r="AF61" s="538" t="s">
        <v>342</v>
      </c>
      <c r="AG61" s="538" t="s">
        <v>79</v>
      </c>
      <c r="AH61" s="538" t="s">
        <v>2605</v>
      </c>
      <c r="AI61" s="538" t="s">
        <v>79</v>
      </c>
      <c r="AJ61" s="538" t="s">
        <v>2605</v>
      </c>
      <c r="AK61" s="538" t="s">
        <v>79</v>
      </c>
      <c r="AL61" s="538" t="s">
        <v>218</v>
      </c>
      <c r="AM61" s="538" t="s">
        <v>79</v>
      </c>
      <c r="AN61" s="538" t="s">
        <v>218</v>
      </c>
      <c r="AO61" s="538">
        <v>3.059288936E9</v>
      </c>
      <c r="AP61" s="538">
        <v>4.0</v>
      </c>
      <c r="AQ61" s="538">
        <v>1.364700249E9</v>
      </c>
      <c r="AR61" s="538">
        <v>16.0</v>
      </c>
      <c r="AS61" s="538" t="s">
        <v>46</v>
      </c>
      <c r="AV61" s="538" t="s">
        <v>342</v>
      </c>
    </row>
    <row r="62" ht="22.5" customHeight="1">
      <c r="A62" s="538">
        <v>61.0</v>
      </c>
      <c r="B62" s="538" t="s">
        <v>2610</v>
      </c>
      <c r="C62" s="538" t="s">
        <v>597</v>
      </c>
      <c r="D62" s="538" t="s">
        <v>223</v>
      </c>
      <c r="E62" s="538" t="s">
        <v>2611</v>
      </c>
      <c r="F62" s="538" t="s">
        <v>163</v>
      </c>
      <c r="G62" s="538" t="s">
        <v>250</v>
      </c>
      <c r="H62" s="538" t="s">
        <v>122</v>
      </c>
      <c r="J62" s="538" t="s">
        <v>2612</v>
      </c>
      <c r="K62" s="538" t="b">
        <v>0</v>
      </c>
      <c r="L62" s="538" t="b">
        <v>1</v>
      </c>
      <c r="M62" s="538" t="s">
        <v>79</v>
      </c>
      <c r="N62" s="538" t="s">
        <v>2611</v>
      </c>
      <c r="O62" s="538" t="s">
        <v>79</v>
      </c>
      <c r="P62" s="538" t="s">
        <v>2611</v>
      </c>
      <c r="Q62" s="538" t="s">
        <v>75</v>
      </c>
      <c r="R62" s="538" t="s">
        <v>300</v>
      </c>
      <c r="S62" s="538" t="s">
        <v>75</v>
      </c>
      <c r="T62" s="538" t="s">
        <v>300</v>
      </c>
      <c r="U62" s="538" t="s">
        <v>79</v>
      </c>
      <c r="V62" s="538" t="s">
        <v>2611</v>
      </c>
      <c r="W62" s="538" t="s">
        <v>75</v>
      </c>
      <c r="X62" s="538" t="s">
        <v>300</v>
      </c>
      <c r="Y62" s="538" t="s">
        <v>75</v>
      </c>
      <c r="Z62" s="538" t="s">
        <v>300</v>
      </c>
      <c r="AA62" s="538" t="s">
        <v>75</v>
      </c>
      <c r="AB62" s="538" t="s">
        <v>300</v>
      </c>
      <c r="AC62" s="538" t="s">
        <v>79</v>
      </c>
      <c r="AD62" s="538" t="s">
        <v>2611</v>
      </c>
      <c r="AE62" s="538" t="s">
        <v>75</v>
      </c>
      <c r="AF62" s="538" t="s">
        <v>300</v>
      </c>
      <c r="AG62" s="538" t="s">
        <v>79</v>
      </c>
      <c r="AH62" s="538" t="s">
        <v>2611</v>
      </c>
      <c r="AI62" s="538" t="s">
        <v>79</v>
      </c>
      <c r="AJ62" s="538" t="s">
        <v>2611</v>
      </c>
      <c r="AK62" s="538" t="s">
        <v>79</v>
      </c>
      <c r="AL62" s="538" t="s">
        <v>223</v>
      </c>
      <c r="AM62" s="538" t="s">
        <v>79</v>
      </c>
      <c r="AN62" s="538" t="s">
        <v>223</v>
      </c>
      <c r="AO62" s="538">
        <v>4.05335503E8</v>
      </c>
      <c r="AP62" s="538">
        <v>1.0</v>
      </c>
      <c r="AQ62" s="538">
        <v>4.73132032E8</v>
      </c>
      <c r="AR62" s="538">
        <v>19.0</v>
      </c>
      <c r="AS62" s="538" t="s">
        <v>46</v>
      </c>
      <c r="AV62" s="538" t="s">
        <v>300</v>
      </c>
    </row>
    <row r="63" ht="22.5" customHeight="1">
      <c r="A63" s="538">
        <v>62.0</v>
      </c>
      <c r="B63" s="538" t="s">
        <v>2610</v>
      </c>
      <c r="C63" s="538" t="s">
        <v>597</v>
      </c>
      <c r="D63" s="538" t="s">
        <v>310</v>
      </c>
      <c r="E63" s="538" t="s">
        <v>300</v>
      </c>
      <c r="F63" s="538" t="s">
        <v>151</v>
      </c>
      <c r="G63" s="538" t="s">
        <v>250</v>
      </c>
      <c r="H63" s="538" t="s">
        <v>122</v>
      </c>
      <c r="J63" s="538" t="s">
        <v>2613</v>
      </c>
      <c r="K63" s="538" t="b">
        <v>0</v>
      </c>
      <c r="L63" s="538" t="b">
        <v>1</v>
      </c>
      <c r="M63" s="538" t="s">
        <v>75</v>
      </c>
      <c r="N63" s="538" t="s">
        <v>300</v>
      </c>
      <c r="O63" s="538" t="s">
        <v>75</v>
      </c>
      <c r="P63" s="538" t="s">
        <v>300</v>
      </c>
      <c r="Q63" s="538" t="s">
        <v>75</v>
      </c>
      <c r="R63" s="538" t="s">
        <v>300</v>
      </c>
      <c r="S63" s="538" t="s">
        <v>75</v>
      </c>
      <c r="T63" s="538" t="s">
        <v>300</v>
      </c>
      <c r="U63" s="538" t="s">
        <v>75</v>
      </c>
      <c r="V63" s="538" t="s">
        <v>300</v>
      </c>
      <c r="W63" s="538" t="s">
        <v>75</v>
      </c>
      <c r="X63" s="538" t="s">
        <v>300</v>
      </c>
      <c r="Y63" s="538" t="s">
        <v>75</v>
      </c>
      <c r="Z63" s="538" t="s">
        <v>300</v>
      </c>
      <c r="AA63" s="538" t="s">
        <v>75</v>
      </c>
      <c r="AB63" s="538" t="s">
        <v>300</v>
      </c>
      <c r="AC63" s="538" t="s">
        <v>75</v>
      </c>
      <c r="AD63" s="538" t="s">
        <v>300</v>
      </c>
      <c r="AE63" s="538" t="s">
        <v>75</v>
      </c>
      <c r="AF63" s="538" t="s">
        <v>300</v>
      </c>
      <c r="AG63" s="538" t="s">
        <v>75</v>
      </c>
      <c r="AH63" s="538" t="s">
        <v>300</v>
      </c>
      <c r="AI63" s="538" t="s">
        <v>75</v>
      </c>
      <c r="AJ63" s="538" t="s">
        <v>300</v>
      </c>
      <c r="AK63" s="538" t="s">
        <v>79</v>
      </c>
      <c r="AL63" s="538" t="s">
        <v>310</v>
      </c>
      <c r="AM63" s="538" t="s">
        <v>79</v>
      </c>
      <c r="AN63" s="538" t="s">
        <v>310</v>
      </c>
      <c r="AO63" s="538">
        <v>4.290762758E9</v>
      </c>
      <c r="AP63" s="538">
        <v>2.0</v>
      </c>
      <c r="AQ63" s="538">
        <v>4.73132032E8</v>
      </c>
      <c r="AR63" s="538">
        <v>19.0</v>
      </c>
      <c r="AS63" s="538" t="s">
        <v>46</v>
      </c>
      <c r="AV63" s="538" t="s">
        <v>300</v>
      </c>
    </row>
    <row r="64" ht="22.5" customHeight="1">
      <c r="A64" s="538">
        <v>63.0</v>
      </c>
      <c r="B64" s="538" t="s">
        <v>2610</v>
      </c>
      <c r="C64" s="538" t="s">
        <v>597</v>
      </c>
      <c r="D64" s="538" t="s">
        <v>231</v>
      </c>
      <c r="E64" s="538" t="s">
        <v>2611</v>
      </c>
      <c r="F64" s="538" t="s">
        <v>163</v>
      </c>
      <c r="G64" s="538" t="s">
        <v>250</v>
      </c>
      <c r="H64" s="538" t="s">
        <v>122</v>
      </c>
      <c r="J64" s="538" t="s">
        <v>2614</v>
      </c>
      <c r="K64" s="538" t="b">
        <v>0</v>
      </c>
      <c r="L64" s="538" t="b">
        <v>1</v>
      </c>
      <c r="M64" s="538" t="s">
        <v>79</v>
      </c>
      <c r="N64" s="538" t="s">
        <v>2611</v>
      </c>
      <c r="O64" s="538" t="s">
        <v>79</v>
      </c>
      <c r="P64" s="538" t="s">
        <v>2611</v>
      </c>
      <c r="Q64" s="538" t="s">
        <v>75</v>
      </c>
      <c r="R64" s="538" t="s">
        <v>300</v>
      </c>
      <c r="S64" s="538" t="s">
        <v>75</v>
      </c>
      <c r="T64" s="538" t="s">
        <v>300</v>
      </c>
      <c r="U64" s="538" t="s">
        <v>79</v>
      </c>
      <c r="V64" s="538" t="s">
        <v>2611</v>
      </c>
      <c r="W64" s="538" t="s">
        <v>75</v>
      </c>
      <c r="X64" s="538" t="s">
        <v>300</v>
      </c>
      <c r="Y64" s="538" t="s">
        <v>75</v>
      </c>
      <c r="Z64" s="538" t="s">
        <v>300</v>
      </c>
      <c r="AA64" s="538" t="s">
        <v>75</v>
      </c>
      <c r="AB64" s="538" t="s">
        <v>300</v>
      </c>
      <c r="AC64" s="538" t="s">
        <v>79</v>
      </c>
      <c r="AD64" s="538" t="s">
        <v>2611</v>
      </c>
      <c r="AE64" s="538" t="s">
        <v>75</v>
      </c>
      <c r="AF64" s="538" t="s">
        <v>300</v>
      </c>
      <c r="AG64" s="538" t="s">
        <v>79</v>
      </c>
      <c r="AH64" s="538" t="s">
        <v>2611</v>
      </c>
      <c r="AI64" s="538" t="s">
        <v>79</v>
      </c>
      <c r="AJ64" s="538" t="s">
        <v>2611</v>
      </c>
      <c r="AK64" s="538" t="s">
        <v>79</v>
      </c>
      <c r="AL64" s="538" t="s">
        <v>231</v>
      </c>
      <c r="AM64" s="538" t="s">
        <v>79</v>
      </c>
      <c r="AN64" s="538" t="s">
        <v>231</v>
      </c>
      <c r="AO64" s="538">
        <v>2.573953069E9</v>
      </c>
      <c r="AP64" s="538">
        <v>3.0</v>
      </c>
      <c r="AQ64" s="538">
        <v>4.73132032E8</v>
      </c>
      <c r="AR64" s="538">
        <v>19.0</v>
      </c>
      <c r="AS64" s="538" t="s">
        <v>46</v>
      </c>
      <c r="AV64" s="538" t="s">
        <v>300</v>
      </c>
    </row>
    <row r="65" ht="22.5" customHeight="1">
      <c r="A65" s="538">
        <v>64.0</v>
      </c>
      <c r="B65" s="538" t="s">
        <v>2610</v>
      </c>
      <c r="C65" s="538" t="s">
        <v>597</v>
      </c>
      <c r="D65" s="538" t="s">
        <v>218</v>
      </c>
      <c r="E65" s="538" t="s">
        <v>2611</v>
      </c>
      <c r="F65" s="538" t="s">
        <v>163</v>
      </c>
      <c r="G65" s="538" t="s">
        <v>250</v>
      </c>
      <c r="H65" s="538" t="s">
        <v>122</v>
      </c>
      <c r="J65" s="538" t="s">
        <v>2615</v>
      </c>
      <c r="K65" s="538" t="b">
        <v>0</v>
      </c>
      <c r="L65" s="538" t="b">
        <v>1</v>
      </c>
      <c r="M65" s="538" t="s">
        <v>79</v>
      </c>
      <c r="N65" s="538" t="s">
        <v>2611</v>
      </c>
      <c r="O65" s="538" t="s">
        <v>79</v>
      </c>
      <c r="P65" s="538" t="s">
        <v>2611</v>
      </c>
      <c r="Q65" s="538" t="s">
        <v>75</v>
      </c>
      <c r="R65" s="538" t="s">
        <v>300</v>
      </c>
      <c r="S65" s="538" t="s">
        <v>75</v>
      </c>
      <c r="T65" s="538" t="s">
        <v>300</v>
      </c>
      <c r="U65" s="538" t="s">
        <v>79</v>
      </c>
      <c r="V65" s="538" t="s">
        <v>2611</v>
      </c>
      <c r="W65" s="538" t="s">
        <v>75</v>
      </c>
      <c r="X65" s="538" t="s">
        <v>300</v>
      </c>
      <c r="Y65" s="538" t="s">
        <v>75</v>
      </c>
      <c r="Z65" s="538" t="s">
        <v>300</v>
      </c>
      <c r="AA65" s="538" t="s">
        <v>75</v>
      </c>
      <c r="AB65" s="538" t="s">
        <v>300</v>
      </c>
      <c r="AC65" s="538" t="s">
        <v>79</v>
      </c>
      <c r="AD65" s="538" t="s">
        <v>2611</v>
      </c>
      <c r="AE65" s="538" t="s">
        <v>75</v>
      </c>
      <c r="AF65" s="538" t="s">
        <v>300</v>
      </c>
      <c r="AG65" s="538" t="s">
        <v>79</v>
      </c>
      <c r="AH65" s="538" t="s">
        <v>2611</v>
      </c>
      <c r="AI65" s="538" t="s">
        <v>79</v>
      </c>
      <c r="AJ65" s="538" t="s">
        <v>2611</v>
      </c>
      <c r="AK65" s="538" t="s">
        <v>79</v>
      </c>
      <c r="AL65" s="538" t="s">
        <v>218</v>
      </c>
      <c r="AM65" s="538" t="s">
        <v>79</v>
      </c>
      <c r="AN65" s="538" t="s">
        <v>218</v>
      </c>
      <c r="AO65" s="538">
        <v>2.049970271E9</v>
      </c>
      <c r="AP65" s="538">
        <v>4.0</v>
      </c>
      <c r="AQ65" s="538">
        <v>4.73132032E8</v>
      </c>
      <c r="AR65" s="538">
        <v>19.0</v>
      </c>
      <c r="AS65" s="538" t="s">
        <v>46</v>
      </c>
      <c r="AV65" s="538" t="s">
        <v>300</v>
      </c>
    </row>
    <row r="66" ht="22.5" customHeight="1">
      <c r="A66" s="538">
        <v>65.0</v>
      </c>
      <c r="B66" s="538" t="s">
        <v>2616</v>
      </c>
      <c r="C66" s="538" t="s">
        <v>597</v>
      </c>
      <c r="D66" s="538" t="s">
        <v>322</v>
      </c>
      <c r="E66" s="538" t="s">
        <v>2617</v>
      </c>
      <c r="F66" s="538" t="s">
        <v>163</v>
      </c>
      <c r="G66" s="538" t="s">
        <v>250</v>
      </c>
      <c r="H66" s="538" t="s">
        <v>122</v>
      </c>
      <c r="J66" s="538" t="s">
        <v>2618</v>
      </c>
      <c r="K66" s="538" t="b">
        <v>0</v>
      </c>
      <c r="L66" s="538" t="b">
        <v>1</v>
      </c>
      <c r="M66" s="538" t="s">
        <v>79</v>
      </c>
      <c r="N66" s="538" t="s">
        <v>2617</v>
      </c>
      <c r="O66" s="538" t="s">
        <v>79</v>
      </c>
      <c r="P66" s="538" t="s">
        <v>2617</v>
      </c>
      <c r="Q66" s="538" t="s">
        <v>79</v>
      </c>
      <c r="R66" s="538" t="s">
        <v>2617</v>
      </c>
      <c r="S66" s="538" t="s">
        <v>79</v>
      </c>
      <c r="T66" s="538" t="s">
        <v>2617</v>
      </c>
      <c r="U66" s="538" t="s">
        <v>79</v>
      </c>
      <c r="V66" s="538" t="s">
        <v>2617</v>
      </c>
      <c r="W66" s="538" t="s">
        <v>79</v>
      </c>
      <c r="X66" s="538" t="s">
        <v>2617</v>
      </c>
      <c r="Y66" s="538" t="s">
        <v>75</v>
      </c>
      <c r="Z66" s="538" t="s">
        <v>300</v>
      </c>
      <c r="AA66" s="538" t="s">
        <v>75</v>
      </c>
      <c r="AB66" s="538" t="s">
        <v>300</v>
      </c>
      <c r="AC66" s="538" t="s">
        <v>79</v>
      </c>
      <c r="AD66" s="538" t="s">
        <v>2617</v>
      </c>
      <c r="AE66" s="538" t="s">
        <v>79</v>
      </c>
      <c r="AF66" s="538" t="s">
        <v>2617</v>
      </c>
      <c r="AG66" s="538" t="s">
        <v>79</v>
      </c>
      <c r="AH66" s="538" t="s">
        <v>2617</v>
      </c>
      <c r="AI66" s="538" t="s">
        <v>79</v>
      </c>
      <c r="AJ66" s="538" t="s">
        <v>2617</v>
      </c>
      <c r="AK66" s="538" t="s">
        <v>79</v>
      </c>
      <c r="AL66" s="538" t="s">
        <v>322</v>
      </c>
      <c r="AM66" s="538" t="s">
        <v>79</v>
      </c>
      <c r="AN66" s="538" t="s">
        <v>322</v>
      </c>
      <c r="AO66" s="538">
        <v>4.090757056E9</v>
      </c>
      <c r="AP66" s="538">
        <v>1.0</v>
      </c>
      <c r="AQ66" s="538">
        <v>1.382120997E9</v>
      </c>
      <c r="AR66" s="538">
        <v>21.0</v>
      </c>
      <c r="AS66" s="538" t="s">
        <v>47</v>
      </c>
      <c r="AV66" s="538" t="s">
        <v>300</v>
      </c>
    </row>
    <row r="67" ht="22.5" customHeight="1">
      <c r="A67" s="538">
        <v>66.0</v>
      </c>
      <c r="B67" s="538" t="s">
        <v>2616</v>
      </c>
      <c r="C67" s="538" t="s">
        <v>597</v>
      </c>
      <c r="D67" s="538" t="s">
        <v>231</v>
      </c>
      <c r="E67" s="538" t="s">
        <v>2617</v>
      </c>
      <c r="F67" s="538" t="s">
        <v>163</v>
      </c>
      <c r="G67" s="538" t="s">
        <v>250</v>
      </c>
      <c r="H67" s="538" t="s">
        <v>122</v>
      </c>
      <c r="J67" s="538" t="s">
        <v>2619</v>
      </c>
      <c r="K67" s="538" t="b">
        <v>0</v>
      </c>
      <c r="L67" s="538" t="b">
        <v>1</v>
      </c>
      <c r="M67" s="538" t="s">
        <v>79</v>
      </c>
      <c r="N67" s="538" t="s">
        <v>2617</v>
      </c>
      <c r="O67" s="538" t="s">
        <v>79</v>
      </c>
      <c r="P67" s="538" t="s">
        <v>2617</v>
      </c>
      <c r="Q67" s="538" t="s">
        <v>79</v>
      </c>
      <c r="R67" s="538" t="s">
        <v>2617</v>
      </c>
      <c r="S67" s="538" t="s">
        <v>79</v>
      </c>
      <c r="T67" s="538" t="s">
        <v>2617</v>
      </c>
      <c r="U67" s="538" t="s">
        <v>79</v>
      </c>
      <c r="V67" s="538" t="s">
        <v>2617</v>
      </c>
      <c r="W67" s="538" t="s">
        <v>79</v>
      </c>
      <c r="X67" s="538" t="s">
        <v>2617</v>
      </c>
      <c r="Y67" s="538" t="s">
        <v>75</v>
      </c>
      <c r="Z67" s="538" t="s">
        <v>300</v>
      </c>
      <c r="AA67" s="538" t="s">
        <v>75</v>
      </c>
      <c r="AB67" s="538" t="s">
        <v>300</v>
      </c>
      <c r="AC67" s="538" t="s">
        <v>79</v>
      </c>
      <c r="AD67" s="538" t="s">
        <v>2617</v>
      </c>
      <c r="AE67" s="538" t="s">
        <v>79</v>
      </c>
      <c r="AF67" s="538" t="s">
        <v>2617</v>
      </c>
      <c r="AG67" s="538" t="s">
        <v>79</v>
      </c>
      <c r="AH67" s="538" t="s">
        <v>2617</v>
      </c>
      <c r="AI67" s="538" t="s">
        <v>79</v>
      </c>
      <c r="AJ67" s="538" t="s">
        <v>2617</v>
      </c>
      <c r="AK67" s="538" t="s">
        <v>79</v>
      </c>
      <c r="AL67" s="538" t="s">
        <v>231</v>
      </c>
      <c r="AM67" s="538" t="s">
        <v>79</v>
      </c>
      <c r="AN67" s="538" t="s">
        <v>231</v>
      </c>
      <c r="AO67" s="538">
        <v>2.754139134E9</v>
      </c>
      <c r="AP67" s="538">
        <v>2.0</v>
      </c>
      <c r="AQ67" s="538">
        <v>1.382120997E9</v>
      </c>
      <c r="AR67" s="538">
        <v>21.0</v>
      </c>
      <c r="AS67" s="538" t="s">
        <v>47</v>
      </c>
      <c r="AV67" s="538" t="s">
        <v>300</v>
      </c>
    </row>
    <row r="68" ht="22.5" customHeight="1">
      <c r="A68" s="538">
        <v>67.0</v>
      </c>
      <c r="B68" s="538" t="s">
        <v>2616</v>
      </c>
      <c r="C68" s="538" t="s">
        <v>597</v>
      </c>
      <c r="D68" s="538" t="s">
        <v>295</v>
      </c>
      <c r="E68" s="538" t="s">
        <v>2617</v>
      </c>
      <c r="F68" s="538" t="s">
        <v>163</v>
      </c>
      <c r="G68" s="538" t="s">
        <v>250</v>
      </c>
      <c r="H68" s="538" t="s">
        <v>155</v>
      </c>
      <c r="J68" s="538" t="s">
        <v>2620</v>
      </c>
      <c r="K68" s="538" t="b">
        <v>0</v>
      </c>
      <c r="L68" s="538" t="b">
        <v>1</v>
      </c>
      <c r="M68" s="538" t="s">
        <v>79</v>
      </c>
      <c r="N68" s="538" t="s">
        <v>2617</v>
      </c>
      <c r="O68" s="538" t="s">
        <v>79</v>
      </c>
      <c r="P68" s="538" t="s">
        <v>2617</v>
      </c>
      <c r="Q68" s="538" t="s">
        <v>79</v>
      </c>
      <c r="R68" s="538" t="s">
        <v>2617</v>
      </c>
      <c r="S68" s="538" t="s">
        <v>79</v>
      </c>
      <c r="T68" s="538" t="s">
        <v>2617</v>
      </c>
      <c r="U68" s="538" t="s">
        <v>79</v>
      </c>
      <c r="V68" s="538" t="s">
        <v>2617</v>
      </c>
      <c r="W68" s="538" t="s">
        <v>79</v>
      </c>
      <c r="X68" s="538" t="s">
        <v>2617</v>
      </c>
      <c r="Y68" s="538" t="s">
        <v>75</v>
      </c>
      <c r="Z68" s="538" t="s">
        <v>300</v>
      </c>
      <c r="AA68" s="538" t="s">
        <v>75</v>
      </c>
      <c r="AB68" s="538" t="s">
        <v>300</v>
      </c>
      <c r="AC68" s="538" t="s">
        <v>79</v>
      </c>
      <c r="AD68" s="538" t="s">
        <v>2617</v>
      </c>
      <c r="AE68" s="538" t="s">
        <v>79</v>
      </c>
      <c r="AF68" s="538" t="s">
        <v>2617</v>
      </c>
      <c r="AG68" s="538" t="s">
        <v>79</v>
      </c>
      <c r="AH68" s="538" t="s">
        <v>2617</v>
      </c>
      <c r="AI68" s="538" t="s">
        <v>79</v>
      </c>
      <c r="AJ68" s="538" t="s">
        <v>2617</v>
      </c>
      <c r="AK68" s="538" t="s">
        <v>79</v>
      </c>
      <c r="AL68" s="538" t="s">
        <v>295</v>
      </c>
      <c r="AM68" s="538" t="s">
        <v>79</v>
      </c>
      <c r="AN68" s="538" t="s">
        <v>295</v>
      </c>
      <c r="AO68" s="538">
        <v>1.68471486E9</v>
      </c>
      <c r="AP68" s="538">
        <v>3.0</v>
      </c>
      <c r="AQ68" s="538">
        <v>1.382120997E9</v>
      </c>
      <c r="AR68" s="538">
        <v>21.0</v>
      </c>
      <c r="AS68" s="538" t="s">
        <v>47</v>
      </c>
      <c r="AV68" s="538" t="s">
        <v>300</v>
      </c>
    </row>
    <row r="69" ht="22.5" customHeight="1">
      <c r="A69" s="538">
        <v>68.0</v>
      </c>
      <c r="B69" s="538" t="s">
        <v>2616</v>
      </c>
      <c r="C69" s="538" t="s">
        <v>597</v>
      </c>
      <c r="D69" s="538" t="s">
        <v>292</v>
      </c>
      <c r="E69" s="538" t="s">
        <v>2617</v>
      </c>
      <c r="F69" s="538" t="s">
        <v>163</v>
      </c>
      <c r="G69" s="538" t="s">
        <v>250</v>
      </c>
      <c r="H69" s="538" t="s">
        <v>155</v>
      </c>
      <c r="J69" s="538" t="s">
        <v>2621</v>
      </c>
      <c r="K69" s="538" t="b">
        <v>0</v>
      </c>
      <c r="L69" s="538" t="b">
        <v>1</v>
      </c>
      <c r="M69" s="538" t="s">
        <v>79</v>
      </c>
      <c r="N69" s="538" t="s">
        <v>2617</v>
      </c>
      <c r="O69" s="538" t="s">
        <v>79</v>
      </c>
      <c r="P69" s="538" t="s">
        <v>2617</v>
      </c>
      <c r="Q69" s="538" t="s">
        <v>79</v>
      </c>
      <c r="R69" s="538" t="s">
        <v>2617</v>
      </c>
      <c r="S69" s="538" t="s">
        <v>79</v>
      </c>
      <c r="T69" s="538" t="s">
        <v>2617</v>
      </c>
      <c r="U69" s="538" t="s">
        <v>79</v>
      </c>
      <c r="V69" s="538" t="s">
        <v>2617</v>
      </c>
      <c r="W69" s="538" t="s">
        <v>79</v>
      </c>
      <c r="X69" s="538" t="s">
        <v>2617</v>
      </c>
      <c r="Y69" s="538" t="s">
        <v>75</v>
      </c>
      <c r="Z69" s="538" t="s">
        <v>300</v>
      </c>
      <c r="AA69" s="538" t="s">
        <v>75</v>
      </c>
      <c r="AB69" s="538" t="s">
        <v>300</v>
      </c>
      <c r="AC69" s="538" t="s">
        <v>79</v>
      </c>
      <c r="AD69" s="538" t="s">
        <v>2617</v>
      </c>
      <c r="AE69" s="538" t="s">
        <v>79</v>
      </c>
      <c r="AF69" s="538" t="s">
        <v>2617</v>
      </c>
      <c r="AG69" s="538" t="s">
        <v>79</v>
      </c>
      <c r="AH69" s="538" t="s">
        <v>2617</v>
      </c>
      <c r="AI69" s="538" t="s">
        <v>79</v>
      </c>
      <c r="AJ69" s="538" t="s">
        <v>2617</v>
      </c>
      <c r="AK69" s="538" t="s">
        <v>79</v>
      </c>
      <c r="AL69" s="538" t="s">
        <v>292</v>
      </c>
      <c r="AM69" s="538" t="s">
        <v>79</v>
      </c>
      <c r="AN69" s="538" t="s">
        <v>292</v>
      </c>
      <c r="AO69" s="538">
        <v>2.327238776E9</v>
      </c>
      <c r="AP69" s="538">
        <v>4.0</v>
      </c>
      <c r="AQ69" s="538">
        <v>1.382120997E9</v>
      </c>
      <c r="AR69" s="538">
        <v>21.0</v>
      </c>
      <c r="AS69" s="538" t="s">
        <v>47</v>
      </c>
      <c r="AV69" s="538" t="s">
        <v>300</v>
      </c>
    </row>
    <row r="70" ht="22.5" customHeight="1">
      <c r="A70" s="538">
        <v>69.0</v>
      </c>
      <c r="B70" s="538" t="s">
        <v>2622</v>
      </c>
      <c r="C70" s="538" t="s">
        <v>597</v>
      </c>
      <c r="D70" s="538" t="s">
        <v>322</v>
      </c>
      <c r="E70" s="538" t="s">
        <v>2623</v>
      </c>
      <c r="F70" s="538" t="s">
        <v>163</v>
      </c>
      <c r="G70" s="538" t="s">
        <v>250</v>
      </c>
      <c r="H70" s="538" t="s">
        <v>122</v>
      </c>
      <c r="J70" s="538" t="s">
        <v>2624</v>
      </c>
      <c r="K70" s="538" t="b">
        <v>0</v>
      </c>
      <c r="L70" s="538" t="b">
        <v>1</v>
      </c>
      <c r="M70" s="538" t="s">
        <v>79</v>
      </c>
      <c r="N70" s="538" t="s">
        <v>2623</v>
      </c>
      <c r="O70" s="538" t="s">
        <v>79</v>
      </c>
      <c r="P70" s="538" t="s">
        <v>2623</v>
      </c>
      <c r="Q70" s="538" t="s">
        <v>79</v>
      </c>
      <c r="R70" s="538" t="s">
        <v>2623</v>
      </c>
      <c r="S70" s="538" t="s">
        <v>79</v>
      </c>
      <c r="T70" s="538" t="s">
        <v>2623</v>
      </c>
      <c r="U70" s="538" t="s">
        <v>79</v>
      </c>
      <c r="V70" s="538" t="s">
        <v>2623</v>
      </c>
      <c r="W70" s="538" t="s">
        <v>79</v>
      </c>
      <c r="X70" s="538" t="s">
        <v>2623</v>
      </c>
      <c r="Y70" s="538" t="s">
        <v>75</v>
      </c>
      <c r="Z70" s="538" t="s">
        <v>309</v>
      </c>
      <c r="AA70" s="538" t="s">
        <v>75</v>
      </c>
      <c r="AB70" s="538" t="s">
        <v>309</v>
      </c>
      <c r="AC70" s="538" t="s">
        <v>79</v>
      </c>
      <c r="AD70" s="538" t="s">
        <v>2623</v>
      </c>
      <c r="AE70" s="538" t="s">
        <v>79</v>
      </c>
      <c r="AF70" s="538" t="s">
        <v>2623</v>
      </c>
      <c r="AG70" s="538" t="s">
        <v>79</v>
      </c>
      <c r="AH70" s="538" t="s">
        <v>2623</v>
      </c>
      <c r="AI70" s="538" t="s">
        <v>79</v>
      </c>
      <c r="AJ70" s="538" t="s">
        <v>2623</v>
      </c>
      <c r="AK70" s="538" t="s">
        <v>79</v>
      </c>
      <c r="AL70" s="538" t="s">
        <v>322</v>
      </c>
      <c r="AM70" s="538" t="s">
        <v>79</v>
      </c>
      <c r="AN70" s="538" t="s">
        <v>322</v>
      </c>
      <c r="AO70" s="538">
        <v>1.323445866E9</v>
      </c>
      <c r="AP70" s="538">
        <v>1.0</v>
      </c>
      <c r="AQ70" s="538">
        <v>2.088471777E9</v>
      </c>
      <c r="AR70" s="538">
        <v>20.0</v>
      </c>
      <c r="AS70" s="538" t="s">
        <v>47</v>
      </c>
      <c r="AV70" s="538" t="s">
        <v>309</v>
      </c>
    </row>
    <row r="71" ht="22.5" customHeight="1">
      <c r="A71" s="538">
        <v>70.0</v>
      </c>
      <c r="B71" s="538" t="s">
        <v>2622</v>
      </c>
      <c r="C71" s="538" t="s">
        <v>597</v>
      </c>
      <c r="D71" s="538" t="s">
        <v>231</v>
      </c>
      <c r="E71" s="538" t="s">
        <v>2623</v>
      </c>
      <c r="F71" s="538" t="s">
        <v>163</v>
      </c>
      <c r="G71" s="538" t="s">
        <v>250</v>
      </c>
      <c r="H71" s="538" t="s">
        <v>122</v>
      </c>
      <c r="J71" s="538" t="s">
        <v>2625</v>
      </c>
      <c r="K71" s="538" t="b">
        <v>0</v>
      </c>
      <c r="L71" s="538" t="b">
        <v>1</v>
      </c>
      <c r="M71" s="538" t="s">
        <v>79</v>
      </c>
      <c r="N71" s="538" t="s">
        <v>2623</v>
      </c>
      <c r="O71" s="538" t="s">
        <v>79</v>
      </c>
      <c r="P71" s="538" t="s">
        <v>2623</v>
      </c>
      <c r="Q71" s="538" t="s">
        <v>79</v>
      </c>
      <c r="R71" s="538" t="s">
        <v>2623</v>
      </c>
      <c r="S71" s="538" t="s">
        <v>79</v>
      </c>
      <c r="T71" s="538" t="s">
        <v>2623</v>
      </c>
      <c r="U71" s="538" t="s">
        <v>79</v>
      </c>
      <c r="V71" s="538" t="s">
        <v>2623</v>
      </c>
      <c r="W71" s="538" t="s">
        <v>79</v>
      </c>
      <c r="X71" s="538" t="s">
        <v>2623</v>
      </c>
      <c r="Y71" s="538" t="s">
        <v>75</v>
      </c>
      <c r="Z71" s="538" t="s">
        <v>309</v>
      </c>
      <c r="AA71" s="538" t="s">
        <v>75</v>
      </c>
      <c r="AB71" s="538" t="s">
        <v>309</v>
      </c>
      <c r="AC71" s="538" t="s">
        <v>79</v>
      </c>
      <c r="AD71" s="538" t="s">
        <v>2623</v>
      </c>
      <c r="AE71" s="538" t="s">
        <v>79</v>
      </c>
      <c r="AF71" s="538" t="s">
        <v>2623</v>
      </c>
      <c r="AG71" s="538" t="s">
        <v>79</v>
      </c>
      <c r="AH71" s="538" t="s">
        <v>2623</v>
      </c>
      <c r="AI71" s="538" t="s">
        <v>79</v>
      </c>
      <c r="AJ71" s="538" t="s">
        <v>2623</v>
      </c>
      <c r="AK71" s="538" t="s">
        <v>79</v>
      </c>
      <c r="AL71" s="538" t="s">
        <v>231</v>
      </c>
      <c r="AM71" s="538" t="s">
        <v>79</v>
      </c>
      <c r="AN71" s="538" t="s">
        <v>231</v>
      </c>
      <c r="AO71" s="538">
        <v>2.539247425E9</v>
      </c>
      <c r="AP71" s="538">
        <v>2.0</v>
      </c>
      <c r="AQ71" s="538">
        <v>2.088471777E9</v>
      </c>
      <c r="AR71" s="538">
        <v>20.0</v>
      </c>
      <c r="AS71" s="538" t="s">
        <v>47</v>
      </c>
      <c r="AV71" s="538" t="s">
        <v>309</v>
      </c>
    </row>
    <row r="72" ht="22.5" customHeight="1">
      <c r="A72" s="538">
        <v>71.0</v>
      </c>
      <c r="B72" s="538" t="s">
        <v>2622</v>
      </c>
      <c r="C72" s="538" t="s">
        <v>597</v>
      </c>
      <c r="D72" s="538" t="s">
        <v>295</v>
      </c>
      <c r="E72" s="538" t="s">
        <v>2623</v>
      </c>
      <c r="F72" s="538" t="s">
        <v>163</v>
      </c>
      <c r="G72" s="538" t="s">
        <v>250</v>
      </c>
      <c r="H72" s="538" t="s">
        <v>155</v>
      </c>
      <c r="J72" s="538" t="s">
        <v>2626</v>
      </c>
      <c r="K72" s="538" t="b">
        <v>0</v>
      </c>
      <c r="L72" s="538" t="b">
        <v>1</v>
      </c>
      <c r="M72" s="538" t="s">
        <v>79</v>
      </c>
      <c r="N72" s="538" t="s">
        <v>2623</v>
      </c>
      <c r="O72" s="538" t="s">
        <v>79</v>
      </c>
      <c r="P72" s="538" t="s">
        <v>2623</v>
      </c>
      <c r="Q72" s="538" t="s">
        <v>79</v>
      </c>
      <c r="R72" s="538" t="s">
        <v>2623</v>
      </c>
      <c r="S72" s="538" t="s">
        <v>79</v>
      </c>
      <c r="T72" s="538" t="s">
        <v>2623</v>
      </c>
      <c r="U72" s="538" t="s">
        <v>79</v>
      </c>
      <c r="V72" s="538" t="s">
        <v>2623</v>
      </c>
      <c r="W72" s="538" t="s">
        <v>79</v>
      </c>
      <c r="X72" s="538" t="s">
        <v>2623</v>
      </c>
      <c r="Y72" s="538" t="s">
        <v>75</v>
      </c>
      <c r="Z72" s="538" t="s">
        <v>309</v>
      </c>
      <c r="AA72" s="538" t="s">
        <v>75</v>
      </c>
      <c r="AB72" s="538" t="s">
        <v>309</v>
      </c>
      <c r="AC72" s="538" t="s">
        <v>79</v>
      </c>
      <c r="AD72" s="538" t="s">
        <v>2623</v>
      </c>
      <c r="AE72" s="538" t="s">
        <v>79</v>
      </c>
      <c r="AF72" s="538" t="s">
        <v>2623</v>
      </c>
      <c r="AG72" s="538" t="s">
        <v>79</v>
      </c>
      <c r="AH72" s="538" t="s">
        <v>2623</v>
      </c>
      <c r="AI72" s="538" t="s">
        <v>79</v>
      </c>
      <c r="AJ72" s="538" t="s">
        <v>2623</v>
      </c>
      <c r="AK72" s="538" t="s">
        <v>79</v>
      </c>
      <c r="AL72" s="538" t="s">
        <v>295</v>
      </c>
      <c r="AM72" s="538" t="s">
        <v>79</v>
      </c>
      <c r="AN72" s="538" t="s">
        <v>295</v>
      </c>
      <c r="AO72" s="538">
        <v>2.695549374E9</v>
      </c>
      <c r="AP72" s="538">
        <v>3.0</v>
      </c>
      <c r="AQ72" s="538">
        <v>2.088471777E9</v>
      </c>
      <c r="AR72" s="538">
        <v>20.0</v>
      </c>
      <c r="AS72" s="538" t="s">
        <v>47</v>
      </c>
      <c r="AV72" s="538" t="s">
        <v>309</v>
      </c>
    </row>
    <row r="73" ht="22.5" customHeight="1">
      <c r="A73" s="538">
        <v>72.0</v>
      </c>
      <c r="B73" s="538" t="s">
        <v>2622</v>
      </c>
      <c r="C73" s="538" t="s">
        <v>597</v>
      </c>
      <c r="D73" s="538" t="s">
        <v>292</v>
      </c>
      <c r="E73" s="538" t="s">
        <v>2623</v>
      </c>
      <c r="F73" s="538" t="s">
        <v>163</v>
      </c>
      <c r="G73" s="538" t="s">
        <v>250</v>
      </c>
      <c r="H73" s="538" t="s">
        <v>155</v>
      </c>
      <c r="J73" s="538" t="s">
        <v>2627</v>
      </c>
      <c r="K73" s="538" t="b">
        <v>0</v>
      </c>
      <c r="L73" s="538" t="b">
        <v>1</v>
      </c>
      <c r="M73" s="538" t="s">
        <v>79</v>
      </c>
      <c r="N73" s="538" t="s">
        <v>2623</v>
      </c>
      <c r="O73" s="538" t="s">
        <v>79</v>
      </c>
      <c r="P73" s="538" t="s">
        <v>2623</v>
      </c>
      <c r="Q73" s="538" t="s">
        <v>79</v>
      </c>
      <c r="R73" s="538" t="s">
        <v>2623</v>
      </c>
      <c r="S73" s="538" t="s">
        <v>79</v>
      </c>
      <c r="T73" s="538" t="s">
        <v>2623</v>
      </c>
      <c r="U73" s="538" t="s">
        <v>79</v>
      </c>
      <c r="V73" s="538" t="s">
        <v>2623</v>
      </c>
      <c r="W73" s="538" t="s">
        <v>79</v>
      </c>
      <c r="X73" s="538" t="s">
        <v>2623</v>
      </c>
      <c r="Y73" s="538" t="s">
        <v>75</v>
      </c>
      <c r="Z73" s="538" t="s">
        <v>309</v>
      </c>
      <c r="AA73" s="538" t="s">
        <v>75</v>
      </c>
      <c r="AB73" s="538" t="s">
        <v>309</v>
      </c>
      <c r="AC73" s="538" t="s">
        <v>79</v>
      </c>
      <c r="AD73" s="538" t="s">
        <v>2623</v>
      </c>
      <c r="AE73" s="538" t="s">
        <v>79</v>
      </c>
      <c r="AF73" s="538" t="s">
        <v>2623</v>
      </c>
      <c r="AG73" s="538" t="s">
        <v>79</v>
      </c>
      <c r="AH73" s="538" t="s">
        <v>2623</v>
      </c>
      <c r="AI73" s="538" t="s">
        <v>79</v>
      </c>
      <c r="AJ73" s="538" t="s">
        <v>2623</v>
      </c>
      <c r="AK73" s="538" t="s">
        <v>79</v>
      </c>
      <c r="AL73" s="538" t="s">
        <v>292</v>
      </c>
      <c r="AM73" s="538" t="s">
        <v>79</v>
      </c>
      <c r="AN73" s="538" t="s">
        <v>292</v>
      </c>
      <c r="AO73" s="538">
        <v>1.190445923E9</v>
      </c>
      <c r="AP73" s="538">
        <v>4.0</v>
      </c>
      <c r="AQ73" s="538">
        <v>2.088471777E9</v>
      </c>
      <c r="AR73" s="538">
        <v>20.0</v>
      </c>
      <c r="AS73" s="538" t="s">
        <v>47</v>
      </c>
      <c r="AV73" s="538" t="s">
        <v>309</v>
      </c>
    </row>
    <row r="74" ht="22.5" customHeight="1">
      <c r="A74" s="538">
        <v>73.0</v>
      </c>
      <c r="B74" s="538" t="s">
        <v>2628</v>
      </c>
      <c r="C74" s="538" t="s">
        <v>597</v>
      </c>
      <c r="D74" s="538" t="s">
        <v>322</v>
      </c>
      <c r="E74" s="538" t="s">
        <v>2629</v>
      </c>
      <c r="F74" s="538" t="s">
        <v>163</v>
      </c>
      <c r="G74" s="538" t="s">
        <v>250</v>
      </c>
      <c r="H74" s="538" t="s">
        <v>122</v>
      </c>
      <c r="J74" s="538" t="s">
        <v>2630</v>
      </c>
      <c r="K74" s="538" t="b">
        <v>0</v>
      </c>
      <c r="L74" s="538" t="b">
        <v>1</v>
      </c>
      <c r="M74" s="538" t="s">
        <v>79</v>
      </c>
      <c r="N74" s="538" t="s">
        <v>2629</v>
      </c>
      <c r="O74" s="538" t="s">
        <v>79</v>
      </c>
      <c r="P74" s="538" t="s">
        <v>2629</v>
      </c>
      <c r="Q74" s="538" t="s">
        <v>79</v>
      </c>
      <c r="R74" s="538" t="s">
        <v>2629</v>
      </c>
      <c r="S74" s="538" t="s">
        <v>79</v>
      </c>
      <c r="T74" s="538" t="s">
        <v>2629</v>
      </c>
      <c r="U74" s="538" t="s">
        <v>79</v>
      </c>
      <c r="V74" s="538" t="s">
        <v>2629</v>
      </c>
      <c r="W74" s="538" t="s">
        <v>79</v>
      </c>
      <c r="X74" s="538" t="s">
        <v>2629</v>
      </c>
      <c r="Y74" s="538" t="s">
        <v>75</v>
      </c>
      <c r="Z74" s="538" t="s">
        <v>342</v>
      </c>
      <c r="AA74" s="538" t="s">
        <v>75</v>
      </c>
      <c r="AB74" s="538" t="s">
        <v>342</v>
      </c>
      <c r="AC74" s="538" t="s">
        <v>79</v>
      </c>
      <c r="AD74" s="538" t="s">
        <v>2629</v>
      </c>
      <c r="AE74" s="538" t="s">
        <v>79</v>
      </c>
      <c r="AF74" s="538" t="s">
        <v>2629</v>
      </c>
      <c r="AG74" s="538" t="s">
        <v>79</v>
      </c>
      <c r="AH74" s="538" t="s">
        <v>2629</v>
      </c>
      <c r="AI74" s="538" t="s">
        <v>79</v>
      </c>
      <c r="AJ74" s="538" t="s">
        <v>2629</v>
      </c>
      <c r="AK74" s="538" t="s">
        <v>79</v>
      </c>
      <c r="AL74" s="538" t="s">
        <v>322</v>
      </c>
      <c r="AM74" s="538" t="s">
        <v>79</v>
      </c>
      <c r="AN74" s="538" t="s">
        <v>322</v>
      </c>
      <c r="AO74" s="538">
        <v>4.065760487E9</v>
      </c>
      <c r="AP74" s="538">
        <v>1.0</v>
      </c>
      <c r="AQ74" s="538">
        <v>1.206498925E9</v>
      </c>
      <c r="AR74" s="538">
        <v>18.0</v>
      </c>
      <c r="AS74" s="538" t="s">
        <v>47</v>
      </c>
      <c r="AV74" s="538" t="s">
        <v>342</v>
      </c>
    </row>
    <row r="75" ht="22.5" customHeight="1">
      <c r="A75" s="538">
        <v>74.0</v>
      </c>
      <c r="B75" s="538" t="s">
        <v>2628</v>
      </c>
      <c r="C75" s="538" t="s">
        <v>597</v>
      </c>
      <c r="D75" s="538" t="s">
        <v>231</v>
      </c>
      <c r="E75" s="538" t="s">
        <v>2629</v>
      </c>
      <c r="F75" s="538" t="s">
        <v>163</v>
      </c>
      <c r="G75" s="538" t="s">
        <v>250</v>
      </c>
      <c r="H75" s="538" t="s">
        <v>122</v>
      </c>
      <c r="J75" s="538" t="s">
        <v>2631</v>
      </c>
      <c r="K75" s="538" t="b">
        <v>0</v>
      </c>
      <c r="L75" s="538" t="b">
        <v>1</v>
      </c>
      <c r="M75" s="538" t="s">
        <v>79</v>
      </c>
      <c r="N75" s="538" t="s">
        <v>2629</v>
      </c>
      <c r="O75" s="538" t="s">
        <v>79</v>
      </c>
      <c r="P75" s="538" t="s">
        <v>2629</v>
      </c>
      <c r="Q75" s="538" t="s">
        <v>79</v>
      </c>
      <c r="R75" s="538" t="s">
        <v>2629</v>
      </c>
      <c r="S75" s="538" t="s">
        <v>79</v>
      </c>
      <c r="T75" s="538" t="s">
        <v>2629</v>
      </c>
      <c r="U75" s="538" t="s">
        <v>79</v>
      </c>
      <c r="V75" s="538" t="s">
        <v>2629</v>
      </c>
      <c r="W75" s="538" t="s">
        <v>79</v>
      </c>
      <c r="X75" s="538" t="s">
        <v>2629</v>
      </c>
      <c r="Y75" s="538" t="s">
        <v>75</v>
      </c>
      <c r="Z75" s="538" t="s">
        <v>342</v>
      </c>
      <c r="AA75" s="538" t="s">
        <v>75</v>
      </c>
      <c r="AB75" s="538" t="s">
        <v>342</v>
      </c>
      <c r="AC75" s="538" t="s">
        <v>79</v>
      </c>
      <c r="AD75" s="538" t="s">
        <v>2629</v>
      </c>
      <c r="AE75" s="538" t="s">
        <v>79</v>
      </c>
      <c r="AF75" s="538" t="s">
        <v>2629</v>
      </c>
      <c r="AG75" s="538" t="s">
        <v>79</v>
      </c>
      <c r="AH75" s="538" t="s">
        <v>2629</v>
      </c>
      <c r="AI75" s="538" t="s">
        <v>79</v>
      </c>
      <c r="AJ75" s="538" t="s">
        <v>2629</v>
      </c>
      <c r="AK75" s="538" t="s">
        <v>79</v>
      </c>
      <c r="AL75" s="538" t="s">
        <v>231</v>
      </c>
      <c r="AM75" s="538" t="s">
        <v>79</v>
      </c>
      <c r="AN75" s="538" t="s">
        <v>231</v>
      </c>
      <c r="AO75" s="538">
        <v>4.24774234E9</v>
      </c>
      <c r="AP75" s="538">
        <v>2.0</v>
      </c>
      <c r="AQ75" s="538">
        <v>1.206498925E9</v>
      </c>
      <c r="AR75" s="538">
        <v>18.0</v>
      </c>
      <c r="AS75" s="538" t="s">
        <v>47</v>
      </c>
      <c r="AV75" s="538" t="s">
        <v>342</v>
      </c>
    </row>
    <row r="76" ht="22.5" customHeight="1">
      <c r="A76" s="538">
        <v>75.0</v>
      </c>
      <c r="B76" s="538" t="s">
        <v>2628</v>
      </c>
      <c r="C76" s="538" t="s">
        <v>597</v>
      </c>
      <c r="D76" s="538" t="s">
        <v>295</v>
      </c>
      <c r="E76" s="538" t="s">
        <v>2629</v>
      </c>
      <c r="F76" s="538" t="s">
        <v>163</v>
      </c>
      <c r="G76" s="538" t="s">
        <v>250</v>
      </c>
      <c r="H76" s="538" t="s">
        <v>155</v>
      </c>
      <c r="J76" s="538" t="s">
        <v>2632</v>
      </c>
      <c r="K76" s="538" t="b">
        <v>0</v>
      </c>
      <c r="L76" s="538" t="b">
        <v>1</v>
      </c>
      <c r="M76" s="538" t="s">
        <v>79</v>
      </c>
      <c r="N76" s="538" t="s">
        <v>2629</v>
      </c>
      <c r="O76" s="538" t="s">
        <v>79</v>
      </c>
      <c r="P76" s="538" t="s">
        <v>2629</v>
      </c>
      <c r="Q76" s="538" t="s">
        <v>79</v>
      </c>
      <c r="R76" s="538" t="s">
        <v>2629</v>
      </c>
      <c r="S76" s="538" t="s">
        <v>79</v>
      </c>
      <c r="T76" s="538" t="s">
        <v>2629</v>
      </c>
      <c r="U76" s="538" t="s">
        <v>79</v>
      </c>
      <c r="V76" s="538" t="s">
        <v>2629</v>
      </c>
      <c r="W76" s="538" t="s">
        <v>79</v>
      </c>
      <c r="X76" s="538" t="s">
        <v>2629</v>
      </c>
      <c r="Y76" s="538" t="s">
        <v>75</v>
      </c>
      <c r="Z76" s="538" t="s">
        <v>342</v>
      </c>
      <c r="AA76" s="538" t="s">
        <v>75</v>
      </c>
      <c r="AB76" s="538" t="s">
        <v>342</v>
      </c>
      <c r="AC76" s="538" t="s">
        <v>79</v>
      </c>
      <c r="AD76" s="538" t="s">
        <v>2629</v>
      </c>
      <c r="AE76" s="538" t="s">
        <v>79</v>
      </c>
      <c r="AF76" s="538" t="s">
        <v>2629</v>
      </c>
      <c r="AG76" s="538" t="s">
        <v>79</v>
      </c>
      <c r="AH76" s="538" t="s">
        <v>2629</v>
      </c>
      <c r="AI76" s="538" t="s">
        <v>79</v>
      </c>
      <c r="AJ76" s="538" t="s">
        <v>2629</v>
      </c>
      <c r="AK76" s="538" t="s">
        <v>79</v>
      </c>
      <c r="AL76" s="538" t="s">
        <v>295</v>
      </c>
      <c r="AM76" s="538" t="s">
        <v>79</v>
      </c>
      <c r="AN76" s="538" t="s">
        <v>295</v>
      </c>
      <c r="AO76" s="538">
        <v>3.481926486E9</v>
      </c>
      <c r="AP76" s="538">
        <v>3.0</v>
      </c>
      <c r="AQ76" s="538">
        <v>1.206498925E9</v>
      </c>
      <c r="AR76" s="538">
        <v>18.0</v>
      </c>
      <c r="AS76" s="538" t="s">
        <v>47</v>
      </c>
      <c r="AV76" s="538" t="s">
        <v>342</v>
      </c>
    </row>
    <row r="77" ht="22.5" customHeight="1">
      <c r="A77" s="538">
        <v>76.0</v>
      </c>
      <c r="B77" s="538" t="s">
        <v>2628</v>
      </c>
      <c r="C77" s="538" t="s">
        <v>597</v>
      </c>
      <c r="D77" s="538" t="s">
        <v>292</v>
      </c>
      <c r="E77" s="538" t="s">
        <v>2629</v>
      </c>
      <c r="F77" s="538" t="s">
        <v>163</v>
      </c>
      <c r="G77" s="538" t="s">
        <v>250</v>
      </c>
      <c r="H77" s="538" t="s">
        <v>155</v>
      </c>
      <c r="J77" s="538" t="s">
        <v>2633</v>
      </c>
      <c r="K77" s="538" t="b">
        <v>0</v>
      </c>
      <c r="L77" s="538" t="b">
        <v>1</v>
      </c>
      <c r="M77" s="538" t="s">
        <v>79</v>
      </c>
      <c r="N77" s="538" t="s">
        <v>2629</v>
      </c>
      <c r="O77" s="538" t="s">
        <v>79</v>
      </c>
      <c r="P77" s="538" t="s">
        <v>2629</v>
      </c>
      <c r="Q77" s="538" t="s">
        <v>79</v>
      </c>
      <c r="R77" s="538" t="s">
        <v>2629</v>
      </c>
      <c r="S77" s="538" t="s">
        <v>79</v>
      </c>
      <c r="T77" s="538" t="s">
        <v>2629</v>
      </c>
      <c r="U77" s="538" t="s">
        <v>79</v>
      </c>
      <c r="V77" s="538" t="s">
        <v>2629</v>
      </c>
      <c r="W77" s="538" t="s">
        <v>79</v>
      </c>
      <c r="X77" s="538" t="s">
        <v>2629</v>
      </c>
      <c r="Y77" s="538" t="s">
        <v>75</v>
      </c>
      <c r="Z77" s="538" t="s">
        <v>342</v>
      </c>
      <c r="AA77" s="538" t="s">
        <v>75</v>
      </c>
      <c r="AB77" s="538" t="s">
        <v>342</v>
      </c>
      <c r="AC77" s="538" t="s">
        <v>79</v>
      </c>
      <c r="AD77" s="538" t="s">
        <v>2629</v>
      </c>
      <c r="AE77" s="538" t="s">
        <v>79</v>
      </c>
      <c r="AF77" s="538" t="s">
        <v>2629</v>
      </c>
      <c r="AG77" s="538" t="s">
        <v>79</v>
      </c>
      <c r="AH77" s="538" t="s">
        <v>2629</v>
      </c>
      <c r="AI77" s="538" t="s">
        <v>79</v>
      </c>
      <c r="AJ77" s="538" t="s">
        <v>2629</v>
      </c>
      <c r="AK77" s="538" t="s">
        <v>79</v>
      </c>
      <c r="AL77" s="538" t="s">
        <v>292</v>
      </c>
      <c r="AM77" s="538" t="s">
        <v>79</v>
      </c>
      <c r="AN77" s="538" t="s">
        <v>292</v>
      </c>
      <c r="AO77" s="538">
        <v>8.03755984E8</v>
      </c>
      <c r="AP77" s="538">
        <v>4.0</v>
      </c>
      <c r="AQ77" s="538">
        <v>1.206498925E9</v>
      </c>
      <c r="AR77" s="538">
        <v>18.0</v>
      </c>
      <c r="AS77" s="538" t="s">
        <v>47</v>
      </c>
      <c r="AV77" s="538" t="s">
        <v>342</v>
      </c>
    </row>
    <row r="78" ht="22.5" customHeight="1">
      <c r="A78" s="538">
        <v>77.0</v>
      </c>
      <c r="B78" s="538" t="s">
        <v>2634</v>
      </c>
      <c r="C78" s="538" t="s">
        <v>597</v>
      </c>
      <c r="D78" s="538" t="s">
        <v>223</v>
      </c>
      <c r="E78" s="538" t="s">
        <v>1109</v>
      </c>
      <c r="F78" s="538" t="s">
        <v>163</v>
      </c>
      <c r="G78" s="538" t="s">
        <v>250</v>
      </c>
      <c r="H78" s="538" t="s">
        <v>122</v>
      </c>
      <c r="I78" s="538" t="s">
        <v>367</v>
      </c>
      <c r="J78" s="538" t="s">
        <v>2635</v>
      </c>
      <c r="K78" s="538" t="b">
        <v>0</v>
      </c>
      <c r="L78" s="538" t="b">
        <v>1</v>
      </c>
      <c r="M78" s="538" t="s">
        <v>79</v>
      </c>
      <c r="N78" s="538" t="s">
        <v>253</v>
      </c>
      <c r="O78" s="538" t="s">
        <v>73</v>
      </c>
      <c r="Q78" s="538" t="s">
        <v>79</v>
      </c>
      <c r="R78" s="538" t="s">
        <v>253</v>
      </c>
      <c r="S78" s="538" t="s">
        <v>79</v>
      </c>
      <c r="T78" s="538" t="s">
        <v>253</v>
      </c>
      <c r="U78" s="538" t="s">
        <v>79</v>
      </c>
      <c r="V78" s="538" t="s">
        <v>253</v>
      </c>
      <c r="W78" s="538" t="s">
        <v>79</v>
      </c>
      <c r="X78" s="538" t="s">
        <v>253</v>
      </c>
      <c r="Y78" s="538" t="s">
        <v>79</v>
      </c>
      <c r="Z78" s="538" t="s">
        <v>253</v>
      </c>
      <c r="AA78" s="538" t="s">
        <v>79</v>
      </c>
      <c r="AB78" s="538" t="s">
        <v>253</v>
      </c>
      <c r="AC78" s="538" t="s">
        <v>79</v>
      </c>
      <c r="AD78" s="538" t="s">
        <v>380</v>
      </c>
      <c r="AE78" s="538" t="s">
        <v>79</v>
      </c>
      <c r="AF78" s="538" t="s">
        <v>253</v>
      </c>
      <c r="AG78" s="538" t="s">
        <v>79</v>
      </c>
      <c r="AH78" s="538" t="s">
        <v>253</v>
      </c>
      <c r="AI78" s="538" t="s">
        <v>79</v>
      </c>
      <c r="AJ78" s="538" t="s">
        <v>253</v>
      </c>
      <c r="AK78" s="538" t="s">
        <v>79</v>
      </c>
      <c r="AL78" s="538" t="s">
        <v>223</v>
      </c>
      <c r="AM78" s="538" t="s">
        <v>79</v>
      </c>
      <c r="AN78" s="538" t="s">
        <v>223</v>
      </c>
      <c r="AO78" s="538">
        <v>2.642611391E9</v>
      </c>
      <c r="AP78" s="538">
        <v>1.0</v>
      </c>
      <c r="AQ78" s="538">
        <v>3.81412843E9</v>
      </c>
      <c r="AR78" s="538">
        <v>22.0</v>
      </c>
      <c r="AS78" s="538" t="s">
        <v>46</v>
      </c>
    </row>
    <row r="79" ht="22.5" customHeight="1">
      <c r="A79" s="538">
        <v>78.0</v>
      </c>
      <c r="B79" s="538" t="s">
        <v>2634</v>
      </c>
      <c r="C79" s="538" t="s">
        <v>597</v>
      </c>
      <c r="D79" s="538" t="s">
        <v>310</v>
      </c>
      <c r="F79" s="538" t="s">
        <v>151</v>
      </c>
      <c r="G79" s="538" t="s">
        <v>250</v>
      </c>
      <c r="H79" s="538" t="s">
        <v>122</v>
      </c>
      <c r="J79" s="538" t="s">
        <v>2539</v>
      </c>
      <c r="K79" s="538" t="b">
        <v>0</v>
      </c>
      <c r="L79" s="538" t="b">
        <v>1</v>
      </c>
      <c r="M79" s="538" t="s">
        <v>73</v>
      </c>
      <c r="O79" s="538" t="s">
        <v>73</v>
      </c>
      <c r="Q79" s="538" t="s">
        <v>73</v>
      </c>
      <c r="S79" s="538" t="s">
        <v>73</v>
      </c>
      <c r="U79" s="538" t="s">
        <v>73</v>
      </c>
      <c r="W79" s="538" t="s">
        <v>73</v>
      </c>
      <c r="Y79" s="538" t="s">
        <v>73</v>
      </c>
      <c r="AA79" s="538" t="s">
        <v>73</v>
      </c>
      <c r="AC79" s="538" t="s">
        <v>73</v>
      </c>
      <c r="AE79" s="538" t="s">
        <v>73</v>
      </c>
      <c r="AG79" s="538" t="s">
        <v>73</v>
      </c>
      <c r="AI79" s="538" t="s">
        <v>73</v>
      </c>
      <c r="AK79" s="538" t="s">
        <v>79</v>
      </c>
      <c r="AL79" s="538" t="s">
        <v>310</v>
      </c>
      <c r="AM79" s="538" t="s">
        <v>79</v>
      </c>
      <c r="AN79" s="538" t="s">
        <v>310</v>
      </c>
      <c r="AO79" s="538">
        <v>9.88491671E8</v>
      </c>
      <c r="AP79" s="538">
        <v>2.0</v>
      </c>
      <c r="AQ79" s="538">
        <v>3.81412843E9</v>
      </c>
      <c r="AR79" s="538">
        <v>22.0</v>
      </c>
      <c r="AS79" s="538" t="s">
        <v>46</v>
      </c>
    </row>
    <row r="80" ht="22.5" customHeight="1">
      <c r="A80" s="538">
        <v>79.0</v>
      </c>
      <c r="B80" s="538" t="s">
        <v>2634</v>
      </c>
      <c r="C80" s="538" t="s">
        <v>597</v>
      </c>
      <c r="D80" s="538" t="s">
        <v>322</v>
      </c>
      <c r="E80" s="538" t="s">
        <v>1109</v>
      </c>
      <c r="F80" s="538" t="s">
        <v>163</v>
      </c>
      <c r="G80" s="538" t="s">
        <v>250</v>
      </c>
      <c r="H80" s="538" t="s">
        <v>155</v>
      </c>
      <c r="J80" s="538" t="s">
        <v>2636</v>
      </c>
      <c r="K80" s="538" t="b">
        <v>0</v>
      </c>
      <c r="L80" s="538" t="b">
        <v>1</v>
      </c>
      <c r="M80" s="538" t="s">
        <v>79</v>
      </c>
      <c r="N80" s="538" t="s">
        <v>253</v>
      </c>
      <c r="O80" s="538" t="s">
        <v>73</v>
      </c>
      <c r="Q80" s="538" t="s">
        <v>79</v>
      </c>
      <c r="R80" s="538" t="s">
        <v>253</v>
      </c>
      <c r="S80" s="538" t="s">
        <v>79</v>
      </c>
      <c r="T80" s="538" t="s">
        <v>253</v>
      </c>
      <c r="U80" s="538" t="s">
        <v>79</v>
      </c>
      <c r="V80" s="538" t="s">
        <v>253</v>
      </c>
      <c r="W80" s="538" t="s">
        <v>79</v>
      </c>
      <c r="X80" s="538" t="s">
        <v>253</v>
      </c>
      <c r="Y80" s="538" t="s">
        <v>79</v>
      </c>
      <c r="Z80" s="538" t="s">
        <v>253</v>
      </c>
      <c r="AA80" s="538" t="s">
        <v>79</v>
      </c>
      <c r="AB80" s="538" t="s">
        <v>253</v>
      </c>
      <c r="AC80" s="538" t="s">
        <v>79</v>
      </c>
      <c r="AD80" s="538" t="s">
        <v>380</v>
      </c>
      <c r="AE80" s="538" t="s">
        <v>79</v>
      </c>
      <c r="AF80" s="538" t="s">
        <v>253</v>
      </c>
      <c r="AG80" s="538" t="s">
        <v>79</v>
      </c>
      <c r="AH80" s="538" t="s">
        <v>253</v>
      </c>
      <c r="AI80" s="538" t="s">
        <v>79</v>
      </c>
      <c r="AJ80" s="538" t="s">
        <v>253</v>
      </c>
      <c r="AK80" s="538" t="s">
        <v>79</v>
      </c>
      <c r="AL80" s="538" t="s">
        <v>322</v>
      </c>
      <c r="AM80" s="538" t="s">
        <v>79</v>
      </c>
      <c r="AN80" s="538" t="s">
        <v>322</v>
      </c>
      <c r="AO80" s="538">
        <v>2.786446487E9</v>
      </c>
      <c r="AP80" s="538">
        <v>3.0</v>
      </c>
      <c r="AQ80" s="538">
        <v>3.81412843E9</v>
      </c>
      <c r="AR80" s="538">
        <v>22.0</v>
      </c>
      <c r="AS80" s="538" t="s">
        <v>46</v>
      </c>
    </row>
    <row r="81" ht="22.5" customHeight="1">
      <c r="A81" s="538">
        <v>80.0</v>
      </c>
      <c r="B81" s="538" t="s">
        <v>2634</v>
      </c>
      <c r="C81" s="538" t="s">
        <v>597</v>
      </c>
      <c r="D81" s="538" t="s">
        <v>218</v>
      </c>
      <c r="E81" s="538" t="s">
        <v>1109</v>
      </c>
      <c r="F81" s="538" t="s">
        <v>163</v>
      </c>
      <c r="G81" s="538" t="s">
        <v>250</v>
      </c>
      <c r="H81" s="538" t="s">
        <v>122</v>
      </c>
      <c r="J81" s="538" t="s">
        <v>2637</v>
      </c>
      <c r="K81" s="538" t="b">
        <v>0</v>
      </c>
      <c r="L81" s="538" t="b">
        <v>1</v>
      </c>
      <c r="M81" s="538" t="s">
        <v>79</v>
      </c>
      <c r="N81" s="538" t="s">
        <v>253</v>
      </c>
      <c r="O81" s="538" t="s">
        <v>73</v>
      </c>
      <c r="Q81" s="538" t="s">
        <v>79</v>
      </c>
      <c r="R81" s="538" t="s">
        <v>253</v>
      </c>
      <c r="S81" s="538" t="s">
        <v>79</v>
      </c>
      <c r="T81" s="538" t="s">
        <v>253</v>
      </c>
      <c r="U81" s="538" t="s">
        <v>79</v>
      </c>
      <c r="V81" s="538" t="s">
        <v>253</v>
      </c>
      <c r="W81" s="538" t="s">
        <v>79</v>
      </c>
      <c r="X81" s="538" t="s">
        <v>253</v>
      </c>
      <c r="Y81" s="538" t="s">
        <v>79</v>
      </c>
      <c r="Z81" s="538" t="s">
        <v>253</v>
      </c>
      <c r="AA81" s="538" t="s">
        <v>79</v>
      </c>
      <c r="AB81" s="538" t="s">
        <v>253</v>
      </c>
      <c r="AC81" s="538" t="s">
        <v>79</v>
      </c>
      <c r="AD81" s="538" t="s">
        <v>380</v>
      </c>
      <c r="AE81" s="538" t="s">
        <v>79</v>
      </c>
      <c r="AF81" s="538" t="s">
        <v>253</v>
      </c>
      <c r="AG81" s="538" t="s">
        <v>79</v>
      </c>
      <c r="AH81" s="538" t="s">
        <v>253</v>
      </c>
      <c r="AI81" s="538" t="s">
        <v>79</v>
      </c>
      <c r="AJ81" s="538" t="s">
        <v>253</v>
      </c>
      <c r="AK81" s="538" t="s">
        <v>79</v>
      </c>
      <c r="AL81" s="538" t="s">
        <v>218</v>
      </c>
      <c r="AM81" s="538" t="s">
        <v>79</v>
      </c>
      <c r="AN81" s="538" t="s">
        <v>218</v>
      </c>
      <c r="AO81" s="538">
        <v>1.414544656E9</v>
      </c>
      <c r="AP81" s="538">
        <v>4.0</v>
      </c>
      <c r="AQ81" s="538">
        <v>3.81412843E9</v>
      </c>
      <c r="AR81" s="538">
        <v>22.0</v>
      </c>
      <c r="AS81" s="538" t="s">
        <v>46</v>
      </c>
    </row>
    <row r="82" ht="22.5" customHeight="1">
      <c r="A82" s="538">
        <v>81.0</v>
      </c>
      <c r="B82" s="538" t="s">
        <v>2638</v>
      </c>
      <c r="C82" s="538" t="s">
        <v>597</v>
      </c>
      <c r="D82" s="538" t="s">
        <v>265</v>
      </c>
      <c r="E82" s="538" t="s">
        <v>354</v>
      </c>
      <c r="F82" s="538" t="s">
        <v>151</v>
      </c>
      <c r="G82" s="538" t="s">
        <v>250</v>
      </c>
      <c r="H82" s="538" t="s">
        <v>122</v>
      </c>
      <c r="J82" s="538" t="s">
        <v>2639</v>
      </c>
      <c r="K82" s="538" t="b">
        <v>0</v>
      </c>
      <c r="L82" s="538" t="b">
        <v>1</v>
      </c>
      <c r="M82" s="538" t="s">
        <v>79</v>
      </c>
      <c r="N82" s="538" t="s">
        <v>265</v>
      </c>
      <c r="O82" s="538" t="s">
        <v>79</v>
      </c>
      <c r="P82" s="538" t="s">
        <v>265</v>
      </c>
      <c r="Q82" s="538" t="s">
        <v>79</v>
      </c>
      <c r="R82" s="538" t="s">
        <v>265</v>
      </c>
      <c r="S82" s="538" t="s">
        <v>79</v>
      </c>
      <c r="T82" s="538" t="s">
        <v>265</v>
      </c>
      <c r="U82" s="538" t="s">
        <v>79</v>
      </c>
      <c r="V82" s="538" t="s">
        <v>265</v>
      </c>
      <c r="W82" s="538" t="s">
        <v>79</v>
      </c>
      <c r="X82" s="538" t="s">
        <v>265</v>
      </c>
      <c r="Y82" s="538" t="s">
        <v>79</v>
      </c>
      <c r="Z82" s="538" t="s">
        <v>265</v>
      </c>
      <c r="AA82" s="538" t="s">
        <v>79</v>
      </c>
      <c r="AB82" s="538" t="s">
        <v>265</v>
      </c>
      <c r="AC82" s="538" t="s">
        <v>79</v>
      </c>
      <c r="AD82" s="538" t="s">
        <v>265</v>
      </c>
      <c r="AE82" s="538" t="s">
        <v>79</v>
      </c>
      <c r="AF82" s="538" t="s">
        <v>265</v>
      </c>
      <c r="AG82" s="538" t="s">
        <v>79</v>
      </c>
      <c r="AH82" s="538" t="s">
        <v>265</v>
      </c>
      <c r="AI82" s="538" t="s">
        <v>79</v>
      </c>
      <c r="AJ82" s="538" t="s">
        <v>265</v>
      </c>
      <c r="AK82" s="538" t="s">
        <v>79</v>
      </c>
      <c r="AL82" s="538" t="s">
        <v>265</v>
      </c>
      <c r="AM82" s="538" t="s">
        <v>73</v>
      </c>
      <c r="AO82" s="538">
        <v>2.110771391E9</v>
      </c>
      <c r="AP82" s="538">
        <v>1.0</v>
      </c>
      <c r="AQ82" s="538">
        <v>1.338824773E9</v>
      </c>
      <c r="AR82" s="538">
        <v>23.0</v>
      </c>
      <c r="AS82" s="538" t="s">
        <v>46</v>
      </c>
    </row>
    <row r="83" ht="22.5" customHeight="1">
      <c r="A83" s="538">
        <v>82.0</v>
      </c>
      <c r="B83" s="538" t="s">
        <v>2638</v>
      </c>
      <c r="C83" s="538" t="s">
        <v>597</v>
      </c>
      <c r="D83" s="538" t="s">
        <v>268</v>
      </c>
      <c r="E83" s="538" t="s">
        <v>354</v>
      </c>
      <c r="F83" s="538" t="s">
        <v>151</v>
      </c>
      <c r="G83" s="538" t="s">
        <v>250</v>
      </c>
      <c r="H83" s="538" t="s">
        <v>122</v>
      </c>
      <c r="J83" s="538" t="s">
        <v>2640</v>
      </c>
      <c r="K83" s="538" t="b">
        <v>0</v>
      </c>
      <c r="L83" s="538" t="b">
        <v>1</v>
      </c>
      <c r="M83" s="538" t="s">
        <v>79</v>
      </c>
      <c r="N83" s="538" t="s">
        <v>268</v>
      </c>
      <c r="O83" s="538" t="s">
        <v>79</v>
      </c>
      <c r="P83" s="538" t="s">
        <v>268</v>
      </c>
      <c r="Q83" s="538" t="s">
        <v>79</v>
      </c>
      <c r="R83" s="538" t="s">
        <v>268</v>
      </c>
      <c r="S83" s="538" t="s">
        <v>79</v>
      </c>
      <c r="T83" s="538" t="s">
        <v>268</v>
      </c>
      <c r="U83" s="538" t="s">
        <v>79</v>
      </c>
      <c r="V83" s="538" t="s">
        <v>268</v>
      </c>
      <c r="W83" s="538" t="s">
        <v>79</v>
      </c>
      <c r="X83" s="538" t="s">
        <v>268</v>
      </c>
      <c r="Y83" s="538" t="s">
        <v>79</v>
      </c>
      <c r="Z83" s="538" t="s">
        <v>268</v>
      </c>
      <c r="AA83" s="538" t="s">
        <v>79</v>
      </c>
      <c r="AB83" s="538" t="s">
        <v>268</v>
      </c>
      <c r="AC83" s="538" t="s">
        <v>79</v>
      </c>
      <c r="AD83" s="538" t="s">
        <v>268</v>
      </c>
      <c r="AE83" s="538" t="s">
        <v>79</v>
      </c>
      <c r="AF83" s="538" t="s">
        <v>268</v>
      </c>
      <c r="AG83" s="538" t="s">
        <v>79</v>
      </c>
      <c r="AH83" s="538" t="s">
        <v>268</v>
      </c>
      <c r="AI83" s="538" t="s">
        <v>79</v>
      </c>
      <c r="AJ83" s="538" t="s">
        <v>268</v>
      </c>
      <c r="AK83" s="538" t="s">
        <v>79</v>
      </c>
      <c r="AL83" s="538" t="s">
        <v>268</v>
      </c>
      <c r="AM83" s="538" t="s">
        <v>73</v>
      </c>
      <c r="AO83" s="538">
        <v>3.172602248E9</v>
      </c>
      <c r="AP83" s="538">
        <v>2.0</v>
      </c>
      <c r="AQ83" s="538">
        <v>1.338824773E9</v>
      </c>
      <c r="AR83" s="538">
        <v>23.0</v>
      </c>
      <c r="AS83" s="538" t="s">
        <v>46</v>
      </c>
    </row>
    <row r="84" ht="22.5" customHeight="1">
      <c r="A84" s="538">
        <v>83.0</v>
      </c>
      <c r="B84" s="538" t="s">
        <v>2638</v>
      </c>
      <c r="C84" s="538" t="s">
        <v>597</v>
      </c>
      <c r="D84" s="538" t="s">
        <v>265</v>
      </c>
      <c r="E84" s="538" t="s">
        <v>321</v>
      </c>
      <c r="F84" s="538" t="s">
        <v>151</v>
      </c>
      <c r="G84" s="538" t="s">
        <v>250</v>
      </c>
      <c r="H84" s="538" t="s">
        <v>122</v>
      </c>
      <c r="J84" s="538" t="s">
        <v>2641</v>
      </c>
      <c r="K84" s="538" t="b">
        <v>0</v>
      </c>
      <c r="L84" s="538" t="b">
        <v>1</v>
      </c>
      <c r="M84" s="538" t="s">
        <v>79</v>
      </c>
      <c r="N84" s="538" t="s">
        <v>265</v>
      </c>
      <c r="O84" s="538" t="s">
        <v>79</v>
      </c>
      <c r="P84" s="538" t="s">
        <v>265</v>
      </c>
      <c r="Q84" s="538" t="s">
        <v>79</v>
      </c>
      <c r="R84" s="538" t="s">
        <v>265</v>
      </c>
      <c r="S84" s="538" t="s">
        <v>79</v>
      </c>
      <c r="T84" s="538" t="s">
        <v>265</v>
      </c>
      <c r="U84" s="538" t="s">
        <v>79</v>
      </c>
      <c r="V84" s="538" t="s">
        <v>265</v>
      </c>
      <c r="W84" s="538" t="s">
        <v>79</v>
      </c>
      <c r="X84" s="538" t="s">
        <v>265</v>
      </c>
      <c r="Y84" s="538" t="s">
        <v>79</v>
      </c>
      <c r="Z84" s="538" t="s">
        <v>265</v>
      </c>
      <c r="AA84" s="538" t="s">
        <v>79</v>
      </c>
      <c r="AB84" s="538" t="s">
        <v>265</v>
      </c>
      <c r="AC84" s="538" t="s">
        <v>79</v>
      </c>
      <c r="AD84" s="538" t="s">
        <v>265</v>
      </c>
      <c r="AE84" s="538" t="s">
        <v>79</v>
      </c>
      <c r="AF84" s="538" t="s">
        <v>265</v>
      </c>
      <c r="AG84" s="538" t="s">
        <v>79</v>
      </c>
      <c r="AH84" s="538" t="s">
        <v>265</v>
      </c>
      <c r="AI84" s="538" t="s">
        <v>79</v>
      </c>
      <c r="AJ84" s="538" t="s">
        <v>265</v>
      </c>
      <c r="AK84" s="538" t="s">
        <v>79</v>
      </c>
      <c r="AL84" s="538" t="s">
        <v>265</v>
      </c>
      <c r="AM84" s="538" t="s">
        <v>73</v>
      </c>
      <c r="AO84" s="538">
        <v>6.61693001E8</v>
      </c>
      <c r="AP84" s="538">
        <v>3.0</v>
      </c>
      <c r="AQ84" s="538">
        <v>1.338824773E9</v>
      </c>
      <c r="AR84" s="538">
        <v>23.0</v>
      </c>
      <c r="AS84" s="538" t="s">
        <v>46</v>
      </c>
    </row>
    <row r="85" ht="22.5" customHeight="1">
      <c r="A85" s="538">
        <v>84.0</v>
      </c>
      <c r="B85" s="538" t="s">
        <v>2638</v>
      </c>
      <c r="C85" s="538" t="s">
        <v>597</v>
      </c>
      <c r="D85" s="538" t="s">
        <v>280</v>
      </c>
      <c r="E85" s="538" t="s">
        <v>321</v>
      </c>
      <c r="F85" s="538" t="s">
        <v>151</v>
      </c>
      <c r="G85" s="538" t="s">
        <v>250</v>
      </c>
      <c r="H85" s="538" t="s">
        <v>122</v>
      </c>
      <c r="J85" s="538" t="s">
        <v>2642</v>
      </c>
      <c r="K85" s="538" t="b">
        <v>0</v>
      </c>
      <c r="L85" s="538" t="b">
        <v>1</v>
      </c>
      <c r="M85" s="538" t="s">
        <v>79</v>
      </c>
      <c r="N85" s="538" t="s">
        <v>321</v>
      </c>
      <c r="O85" s="538" t="s">
        <v>75</v>
      </c>
      <c r="P85" s="538" t="s">
        <v>1618</v>
      </c>
      <c r="Q85" s="538" t="s">
        <v>79</v>
      </c>
      <c r="R85" s="538" t="s">
        <v>321</v>
      </c>
      <c r="S85" s="538" t="s">
        <v>79</v>
      </c>
      <c r="T85" s="538" t="s">
        <v>321</v>
      </c>
      <c r="U85" s="538" t="s">
        <v>79</v>
      </c>
      <c r="V85" s="538" t="s">
        <v>321</v>
      </c>
      <c r="W85" s="538" t="s">
        <v>79</v>
      </c>
      <c r="X85" s="538" t="s">
        <v>321</v>
      </c>
      <c r="Y85" s="538" t="s">
        <v>79</v>
      </c>
      <c r="Z85" s="538" t="s">
        <v>321</v>
      </c>
      <c r="AA85" s="538" t="s">
        <v>79</v>
      </c>
      <c r="AB85" s="538" t="s">
        <v>321</v>
      </c>
      <c r="AC85" s="538" t="s">
        <v>79</v>
      </c>
      <c r="AD85" s="538" t="s">
        <v>321</v>
      </c>
      <c r="AE85" s="538" t="s">
        <v>79</v>
      </c>
      <c r="AF85" s="538" t="s">
        <v>321</v>
      </c>
      <c r="AG85" s="538" t="s">
        <v>79</v>
      </c>
      <c r="AH85" s="538" t="s">
        <v>321</v>
      </c>
      <c r="AI85" s="538" t="s">
        <v>79</v>
      </c>
      <c r="AJ85" s="538" t="s">
        <v>321</v>
      </c>
      <c r="AK85" s="538" t="s">
        <v>79</v>
      </c>
      <c r="AL85" s="538" t="s">
        <v>280</v>
      </c>
      <c r="AM85" s="538" t="s">
        <v>79</v>
      </c>
      <c r="AN85" s="538" t="s">
        <v>280</v>
      </c>
      <c r="AO85" s="538">
        <v>3.40304805E9</v>
      </c>
      <c r="AP85" s="538">
        <v>4.0</v>
      </c>
      <c r="AQ85" s="538">
        <v>1.338824773E9</v>
      </c>
      <c r="AR85" s="538">
        <v>23.0</v>
      </c>
      <c r="AS85" s="538" t="s">
        <v>46</v>
      </c>
      <c r="AV85" s="538" t="s">
        <v>1618</v>
      </c>
    </row>
    <row r="86" ht="22.5" customHeight="1">
      <c r="A86" s="538">
        <v>85.0</v>
      </c>
      <c r="B86" s="538" t="s">
        <v>2643</v>
      </c>
      <c r="C86" s="538" t="s">
        <v>597</v>
      </c>
      <c r="D86" s="538" t="s">
        <v>331</v>
      </c>
      <c r="E86" s="538" t="s">
        <v>2644</v>
      </c>
      <c r="F86" s="538" t="s">
        <v>151</v>
      </c>
      <c r="G86" s="538" t="s">
        <v>250</v>
      </c>
      <c r="H86" s="538" t="s">
        <v>155</v>
      </c>
      <c r="I86" s="538" t="s">
        <v>410</v>
      </c>
      <c r="J86" s="538" t="s">
        <v>2645</v>
      </c>
      <c r="K86" s="538" t="b">
        <v>0</v>
      </c>
      <c r="L86" s="538" t="b">
        <v>1</v>
      </c>
      <c r="M86" s="538" t="s">
        <v>79</v>
      </c>
      <c r="N86" s="538" t="s">
        <v>331</v>
      </c>
      <c r="O86" s="538" t="s">
        <v>79</v>
      </c>
      <c r="P86" s="538" t="s">
        <v>331</v>
      </c>
      <c r="Q86" s="538" t="s">
        <v>79</v>
      </c>
      <c r="R86" s="538" t="s">
        <v>331</v>
      </c>
      <c r="S86" s="538" t="s">
        <v>79</v>
      </c>
      <c r="T86" s="538" t="s">
        <v>331</v>
      </c>
      <c r="U86" s="538" t="s">
        <v>79</v>
      </c>
      <c r="V86" s="538" t="s">
        <v>331</v>
      </c>
      <c r="W86" s="538" t="s">
        <v>79</v>
      </c>
      <c r="X86" s="538" t="s">
        <v>331</v>
      </c>
      <c r="Y86" s="538" t="s">
        <v>79</v>
      </c>
      <c r="Z86" s="538" t="s">
        <v>331</v>
      </c>
      <c r="AA86" s="538" t="s">
        <v>79</v>
      </c>
      <c r="AB86" s="538" t="s">
        <v>331</v>
      </c>
      <c r="AC86" s="538" t="s">
        <v>79</v>
      </c>
      <c r="AD86" s="538" t="s">
        <v>331</v>
      </c>
      <c r="AE86" s="538" t="s">
        <v>79</v>
      </c>
      <c r="AF86" s="538" t="s">
        <v>331</v>
      </c>
      <c r="AG86" s="538" t="s">
        <v>79</v>
      </c>
      <c r="AH86" s="538" t="s">
        <v>331</v>
      </c>
      <c r="AI86" s="538" t="s">
        <v>79</v>
      </c>
      <c r="AJ86" s="538" t="s">
        <v>331</v>
      </c>
      <c r="AK86" s="538" t="s">
        <v>79</v>
      </c>
      <c r="AL86" s="538" t="s">
        <v>331</v>
      </c>
      <c r="AM86" s="538" t="s">
        <v>73</v>
      </c>
      <c r="AO86" s="538">
        <v>3.267449737E9</v>
      </c>
      <c r="AP86" s="538">
        <v>1.0</v>
      </c>
      <c r="AQ86" s="538">
        <v>7.47823611E8</v>
      </c>
      <c r="AR86" s="538">
        <v>24.0</v>
      </c>
      <c r="AS86" s="538" t="s">
        <v>46</v>
      </c>
    </row>
    <row r="87" ht="22.5" customHeight="1">
      <c r="A87" s="538">
        <v>86.0</v>
      </c>
      <c r="B87" s="538" t="s">
        <v>2643</v>
      </c>
      <c r="C87" s="538" t="s">
        <v>597</v>
      </c>
      <c r="D87" s="538" t="s">
        <v>265</v>
      </c>
      <c r="F87" s="538" t="s">
        <v>151</v>
      </c>
      <c r="G87" s="538" t="s">
        <v>250</v>
      </c>
      <c r="H87" s="538" t="s">
        <v>122</v>
      </c>
      <c r="J87" s="538" t="s">
        <v>2563</v>
      </c>
      <c r="K87" s="538" t="b">
        <v>0</v>
      </c>
      <c r="L87" s="538" t="b">
        <v>1</v>
      </c>
      <c r="M87" s="538" t="s">
        <v>79</v>
      </c>
      <c r="N87" s="538" t="s">
        <v>265</v>
      </c>
      <c r="O87" s="538" t="s">
        <v>79</v>
      </c>
      <c r="P87" s="538" t="s">
        <v>265</v>
      </c>
      <c r="Q87" s="538" t="s">
        <v>79</v>
      </c>
      <c r="R87" s="538" t="s">
        <v>265</v>
      </c>
      <c r="S87" s="538" t="s">
        <v>79</v>
      </c>
      <c r="T87" s="538" t="s">
        <v>265</v>
      </c>
      <c r="U87" s="538" t="s">
        <v>79</v>
      </c>
      <c r="V87" s="538" t="s">
        <v>265</v>
      </c>
      <c r="W87" s="538" t="s">
        <v>79</v>
      </c>
      <c r="X87" s="538" t="s">
        <v>265</v>
      </c>
      <c r="Y87" s="538" t="s">
        <v>79</v>
      </c>
      <c r="Z87" s="538" t="s">
        <v>265</v>
      </c>
      <c r="AA87" s="538" t="s">
        <v>79</v>
      </c>
      <c r="AB87" s="538" t="s">
        <v>265</v>
      </c>
      <c r="AC87" s="538" t="s">
        <v>79</v>
      </c>
      <c r="AD87" s="538" t="s">
        <v>265</v>
      </c>
      <c r="AE87" s="538" t="s">
        <v>79</v>
      </c>
      <c r="AF87" s="538" t="s">
        <v>265</v>
      </c>
      <c r="AG87" s="538" t="s">
        <v>79</v>
      </c>
      <c r="AH87" s="538" t="s">
        <v>265</v>
      </c>
      <c r="AI87" s="538" t="s">
        <v>79</v>
      </c>
      <c r="AJ87" s="538" t="s">
        <v>265</v>
      </c>
      <c r="AK87" s="538" t="s">
        <v>79</v>
      </c>
      <c r="AL87" s="538" t="s">
        <v>265</v>
      </c>
      <c r="AM87" s="538" t="s">
        <v>73</v>
      </c>
      <c r="AO87" s="538">
        <v>2.678400751E9</v>
      </c>
      <c r="AP87" s="538">
        <v>2.0</v>
      </c>
      <c r="AQ87" s="538">
        <v>7.47823611E8</v>
      </c>
      <c r="AR87" s="538">
        <v>24.0</v>
      </c>
      <c r="AS87" s="538" t="s">
        <v>46</v>
      </c>
    </row>
    <row r="88" ht="22.5" customHeight="1">
      <c r="A88" s="538">
        <v>87.0</v>
      </c>
      <c r="B88" s="538" t="s">
        <v>2643</v>
      </c>
      <c r="C88" s="538" t="s">
        <v>597</v>
      </c>
      <c r="D88" s="538" t="s">
        <v>331</v>
      </c>
      <c r="F88" s="538" t="s">
        <v>151</v>
      </c>
      <c r="G88" s="538" t="s">
        <v>250</v>
      </c>
      <c r="H88" s="538" t="s">
        <v>122</v>
      </c>
      <c r="I88" s="538" t="s">
        <v>2564</v>
      </c>
      <c r="J88" s="538" t="s">
        <v>2646</v>
      </c>
      <c r="K88" s="538" t="b">
        <v>0</v>
      </c>
      <c r="L88" s="538" t="b">
        <v>1</v>
      </c>
      <c r="M88" s="538" t="s">
        <v>79</v>
      </c>
      <c r="N88" s="538" t="s">
        <v>331</v>
      </c>
      <c r="O88" s="538" t="s">
        <v>79</v>
      </c>
      <c r="P88" s="538" t="s">
        <v>331</v>
      </c>
      <c r="Q88" s="538" t="s">
        <v>79</v>
      </c>
      <c r="R88" s="538" t="s">
        <v>331</v>
      </c>
      <c r="S88" s="538" t="s">
        <v>79</v>
      </c>
      <c r="T88" s="538" t="s">
        <v>331</v>
      </c>
      <c r="U88" s="538" t="s">
        <v>79</v>
      </c>
      <c r="V88" s="538" t="s">
        <v>331</v>
      </c>
      <c r="W88" s="538" t="s">
        <v>79</v>
      </c>
      <c r="X88" s="538" t="s">
        <v>331</v>
      </c>
      <c r="Y88" s="538" t="s">
        <v>79</v>
      </c>
      <c r="Z88" s="538" t="s">
        <v>331</v>
      </c>
      <c r="AA88" s="538" t="s">
        <v>79</v>
      </c>
      <c r="AB88" s="538" t="s">
        <v>331</v>
      </c>
      <c r="AC88" s="538" t="s">
        <v>79</v>
      </c>
      <c r="AD88" s="538" t="s">
        <v>331</v>
      </c>
      <c r="AE88" s="538" t="s">
        <v>79</v>
      </c>
      <c r="AF88" s="538" t="s">
        <v>331</v>
      </c>
      <c r="AG88" s="538" t="s">
        <v>79</v>
      </c>
      <c r="AH88" s="538" t="s">
        <v>331</v>
      </c>
      <c r="AI88" s="538" t="s">
        <v>79</v>
      </c>
      <c r="AJ88" s="538" t="s">
        <v>331</v>
      </c>
      <c r="AK88" s="538" t="s">
        <v>79</v>
      </c>
      <c r="AL88" s="538" t="s">
        <v>331</v>
      </c>
      <c r="AM88" s="538" t="s">
        <v>73</v>
      </c>
      <c r="AO88" s="538">
        <v>6.64027699E8</v>
      </c>
      <c r="AP88" s="538">
        <v>3.0</v>
      </c>
      <c r="AQ88" s="538">
        <v>7.47823611E8</v>
      </c>
      <c r="AR88" s="538">
        <v>24.0</v>
      </c>
      <c r="AS88" s="538" t="s">
        <v>46</v>
      </c>
    </row>
    <row r="89" ht="22.5" customHeight="1">
      <c r="A89" s="538">
        <v>88.0</v>
      </c>
      <c r="B89" s="538" t="s">
        <v>2643</v>
      </c>
      <c r="C89" s="538" t="s">
        <v>597</v>
      </c>
      <c r="D89" s="538" t="s">
        <v>268</v>
      </c>
      <c r="F89" s="538" t="s">
        <v>151</v>
      </c>
      <c r="G89" s="538" t="s">
        <v>250</v>
      </c>
      <c r="H89" s="538" t="s">
        <v>122</v>
      </c>
      <c r="J89" s="538" t="s">
        <v>2537</v>
      </c>
      <c r="K89" s="538" t="b">
        <v>0</v>
      </c>
      <c r="L89" s="538" t="b">
        <v>1</v>
      </c>
      <c r="M89" s="538" t="s">
        <v>79</v>
      </c>
      <c r="N89" s="538" t="s">
        <v>268</v>
      </c>
      <c r="O89" s="538" t="s">
        <v>79</v>
      </c>
      <c r="P89" s="538" t="s">
        <v>268</v>
      </c>
      <c r="Q89" s="538" t="s">
        <v>79</v>
      </c>
      <c r="R89" s="538" t="s">
        <v>268</v>
      </c>
      <c r="S89" s="538" t="s">
        <v>79</v>
      </c>
      <c r="T89" s="538" t="s">
        <v>268</v>
      </c>
      <c r="U89" s="538" t="s">
        <v>79</v>
      </c>
      <c r="V89" s="538" t="s">
        <v>268</v>
      </c>
      <c r="W89" s="538" t="s">
        <v>79</v>
      </c>
      <c r="X89" s="538" t="s">
        <v>268</v>
      </c>
      <c r="Y89" s="538" t="s">
        <v>79</v>
      </c>
      <c r="Z89" s="538" t="s">
        <v>268</v>
      </c>
      <c r="AA89" s="538" t="s">
        <v>79</v>
      </c>
      <c r="AB89" s="538" t="s">
        <v>268</v>
      </c>
      <c r="AC89" s="538" t="s">
        <v>79</v>
      </c>
      <c r="AD89" s="538" t="s">
        <v>268</v>
      </c>
      <c r="AE89" s="538" t="s">
        <v>79</v>
      </c>
      <c r="AF89" s="538" t="s">
        <v>268</v>
      </c>
      <c r="AG89" s="538" t="s">
        <v>79</v>
      </c>
      <c r="AH89" s="538" t="s">
        <v>268</v>
      </c>
      <c r="AI89" s="538" t="s">
        <v>79</v>
      </c>
      <c r="AJ89" s="538" t="s">
        <v>268</v>
      </c>
      <c r="AK89" s="538" t="s">
        <v>79</v>
      </c>
      <c r="AL89" s="538" t="s">
        <v>268</v>
      </c>
      <c r="AM89" s="538" t="s">
        <v>73</v>
      </c>
      <c r="AO89" s="538">
        <v>3.282052048E9</v>
      </c>
      <c r="AP89" s="538">
        <v>4.0</v>
      </c>
      <c r="AQ89" s="538">
        <v>7.47823611E8</v>
      </c>
      <c r="AR89" s="538">
        <v>24.0</v>
      </c>
      <c r="AS89" s="538" t="s">
        <v>46</v>
      </c>
    </row>
    <row r="90" ht="22.5" customHeight="1">
      <c r="A90" s="538">
        <v>89.0</v>
      </c>
      <c r="B90" s="538" t="s">
        <v>2647</v>
      </c>
      <c r="C90" s="538" t="s">
        <v>597</v>
      </c>
      <c r="D90" s="538" t="s">
        <v>2648</v>
      </c>
      <c r="E90" s="538" t="s">
        <v>2649</v>
      </c>
      <c r="F90" s="538" t="s">
        <v>151</v>
      </c>
      <c r="G90" s="538" t="s">
        <v>250</v>
      </c>
      <c r="H90" s="538" t="s">
        <v>122</v>
      </c>
      <c r="J90" s="538" t="s">
        <v>2650</v>
      </c>
      <c r="K90" s="538" t="b">
        <v>0</v>
      </c>
      <c r="L90" s="538" t="b">
        <v>1</v>
      </c>
      <c r="M90" s="538" t="s">
        <v>79</v>
      </c>
      <c r="N90" s="538" t="s">
        <v>2648</v>
      </c>
      <c r="O90" s="538" t="s">
        <v>79</v>
      </c>
      <c r="P90" s="538" t="s">
        <v>2648</v>
      </c>
      <c r="Q90" s="538" t="s">
        <v>75</v>
      </c>
      <c r="R90" s="538" t="s">
        <v>1878</v>
      </c>
      <c r="S90" s="538" t="s">
        <v>79</v>
      </c>
      <c r="T90" s="538" t="s">
        <v>2648</v>
      </c>
      <c r="U90" s="538" t="s">
        <v>79</v>
      </c>
      <c r="V90" s="538" t="s">
        <v>2648</v>
      </c>
      <c r="W90" s="538" t="s">
        <v>79</v>
      </c>
      <c r="X90" s="538" t="s">
        <v>2648</v>
      </c>
      <c r="Y90" s="538" t="s">
        <v>79</v>
      </c>
      <c r="Z90" s="538" t="s">
        <v>2648</v>
      </c>
      <c r="AA90" s="538" t="s">
        <v>79</v>
      </c>
      <c r="AB90" s="538" t="s">
        <v>2648</v>
      </c>
      <c r="AC90" s="538" t="s">
        <v>79</v>
      </c>
      <c r="AD90" s="538" t="s">
        <v>2648</v>
      </c>
      <c r="AE90" s="538" t="s">
        <v>79</v>
      </c>
      <c r="AF90" s="538" t="s">
        <v>2648</v>
      </c>
      <c r="AG90" s="538" t="s">
        <v>79</v>
      </c>
      <c r="AH90" s="538" t="s">
        <v>2648</v>
      </c>
      <c r="AI90" s="538" t="s">
        <v>79</v>
      </c>
      <c r="AJ90" s="538" t="s">
        <v>2648</v>
      </c>
      <c r="AK90" s="538" t="s">
        <v>73</v>
      </c>
      <c r="AM90" s="538" t="s">
        <v>79</v>
      </c>
      <c r="AN90" s="538" t="s">
        <v>2648</v>
      </c>
      <c r="AO90" s="538">
        <v>1.735745109E9</v>
      </c>
      <c r="AP90" s="538">
        <v>1.0</v>
      </c>
      <c r="AQ90" s="538">
        <v>1.451787875E9</v>
      </c>
      <c r="AR90" s="538">
        <v>25.0</v>
      </c>
      <c r="AS90" s="538" t="s">
        <v>46</v>
      </c>
      <c r="AV90" s="538" t="s">
        <v>2648</v>
      </c>
    </row>
    <row r="91" ht="22.5" customHeight="1">
      <c r="A91" s="538">
        <v>90.0</v>
      </c>
      <c r="B91" s="538" t="s">
        <v>2647</v>
      </c>
      <c r="C91" s="538" t="s">
        <v>597</v>
      </c>
      <c r="D91" s="538" t="s">
        <v>223</v>
      </c>
      <c r="E91" s="538" t="s">
        <v>2651</v>
      </c>
      <c r="F91" s="538" t="s">
        <v>163</v>
      </c>
      <c r="G91" s="538" t="s">
        <v>250</v>
      </c>
      <c r="H91" s="538" t="s">
        <v>122</v>
      </c>
      <c r="J91" s="538" t="s">
        <v>2652</v>
      </c>
      <c r="K91" s="538" t="b">
        <v>0</v>
      </c>
      <c r="L91" s="538" t="b">
        <v>1</v>
      </c>
      <c r="M91" s="538" t="s">
        <v>79</v>
      </c>
      <c r="N91" s="538" t="s">
        <v>2651</v>
      </c>
      <c r="O91" s="538" t="s">
        <v>79</v>
      </c>
      <c r="P91" s="538" t="s">
        <v>2651</v>
      </c>
      <c r="Q91" s="538" t="s">
        <v>73</v>
      </c>
      <c r="S91" s="538" t="s">
        <v>73</v>
      </c>
      <c r="U91" s="538" t="s">
        <v>79</v>
      </c>
      <c r="V91" s="538" t="s">
        <v>2651</v>
      </c>
      <c r="W91" s="538" t="s">
        <v>73</v>
      </c>
      <c r="Y91" s="538" t="s">
        <v>79</v>
      </c>
      <c r="Z91" s="538" t="s">
        <v>2651</v>
      </c>
      <c r="AA91" s="538" t="s">
        <v>79</v>
      </c>
      <c r="AB91" s="538" t="s">
        <v>2651</v>
      </c>
      <c r="AC91" s="538" t="s">
        <v>79</v>
      </c>
      <c r="AD91" s="538" t="s">
        <v>2651</v>
      </c>
      <c r="AE91" s="538" t="s">
        <v>79</v>
      </c>
      <c r="AF91" s="538" t="s">
        <v>2651</v>
      </c>
      <c r="AG91" s="538" t="s">
        <v>79</v>
      </c>
      <c r="AH91" s="538" t="s">
        <v>2651</v>
      </c>
      <c r="AI91" s="538" t="s">
        <v>79</v>
      </c>
      <c r="AJ91" s="538" t="s">
        <v>2651</v>
      </c>
      <c r="AK91" s="538" t="s">
        <v>79</v>
      </c>
      <c r="AL91" s="538" t="s">
        <v>223</v>
      </c>
      <c r="AM91" s="538" t="s">
        <v>79</v>
      </c>
      <c r="AN91" s="538" t="s">
        <v>223</v>
      </c>
      <c r="AO91" s="538">
        <v>2.240827992E9</v>
      </c>
      <c r="AP91" s="538">
        <v>2.0</v>
      </c>
      <c r="AQ91" s="538">
        <v>1.451787875E9</v>
      </c>
      <c r="AR91" s="538">
        <v>25.0</v>
      </c>
      <c r="AS91" s="538" t="s">
        <v>46</v>
      </c>
    </row>
    <row r="92" ht="22.5" customHeight="1">
      <c r="A92" s="538">
        <v>91.0</v>
      </c>
      <c r="B92" s="538" t="s">
        <v>2647</v>
      </c>
      <c r="C92" s="538" t="s">
        <v>597</v>
      </c>
      <c r="D92" s="538" t="s">
        <v>295</v>
      </c>
      <c r="E92" s="538" t="s">
        <v>2653</v>
      </c>
      <c r="F92" s="538" t="s">
        <v>163</v>
      </c>
      <c r="G92" s="538" t="s">
        <v>250</v>
      </c>
      <c r="H92" s="538" t="s">
        <v>155</v>
      </c>
      <c r="J92" s="538" t="s">
        <v>2654</v>
      </c>
      <c r="K92" s="538" t="b">
        <v>0</v>
      </c>
      <c r="L92" s="538" t="b">
        <v>1</v>
      </c>
      <c r="M92" s="538" t="s">
        <v>79</v>
      </c>
      <c r="N92" s="538" t="s">
        <v>2653</v>
      </c>
      <c r="O92" s="538" t="s">
        <v>79</v>
      </c>
      <c r="P92" s="538" t="s">
        <v>2653</v>
      </c>
      <c r="Q92" s="538" t="s">
        <v>79</v>
      </c>
      <c r="R92" s="538" t="s">
        <v>2649</v>
      </c>
      <c r="S92" s="538" t="s">
        <v>79</v>
      </c>
      <c r="T92" s="538" t="s">
        <v>2649</v>
      </c>
      <c r="U92" s="538" t="s">
        <v>79</v>
      </c>
      <c r="V92" s="538" t="s">
        <v>2653</v>
      </c>
      <c r="W92" s="538" t="s">
        <v>79</v>
      </c>
      <c r="X92" s="538" t="s">
        <v>2649</v>
      </c>
      <c r="Y92" s="538" t="s">
        <v>79</v>
      </c>
      <c r="Z92" s="538" t="s">
        <v>2653</v>
      </c>
      <c r="AA92" s="538" t="s">
        <v>79</v>
      </c>
      <c r="AB92" s="538" t="s">
        <v>2653</v>
      </c>
      <c r="AC92" s="538" t="s">
        <v>79</v>
      </c>
      <c r="AD92" s="538" t="s">
        <v>2653</v>
      </c>
      <c r="AE92" s="538" t="s">
        <v>79</v>
      </c>
      <c r="AF92" s="538" t="s">
        <v>2653</v>
      </c>
      <c r="AG92" s="538" t="s">
        <v>79</v>
      </c>
      <c r="AH92" s="538" t="s">
        <v>2653</v>
      </c>
      <c r="AI92" s="538" t="s">
        <v>79</v>
      </c>
      <c r="AJ92" s="538" t="s">
        <v>2653</v>
      </c>
      <c r="AK92" s="538" t="s">
        <v>79</v>
      </c>
      <c r="AL92" s="538" t="s">
        <v>295</v>
      </c>
      <c r="AM92" s="538" t="s">
        <v>79</v>
      </c>
      <c r="AN92" s="538" t="s">
        <v>295</v>
      </c>
      <c r="AO92" s="538">
        <v>2.989555928E9</v>
      </c>
      <c r="AP92" s="538">
        <v>3.0</v>
      </c>
      <c r="AQ92" s="538">
        <v>1.451787875E9</v>
      </c>
      <c r="AR92" s="538">
        <v>25.0</v>
      </c>
      <c r="AS92" s="538" t="s">
        <v>46</v>
      </c>
    </row>
    <row r="93" ht="22.5" customHeight="1">
      <c r="A93" s="538">
        <v>92.0</v>
      </c>
      <c r="B93" s="538" t="s">
        <v>2647</v>
      </c>
      <c r="C93" s="538" t="s">
        <v>597</v>
      </c>
      <c r="D93" s="538" t="s">
        <v>265</v>
      </c>
      <c r="F93" s="538" t="s">
        <v>151</v>
      </c>
      <c r="G93" s="538" t="s">
        <v>250</v>
      </c>
      <c r="H93" s="538" t="s">
        <v>122</v>
      </c>
      <c r="J93" s="538" t="s">
        <v>2563</v>
      </c>
      <c r="K93" s="538" t="b">
        <v>0</v>
      </c>
      <c r="L93" s="538" t="b">
        <v>1</v>
      </c>
      <c r="M93" s="538" t="s">
        <v>79</v>
      </c>
      <c r="N93" s="538" t="s">
        <v>265</v>
      </c>
      <c r="O93" s="538" t="s">
        <v>79</v>
      </c>
      <c r="P93" s="538" t="s">
        <v>265</v>
      </c>
      <c r="Q93" s="538" t="s">
        <v>79</v>
      </c>
      <c r="R93" s="538" t="s">
        <v>265</v>
      </c>
      <c r="S93" s="538" t="s">
        <v>79</v>
      </c>
      <c r="T93" s="538" t="s">
        <v>265</v>
      </c>
      <c r="U93" s="538" t="s">
        <v>79</v>
      </c>
      <c r="V93" s="538" t="s">
        <v>265</v>
      </c>
      <c r="W93" s="538" t="s">
        <v>79</v>
      </c>
      <c r="X93" s="538" t="s">
        <v>265</v>
      </c>
      <c r="Y93" s="538" t="s">
        <v>79</v>
      </c>
      <c r="Z93" s="538" t="s">
        <v>265</v>
      </c>
      <c r="AA93" s="538" t="s">
        <v>79</v>
      </c>
      <c r="AB93" s="538" t="s">
        <v>265</v>
      </c>
      <c r="AC93" s="538" t="s">
        <v>79</v>
      </c>
      <c r="AD93" s="538" t="s">
        <v>265</v>
      </c>
      <c r="AE93" s="538" t="s">
        <v>79</v>
      </c>
      <c r="AF93" s="538" t="s">
        <v>265</v>
      </c>
      <c r="AG93" s="538" t="s">
        <v>79</v>
      </c>
      <c r="AH93" s="538" t="s">
        <v>265</v>
      </c>
      <c r="AI93" s="538" t="s">
        <v>79</v>
      </c>
      <c r="AJ93" s="538" t="s">
        <v>265</v>
      </c>
      <c r="AK93" s="538" t="s">
        <v>79</v>
      </c>
      <c r="AL93" s="538" t="s">
        <v>265</v>
      </c>
      <c r="AM93" s="538" t="s">
        <v>73</v>
      </c>
      <c r="AO93" s="538">
        <v>6.21479544E8</v>
      </c>
      <c r="AP93" s="538">
        <v>4.0</v>
      </c>
      <c r="AQ93" s="538">
        <v>1.451787875E9</v>
      </c>
      <c r="AR93" s="538">
        <v>25.0</v>
      </c>
      <c r="AS93" s="538" t="s">
        <v>46</v>
      </c>
    </row>
    <row r="94" ht="22.5" customHeight="1">
      <c r="A94" s="538">
        <v>93.0</v>
      </c>
      <c r="B94" s="538" t="s">
        <v>2655</v>
      </c>
      <c r="C94" s="538" t="s">
        <v>597</v>
      </c>
      <c r="D94" s="538" t="s">
        <v>231</v>
      </c>
      <c r="E94" s="538" t="s">
        <v>2656</v>
      </c>
      <c r="F94" s="538" t="s">
        <v>163</v>
      </c>
      <c r="G94" s="538" t="s">
        <v>250</v>
      </c>
      <c r="H94" s="538" t="s">
        <v>122</v>
      </c>
      <c r="J94" s="538" t="s">
        <v>2657</v>
      </c>
      <c r="K94" s="538" t="b">
        <v>0</v>
      </c>
      <c r="L94" s="538" t="b">
        <v>1</v>
      </c>
      <c r="M94" s="538" t="s">
        <v>79</v>
      </c>
      <c r="N94" s="538" t="s">
        <v>2651</v>
      </c>
      <c r="O94" s="538" t="s">
        <v>79</v>
      </c>
      <c r="P94" s="538" t="s">
        <v>2651</v>
      </c>
      <c r="Q94" s="538" t="s">
        <v>73</v>
      </c>
      <c r="S94" s="538" t="s">
        <v>73</v>
      </c>
      <c r="U94" s="538" t="s">
        <v>79</v>
      </c>
      <c r="V94" s="538" t="s">
        <v>2651</v>
      </c>
      <c r="W94" s="538" t="s">
        <v>73</v>
      </c>
      <c r="Y94" s="538" t="s">
        <v>79</v>
      </c>
      <c r="Z94" s="538" t="s">
        <v>377</v>
      </c>
      <c r="AA94" s="538" t="s">
        <v>79</v>
      </c>
      <c r="AB94" s="538" t="s">
        <v>377</v>
      </c>
      <c r="AC94" s="538" t="s">
        <v>79</v>
      </c>
      <c r="AD94" s="538" t="s">
        <v>2651</v>
      </c>
      <c r="AE94" s="538" t="s">
        <v>79</v>
      </c>
      <c r="AF94" s="538" t="s">
        <v>377</v>
      </c>
      <c r="AG94" s="538" t="s">
        <v>79</v>
      </c>
      <c r="AH94" s="538" t="s">
        <v>2651</v>
      </c>
      <c r="AI94" s="538" t="s">
        <v>79</v>
      </c>
      <c r="AJ94" s="538" t="s">
        <v>2651</v>
      </c>
      <c r="AK94" s="538" t="s">
        <v>79</v>
      </c>
      <c r="AL94" s="538" t="s">
        <v>231</v>
      </c>
      <c r="AM94" s="538" t="s">
        <v>79</v>
      </c>
      <c r="AN94" s="538" t="s">
        <v>231</v>
      </c>
      <c r="AO94" s="538">
        <v>6.44824909E8</v>
      </c>
      <c r="AP94" s="538">
        <v>1.0</v>
      </c>
      <c r="AQ94" s="538">
        <v>1.003489828E9</v>
      </c>
      <c r="AR94" s="538">
        <v>26.0</v>
      </c>
      <c r="AS94" s="538" t="s">
        <v>47</v>
      </c>
    </row>
    <row r="95" ht="22.5" customHeight="1">
      <c r="A95" s="538">
        <v>94.0</v>
      </c>
      <c r="B95" s="538" t="s">
        <v>2655</v>
      </c>
      <c r="C95" s="538" t="s">
        <v>597</v>
      </c>
      <c r="D95" s="538" t="s">
        <v>277</v>
      </c>
      <c r="F95" s="538" t="s">
        <v>151</v>
      </c>
      <c r="G95" s="538" t="s">
        <v>250</v>
      </c>
      <c r="H95" s="538" t="s">
        <v>122</v>
      </c>
      <c r="J95" s="538" t="s">
        <v>2658</v>
      </c>
      <c r="K95" s="538" t="b">
        <v>0</v>
      </c>
      <c r="L95" s="538" t="b">
        <v>1</v>
      </c>
      <c r="M95" s="538" t="s">
        <v>79</v>
      </c>
      <c r="N95" s="538" t="s">
        <v>277</v>
      </c>
      <c r="O95" s="538" t="s">
        <v>79</v>
      </c>
      <c r="P95" s="538" t="s">
        <v>277</v>
      </c>
      <c r="Q95" s="538" t="s">
        <v>73</v>
      </c>
      <c r="S95" s="538" t="s">
        <v>79</v>
      </c>
      <c r="T95" s="538" t="s">
        <v>277</v>
      </c>
      <c r="U95" s="538" t="s">
        <v>79</v>
      </c>
      <c r="V95" s="538" t="s">
        <v>277</v>
      </c>
      <c r="W95" s="538" t="s">
        <v>79</v>
      </c>
      <c r="X95" s="538" t="s">
        <v>277</v>
      </c>
      <c r="Y95" s="538" t="s">
        <v>73</v>
      </c>
      <c r="AA95" s="538" t="s">
        <v>73</v>
      </c>
      <c r="AC95" s="538" t="s">
        <v>79</v>
      </c>
      <c r="AD95" s="538" t="s">
        <v>277</v>
      </c>
      <c r="AE95" s="538" t="s">
        <v>73</v>
      </c>
      <c r="AG95" s="538" t="s">
        <v>73</v>
      </c>
      <c r="AI95" s="538" t="s">
        <v>73</v>
      </c>
      <c r="AK95" s="538" t="s">
        <v>73</v>
      </c>
      <c r="AM95" s="538" t="s">
        <v>79</v>
      </c>
      <c r="AN95" s="538" t="s">
        <v>277</v>
      </c>
      <c r="AO95" s="538">
        <v>1.008532221E9</v>
      </c>
      <c r="AP95" s="538">
        <v>2.0</v>
      </c>
      <c r="AQ95" s="538">
        <v>1.003489828E9</v>
      </c>
      <c r="AR95" s="538">
        <v>26.0</v>
      </c>
      <c r="AS95" s="538" t="s">
        <v>47</v>
      </c>
    </row>
    <row r="96" ht="22.5" customHeight="1">
      <c r="A96" s="538">
        <v>95.0</v>
      </c>
      <c r="B96" s="538" t="s">
        <v>2655</v>
      </c>
      <c r="C96" s="538" t="s">
        <v>597</v>
      </c>
      <c r="D96" s="538" t="s">
        <v>295</v>
      </c>
      <c r="E96" s="538" t="s">
        <v>2656</v>
      </c>
      <c r="F96" s="538" t="s">
        <v>163</v>
      </c>
      <c r="G96" s="538" t="s">
        <v>250</v>
      </c>
      <c r="H96" s="538" t="s">
        <v>122</v>
      </c>
      <c r="J96" s="538" t="s">
        <v>2575</v>
      </c>
      <c r="K96" s="538" t="b">
        <v>0</v>
      </c>
      <c r="L96" s="538" t="b">
        <v>1</v>
      </c>
      <c r="M96" s="538" t="s">
        <v>79</v>
      </c>
      <c r="N96" s="538" t="s">
        <v>2651</v>
      </c>
      <c r="O96" s="538" t="s">
        <v>79</v>
      </c>
      <c r="P96" s="538" t="s">
        <v>2651</v>
      </c>
      <c r="Q96" s="538" t="s">
        <v>73</v>
      </c>
      <c r="S96" s="538" t="s">
        <v>73</v>
      </c>
      <c r="U96" s="538" t="s">
        <v>79</v>
      </c>
      <c r="V96" s="538" t="s">
        <v>2651</v>
      </c>
      <c r="W96" s="538" t="s">
        <v>73</v>
      </c>
      <c r="Y96" s="538" t="s">
        <v>79</v>
      </c>
      <c r="Z96" s="538" t="s">
        <v>377</v>
      </c>
      <c r="AA96" s="538" t="s">
        <v>79</v>
      </c>
      <c r="AB96" s="538" t="s">
        <v>377</v>
      </c>
      <c r="AC96" s="538" t="s">
        <v>79</v>
      </c>
      <c r="AD96" s="538" t="s">
        <v>2651</v>
      </c>
      <c r="AE96" s="538" t="s">
        <v>79</v>
      </c>
      <c r="AF96" s="538" t="s">
        <v>377</v>
      </c>
      <c r="AG96" s="538" t="s">
        <v>79</v>
      </c>
      <c r="AH96" s="538" t="s">
        <v>2651</v>
      </c>
      <c r="AI96" s="538" t="s">
        <v>79</v>
      </c>
      <c r="AJ96" s="538" t="s">
        <v>2651</v>
      </c>
      <c r="AK96" s="538" t="s">
        <v>79</v>
      </c>
      <c r="AL96" s="538" t="s">
        <v>295</v>
      </c>
      <c r="AM96" s="538" t="s">
        <v>79</v>
      </c>
      <c r="AN96" s="538" t="s">
        <v>295</v>
      </c>
      <c r="AO96" s="538">
        <v>1.603016538E9</v>
      </c>
      <c r="AP96" s="538">
        <v>3.0</v>
      </c>
      <c r="AQ96" s="538">
        <v>1.003489828E9</v>
      </c>
      <c r="AR96" s="538">
        <v>26.0</v>
      </c>
      <c r="AS96" s="538" t="s">
        <v>47</v>
      </c>
    </row>
    <row r="97" ht="22.5" customHeight="1">
      <c r="A97" s="538">
        <v>96.0</v>
      </c>
      <c r="B97" s="538" t="s">
        <v>2655</v>
      </c>
      <c r="C97" s="538" t="s">
        <v>597</v>
      </c>
      <c r="D97" s="538" t="s">
        <v>322</v>
      </c>
      <c r="E97" s="538" t="s">
        <v>2656</v>
      </c>
      <c r="F97" s="538" t="s">
        <v>163</v>
      </c>
      <c r="G97" s="538" t="s">
        <v>250</v>
      </c>
      <c r="H97" s="538" t="s">
        <v>122</v>
      </c>
      <c r="J97" s="538" t="s">
        <v>2659</v>
      </c>
      <c r="K97" s="538" t="b">
        <v>0</v>
      </c>
      <c r="L97" s="538" t="b">
        <v>1</v>
      </c>
      <c r="M97" s="538" t="s">
        <v>79</v>
      </c>
      <c r="N97" s="538" t="s">
        <v>2651</v>
      </c>
      <c r="O97" s="538" t="s">
        <v>79</v>
      </c>
      <c r="P97" s="538" t="s">
        <v>2651</v>
      </c>
      <c r="Q97" s="538" t="s">
        <v>73</v>
      </c>
      <c r="S97" s="538" t="s">
        <v>73</v>
      </c>
      <c r="U97" s="538" t="s">
        <v>79</v>
      </c>
      <c r="V97" s="538" t="s">
        <v>2651</v>
      </c>
      <c r="W97" s="538" t="s">
        <v>73</v>
      </c>
      <c r="Y97" s="538" t="s">
        <v>79</v>
      </c>
      <c r="Z97" s="538" t="s">
        <v>377</v>
      </c>
      <c r="AA97" s="538" t="s">
        <v>79</v>
      </c>
      <c r="AB97" s="538" t="s">
        <v>377</v>
      </c>
      <c r="AC97" s="538" t="s">
        <v>79</v>
      </c>
      <c r="AD97" s="538" t="s">
        <v>2651</v>
      </c>
      <c r="AE97" s="538" t="s">
        <v>79</v>
      </c>
      <c r="AF97" s="538" t="s">
        <v>377</v>
      </c>
      <c r="AG97" s="538" t="s">
        <v>79</v>
      </c>
      <c r="AH97" s="538" t="s">
        <v>2651</v>
      </c>
      <c r="AI97" s="538" t="s">
        <v>79</v>
      </c>
      <c r="AJ97" s="538" t="s">
        <v>2651</v>
      </c>
      <c r="AK97" s="538" t="s">
        <v>79</v>
      </c>
      <c r="AL97" s="538" t="s">
        <v>322</v>
      </c>
      <c r="AM97" s="538" t="s">
        <v>79</v>
      </c>
      <c r="AN97" s="538" t="s">
        <v>322</v>
      </c>
      <c r="AO97" s="538">
        <v>7.55068034E8</v>
      </c>
      <c r="AP97" s="538">
        <v>4.0</v>
      </c>
      <c r="AQ97" s="538">
        <v>1.003489828E9</v>
      </c>
      <c r="AR97" s="538">
        <v>26.0</v>
      </c>
      <c r="AS97" s="538" t="s">
        <v>47</v>
      </c>
    </row>
    <row r="98" ht="22.5" customHeight="1">
      <c r="A98" s="538">
        <v>97.0</v>
      </c>
      <c r="B98" s="538" t="s">
        <v>2660</v>
      </c>
      <c r="C98" s="538" t="s">
        <v>597</v>
      </c>
      <c r="D98" s="538" t="s">
        <v>322</v>
      </c>
      <c r="E98" s="538" t="s">
        <v>1321</v>
      </c>
      <c r="F98" s="538" t="s">
        <v>163</v>
      </c>
      <c r="G98" s="538" t="s">
        <v>250</v>
      </c>
      <c r="H98" s="538" t="s">
        <v>122</v>
      </c>
      <c r="I98" s="538" t="s">
        <v>2661</v>
      </c>
      <c r="J98" s="538" t="s">
        <v>2662</v>
      </c>
      <c r="K98" s="538" t="b">
        <v>0</v>
      </c>
      <c r="L98" s="538" t="b">
        <v>1</v>
      </c>
      <c r="M98" s="538" t="s">
        <v>79</v>
      </c>
      <c r="N98" s="538" t="s">
        <v>233</v>
      </c>
      <c r="O98" s="538" t="s">
        <v>79</v>
      </c>
      <c r="P98" s="538" t="s">
        <v>233</v>
      </c>
      <c r="Q98" s="538" t="s">
        <v>75</v>
      </c>
      <c r="R98" s="538" t="s">
        <v>2663</v>
      </c>
      <c r="S98" s="538" t="s">
        <v>75</v>
      </c>
      <c r="T98" s="538" t="s">
        <v>2663</v>
      </c>
      <c r="U98" s="538" t="s">
        <v>75</v>
      </c>
      <c r="V98" s="538" t="s">
        <v>2663</v>
      </c>
      <c r="W98" s="538" t="s">
        <v>75</v>
      </c>
      <c r="X98" s="538" t="s">
        <v>2663</v>
      </c>
      <c r="Y98" s="538" t="s">
        <v>79</v>
      </c>
      <c r="Z98" s="538" t="s">
        <v>377</v>
      </c>
      <c r="AA98" s="538" t="s">
        <v>79</v>
      </c>
      <c r="AB98" s="538" t="s">
        <v>377</v>
      </c>
      <c r="AC98" s="538" t="s">
        <v>75</v>
      </c>
      <c r="AD98" s="538" t="s">
        <v>2663</v>
      </c>
      <c r="AE98" s="538" t="s">
        <v>79</v>
      </c>
      <c r="AF98" s="538" t="s">
        <v>377</v>
      </c>
      <c r="AG98" s="538" t="s">
        <v>79</v>
      </c>
      <c r="AH98" s="538" t="s">
        <v>233</v>
      </c>
      <c r="AI98" s="538" t="s">
        <v>79</v>
      </c>
      <c r="AJ98" s="538" t="s">
        <v>233</v>
      </c>
      <c r="AK98" s="538" t="s">
        <v>79</v>
      </c>
      <c r="AL98" s="538" t="s">
        <v>322</v>
      </c>
      <c r="AM98" s="538" t="s">
        <v>79</v>
      </c>
      <c r="AN98" s="538" t="s">
        <v>322</v>
      </c>
      <c r="AO98" s="538">
        <v>1.668824378E9</v>
      </c>
      <c r="AP98" s="538">
        <v>1.0</v>
      </c>
      <c r="AQ98" s="538">
        <v>4.187367166E9</v>
      </c>
      <c r="AR98" s="538">
        <v>27.0</v>
      </c>
      <c r="AS98" s="538" t="s">
        <v>47</v>
      </c>
      <c r="AV98" s="538" t="s">
        <v>2663</v>
      </c>
    </row>
    <row r="99" ht="22.5" customHeight="1">
      <c r="A99" s="538">
        <v>98.0</v>
      </c>
      <c r="B99" s="538" t="s">
        <v>2660</v>
      </c>
      <c r="C99" s="538" t="s">
        <v>597</v>
      </c>
      <c r="D99" s="538" t="s">
        <v>310</v>
      </c>
      <c r="F99" s="538" t="s">
        <v>151</v>
      </c>
      <c r="G99" s="538" t="s">
        <v>250</v>
      </c>
      <c r="H99" s="538" t="s">
        <v>122</v>
      </c>
      <c r="J99" s="538" t="s">
        <v>2664</v>
      </c>
      <c r="K99" s="538" t="b">
        <v>0</v>
      </c>
      <c r="L99" s="538" t="b">
        <v>1</v>
      </c>
      <c r="M99" s="538" t="s">
        <v>73</v>
      </c>
      <c r="O99" s="538" t="s">
        <v>73</v>
      </c>
      <c r="Q99" s="538" t="s">
        <v>73</v>
      </c>
      <c r="S99" s="538" t="s">
        <v>73</v>
      </c>
      <c r="U99" s="538" t="s">
        <v>73</v>
      </c>
      <c r="W99" s="538" t="s">
        <v>73</v>
      </c>
      <c r="Y99" s="538" t="s">
        <v>73</v>
      </c>
      <c r="AA99" s="538" t="s">
        <v>73</v>
      </c>
      <c r="AC99" s="538" t="s">
        <v>73</v>
      </c>
      <c r="AE99" s="538" t="s">
        <v>73</v>
      </c>
      <c r="AG99" s="538" t="s">
        <v>73</v>
      </c>
      <c r="AI99" s="538" t="s">
        <v>73</v>
      </c>
      <c r="AK99" s="538" t="s">
        <v>79</v>
      </c>
      <c r="AL99" s="538" t="s">
        <v>310</v>
      </c>
      <c r="AM99" s="538" t="s">
        <v>79</v>
      </c>
      <c r="AN99" s="538" t="s">
        <v>310</v>
      </c>
      <c r="AO99" s="538">
        <v>4.0432126E8</v>
      </c>
      <c r="AP99" s="538">
        <v>2.0</v>
      </c>
      <c r="AQ99" s="538">
        <v>4.187367166E9</v>
      </c>
      <c r="AR99" s="538">
        <v>27.0</v>
      </c>
      <c r="AS99" s="538" t="s">
        <v>47</v>
      </c>
    </row>
    <row r="100" ht="22.5" customHeight="1">
      <c r="A100" s="538">
        <v>99.0</v>
      </c>
      <c r="B100" s="538" t="s">
        <v>2660</v>
      </c>
      <c r="C100" s="538" t="s">
        <v>597</v>
      </c>
      <c r="D100" s="538" t="s">
        <v>325</v>
      </c>
      <c r="E100" s="538" t="s">
        <v>1688</v>
      </c>
      <c r="F100" s="538" t="s">
        <v>163</v>
      </c>
      <c r="G100" s="538" t="s">
        <v>250</v>
      </c>
      <c r="H100" s="538" t="s">
        <v>155</v>
      </c>
      <c r="J100" s="538" t="s">
        <v>2665</v>
      </c>
      <c r="K100" s="538" t="b">
        <v>0</v>
      </c>
      <c r="L100" s="538" t="b">
        <v>1</v>
      </c>
      <c r="M100" s="538" t="s">
        <v>79</v>
      </c>
      <c r="N100" s="538" t="s">
        <v>228</v>
      </c>
      <c r="O100" s="538" t="s">
        <v>79</v>
      </c>
      <c r="P100" s="538" t="s">
        <v>228</v>
      </c>
      <c r="Q100" s="538" t="s">
        <v>73</v>
      </c>
      <c r="S100" s="538" t="s">
        <v>73</v>
      </c>
      <c r="U100" s="538" t="s">
        <v>79</v>
      </c>
      <c r="V100" s="538" t="s">
        <v>228</v>
      </c>
      <c r="W100" s="538" t="s">
        <v>73</v>
      </c>
      <c r="Y100" s="538" t="s">
        <v>79</v>
      </c>
      <c r="Z100" s="538" t="s">
        <v>377</v>
      </c>
      <c r="AA100" s="538" t="s">
        <v>79</v>
      </c>
      <c r="AB100" s="538" t="s">
        <v>377</v>
      </c>
      <c r="AC100" s="538" t="s">
        <v>79</v>
      </c>
      <c r="AD100" s="538" t="s">
        <v>228</v>
      </c>
      <c r="AE100" s="538" t="s">
        <v>79</v>
      </c>
      <c r="AF100" s="538" t="s">
        <v>377</v>
      </c>
      <c r="AG100" s="538" t="s">
        <v>79</v>
      </c>
      <c r="AH100" s="538" t="s">
        <v>228</v>
      </c>
      <c r="AI100" s="538" t="s">
        <v>79</v>
      </c>
      <c r="AJ100" s="538" t="s">
        <v>228</v>
      </c>
      <c r="AK100" s="538" t="s">
        <v>79</v>
      </c>
      <c r="AL100" s="538" t="s">
        <v>325</v>
      </c>
      <c r="AM100" s="538" t="s">
        <v>79</v>
      </c>
      <c r="AN100" s="538" t="s">
        <v>325</v>
      </c>
      <c r="AO100" s="538">
        <v>1.820189634E9</v>
      </c>
      <c r="AP100" s="538">
        <v>3.0</v>
      </c>
      <c r="AQ100" s="538">
        <v>4.187367166E9</v>
      </c>
      <c r="AR100" s="538">
        <v>27.0</v>
      </c>
      <c r="AS100" s="538" t="s">
        <v>47</v>
      </c>
    </row>
    <row r="101" ht="22.5" customHeight="1">
      <c r="A101" s="538">
        <v>100.0</v>
      </c>
      <c r="B101" s="538" t="s">
        <v>2660</v>
      </c>
      <c r="C101" s="538" t="s">
        <v>597</v>
      </c>
      <c r="D101" s="538" t="s">
        <v>218</v>
      </c>
      <c r="E101" s="538" t="s">
        <v>1688</v>
      </c>
      <c r="F101" s="538" t="s">
        <v>163</v>
      </c>
      <c r="G101" s="538" t="s">
        <v>250</v>
      </c>
      <c r="H101" s="538" t="s">
        <v>122</v>
      </c>
      <c r="J101" s="538" t="s">
        <v>2666</v>
      </c>
      <c r="K101" s="538" t="b">
        <v>0</v>
      </c>
      <c r="L101" s="538" t="b">
        <v>1</v>
      </c>
      <c r="M101" s="538" t="s">
        <v>79</v>
      </c>
      <c r="N101" s="538" t="s">
        <v>228</v>
      </c>
      <c r="O101" s="538" t="s">
        <v>79</v>
      </c>
      <c r="P101" s="538" t="s">
        <v>228</v>
      </c>
      <c r="Q101" s="538" t="s">
        <v>73</v>
      </c>
      <c r="S101" s="538" t="s">
        <v>73</v>
      </c>
      <c r="U101" s="538" t="s">
        <v>79</v>
      </c>
      <c r="V101" s="538" t="s">
        <v>228</v>
      </c>
      <c r="W101" s="538" t="s">
        <v>73</v>
      </c>
      <c r="Y101" s="538" t="s">
        <v>79</v>
      </c>
      <c r="Z101" s="538" t="s">
        <v>377</v>
      </c>
      <c r="AA101" s="538" t="s">
        <v>79</v>
      </c>
      <c r="AB101" s="538" t="s">
        <v>377</v>
      </c>
      <c r="AC101" s="538" t="s">
        <v>79</v>
      </c>
      <c r="AD101" s="538" t="s">
        <v>228</v>
      </c>
      <c r="AE101" s="538" t="s">
        <v>79</v>
      </c>
      <c r="AF101" s="538" t="s">
        <v>377</v>
      </c>
      <c r="AG101" s="538" t="s">
        <v>79</v>
      </c>
      <c r="AH101" s="538" t="s">
        <v>228</v>
      </c>
      <c r="AI101" s="538" t="s">
        <v>79</v>
      </c>
      <c r="AJ101" s="538" t="s">
        <v>228</v>
      </c>
      <c r="AK101" s="538" t="s">
        <v>79</v>
      </c>
      <c r="AL101" s="538" t="s">
        <v>218</v>
      </c>
      <c r="AM101" s="538" t="s">
        <v>79</v>
      </c>
      <c r="AN101" s="538" t="s">
        <v>218</v>
      </c>
      <c r="AO101" s="538">
        <v>6.27258195E8</v>
      </c>
      <c r="AP101" s="538">
        <v>4.0</v>
      </c>
      <c r="AQ101" s="538">
        <v>4.187367166E9</v>
      </c>
      <c r="AR101" s="538">
        <v>27.0</v>
      </c>
      <c r="AS101" s="538" t="s">
        <v>47</v>
      </c>
    </row>
    <row r="102" ht="22.5" customHeight="1">
      <c r="A102" s="538">
        <v>101.0</v>
      </c>
      <c r="B102" s="538" t="s">
        <v>2667</v>
      </c>
      <c r="C102" s="538" t="s">
        <v>597</v>
      </c>
      <c r="D102" s="538" t="s">
        <v>310</v>
      </c>
      <c r="F102" s="538" t="s">
        <v>151</v>
      </c>
      <c r="G102" s="538" t="s">
        <v>250</v>
      </c>
      <c r="H102" s="538" t="s">
        <v>122</v>
      </c>
      <c r="J102" s="538" t="s">
        <v>2539</v>
      </c>
      <c r="K102" s="538" t="b">
        <v>0</v>
      </c>
      <c r="L102" s="538" t="b">
        <v>1</v>
      </c>
      <c r="M102" s="538" t="s">
        <v>73</v>
      </c>
      <c r="O102" s="538" t="s">
        <v>73</v>
      </c>
      <c r="Q102" s="538" t="s">
        <v>73</v>
      </c>
      <c r="S102" s="538" t="s">
        <v>73</v>
      </c>
      <c r="U102" s="538" t="s">
        <v>73</v>
      </c>
      <c r="W102" s="538" t="s">
        <v>73</v>
      </c>
      <c r="Y102" s="538" t="s">
        <v>73</v>
      </c>
      <c r="AA102" s="538" t="s">
        <v>73</v>
      </c>
      <c r="AC102" s="538" t="s">
        <v>73</v>
      </c>
      <c r="AE102" s="538" t="s">
        <v>73</v>
      </c>
      <c r="AG102" s="538" t="s">
        <v>73</v>
      </c>
      <c r="AI102" s="538" t="s">
        <v>73</v>
      </c>
      <c r="AK102" s="538" t="s">
        <v>79</v>
      </c>
      <c r="AL102" s="538" t="s">
        <v>310</v>
      </c>
      <c r="AM102" s="538" t="s">
        <v>79</v>
      </c>
      <c r="AN102" s="538" t="s">
        <v>310</v>
      </c>
      <c r="AO102" s="538">
        <v>2.849759026E9</v>
      </c>
      <c r="AP102" s="538">
        <v>1.0</v>
      </c>
      <c r="AQ102" s="538">
        <v>2.40329436E8</v>
      </c>
      <c r="AR102" s="538">
        <v>28.0</v>
      </c>
      <c r="AS102" s="538" t="s">
        <v>47</v>
      </c>
    </row>
    <row r="103" ht="22.5" customHeight="1">
      <c r="A103" s="538">
        <v>102.0</v>
      </c>
      <c r="B103" s="538" t="s">
        <v>2667</v>
      </c>
      <c r="C103" s="538" t="s">
        <v>597</v>
      </c>
      <c r="D103" s="538" t="s">
        <v>218</v>
      </c>
      <c r="E103" s="538" t="s">
        <v>248</v>
      </c>
      <c r="F103" s="538" t="s">
        <v>163</v>
      </c>
      <c r="G103" s="538" t="s">
        <v>250</v>
      </c>
      <c r="H103" s="538" t="s">
        <v>122</v>
      </c>
      <c r="J103" s="538" t="s">
        <v>2583</v>
      </c>
      <c r="K103" s="538" t="b">
        <v>0</v>
      </c>
      <c r="L103" s="538" t="b">
        <v>1</v>
      </c>
      <c r="M103" s="538" t="s">
        <v>73</v>
      </c>
      <c r="O103" s="538" t="s">
        <v>73</v>
      </c>
      <c r="Q103" s="538" t="s">
        <v>79</v>
      </c>
      <c r="R103" s="538" t="s">
        <v>248</v>
      </c>
      <c r="S103" s="538" t="s">
        <v>79</v>
      </c>
      <c r="T103" s="538" t="s">
        <v>248</v>
      </c>
      <c r="U103" s="538" t="s">
        <v>79</v>
      </c>
      <c r="V103" s="538" t="s">
        <v>248</v>
      </c>
      <c r="W103" s="538" t="s">
        <v>79</v>
      </c>
      <c r="X103" s="538" t="s">
        <v>248</v>
      </c>
      <c r="Y103" s="538" t="s">
        <v>79</v>
      </c>
      <c r="Z103" s="538" t="s">
        <v>248</v>
      </c>
      <c r="AA103" s="538" t="s">
        <v>79</v>
      </c>
      <c r="AB103" s="538" t="s">
        <v>248</v>
      </c>
      <c r="AC103" s="538" t="s">
        <v>79</v>
      </c>
      <c r="AD103" s="538" t="s">
        <v>248</v>
      </c>
      <c r="AE103" s="538" t="s">
        <v>79</v>
      </c>
      <c r="AF103" s="538" t="s">
        <v>248</v>
      </c>
      <c r="AG103" s="538" t="s">
        <v>79</v>
      </c>
      <c r="AH103" s="538" t="s">
        <v>248</v>
      </c>
      <c r="AI103" s="538" t="s">
        <v>79</v>
      </c>
      <c r="AJ103" s="538" t="s">
        <v>248</v>
      </c>
      <c r="AK103" s="538" t="s">
        <v>79</v>
      </c>
      <c r="AL103" s="538" t="s">
        <v>218</v>
      </c>
      <c r="AM103" s="538" t="s">
        <v>79</v>
      </c>
      <c r="AN103" s="538" t="s">
        <v>218</v>
      </c>
      <c r="AO103" s="538">
        <v>1.158811838E9</v>
      </c>
      <c r="AP103" s="538">
        <v>2.0</v>
      </c>
      <c r="AQ103" s="538">
        <v>2.40329436E8</v>
      </c>
      <c r="AR103" s="538">
        <v>28.0</v>
      </c>
      <c r="AS103" s="538" t="s">
        <v>47</v>
      </c>
    </row>
    <row r="104" ht="22.5" customHeight="1">
      <c r="A104" s="538">
        <v>103.0</v>
      </c>
      <c r="B104" s="538" t="s">
        <v>2667</v>
      </c>
      <c r="C104" s="538" t="s">
        <v>597</v>
      </c>
      <c r="D104" s="538" t="s">
        <v>241</v>
      </c>
      <c r="E104" s="538" t="s">
        <v>2154</v>
      </c>
      <c r="F104" s="538" t="s">
        <v>163</v>
      </c>
      <c r="G104" s="538" t="s">
        <v>250</v>
      </c>
      <c r="H104" s="538" t="s">
        <v>155</v>
      </c>
      <c r="J104" s="538" t="s">
        <v>2668</v>
      </c>
      <c r="K104" s="538" t="b">
        <v>0</v>
      </c>
      <c r="L104" s="538" t="b">
        <v>0</v>
      </c>
      <c r="M104" s="538" t="s">
        <v>75</v>
      </c>
      <c r="N104" s="538" t="s">
        <v>348</v>
      </c>
      <c r="O104" s="538" t="s">
        <v>75</v>
      </c>
      <c r="P104" s="538" t="s">
        <v>348</v>
      </c>
      <c r="Q104" s="538" t="s">
        <v>79</v>
      </c>
      <c r="R104" s="538" t="s">
        <v>2154</v>
      </c>
      <c r="S104" s="538" t="s">
        <v>79</v>
      </c>
      <c r="T104" s="538" t="s">
        <v>2154</v>
      </c>
      <c r="U104" s="538" t="s">
        <v>79</v>
      </c>
      <c r="V104" s="538" t="s">
        <v>2154</v>
      </c>
      <c r="W104" s="538" t="s">
        <v>79</v>
      </c>
      <c r="X104" s="538" t="s">
        <v>2154</v>
      </c>
      <c r="Y104" s="538" t="s">
        <v>79</v>
      </c>
      <c r="Z104" s="538" t="s">
        <v>2154</v>
      </c>
      <c r="AA104" s="538" t="s">
        <v>79</v>
      </c>
      <c r="AB104" s="538" t="s">
        <v>2154</v>
      </c>
      <c r="AC104" s="538" t="s">
        <v>79</v>
      </c>
      <c r="AD104" s="538" t="s">
        <v>2154</v>
      </c>
      <c r="AE104" s="538" t="s">
        <v>79</v>
      </c>
      <c r="AF104" s="538" t="s">
        <v>2154</v>
      </c>
      <c r="AG104" s="538" t="s">
        <v>79</v>
      </c>
      <c r="AH104" s="538" t="s">
        <v>2154</v>
      </c>
      <c r="AI104" s="538" t="s">
        <v>79</v>
      </c>
      <c r="AJ104" s="538" t="s">
        <v>2154</v>
      </c>
      <c r="AK104" s="538" t="s">
        <v>79</v>
      </c>
      <c r="AL104" s="538" t="s">
        <v>241</v>
      </c>
      <c r="AM104" s="538" t="s">
        <v>79</v>
      </c>
      <c r="AN104" s="538" t="s">
        <v>241</v>
      </c>
      <c r="AO104" s="538">
        <v>1.451947481E9</v>
      </c>
      <c r="AP104" s="538">
        <v>3.0</v>
      </c>
      <c r="AQ104" s="538">
        <v>2.40329436E8</v>
      </c>
      <c r="AR104" s="538">
        <v>28.0</v>
      </c>
      <c r="AS104" s="538" t="s">
        <v>47</v>
      </c>
      <c r="AV104" s="538" t="s">
        <v>348</v>
      </c>
    </row>
    <row r="105" ht="22.5" customHeight="1">
      <c r="A105" s="538">
        <v>104.0</v>
      </c>
      <c r="B105" s="538" t="s">
        <v>2667</v>
      </c>
      <c r="C105" s="538" t="s">
        <v>597</v>
      </c>
      <c r="D105" s="538" t="s">
        <v>322</v>
      </c>
      <c r="E105" s="538" t="s">
        <v>248</v>
      </c>
      <c r="F105" s="538" t="s">
        <v>163</v>
      </c>
      <c r="G105" s="538" t="s">
        <v>250</v>
      </c>
      <c r="H105" s="538" t="s">
        <v>155</v>
      </c>
      <c r="J105" s="538" t="s">
        <v>2669</v>
      </c>
      <c r="K105" s="538" t="b">
        <v>0</v>
      </c>
      <c r="L105" s="538" t="b">
        <v>1</v>
      </c>
      <c r="M105" s="538" t="s">
        <v>73</v>
      </c>
      <c r="O105" s="538" t="s">
        <v>73</v>
      </c>
      <c r="Q105" s="538" t="s">
        <v>79</v>
      </c>
      <c r="R105" s="538" t="s">
        <v>248</v>
      </c>
      <c r="S105" s="538" t="s">
        <v>79</v>
      </c>
      <c r="T105" s="538" t="s">
        <v>248</v>
      </c>
      <c r="U105" s="538" t="s">
        <v>79</v>
      </c>
      <c r="V105" s="538" t="s">
        <v>248</v>
      </c>
      <c r="W105" s="538" t="s">
        <v>79</v>
      </c>
      <c r="X105" s="538" t="s">
        <v>248</v>
      </c>
      <c r="Y105" s="538" t="s">
        <v>79</v>
      </c>
      <c r="Z105" s="538" t="s">
        <v>248</v>
      </c>
      <c r="AA105" s="538" t="s">
        <v>79</v>
      </c>
      <c r="AB105" s="538" t="s">
        <v>248</v>
      </c>
      <c r="AC105" s="538" t="s">
        <v>79</v>
      </c>
      <c r="AD105" s="538" t="s">
        <v>248</v>
      </c>
      <c r="AE105" s="538" t="s">
        <v>79</v>
      </c>
      <c r="AF105" s="538" t="s">
        <v>248</v>
      </c>
      <c r="AG105" s="538" t="s">
        <v>79</v>
      </c>
      <c r="AH105" s="538" t="s">
        <v>248</v>
      </c>
      <c r="AI105" s="538" t="s">
        <v>79</v>
      </c>
      <c r="AJ105" s="538" t="s">
        <v>248</v>
      </c>
      <c r="AK105" s="538" t="s">
        <v>79</v>
      </c>
      <c r="AL105" s="538" t="s">
        <v>322</v>
      </c>
      <c r="AM105" s="538" t="s">
        <v>79</v>
      </c>
      <c r="AN105" s="538" t="s">
        <v>322</v>
      </c>
      <c r="AO105" s="538">
        <v>2.737674136E9</v>
      </c>
      <c r="AP105" s="538">
        <v>4.0</v>
      </c>
      <c r="AQ105" s="538">
        <v>2.40329436E8</v>
      </c>
      <c r="AR105" s="538">
        <v>28.0</v>
      </c>
      <c r="AS105" s="538" t="s">
        <v>47</v>
      </c>
    </row>
    <row r="106" ht="22.5" customHeight="1">
      <c r="A106" s="538">
        <v>105.0</v>
      </c>
      <c r="B106" s="538" t="s">
        <v>2670</v>
      </c>
      <c r="C106" s="538" t="s">
        <v>597</v>
      </c>
      <c r="D106" s="538" t="s">
        <v>241</v>
      </c>
      <c r="E106" s="538" t="s">
        <v>2200</v>
      </c>
      <c r="F106" s="538" t="s">
        <v>163</v>
      </c>
      <c r="G106" s="538" t="s">
        <v>250</v>
      </c>
      <c r="H106" s="538" t="s">
        <v>155</v>
      </c>
      <c r="J106" s="538" t="s">
        <v>2671</v>
      </c>
      <c r="K106" s="538" t="b">
        <v>0</v>
      </c>
      <c r="L106" s="538" t="b">
        <v>0</v>
      </c>
      <c r="M106" s="538" t="s">
        <v>79</v>
      </c>
      <c r="N106" s="538" t="s">
        <v>1994</v>
      </c>
      <c r="O106" s="538" t="s">
        <v>79</v>
      </c>
      <c r="P106" s="538" t="s">
        <v>1994</v>
      </c>
      <c r="Q106" s="538" t="s">
        <v>75</v>
      </c>
      <c r="R106" s="538" t="s">
        <v>348</v>
      </c>
      <c r="S106" s="538" t="s">
        <v>75</v>
      </c>
      <c r="T106" s="538" t="s">
        <v>348</v>
      </c>
      <c r="U106" s="538" t="s">
        <v>79</v>
      </c>
      <c r="V106" s="538" t="s">
        <v>1994</v>
      </c>
      <c r="W106" s="538" t="s">
        <v>75</v>
      </c>
      <c r="X106" s="538" t="s">
        <v>348</v>
      </c>
      <c r="Y106" s="538" t="s">
        <v>79</v>
      </c>
      <c r="Z106" s="538" t="s">
        <v>377</v>
      </c>
      <c r="AA106" s="538" t="s">
        <v>79</v>
      </c>
      <c r="AB106" s="538" t="s">
        <v>377</v>
      </c>
      <c r="AC106" s="538" t="s">
        <v>79</v>
      </c>
      <c r="AD106" s="538" t="s">
        <v>1994</v>
      </c>
      <c r="AE106" s="538" t="s">
        <v>79</v>
      </c>
      <c r="AF106" s="538" t="s">
        <v>377</v>
      </c>
      <c r="AG106" s="538" t="s">
        <v>79</v>
      </c>
      <c r="AH106" s="538" t="s">
        <v>1994</v>
      </c>
      <c r="AI106" s="538" t="s">
        <v>79</v>
      </c>
      <c r="AJ106" s="538" t="s">
        <v>1994</v>
      </c>
      <c r="AK106" s="538" t="s">
        <v>79</v>
      </c>
      <c r="AL106" s="538" t="s">
        <v>241</v>
      </c>
      <c r="AM106" s="538" t="s">
        <v>79</v>
      </c>
      <c r="AN106" s="538" t="s">
        <v>241</v>
      </c>
      <c r="AO106" s="538">
        <v>3.58691739E9</v>
      </c>
      <c r="AP106" s="538">
        <v>1.0</v>
      </c>
      <c r="AQ106" s="538">
        <v>3.289179957E9</v>
      </c>
      <c r="AR106" s="538">
        <v>30.0</v>
      </c>
      <c r="AS106" s="538" t="s">
        <v>47</v>
      </c>
      <c r="AV106" s="538" t="s">
        <v>348</v>
      </c>
    </row>
    <row r="107" ht="22.5" customHeight="1">
      <c r="A107" s="538">
        <v>106.0</v>
      </c>
      <c r="B107" s="538" t="s">
        <v>2670</v>
      </c>
      <c r="C107" s="538" t="s">
        <v>597</v>
      </c>
      <c r="D107" s="538" t="s">
        <v>298</v>
      </c>
      <c r="F107" s="538" t="s">
        <v>151</v>
      </c>
      <c r="G107" s="538" t="s">
        <v>250</v>
      </c>
      <c r="H107" s="538" t="s">
        <v>122</v>
      </c>
      <c r="J107" s="538" t="s">
        <v>2672</v>
      </c>
      <c r="K107" s="538" t="b">
        <v>0</v>
      </c>
      <c r="L107" s="538" t="b">
        <v>1</v>
      </c>
      <c r="M107" s="538" t="s">
        <v>79</v>
      </c>
      <c r="N107" s="538" t="s">
        <v>298</v>
      </c>
      <c r="O107" s="538" t="s">
        <v>79</v>
      </c>
      <c r="P107" s="538" t="s">
        <v>298</v>
      </c>
      <c r="Q107" s="538" t="s">
        <v>75</v>
      </c>
      <c r="R107" s="538" t="s">
        <v>1878</v>
      </c>
      <c r="S107" s="538" t="s">
        <v>79</v>
      </c>
      <c r="T107" s="538" t="s">
        <v>298</v>
      </c>
      <c r="U107" s="538" t="s">
        <v>79</v>
      </c>
      <c r="V107" s="538" t="s">
        <v>298</v>
      </c>
      <c r="W107" s="538" t="s">
        <v>79</v>
      </c>
      <c r="X107" s="538" t="s">
        <v>298</v>
      </c>
      <c r="Y107" s="538" t="s">
        <v>75</v>
      </c>
      <c r="Z107" s="538" t="s">
        <v>1878</v>
      </c>
      <c r="AA107" s="538" t="s">
        <v>75</v>
      </c>
      <c r="AB107" s="538" t="s">
        <v>1878</v>
      </c>
      <c r="AC107" s="538" t="s">
        <v>79</v>
      </c>
      <c r="AD107" s="538" t="s">
        <v>298</v>
      </c>
      <c r="AE107" s="538" t="s">
        <v>79</v>
      </c>
      <c r="AF107" s="538" t="s">
        <v>298</v>
      </c>
      <c r="AG107" s="538" t="s">
        <v>79</v>
      </c>
      <c r="AH107" s="538" t="s">
        <v>298</v>
      </c>
      <c r="AI107" s="538" t="s">
        <v>79</v>
      </c>
      <c r="AJ107" s="538" t="s">
        <v>298</v>
      </c>
      <c r="AK107" s="538" t="s">
        <v>73</v>
      </c>
      <c r="AM107" s="538" t="s">
        <v>79</v>
      </c>
      <c r="AN107" s="538" t="s">
        <v>298</v>
      </c>
      <c r="AO107" s="538">
        <v>2.243322002E9</v>
      </c>
      <c r="AP107" s="538">
        <v>2.0</v>
      </c>
      <c r="AQ107" s="538">
        <v>3.289179957E9</v>
      </c>
      <c r="AR107" s="538">
        <v>30.0</v>
      </c>
      <c r="AS107" s="538" t="s">
        <v>47</v>
      </c>
      <c r="AV107" s="538" t="s">
        <v>298</v>
      </c>
    </row>
    <row r="108" ht="22.5" customHeight="1">
      <c r="A108" s="538">
        <v>107.0</v>
      </c>
      <c r="B108" s="538" t="s">
        <v>2670</v>
      </c>
      <c r="C108" s="538" t="s">
        <v>597</v>
      </c>
      <c r="D108" s="538" t="s">
        <v>310</v>
      </c>
      <c r="F108" s="538" t="s">
        <v>151</v>
      </c>
      <c r="G108" s="538" t="s">
        <v>250</v>
      </c>
      <c r="H108" s="538" t="s">
        <v>122</v>
      </c>
      <c r="J108" s="538" t="s">
        <v>2539</v>
      </c>
      <c r="K108" s="538" t="b">
        <v>0</v>
      </c>
      <c r="L108" s="538" t="b">
        <v>1</v>
      </c>
      <c r="M108" s="538" t="s">
        <v>73</v>
      </c>
      <c r="O108" s="538" t="s">
        <v>73</v>
      </c>
      <c r="Q108" s="538" t="s">
        <v>73</v>
      </c>
      <c r="S108" s="538" t="s">
        <v>73</v>
      </c>
      <c r="U108" s="538" t="s">
        <v>73</v>
      </c>
      <c r="W108" s="538" t="s">
        <v>73</v>
      </c>
      <c r="Y108" s="538" t="s">
        <v>73</v>
      </c>
      <c r="AA108" s="538" t="s">
        <v>73</v>
      </c>
      <c r="AC108" s="538" t="s">
        <v>73</v>
      </c>
      <c r="AE108" s="538" t="s">
        <v>73</v>
      </c>
      <c r="AG108" s="538" t="s">
        <v>73</v>
      </c>
      <c r="AI108" s="538" t="s">
        <v>73</v>
      </c>
      <c r="AK108" s="538" t="s">
        <v>79</v>
      </c>
      <c r="AL108" s="538" t="s">
        <v>310</v>
      </c>
      <c r="AM108" s="538" t="s">
        <v>79</v>
      </c>
      <c r="AN108" s="538" t="s">
        <v>310</v>
      </c>
      <c r="AO108" s="538">
        <v>3.21777682E9</v>
      </c>
      <c r="AP108" s="538">
        <v>3.0</v>
      </c>
      <c r="AQ108" s="538">
        <v>3.289179957E9</v>
      </c>
      <c r="AR108" s="538">
        <v>30.0</v>
      </c>
      <c r="AS108" s="538" t="s">
        <v>47</v>
      </c>
    </row>
    <row r="109" ht="22.5" customHeight="1">
      <c r="A109" s="538">
        <v>108.0</v>
      </c>
      <c r="B109" s="538" t="s">
        <v>2670</v>
      </c>
      <c r="C109" s="538" t="s">
        <v>597</v>
      </c>
      <c r="D109" s="538" t="s">
        <v>218</v>
      </c>
      <c r="E109" s="538" t="s">
        <v>1688</v>
      </c>
      <c r="F109" s="538" t="s">
        <v>163</v>
      </c>
      <c r="G109" s="538" t="s">
        <v>250</v>
      </c>
      <c r="H109" s="538" t="s">
        <v>122</v>
      </c>
      <c r="J109" s="538" t="s">
        <v>2673</v>
      </c>
      <c r="K109" s="538" t="b">
        <v>0</v>
      </c>
      <c r="L109" s="538" t="b">
        <v>1</v>
      </c>
      <c r="M109" s="538" t="s">
        <v>79</v>
      </c>
      <c r="N109" s="538" t="s">
        <v>228</v>
      </c>
      <c r="O109" s="538" t="s">
        <v>79</v>
      </c>
      <c r="P109" s="538" t="s">
        <v>228</v>
      </c>
      <c r="Q109" s="538" t="s">
        <v>73</v>
      </c>
      <c r="S109" s="538" t="s">
        <v>73</v>
      </c>
      <c r="U109" s="538" t="s">
        <v>79</v>
      </c>
      <c r="V109" s="538" t="s">
        <v>228</v>
      </c>
      <c r="W109" s="538" t="s">
        <v>73</v>
      </c>
      <c r="Y109" s="538" t="s">
        <v>79</v>
      </c>
      <c r="Z109" s="538" t="s">
        <v>377</v>
      </c>
      <c r="AA109" s="538" t="s">
        <v>79</v>
      </c>
      <c r="AB109" s="538" t="s">
        <v>377</v>
      </c>
      <c r="AC109" s="538" t="s">
        <v>79</v>
      </c>
      <c r="AD109" s="538" t="s">
        <v>228</v>
      </c>
      <c r="AE109" s="538" t="s">
        <v>79</v>
      </c>
      <c r="AF109" s="538" t="s">
        <v>377</v>
      </c>
      <c r="AG109" s="538" t="s">
        <v>79</v>
      </c>
      <c r="AH109" s="538" t="s">
        <v>228</v>
      </c>
      <c r="AI109" s="538" t="s">
        <v>79</v>
      </c>
      <c r="AJ109" s="538" t="s">
        <v>228</v>
      </c>
      <c r="AK109" s="538" t="s">
        <v>79</v>
      </c>
      <c r="AL109" s="538" t="s">
        <v>218</v>
      </c>
      <c r="AM109" s="538" t="s">
        <v>79</v>
      </c>
      <c r="AN109" s="538" t="s">
        <v>218</v>
      </c>
      <c r="AO109" s="538">
        <v>3.023328707E9</v>
      </c>
      <c r="AP109" s="538">
        <v>4.0</v>
      </c>
      <c r="AQ109" s="538">
        <v>3.289179957E9</v>
      </c>
      <c r="AR109" s="538">
        <v>30.0</v>
      </c>
      <c r="AS109" s="538" t="s">
        <v>47</v>
      </c>
    </row>
    <row r="110" ht="22.5" customHeight="1">
      <c r="A110" s="538">
        <v>109.0</v>
      </c>
      <c r="B110" s="538" t="s">
        <v>2674</v>
      </c>
      <c r="C110" s="538" t="s">
        <v>597</v>
      </c>
      <c r="D110" s="538" t="s">
        <v>398</v>
      </c>
      <c r="F110" s="538" t="s">
        <v>151</v>
      </c>
      <c r="G110" s="538" t="s">
        <v>250</v>
      </c>
      <c r="H110" s="538" t="s">
        <v>122</v>
      </c>
      <c r="J110" s="538" t="s">
        <v>2675</v>
      </c>
      <c r="K110" s="538" t="b">
        <v>0</v>
      </c>
      <c r="L110" s="538" t="b">
        <v>1</v>
      </c>
      <c r="M110" s="538" t="s">
        <v>79</v>
      </c>
      <c r="N110" s="538" t="s">
        <v>398</v>
      </c>
      <c r="O110" s="538" t="s">
        <v>79</v>
      </c>
      <c r="P110" s="538" t="s">
        <v>398</v>
      </c>
      <c r="Q110" s="538" t="s">
        <v>79</v>
      </c>
      <c r="R110" s="538" t="s">
        <v>398</v>
      </c>
      <c r="S110" s="538" t="s">
        <v>79</v>
      </c>
      <c r="T110" s="538" t="s">
        <v>398</v>
      </c>
      <c r="U110" s="538" t="s">
        <v>79</v>
      </c>
      <c r="V110" s="538" t="s">
        <v>398</v>
      </c>
      <c r="W110" s="538" t="s">
        <v>79</v>
      </c>
      <c r="X110" s="538" t="s">
        <v>398</v>
      </c>
      <c r="Y110" s="538" t="s">
        <v>79</v>
      </c>
      <c r="Z110" s="538" t="s">
        <v>398</v>
      </c>
      <c r="AA110" s="538" t="s">
        <v>79</v>
      </c>
      <c r="AB110" s="538" t="s">
        <v>398</v>
      </c>
      <c r="AC110" s="538" t="s">
        <v>79</v>
      </c>
      <c r="AD110" s="538" t="s">
        <v>398</v>
      </c>
      <c r="AE110" s="538" t="s">
        <v>79</v>
      </c>
      <c r="AF110" s="538" t="s">
        <v>398</v>
      </c>
      <c r="AG110" s="538" t="s">
        <v>79</v>
      </c>
      <c r="AH110" s="538" t="s">
        <v>398</v>
      </c>
      <c r="AI110" s="538" t="s">
        <v>79</v>
      </c>
      <c r="AJ110" s="538" t="s">
        <v>398</v>
      </c>
      <c r="AK110" s="538" t="s">
        <v>79</v>
      </c>
      <c r="AL110" s="538" t="s">
        <v>398</v>
      </c>
      <c r="AM110" s="538" t="s">
        <v>73</v>
      </c>
      <c r="AO110" s="538">
        <v>4.152379455E9</v>
      </c>
      <c r="AP110" s="538">
        <v>1.0</v>
      </c>
      <c r="AQ110" s="538">
        <v>2.439729135E9</v>
      </c>
      <c r="AR110" s="538">
        <v>31.0</v>
      </c>
      <c r="AS110" s="538" t="s">
        <v>47</v>
      </c>
    </row>
    <row r="111" ht="22.5" customHeight="1">
      <c r="A111" s="538">
        <v>110.0</v>
      </c>
      <c r="B111" s="538" t="s">
        <v>2674</v>
      </c>
      <c r="C111" s="538" t="s">
        <v>597</v>
      </c>
      <c r="D111" s="538" t="s">
        <v>292</v>
      </c>
      <c r="F111" s="538" t="s">
        <v>151</v>
      </c>
      <c r="G111" s="538" t="s">
        <v>250</v>
      </c>
      <c r="H111" s="538" t="s">
        <v>155</v>
      </c>
      <c r="J111" s="538" t="s">
        <v>2676</v>
      </c>
      <c r="K111" s="538" t="b">
        <v>0</v>
      </c>
      <c r="L111" s="538" t="b">
        <v>1</v>
      </c>
      <c r="M111" s="538" t="s">
        <v>73</v>
      </c>
      <c r="O111" s="538" t="s">
        <v>73</v>
      </c>
      <c r="Q111" s="538" t="s">
        <v>73</v>
      </c>
      <c r="S111" s="538" t="s">
        <v>73</v>
      </c>
      <c r="U111" s="538" t="s">
        <v>73</v>
      </c>
      <c r="W111" s="538" t="s">
        <v>73</v>
      </c>
      <c r="Y111" s="538" t="s">
        <v>73</v>
      </c>
      <c r="AA111" s="538" t="s">
        <v>73</v>
      </c>
      <c r="AC111" s="538" t="s">
        <v>73</v>
      </c>
      <c r="AE111" s="538" t="s">
        <v>73</v>
      </c>
      <c r="AG111" s="538" t="s">
        <v>73</v>
      </c>
      <c r="AI111" s="538" t="s">
        <v>73</v>
      </c>
      <c r="AK111" s="538" t="s">
        <v>79</v>
      </c>
      <c r="AL111" s="538" t="s">
        <v>292</v>
      </c>
      <c r="AM111" s="538" t="s">
        <v>79</v>
      </c>
      <c r="AN111" s="538" t="s">
        <v>292</v>
      </c>
      <c r="AO111" s="538">
        <v>1.746739507E9</v>
      </c>
      <c r="AP111" s="538">
        <v>2.0</v>
      </c>
      <c r="AQ111" s="538">
        <v>2.439729135E9</v>
      </c>
      <c r="AR111" s="538">
        <v>31.0</v>
      </c>
      <c r="AS111" s="538" t="s">
        <v>47</v>
      </c>
    </row>
    <row r="112" ht="22.5" customHeight="1">
      <c r="A112" s="538">
        <v>111.0</v>
      </c>
      <c r="B112" s="538" t="s">
        <v>2674</v>
      </c>
      <c r="C112" s="538" t="s">
        <v>597</v>
      </c>
      <c r="D112" s="538" t="s">
        <v>369</v>
      </c>
      <c r="F112" s="538" t="s">
        <v>239</v>
      </c>
      <c r="G112" s="538" t="s">
        <v>222</v>
      </c>
      <c r="H112" s="538" t="s">
        <v>201</v>
      </c>
      <c r="J112" s="538" t="s">
        <v>2677</v>
      </c>
      <c r="K112" s="538" t="b">
        <v>0</v>
      </c>
      <c r="L112" s="538" t="b">
        <v>1</v>
      </c>
      <c r="M112" s="538" t="s">
        <v>73</v>
      </c>
      <c r="O112" s="538" t="s">
        <v>73</v>
      </c>
      <c r="Q112" s="538" t="s">
        <v>73</v>
      </c>
      <c r="S112" s="538" t="s">
        <v>73</v>
      </c>
      <c r="U112" s="538" t="s">
        <v>73</v>
      </c>
      <c r="W112" s="538" t="s">
        <v>73</v>
      </c>
      <c r="Y112" s="538" t="s">
        <v>73</v>
      </c>
      <c r="AA112" s="538" t="s">
        <v>73</v>
      </c>
      <c r="AC112" s="538" t="s">
        <v>73</v>
      </c>
      <c r="AE112" s="538" t="s">
        <v>73</v>
      </c>
      <c r="AG112" s="538" t="s">
        <v>73</v>
      </c>
      <c r="AI112" s="538" t="s">
        <v>73</v>
      </c>
      <c r="AK112" s="538" t="s">
        <v>79</v>
      </c>
      <c r="AL112" s="538" t="s">
        <v>369</v>
      </c>
      <c r="AM112" s="538" t="s">
        <v>79</v>
      </c>
      <c r="AN112" s="538" t="s">
        <v>369</v>
      </c>
      <c r="AO112" s="538">
        <v>2.885215064E9</v>
      </c>
      <c r="AP112" s="538">
        <v>3.0</v>
      </c>
      <c r="AQ112" s="538">
        <v>2.439729135E9</v>
      </c>
      <c r="AR112" s="538">
        <v>31.0</v>
      </c>
      <c r="AS112" s="538" t="s">
        <v>47</v>
      </c>
    </row>
    <row r="113" ht="22.5" customHeight="1">
      <c r="A113" s="538">
        <v>112.0</v>
      </c>
      <c r="B113" s="538" t="s">
        <v>2674</v>
      </c>
      <c r="C113" s="538" t="s">
        <v>597</v>
      </c>
      <c r="D113" s="538" t="s">
        <v>363</v>
      </c>
      <c r="F113" s="538" t="s">
        <v>151</v>
      </c>
      <c r="G113" s="538" t="s">
        <v>250</v>
      </c>
      <c r="H113" s="538" t="s">
        <v>122</v>
      </c>
      <c r="J113" s="538" t="s">
        <v>2678</v>
      </c>
      <c r="K113" s="538" t="b">
        <v>0</v>
      </c>
      <c r="L113" s="538" t="b">
        <v>1</v>
      </c>
      <c r="M113" s="538" t="s">
        <v>73</v>
      </c>
      <c r="O113" s="538" t="s">
        <v>73</v>
      </c>
      <c r="Q113" s="538" t="s">
        <v>73</v>
      </c>
      <c r="S113" s="538" t="s">
        <v>73</v>
      </c>
      <c r="U113" s="538" t="s">
        <v>73</v>
      </c>
      <c r="W113" s="538" t="s">
        <v>73</v>
      </c>
      <c r="Y113" s="538" t="s">
        <v>73</v>
      </c>
      <c r="AA113" s="538" t="s">
        <v>73</v>
      </c>
      <c r="AC113" s="538" t="s">
        <v>73</v>
      </c>
      <c r="AE113" s="538" t="s">
        <v>73</v>
      </c>
      <c r="AG113" s="538" t="s">
        <v>73</v>
      </c>
      <c r="AI113" s="538" t="s">
        <v>73</v>
      </c>
      <c r="AK113" s="538" t="s">
        <v>79</v>
      </c>
      <c r="AL113" s="538" t="s">
        <v>363</v>
      </c>
      <c r="AM113" s="538" t="s">
        <v>79</v>
      </c>
      <c r="AN113" s="538" t="s">
        <v>363</v>
      </c>
      <c r="AO113" s="538">
        <v>3.3154713E8</v>
      </c>
      <c r="AP113" s="538">
        <v>4.0</v>
      </c>
      <c r="AQ113" s="538">
        <v>2.439729135E9</v>
      </c>
      <c r="AR113" s="538">
        <v>31.0</v>
      </c>
      <c r="AS113" s="538" t="s">
        <v>47</v>
      </c>
    </row>
    <row r="114" ht="22.5" customHeight="1">
      <c r="A114" s="538">
        <v>113.0</v>
      </c>
      <c r="B114" s="538" t="s">
        <v>2679</v>
      </c>
      <c r="C114" s="538" t="s">
        <v>596</v>
      </c>
      <c r="D114" s="538" t="s">
        <v>218</v>
      </c>
      <c r="E114" s="538" t="s">
        <v>248</v>
      </c>
      <c r="F114" s="538" t="s">
        <v>216</v>
      </c>
      <c r="G114" s="538" t="s">
        <v>222</v>
      </c>
      <c r="H114" s="538" t="s">
        <v>189</v>
      </c>
      <c r="I114" s="538" t="s">
        <v>350</v>
      </c>
      <c r="J114" s="538" t="s">
        <v>2680</v>
      </c>
      <c r="K114" s="538" t="b">
        <v>0</v>
      </c>
      <c r="L114" s="538" t="b">
        <v>1</v>
      </c>
      <c r="M114" s="538" t="s">
        <v>73</v>
      </c>
      <c r="O114" s="538" t="s">
        <v>73</v>
      </c>
      <c r="Q114" s="538" t="s">
        <v>79</v>
      </c>
      <c r="R114" s="538" t="s">
        <v>248</v>
      </c>
      <c r="S114" s="538" t="s">
        <v>79</v>
      </c>
      <c r="T114" s="538" t="s">
        <v>248</v>
      </c>
      <c r="U114" s="538" t="s">
        <v>79</v>
      </c>
      <c r="V114" s="538" t="s">
        <v>248</v>
      </c>
      <c r="W114" s="538" t="s">
        <v>79</v>
      </c>
      <c r="X114" s="538" t="s">
        <v>248</v>
      </c>
      <c r="Y114" s="538" t="s">
        <v>79</v>
      </c>
      <c r="Z114" s="538" t="s">
        <v>248</v>
      </c>
      <c r="AA114" s="538" t="s">
        <v>79</v>
      </c>
      <c r="AB114" s="538" t="s">
        <v>248</v>
      </c>
      <c r="AC114" s="538" t="s">
        <v>79</v>
      </c>
      <c r="AD114" s="538" t="s">
        <v>248</v>
      </c>
      <c r="AE114" s="538" t="s">
        <v>79</v>
      </c>
      <c r="AF114" s="538" t="s">
        <v>248</v>
      </c>
      <c r="AG114" s="538" t="s">
        <v>79</v>
      </c>
      <c r="AH114" s="538" t="s">
        <v>248</v>
      </c>
      <c r="AI114" s="538" t="s">
        <v>79</v>
      </c>
      <c r="AJ114" s="538" t="s">
        <v>248</v>
      </c>
      <c r="AK114" s="538" t="s">
        <v>79</v>
      </c>
      <c r="AL114" s="538" t="s">
        <v>218</v>
      </c>
      <c r="AM114" s="538" t="s">
        <v>79</v>
      </c>
      <c r="AN114" s="538" t="s">
        <v>218</v>
      </c>
      <c r="AO114" s="538">
        <v>1.73165202E8</v>
      </c>
      <c r="AP114" s="538">
        <v>1.0</v>
      </c>
      <c r="AQ114" s="538">
        <v>7.04754072E8</v>
      </c>
      <c r="AR114" s="538">
        <v>32.0</v>
      </c>
      <c r="AS114" s="538" t="s">
        <v>47</v>
      </c>
    </row>
    <row r="115" ht="22.5" customHeight="1">
      <c r="A115" s="538">
        <v>114.0</v>
      </c>
      <c r="B115" s="538" t="s">
        <v>2679</v>
      </c>
      <c r="C115" s="538" t="s">
        <v>596</v>
      </c>
      <c r="D115" s="538" t="s">
        <v>295</v>
      </c>
      <c r="E115" s="538" t="s">
        <v>248</v>
      </c>
      <c r="F115" s="538" t="s">
        <v>163</v>
      </c>
      <c r="G115" s="538" t="s">
        <v>222</v>
      </c>
      <c r="H115" s="538" t="s">
        <v>201</v>
      </c>
      <c r="J115" s="538" t="s">
        <v>2681</v>
      </c>
      <c r="K115" s="538" t="b">
        <v>0</v>
      </c>
      <c r="L115" s="538" t="b">
        <v>1</v>
      </c>
      <c r="M115" s="538" t="s">
        <v>73</v>
      </c>
      <c r="O115" s="538" t="s">
        <v>73</v>
      </c>
      <c r="Q115" s="538" t="s">
        <v>79</v>
      </c>
      <c r="R115" s="538" t="s">
        <v>248</v>
      </c>
      <c r="S115" s="538" t="s">
        <v>79</v>
      </c>
      <c r="T115" s="538" t="s">
        <v>248</v>
      </c>
      <c r="U115" s="538" t="s">
        <v>79</v>
      </c>
      <c r="V115" s="538" t="s">
        <v>248</v>
      </c>
      <c r="W115" s="538" t="s">
        <v>79</v>
      </c>
      <c r="X115" s="538" t="s">
        <v>248</v>
      </c>
      <c r="Y115" s="538" t="s">
        <v>79</v>
      </c>
      <c r="Z115" s="538" t="s">
        <v>248</v>
      </c>
      <c r="AA115" s="538" t="s">
        <v>79</v>
      </c>
      <c r="AB115" s="538" t="s">
        <v>248</v>
      </c>
      <c r="AC115" s="538" t="s">
        <v>79</v>
      </c>
      <c r="AD115" s="538" t="s">
        <v>248</v>
      </c>
      <c r="AE115" s="538" t="s">
        <v>79</v>
      </c>
      <c r="AF115" s="538" t="s">
        <v>248</v>
      </c>
      <c r="AG115" s="538" t="s">
        <v>79</v>
      </c>
      <c r="AH115" s="538" t="s">
        <v>248</v>
      </c>
      <c r="AI115" s="538" t="s">
        <v>79</v>
      </c>
      <c r="AJ115" s="538" t="s">
        <v>248</v>
      </c>
      <c r="AK115" s="538" t="s">
        <v>79</v>
      </c>
      <c r="AL115" s="538" t="s">
        <v>295</v>
      </c>
      <c r="AM115" s="538" t="s">
        <v>79</v>
      </c>
      <c r="AN115" s="538" t="s">
        <v>295</v>
      </c>
      <c r="AO115" s="538">
        <v>8.22880788E8</v>
      </c>
      <c r="AP115" s="538">
        <v>2.0</v>
      </c>
      <c r="AQ115" s="538">
        <v>7.04754072E8</v>
      </c>
      <c r="AR115" s="538">
        <v>32.0</v>
      </c>
      <c r="AS115" s="538" t="s">
        <v>47</v>
      </c>
    </row>
    <row r="116" ht="22.5" customHeight="1">
      <c r="A116" s="538">
        <v>115.0</v>
      </c>
      <c r="B116" s="538" t="s">
        <v>2679</v>
      </c>
      <c r="C116" s="538" t="s">
        <v>596</v>
      </c>
      <c r="D116" s="538" t="s">
        <v>218</v>
      </c>
      <c r="E116" s="538" t="s">
        <v>248</v>
      </c>
      <c r="F116" s="538" t="s">
        <v>163</v>
      </c>
      <c r="G116" s="538" t="s">
        <v>250</v>
      </c>
      <c r="H116" s="538" t="s">
        <v>122</v>
      </c>
      <c r="J116" s="538" t="s">
        <v>2682</v>
      </c>
      <c r="K116" s="538" t="b">
        <v>0</v>
      </c>
      <c r="L116" s="538" t="b">
        <v>1</v>
      </c>
      <c r="M116" s="538" t="s">
        <v>73</v>
      </c>
      <c r="O116" s="538" t="s">
        <v>73</v>
      </c>
      <c r="Q116" s="538" t="s">
        <v>79</v>
      </c>
      <c r="R116" s="538" t="s">
        <v>248</v>
      </c>
      <c r="S116" s="538" t="s">
        <v>79</v>
      </c>
      <c r="T116" s="538" t="s">
        <v>248</v>
      </c>
      <c r="U116" s="538" t="s">
        <v>79</v>
      </c>
      <c r="V116" s="538" t="s">
        <v>248</v>
      </c>
      <c r="W116" s="538" t="s">
        <v>79</v>
      </c>
      <c r="X116" s="538" t="s">
        <v>248</v>
      </c>
      <c r="Y116" s="538" t="s">
        <v>79</v>
      </c>
      <c r="Z116" s="538" t="s">
        <v>248</v>
      </c>
      <c r="AA116" s="538" t="s">
        <v>79</v>
      </c>
      <c r="AB116" s="538" t="s">
        <v>248</v>
      </c>
      <c r="AC116" s="538" t="s">
        <v>79</v>
      </c>
      <c r="AD116" s="538" t="s">
        <v>248</v>
      </c>
      <c r="AE116" s="538" t="s">
        <v>79</v>
      </c>
      <c r="AF116" s="538" t="s">
        <v>248</v>
      </c>
      <c r="AG116" s="538" t="s">
        <v>79</v>
      </c>
      <c r="AH116" s="538" t="s">
        <v>248</v>
      </c>
      <c r="AI116" s="538" t="s">
        <v>79</v>
      </c>
      <c r="AJ116" s="538" t="s">
        <v>248</v>
      </c>
      <c r="AK116" s="538" t="s">
        <v>79</v>
      </c>
      <c r="AL116" s="538" t="s">
        <v>218</v>
      </c>
      <c r="AM116" s="538" t="s">
        <v>79</v>
      </c>
      <c r="AN116" s="538" t="s">
        <v>218</v>
      </c>
      <c r="AO116" s="538">
        <v>1.299146674E9</v>
      </c>
      <c r="AP116" s="538">
        <v>3.0</v>
      </c>
      <c r="AQ116" s="538">
        <v>7.04754072E8</v>
      </c>
      <c r="AR116" s="538">
        <v>32.0</v>
      </c>
      <c r="AS116" s="538" t="s">
        <v>47</v>
      </c>
    </row>
    <row r="117" ht="22.5" customHeight="1">
      <c r="A117" s="538">
        <v>116.0</v>
      </c>
      <c r="B117" s="538" t="s">
        <v>2683</v>
      </c>
      <c r="C117" s="538" t="s">
        <v>596</v>
      </c>
      <c r="D117" s="538" t="s">
        <v>214</v>
      </c>
      <c r="E117" s="538" t="s">
        <v>228</v>
      </c>
      <c r="F117" s="538" t="s">
        <v>239</v>
      </c>
      <c r="G117" s="538" t="s">
        <v>222</v>
      </c>
      <c r="H117" s="538" t="s">
        <v>197</v>
      </c>
      <c r="I117" s="538" t="s">
        <v>359</v>
      </c>
      <c r="J117" s="538" t="s">
        <v>2684</v>
      </c>
      <c r="K117" s="538" t="b">
        <v>1</v>
      </c>
      <c r="L117" s="538" t="b">
        <v>1</v>
      </c>
      <c r="M117" s="538" t="s">
        <v>79</v>
      </c>
      <c r="N117" s="538" t="s">
        <v>228</v>
      </c>
      <c r="O117" s="538" t="s">
        <v>79</v>
      </c>
      <c r="P117" s="538" t="s">
        <v>228</v>
      </c>
      <c r="Q117" s="538" t="s">
        <v>73</v>
      </c>
      <c r="S117" s="538" t="s">
        <v>73</v>
      </c>
      <c r="U117" s="538" t="s">
        <v>79</v>
      </c>
      <c r="V117" s="538" t="s">
        <v>228</v>
      </c>
      <c r="W117" s="538" t="s">
        <v>73</v>
      </c>
      <c r="Y117" s="538" t="s">
        <v>73</v>
      </c>
      <c r="AA117" s="538" t="s">
        <v>73</v>
      </c>
      <c r="AC117" s="538" t="s">
        <v>79</v>
      </c>
      <c r="AD117" s="538" t="s">
        <v>228</v>
      </c>
      <c r="AE117" s="538" t="s">
        <v>73</v>
      </c>
      <c r="AG117" s="538" t="s">
        <v>79</v>
      </c>
      <c r="AH117" s="538" t="s">
        <v>228</v>
      </c>
      <c r="AI117" s="538" t="s">
        <v>79</v>
      </c>
      <c r="AJ117" s="538" t="s">
        <v>228</v>
      </c>
      <c r="AK117" s="538" t="s">
        <v>79</v>
      </c>
      <c r="AL117" s="538" t="s">
        <v>214</v>
      </c>
      <c r="AM117" s="538" t="s">
        <v>79</v>
      </c>
      <c r="AN117" s="538" t="s">
        <v>214</v>
      </c>
      <c r="AO117" s="538">
        <v>1.202092082E9</v>
      </c>
      <c r="AP117" s="538">
        <v>1.0</v>
      </c>
      <c r="AQ117" s="538">
        <v>2.58464522E8</v>
      </c>
      <c r="AR117" s="538">
        <v>33.0</v>
      </c>
      <c r="AS117" s="538" t="s">
        <v>47</v>
      </c>
    </row>
    <row r="118" ht="22.5" customHeight="1">
      <c r="A118" s="538">
        <v>117.0</v>
      </c>
      <c r="B118" s="538" t="s">
        <v>2683</v>
      </c>
      <c r="C118" s="538" t="s">
        <v>596</v>
      </c>
      <c r="D118" s="538" t="s">
        <v>404</v>
      </c>
      <c r="F118" s="538" t="s">
        <v>151</v>
      </c>
      <c r="G118" s="538" t="s">
        <v>250</v>
      </c>
      <c r="H118" s="538" t="s">
        <v>122</v>
      </c>
      <c r="J118" s="538" t="s">
        <v>2685</v>
      </c>
      <c r="K118" s="538" t="b">
        <v>0</v>
      </c>
      <c r="L118" s="538" t="b">
        <v>1</v>
      </c>
      <c r="M118" s="538" t="s">
        <v>79</v>
      </c>
      <c r="N118" s="538" t="s">
        <v>404</v>
      </c>
      <c r="O118" s="538" t="s">
        <v>79</v>
      </c>
      <c r="P118" s="538" t="s">
        <v>404</v>
      </c>
      <c r="Q118" s="538" t="s">
        <v>75</v>
      </c>
      <c r="R118" s="538" t="s">
        <v>1878</v>
      </c>
      <c r="S118" s="538" t="s">
        <v>79</v>
      </c>
      <c r="T118" s="538" t="s">
        <v>404</v>
      </c>
      <c r="U118" s="538" t="s">
        <v>79</v>
      </c>
      <c r="V118" s="538" t="s">
        <v>404</v>
      </c>
      <c r="W118" s="538" t="s">
        <v>79</v>
      </c>
      <c r="X118" s="538" t="s">
        <v>404</v>
      </c>
      <c r="Y118" s="538" t="s">
        <v>79</v>
      </c>
      <c r="Z118" s="538" t="s">
        <v>404</v>
      </c>
      <c r="AA118" s="538" t="s">
        <v>79</v>
      </c>
      <c r="AB118" s="538" t="s">
        <v>404</v>
      </c>
      <c r="AC118" s="538" t="s">
        <v>79</v>
      </c>
      <c r="AD118" s="538" t="s">
        <v>404</v>
      </c>
      <c r="AE118" s="538" t="s">
        <v>79</v>
      </c>
      <c r="AF118" s="538" t="s">
        <v>404</v>
      </c>
      <c r="AG118" s="538" t="s">
        <v>79</v>
      </c>
      <c r="AH118" s="538" t="s">
        <v>404</v>
      </c>
      <c r="AI118" s="538" t="s">
        <v>79</v>
      </c>
      <c r="AJ118" s="538" t="s">
        <v>404</v>
      </c>
      <c r="AK118" s="538" t="s">
        <v>73</v>
      </c>
      <c r="AM118" s="538" t="s">
        <v>79</v>
      </c>
      <c r="AN118" s="538" t="s">
        <v>404</v>
      </c>
      <c r="AO118" s="538">
        <v>2.291243222E9</v>
      </c>
      <c r="AP118" s="538">
        <v>2.0</v>
      </c>
      <c r="AQ118" s="538">
        <v>2.58464522E8</v>
      </c>
      <c r="AR118" s="538">
        <v>33.0</v>
      </c>
      <c r="AS118" s="538" t="s">
        <v>47</v>
      </c>
      <c r="AV118" s="538" t="s">
        <v>404</v>
      </c>
    </row>
    <row r="119" ht="22.5" customHeight="1">
      <c r="A119" s="538">
        <v>118.0</v>
      </c>
      <c r="B119" s="538" t="s">
        <v>2683</v>
      </c>
      <c r="C119" s="538" t="s">
        <v>596</v>
      </c>
      <c r="D119" s="538" t="s">
        <v>241</v>
      </c>
      <c r="E119" s="538" t="s">
        <v>2686</v>
      </c>
      <c r="F119" s="538" t="s">
        <v>163</v>
      </c>
      <c r="G119" s="538" t="s">
        <v>250</v>
      </c>
      <c r="H119" s="538" t="s">
        <v>155</v>
      </c>
      <c r="J119" s="538" t="s">
        <v>2687</v>
      </c>
      <c r="K119" s="538" t="b">
        <v>0</v>
      </c>
      <c r="L119" s="538" t="b">
        <v>0</v>
      </c>
      <c r="M119" s="538" t="s">
        <v>79</v>
      </c>
      <c r="N119" s="538" t="s">
        <v>2688</v>
      </c>
      <c r="O119" s="538" t="s">
        <v>79</v>
      </c>
      <c r="P119" s="538" t="s">
        <v>2688</v>
      </c>
      <c r="Q119" s="538" t="s">
        <v>79</v>
      </c>
      <c r="R119" s="538" t="s">
        <v>2688</v>
      </c>
      <c r="S119" s="538" t="s">
        <v>79</v>
      </c>
      <c r="T119" s="538" t="s">
        <v>2688</v>
      </c>
      <c r="U119" s="538" t="s">
        <v>79</v>
      </c>
      <c r="V119" s="538" t="s">
        <v>2688</v>
      </c>
      <c r="W119" s="538" t="s">
        <v>79</v>
      </c>
      <c r="X119" s="538" t="s">
        <v>2688</v>
      </c>
      <c r="Y119" s="538" t="s">
        <v>79</v>
      </c>
      <c r="Z119" s="538" t="s">
        <v>377</v>
      </c>
      <c r="AA119" s="538" t="s">
        <v>79</v>
      </c>
      <c r="AB119" s="538" t="s">
        <v>377</v>
      </c>
      <c r="AC119" s="538" t="s">
        <v>79</v>
      </c>
      <c r="AD119" s="538" t="s">
        <v>2688</v>
      </c>
      <c r="AE119" s="538" t="s">
        <v>79</v>
      </c>
      <c r="AF119" s="538" t="s">
        <v>377</v>
      </c>
      <c r="AG119" s="538" t="s">
        <v>79</v>
      </c>
      <c r="AH119" s="538" t="s">
        <v>2688</v>
      </c>
      <c r="AI119" s="538" t="s">
        <v>79</v>
      </c>
      <c r="AJ119" s="538" t="s">
        <v>2688</v>
      </c>
      <c r="AK119" s="538" t="s">
        <v>79</v>
      </c>
      <c r="AL119" s="538" t="s">
        <v>241</v>
      </c>
      <c r="AM119" s="538" t="s">
        <v>79</v>
      </c>
      <c r="AN119" s="538" t="s">
        <v>241</v>
      </c>
      <c r="AO119" s="538">
        <v>3.438063136E9</v>
      </c>
      <c r="AP119" s="538">
        <v>3.0</v>
      </c>
      <c r="AQ119" s="538">
        <v>2.58464522E8</v>
      </c>
      <c r="AR119" s="538">
        <v>33.0</v>
      </c>
      <c r="AS119" s="538" t="s">
        <v>47</v>
      </c>
    </row>
    <row r="120" ht="22.5" customHeight="1">
      <c r="A120" s="538">
        <v>119.0</v>
      </c>
      <c r="B120" s="538" t="s">
        <v>2689</v>
      </c>
      <c r="C120" s="538" t="s">
        <v>596</v>
      </c>
      <c r="D120" s="538" t="s">
        <v>241</v>
      </c>
      <c r="E120" s="538" t="s">
        <v>2200</v>
      </c>
      <c r="F120" s="538" t="s">
        <v>239</v>
      </c>
      <c r="G120" s="538" t="s">
        <v>250</v>
      </c>
      <c r="H120" s="538" t="s">
        <v>155</v>
      </c>
      <c r="I120" s="538" t="s">
        <v>114</v>
      </c>
      <c r="J120" s="538" t="s">
        <v>2690</v>
      </c>
      <c r="K120" s="538" t="b">
        <v>0</v>
      </c>
      <c r="L120" s="538" t="b">
        <v>0</v>
      </c>
      <c r="M120" s="538" t="s">
        <v>79</v>
      </c>
      <c r="N120" s="538" t="s">
        <v>1994</v>
      </c>
      <c r="O120" s="538" t="s">
        <v>79</v>
      </c>
      <c r="P120" s="538" t="s">
        <v>1994</v>
      </c>
      <c r="Q120" s="538" t="s">
        <v>75</v>
      </c>
      <c r="R120" s="538" t="s">
        <v>348</v>
      </c>
      <c r="S120" s="538" t="s">
        <v>75</v>
      </c>
      <c r="T120" s="538" t="s">
        <v>348</v>
      </c>
      <c r="U120" s="538" t="s">
        <v>79</v>
      </c>
      <c r="V120" s="538" t="s">
        <v>1994</v>
      </c>
      <c r="W120" s="538" t="s">
        <v>75</v>
      </c>
      <c r="X120" s="538" t="s">
        <v>348</v>
      </c>
      <c r="Y120" s="538" t="s">
        <v>79</v>
      </c>
      <c r="Z120" s="538" t="s">
        <v>377</v>
      </c>
      <c r="AA120" s="538" t="s">
        <v>79</v>
      </c>
      <c r="AB120" s="538" t="s">
        <v>377</v>
      </c>
      <c r="AC120" s="538" t="s">
        <v>79</v>
      </c>
      <c r="AD120" s="538" t="s">
        <v>1994</v>
      </c>
      <c r="AE120" s="538" t="s">
        <v>79</v>
      </c>
      <c r="AF120" s="538" t="s">
        <v>377</v>
      </c>
      <c r="AG120" s="538" t="s">
        <v>79</v>
      </c>
      <c r="AH120" s="538" t="s">
        <v>1994</v>
      </c>
      <c r="AI120" s="538" t="s">
        <v>79</v>
      </c>
      <c r="AJ120" s="538" t="s">
        <v>1994</v>
      </c>
      <c r="AK120" s="538" t="s">
        <v>79</v>
      </c>
      <c r="AL120" s="538" t="s">
        <v>241</v>
      </c>
      <c r="AM120" s="538" t="s">
        <v>79</v>
      </c>
      <c r="AN120" s="538" t="s">
        <v>241</v>
      </c>
      <c r="AO120" s="538">
        <v>2.815343192E9</v>
      </c>
      <c r="AP120" s="538">
        <v>1.0</v>
      </c>
      <c r="AQ120" s="538">
        <v>1.024185972E9</v>
      </c>
      <c r="AR120" s="538">
        <v>34.0</v>
      </c>
      <c r="AS120" s="538" t="s">
        <v>41</v>
      </c>
      <c r="AV120" s="538" t="s">
        <v>348</v>
      </c>
    </row>
    <row r="121" ht="22.5" customHeight="1">
      <c r="A121" s="538">
        <v>120.0</v>
      </c>
      <c r="B121" s="538" t="s">
        <v>2689</v>
      </c>
      <c r="C121" s="538" t="s">
        <v>596</v>
      </c>
      <c r="D121" s="538" t="s">
        <v>307</v>
      </c>
      <c r="F121" s="538" t="s">
        <v>151</v>
      </c>
      <c r="G121" s="538" t="s">
        <v>250</v>
      </c>
      <c r="H121" s="538" t="s">
        <v>122</v>
      </c>
      <c r="J121" s="538" t="s">
        <v>2691</v>
      </c>
      <c r="K121" s="538" t="b">
        <v>0</v>
      </c>
      <c r="L121" s="538" t="b">
        <v>1</v>
      </c>
      <c r="M121" s="538" t="s">
        <v>79</v>
      </c>
      <c r="N121" s="538" t="s">
        <v>307</v>
      </c>
      <c r="O121" s="538" t="s">
        <v>79</v>
      </c>
      <c r="P121" s="538" t="s">
        <v>307</v>
      </c>
      <c r="Q121" s="538" t="s">
        <v>73</v>
      </c>
      <c r="S121" s="538" t="s">
        <v>79</v>
      </c>
      <c r="T121" s="538" t="s">
        <v>307</v>
      </c>
      <c r="U121" s="538" t="s">
        <v>79</v>
      </c>
      <c r="V121" s="538" t="s">
        <v>307</v>
      </c>
      <c r="W121" s="538" t="s">
        <v>79</v>
      </c>
      <c r="X121" s="538" t="s">
        <v>307</v>
      </c>
      <c r="Y121" s="538" t="s">
        <v>79</v>
      </c>
      <c r="Z121" s="538" t="s">
        <v>307</v>
      </c>
      <c r="AA121" s="538" t="s">
        <v>79</v>
      </c>
      <c r="AB121" s="538" t="s">
        <v>307</v>
      </c>
      <c r="AC121" s="538" t="s">
        <v>79</v>
      </c>
      <c r="AD121" s="538" t="s">
        <v>307</v>
      </c>
      <c r="AE121" s="538" t="s">
        <v>79</v>
      </c>
      <c r="AF121" s="538" t="s">
        <v>307</v>
      </c>
      <c r="AG121" s="538" t="s">
        <v>79</v>
      </c>
      <c r="AH121" s="538" t="s">
        <v>307</v>
      </c>
      <c r="AI121" s="538" t="s">
        <v>79</v>
      </c>
      <c r="AJ121" s="538" t="s">
        <v>307</v>
      </c>
      <c r="AK121" s="538" t="s">
        <v>73</v>
      </c>
      <c r="AM121" s="538" t="s">
        <v>79</v>
      </c>
      <c r="AN121" s="538" t="s">
        <v>307</v>
      </c>
      <c r="AO121" s="538">
        <v>3.553747693E9</v>
      </c>
      <c r="AP121" s="538">
        <v>2.0</v>
      </c>
      <c r="AQ121" s="538">
        <v>1.024185972E9</v>
      </c>
      <c r="AR121" s="538">
        <v>34.0</v>
      </c>
      <c r="AS121" s="538" t="s">
        <v>41</v>
      </c>
    </row>
    <row r="122" ht="22.5" customHeight="1">
      <c r="A122" s="538">
        <v>121.0</v>
      </c>
      <c r="B122" s="538" t="s">
        <v>2692</v>
      </c>
      <c r="C122" s="538" t="s">
        <v>596</v>
      </c>
      <c r="D122" s="538" t="s">
        <v>322</v>
      </c>
      <c r="E122" s="538" t="s">
        <v>1688</v>
      </c>
      <c r="F122" s="538" t="s">
        <v>239</v>
      </c>
      <c r="G122" s="538" t="s">
        <v>250</v>
      </c>
      <c r="H122" s="538" t="s">
        <v>155</v>
      </c>
      <c r="I122" s="538" t="s">
        <v>367</v>
      </c>
      <c r="J122" s="538" t="s">
        <v>2693</v>
      </c>
      <c r="K122" s="538" t="b">
        <v>0</v>
      </c>
      <c r="L122" s="538" t="b">
        <v>1</v>
      </c>
      <c r="M122" s="538" t="s">
        <v>79</v>
      </c>
      <c r="N122" s="538" t="s">
        <v>228</v>
      </c>
      <c r="O122" s="538" t="s">
        <v>79</v>
      </c>
      <c r="P122" s="538" t="s">
        <v>228</v>
      </c>
      <c r="Q122" s="538" t="s">
        <v>73</v>
      </c>
      <c r="S122" s="538" t="s">
        <v>73</v>
      </c>
      <c r="U122" s="538" t="s">
        <v>79</v>
      </c>
      <c r="V122" s="538" t="s">
        <v>228</v>
      </c>
      <c r="W122" s="538" t="s">
        <v>73</v>
      </c>
      <c r="Y122" s="538" t="s">
        <v>79</v>
      </c>
      <c r="Z122" s="538" t="s">
        <v>377</v>
      </c>
      <c r="AA122" s="538" t="s">
        <v>79</v>
      </c>
      <c r="AB122" s="538" t="s">
        <v>377</v>
      </c>
      <c r="AC122" s="538" t="s">
        <v>79</v>
      </c>
      <c r="AD122" s="538" t="s">
        <v>228</v>
      </c>
      <c r="AE122" s="538" t="s">
        <v>79</v>
      </c>
      <c r="AF122" s="538" t="s">
        <v>377</v>
      </c>
      <c r="AG122" s="538" t="s">
        <v>79</v>
      </c>
      <c r="AH122" s="538" t="s">
        <v>228</v>
      </c>
      <c r="AI122" s="538" t="s">
        <v>79</v>
      </c>
      <c r="AJ122" s="538" t="s">
        <v>228</v>
      </c>
      <c r="AK122" s="538" t="s">
        <v>79</v>
      </c>
      <c r="AL122" s="538" t="s">
        <v>322</v>
      </c>
      <c r="AM122" s="538" t="s">
        <v>79</v>
      </c>
      <c r="AN122" s="538" t="s">
        <v>322</v>
      </c>
      <c r="AO122" s="538">
        <v>1.005191827E9</v>
      </c>
      <c r="AP122" s="538">
        <v>1.0</v>
      </c>
      <c r="AQ122" s="538">
        <v>1.212779022E9</v>
      </c>
      <c r="AR122" s="538">
        <v>35.0</v>
      </c>
      <c r="AS122" s="538" t="s">
        <v>46</v>
      </c>
    </row>
    <row r="123" ht="22.5" customHeight="1">
      <c r="A123" s="538">
        <v>122.0</v>
      </c>
      <c r="B123" s="538" t="s">
        <v>2692</v>
      </c>
      <c r="C123" s="538" t="s">
        <v>596</v>
      </c>
      <c r="D123" s="538" t="s">
        <v>2694</v>
      </c>
      <c r="F123" s="538" t="s">
        <v>151</v>
      </c>
      <c r="G123" s="538" t="s">
        <v>250</v>
      </c>
      <c r="H123" s="538" t="s">
        <v>122</v>
      </c>
      <c r="J123" s="538" t="s">
        <v>2695</v>
      </c>
      <c r="K123" s="538" t="b">
        <v>0</v>
      </c>
      <c r="L123" s="538" t="b">
        <v>1</v>
      </c>
      <c r="M123" s="538" t="s">
        <v>79</v>
      </c>
      <c r="N123" s="538" t="s">
        <v>2694</v>
      </c>
      <c r="O123" s="538" t="s">
        <v>79</v>
      </c>
      <c r="P123" s="538" t="s">
        <v>2694</v>
      </c>
      <c r="Q123" s="538" t="s">
        <v>75</v>
      </c>
      <c r="R123" s="538" t="s">
        <v>1878</v>
      </c>
      <c r="S123" s="538" t="s">
        <v>79</v>
      </c>
      <c r="T123" s="538" t="s">
        <v>2694</v>
      </c>
      <c r="U123" s="538" t="s">
        <v>79</v>
      </c>
      <c r="V123" s="538" t="s">
        <v>2694</v>
      </c>
      <c r="W123" s="538" t="s">
        <v>79</v>
      </c>
      <c r="X123" s="538" t="s">
        <v>2694</v>
      </c>
      <c r="Y123" s="538" t="s">
        <v>79</v>
      </c>
      <c r="Z123" s="538" t="s">
        <v>2694</v>
      </c>
      <c r="AA123" s="538" t="s">
        <v>79</v>
      </c>
      <c r="AB123" s="538" t="s">
        <v>2694</v>
      </c>
      <c r="AC123" s="538" t="s">
        <v>79</v>
      </c>
      <c r="AD123" s="538" t="s">
        <v>2694</v>
      </c>
      <c r="AE123" s="538" t="s">
        <v>79</v>
      </c>
      <c r="AF123" s="538" t="s">
        <v>2694</v>
      </c>
      <c r="AG123" s="538" t="s">
        <v>79</v>
      </c>
      <c r="AH123" s="538" t="s">
        <v>2694</v>
      </c>
      <c r="AI123" s="538" t="s">
        <v>79</v>
      </c>
      <c r="AJ123" s="538" t="s">
        <v>2694</v>
      </c>
      <c r="AK123" s="538" t="s">
        <v>73</v>
      </c>
      <c r="AM123" s="538" t="s">
        <v>79</v>
      </c>
      <c r="AN123" s="538" t="s">
        <v>2694</v>
      </c>
      <c r="AO123" s="538">
        <v>1.986628218E9</v>
      </c>
      <c r="AP123" s="538">
        <v>2.0</v>
      </c>
      <c r="AQ123" s="538">
        <v>1.212779022E9</v>
      </c>
      <c r="AR123" s="538">
        <v>35.0</v>
      </c>
      <c r="AS123" s="538" t="s">
        <v>46</v>
      </c>
      <c r="AV123" s="538" t="s">
        <v>2694</v>
      </c>
    </row>
    <row r="124" ht="22.5" customHeight="1">
      <c r="A124" s="538">
        <v>123.0</v>
      </c>
      <c r="B124" s="538" t="s">
        <v>2692</v>
      </c>
      <c r="C124" s="538" t="s">
        <v>596</v>
      </c>
      <c r="D124" s="538" t="s">
        <v>241</v>
      </c>
      <c r="E124" s="538" t="s">
        <v>2696</v>
      </c>
      <c r="F124" s="538" t="s">
        <v>163</v>
      </c>
      <c r="G124" s="538" t="s">
        <v>250</v>
      </c>
      <c r="H124" s="538" t="s">
        <v>155</v>
      </c>
      <c r="I124" s="538" t="s">
        <v>2697</v>
      </c>
      <c r="J124" s="538" t="s">
        <v>2698</v>
      </c>
      <c r="K124" s="538" t="b">
        <v>0</v>
      </c>
      <c r="L124" s="538" t="b">
        <v>0</v>
      </c>
      <c r="M124" s="538" t="s">
        <v>79</v>
      </c>
      <c r="N124" s="538" t="s">
        <v>2696</v>
      </c>
      <c r="O124" s="538" t="s">
        <v>79</v>
      </c>
      <c r="P124" s="538" t="s">
        <v>2696</v>
      </c>
      <c r="Q124" s="538" t="s">
        <v>75</v>
      </c>
      <c r="R124" s="538" t="s">
        <v>2696</v>
      </c>
      <c r="S124" s="538" t="s">
        <v>75</v>
      </c>
      <c r="T124" s="538" t="s">
        <v>2696</v>
      </c>
      <c r="U124" s="538" t="s">
        <v>75</v>
      </c>
      <c r="V124" s="538" t="s">
        <v>2696</v>
      </c>
      <c r="W124" s="538" t="s">
        <v>75</v>
      </c>
      <c r="X124" s="538" t="s">
        <v>2696</v>
      </c>
      <c r="Y124" s="538" t="s">
        <v>75</v>
      </c>
      <c r="Z124" s="538" t="s">
        <v>2696</v>
      </c>
      <c r="AA124" s="538" t="s">
        <v>75</v>
      </c>
      <c r="AB124" s="538" t="s">
        <v>2696</v>
      </c>
      <c r="AC124" s="538" t="s">
        <v>75</v>
      </c>
      <c r="AD124" s="538" t="s">
        <v>2696</v>
      </c>
      <c r="AE124" s="538" t="s">
        <v>79</v>
      </c>
      <c r="AF124" s="538" t="s">
        <v>2696</v>
      </c>
      <c r="AG124" s="538" t="s">
        <v>79</v>
      </c>
      <c r="AH124" s="538" t="s">
        <v>2696</v>
      </c>
      <c r="AI124" s="538" t="s">
        <v>79</v>
      </c>
      <c r="AJ124" s="538" t="s">
        <v>2696</v>
      </c>
      <c r="AK124" s="538" t="s">
        <v>79</v>
      </c>
      <c r="AL124" s="538" t="s">
        <v>241</v>
      </c>
      <c r="AM124" s="538" t="s">
        <v>79</v>
      </c>
      <c r="AN124" s="538" t="s">
        <v>241</v>
      </c>
      <c r="AO124" s="538">
        <v>2.62988827E8</v>
      </c>
      <c r="AP124" s="538">
        <v>3.0</v>
      </c>
      <c r="AQ124" s="538">
        <v>1.212779022E9</v>
      </c>
      <c r="AR124" s="538">
        <v>35.0</v>
      </c>
      <c r="AS124" s="538" t="s">
        <v>46</v>
      </c>
      <c r="AV124" s="538" t="s">
        <v>2696</v>
      </c>
    </row>
    <row r="125" ht="22.5" customHeight="1">
      <c r="A125" s="538">
        <v>124.0</v>
      </c>
      <c r="B125" s="538" t="s">
        <v>2699</v>
      </c>
      <c r="C125" s="538" t="s">
        <v>596</v>
      </c>
      <c r="D125" s="538" t="s">
        <v>322</v>
      </c>
      <c r="E125" s="538" t="s">
        <v>228</v>
      </c>
      <c r="F125" s="538" t="s">
        <v>230</v>
      </c>
      <c r="G125" s="538" t="s">
        <v>250</v>
      </c>
      <c r="H125" s="538" t="s">
        <v>122</v>
      </c>
      <c r="I125" s="538" t="s">
        <v>320</v>
      </c>
      <c r="J125" s="538" t="s">
        <v>2700</v>
      </c>
      <c r="K125" s="538" t="b">
        <v>0</v>
      </c>
      <c r="L125" s="538" t="b">
        <v>1</v>
      </c>
      <c r="M125" s="538" t="s">
        <v>79</v>
      </c>
      <c r="N125" s="538" t="s">
        <v>228</v>
      </c>
      <c r="O125" s="538" t="s">
        <v>79</v>
      </c>
      <c r="P125" s="538" t="s">
        <v>228</v>
      </c>
      <c r="Q125" s="538" t="s">
        <v>73</v>
      </c>
      <c r="S125" s="538" t="s">
        <v>73</v>
      </c>
      <c r="U125" s="538" t="s">
        <v>79</v>
      </c>
      <c r="V125" s="538" t="s">
        <v>228</v>
      </c>
      <c r="W125" s="538" t="s">
        <v>73</v>
      </c>
      <c r="Y125" s="538" t="s">
        <v>73</v>
      </c>
      <c r="AA125" s="538" t="s">
        <v>73</v>
      </c>
      <c r="AC125" s="538" t="s">
        <v>79</v>
      </c>
      <c r="AD125" s="538" t="s">
        <v>228</v>
      </c>
      <c r="AE125" s="538" t="s">
        <v>73</v>
      </c>
      <c r="AG125" s="538" t="s">
        <v>79</v>
      </c>
      <c r="AH125" s="538" t="s">
        <v>228</v>
      </c>
      <c r="AI125" s="538" t="s">
        <v>79</v>
      </c>
      <c r="AJ125" s="538" t="s">
        <v>228</v>
      </c>
      <c r="AK125" s="538" t="s">
        <v>79</v>
      </c>
      <c r="AL125" s="538" t="s">
        <v>322</v>
      </c>
      <c r="AM125" s="538" t="s">
        <v>79</v>
      </c>
      <c r="AN125" s="538" t="s">
        <v>322</v>
      </c>
      <c r="AO125" s="538">
        <v>1.588963497E9</v>
      </c>
      <c r="AP125" s="538">
        <v>1.0</v>
      </c>
      <c r="AQ125" s="538">
        <v>2.820752375E9</v>
      </c>
      <c r="AR125" s="538">
        <v>29.0</v>
      </c>
      <c r="AS125" s="538" t="s">
        <v>45</v>
      </c>
    </row>
    <row r="126" ht="22.5" customHeight="1">
      <c r="A126" s="538">
        <v>125.0</v>
      </c>
      <c r="B126" s="538" t="s">
        <v>2699</v>
      </c>
      <c r="C126" s="538" t="s">
        <v>596</v>
      </c>
      <c r="D126" s="538" t="s">
        <v>325</v>
      </c>
      <c r="E126" s="538" t="s">
        <v>228</v>
      </c>
      <c r="F126" s="538" t="s">
        <v>163</v>
      </c>
      <c r="G126" s="538" t="s">
        <v>250</v>
      </c>
      <c r="H126" s="538" t="s">
        <v>155</v>
      </c>
      <c r="J126" s="538" t="s">
        <v>2701</v>
      </c>
      <c r="K126" s="538" t="b">
        <v>0</v>
      </c>
      <c r="L126" s="538" t="b">
        <v>1</v>
      </c>
      <c r="M126" s="538" t="s">
        <v>79</v>
      </c>
      <c r="N126" s="538" t="s">
        <v>228</v>
      </c>
      <c r="O126" s="538" t="s">
        <v>79</v>
      </c>
      <c r="P126" s="538" t="s">
        <v>228</v>
      </c>
      <c r="Q126" s="538" t="s">
        <v>73</v>
      </c>
      <c r="S126" s="538" t="s">
        <v>73</v>
      </c>
      <c r="U126" s="538" t="s">
        <v>79</v>
      </c>
      <c r="V126" s="538" t="s">
        <v>228</v>
      </c>
      <c r="W126" s="538" t="s">
        <v>73</v>
      </c>
      <c r="Y126" s="538" t="s">
        <v>73</v>
      </c>
      <c r="AA126" s="538" t="s">
        <v>73</v>
      </c>
      <c r="AC126" s="538" t="s">
        <v>79</v>
      </c>
      <c r="AD126" s="538" t="s">
        <v>228</v>
      </c>
      <c r="AE126" s="538" t="s">
        <v>73</v>
      </c>
      <c r="AG126" s="538" t="s">
        <v>79</v>
      </c>
      <c r="AH126" s="538" t="s">
        <v>228</v>
      </c>
      <c r="AI126" s="538" t="s">
        <v>79</v>
      </c>
      <c r="AJ126" s="538" t="s">
        <v>228</v>
      </c>
      <c r="AK126" s="538" t="s">
        <v>79</v>
      </c>
      <c r="AL126" s="538" t="s">
        <v>325</v>
      </c>
      <c r="AM126" s="538" t="s">
        <v>79</v>
      </c>
      <c r="AN126" s="538" t="s">
        <v>325</v>
      </c>
      <c r="AO126" s="538">
        <v>2.785717743E9</v>
      </c>
      <c r="AP126" s="538">
        <v>2.0</v>
      </c>
      <c r="AQ126" s="538">
        <v>2.820752375E9</v>
      </c>
      <c r="AR126" s="538">
        <v>29.0</v>
      </c>
      <c r="AS126" s="538" t="s">
        <v>45</v>
      </c>
    </row>
    <row r="127" ht="22.5" customHeight="1">
      <c r="A127" s="538">
        <v>126.0</v>
      </c>
      <c r="B127" s="538" t="s">
        <v>2702</v>
      </c>
      <c r="C127" s="538" t="s">
        <v>596</v>
      </c>
      <c r="D127" s="538" t="s">
        <v>322</v>
      </c>
      <c r="E127" s="538" t="s">
        <v>2703</v>
      </c>
      <c r="F127" s="538" t="s">
        <v>239</v>
      </c>
      <c r="G127" s="538" t="s">
        <v>222</v>
      </c>
      <c r="H127" s="538" t="s">
        <v>189</v>
      </c>
      <c r="I127" s="538" t="s">
        <v>350</v>
      </c>
      <c r="J127" s="538" t="s">
        <v>2704</v>
      </c>
      <c r="K127" s="538" t="b">
        <v>0</v>
      </c>
      <c r="L127" s="538" t="b">
        <v>1</v>
      </c>
      <c r="M127" s="538" t="s">
        <v>75</v>
      </c>
      <c r="N127" s="538" t="s">
        <v>2705</v>
      </c>
      <c r="O127" s="538" t="s">
        <v>75</v>
      </c>
      <c r="P127" s="538" t="s">
        <v>2705</v>
      </c>
      <c r="Q127" s="538" t="s">
        <v>79</v>
      </c>
      <c r="R127" s="538" t="s">
        <v>2703</v>
      </c>
      <c r="S127" s="538" t="s">
        <v>79</v>
      </c>
      <c r="T127" s="538" t="s">
        <v>2703</v>
      </c>
      <c r="U127" s="538" t="s">
        <v>79</v>
      </c>
      <c r="V127" s="538" t="s">
        <v>2703</v>
      </c>
      <c r="W127" s="538" t="s">
        <v>79</v>
      </c>
      <c r="X127" s="538" t="s">
        <v>2703</v>
      </c>
      <c r="Y127" s="538" t="s">
        <v>79</v>
      </c>
      <c r="Z127" s="538" t="s">
        <v>2703</v>
      </c>
      <c r="AA127" s="538" t="s">
        <v>79</v>
      </c>
      <c r="AB127" s="538" t="s">
        <v>2703</v>
      </c>
      <c r="AC127" s="538" t="s">
        <v>79</v>
      </c>
      <c r="AD127" s="538" t="s">
        <v>2703</v>
      </c>
      <c r="AE127" s="538" t="s">
        <v>79</v>
      </c>
      <c r="AF127" s="538" t="s">
        <v>2703</v>
      </c>
      <c r="AG127" s="538" t="s">
        <v>79</v>
      </c>
      <c r="AH127" s="538" t="s">
        <v>2703</v>
      </c>
      <c r="AI127" s="538" t="s">
        <v>79</v>
      </c>
      <c r="AJ127" s="538" t="s">
        <v>2703</v>
      </c>
      <c r="AK127" s="538" t="s">
        <v>79</v>
      </c>
      <c r="AL127" s="538" t="s">
        <v>322</v>
      </c>
      <c r="AM127" s="538" t="s">
        <v>79</v>
      </c>
      <c r="AN127" s="538" t="s">
        <v>322</v>
      </c>
      <c r="AO127" s="538">
        <v>3.47944958E8</v>
      </c>
      <c r="AP127" s="538">
        <v>1.0</v>
      </c>
      <c r="AQ127" s="538">
        <v>2.810835688E9</v>
      </c>
      <c r="AR127" s="538">
        <v>38.0</v>
      </c>
      <c r="AS127" s="538" t="s">
        <v>46</v>
      </c>
      <c r="AT127" s="538" t="s">
        <v>2005</v>
      </c>
      <c r="AV127" s="538" t="s">
        <v>2705</v>
      </c>
    </row>
    <row r="128" ht="22.5" customHeight="1">
      <c r="A128" s="538">
        <v>127.0</v>
      </c>
      <c r="B128" s="538" t="s">
        <v>2702</v>
      </c>
      <c r="C128" s="538" t="s">
        <v>596</v>
      </c>
      <c r="D128" s="538" t="s">
        <v>325</v>
      </c>
      <c r="E128" s="538" t="s">
        <v>248</v>
      </c>
      <c r="F128" s="538" t="s">
        <v>163</v>
      </c>
      <c r="G128" s="538" t="s">
        <v>250</v>
      </c>
      <c r="H128" s="538" t="s">
        <v>155</v>
      </c>
      <c r="J128" s="538" t="s">
        <v>2706</v>
      </c>
      <c r="K128" s="538" t="b">
        <v>0</v>
      </c>
      <c r="L128" s="538" t="b">
        <v>1</v>
      </c>
      <c r="M128" s="538" t="s">
        <v>73</v>
      </c>
      <c r="O128" s="538" t="s">
        <v>73</v>
      </c>
      <c r="Q128" s="538" t="s">
        <v>79</v>
      </c>
      <c r="R128" s="538" t="s">
        <v>248</v>
      </c>
      <c r="S128" s="538" t="s">
        <v>79</v>
      </c>
      <c r="T128" s="538" t="s">
        <v>248</v>
      </c>
      <c r="U128" s="538" t="s">
        <v>79</v>
      </c>
      <c r="V128" s="538" t="s">
        <v>248</v>
      </c>
      <c r="W128" s="538" t="s">
        <v>79</v>
      </c>
      <c r="X128" s="538" t="s">
        <v>248</v>
      </c>
      <c r="Y128" s="538" t="s">
        <v>79</v>
      </c>
      <c r="Z128" s="538" t="s">
        <v>248</v>
      </c>
      <c r="AA128" s="538" t="s">
        <v>79</v>
      </c>
      <c r="AB128" s="538" t="s">
        <v>248</v>
      </c>
      <c r="AC128" s="538" t="s">
        <v>79</v>
      </c>
      <c r="AD128" s="538" t="s">
        <v>248</v>
      </c>
      <c r="AE128" s="538" t="s">
        <v>79</v>
      </c>
      <c r="AF128" s="538" t="s">
        <v>248</v>
      </c>
      <c r="AG128" s="538" t="s">
        <v>79</v>
      </c>
      <c r="AH128" s="538" t="s">
        <v>248</v>
      </c>
      <c r="AI128" s="538" t="s">
        <v>79</v>
      </c>
      <c r="AJ128" s="538" t="s">
        <v>248</v>
      </c>
      <c r="AK128" s="538" t="s">
        <v>79</v>
      </c>
      <c r="AL128" s="538" t="s">
        <v>325</v>
      </c>
      <c r="AM128" s="538" t="s">
        <v>79</v>
      </c>
      <c r="AN128" s="538" t="s">
        <v>325</v>
      </c>
      <c r="AO128" s="538">
        <v>4.224703065E9</v>
      </c>
      <c r="AP128" s="538">
        <v>2.0</v>
      </c>
      <c r="AQ128" s="538">
        <v>2.810835688E9</v>
      </c>
      <c r="AR128" s="538">
        <v>38.0</v>
      </c>
      <c r="AS128" s="538" t="s">
        <v>46</v>
      </c>
    </row>
    <row r="129" ht="22.5" customHeight="1">
      <c r="A129" s="538">
        <v>128.0</v>
      </c>
      <c r="B129" s="538" t="s">
        <v>2702</v>
      </c>
      <c r="C129" s="538" t="s">
        <v>596</v>
      </c>
      <c r="D129" s="538" t="s">
        <v>218</v>
      </c>
      <c r="E129" s="538" t="s">
        <v>2703</v>
      </c>
      <c r="F129" s="538" t="s">
        <v>239</v>
      </c>
      <c r="G129" s="538" t="s">
        <v>250</v>
      </c>
      <c r="H129" s="538" t="s">
        <v>122</v>
      </c>
      <c r="I129" s="538" t="s">
        <v>320</v>
      </c>
      <c r="J129" s="538" t="s">
        <v>2707</v>
      </c>
      <c r="K129" s="538" t="b">
        <v>0</v>
      </c>
      <c r="L129" s="538" t="b">
        <v>1</v>
      </c>
      <c r="M129" s="538" t="s">
        <v>75</v>
      </c>
      <c r="N129" s="538" t="s">
        <v>2705</v>
      </c>
      <c r="O129" s="538" t="s">
        <v>75</v>
      </c>
      <c r="P129" s="538" t="s">
        <v>2705</v>
      </c>
      <c r="Q129" s="538" t="s">
        <v>79</v>
      </c>
      <c r="R129" s="538" t="s">
        <v>2703</v>
      </c>
      <c r="S129" s="538" t="s">
        <v>79</v>
      </c>
      <c r="T129" s="538" t="s">
        <v>2703</v>
      </c>
      <c r="U129" s="538" t="s">
        <v>79</v>
      </c>
      <c r="V129" s="538" t="s">
        <v>2703</v>
      </c>
      <c r="W129" s="538" t="s">
        <v>79</v>
      </c>
      <c r="X129" s="538" t="s">
        <v>2703</v>
      </c>
      <c r="Y129" s="538" t="s">
        <v>79</v>
      </c>
      <c r="Z129" s="538" t="s">
        <v>2703</v>
      </c>
      <c r="AA129" s="538" t="s">
        <v>79</v>
      </c>
      <c r="AB129" s="538" t="s">
        <v>2703</v>
      </c>
      <c r="AC129" s="538" t="s">
        <v>79</v>
      </c>
      <c r="AD129" s="538" t="s">
        <v>2703</v>
      </c>
      <c r="AE129" s="538" t="s">
        <v>79</v>
      </c>
      <c r="AF129" s="538" t="s">
        <v>2703</v>
      </c>
      <c r="AG129" s="538" t="s">
        <v>79</v>
      </c>
      <c r="AH129" s="538" t="s">
        <v>2703</v>
      </c>
      <c r="AI129" s="538" t="s">
        <v>79</v>
      </c>
      <c r="AJ129" s="538" t="s">
        <v>2703</v>
      </c>
      <c r="AK129" s="538" t="s">
        <v>79</v>
      </c>
      <c r="AL129" s="538" t="s">
        <v>218</v>
      </c>
      <c r="AM129" s="538" t="s">
        <v>79</v>
      </c>
      <c r="AN129" s="538" t="s">
        <v>218</v>
      </c>
      <c r="AO129" s="538">
        <v>5.85391951E8</v>
      </c>
      <c r="AP129" s="538">
        <v>3.0</v>
      </c>
      <c r="AQ129" s="538">
        <v>2.810835688E9</v>
      </c>
      <c r="AR129" s="538">
        <v>38.0</v>
      </c>
      <c r="AS129" s="538" t="s">
        <v>46</v>
      </c>
      <c r="AT129" s="538" t="s">
        <v>2005</v>
      </c>
      <c r="AV129" s="538" t="s">
        <v>2705</v>
      </c>
    </row>
    <row r="130" ht="22.5" customHeight="1">
      <c r="A130" s="538">
        <v>129.0</v>
      </c>
      <c r="B130" s="538" t="s">
        <v>2708</v>
      </c>
      <c r="C130" s="538" t="s">
        <v>596</v>
      </c>
      <c r="D130" s="538" t="s">
        <v>214</v>
      </c>
      <c r="E130" s="538" t="s">
        <v>1994</v>
      </c>
      <c r="F130" s="538" t="s">
        <v>239</v>
      </c>
      <c r="G130" s="538" t="s">
        <v>222</v>
      </c>
      <c r="H130" s="538" t="s">
        <v>197</v>
      </c>
      <c r="I130" s="538" t="s">
        <v>356</v>
      </c>
      <c r="J130" s="538" t="s">
        <v>2709</v>
      </c>
      <c r="K130" s="538" t="b">
        <v>1</v>
      </c>
      <c r="L130" s="538" t="b">
        <v>1</v>
      </c>
      <c r="M130" s="538" t="s">
        <v>79</v>
      </c>
      <c r="N130" s="538" t="s">
        <v>1994</v>
      </c>
      <c r="O130" s="538" t="s">
        <v>79</v>
      </c>
      <c r="P130" s="538" t="s">
        <v>1994</v>
      </c>
      <c r="Q130" s="538" t="s">
        <v>75</v>
      </c>
      <c r="R130" s="538" t="s">
        <v>348</v>
      </c>
      <c r="S130" s="538" t="s">
        <v>75</v>
      </c>
      <c r="T130" s="538" t="s">
        <v>348</v>
      </c>
      <c r="U130" s="538" t="s">
        <v>79</v>
      </c>
      <c r="V130" s="538" t="s">
        <v>1994</v>
      </c>
      <c r="W130" s="538" t="s">
        <v>75</v>
      </c>
      <c r="X130" s="538" t="s">
        <v>348</v>
      </c>
      <c r="Y130" s="538" t="s">
        <v>75</v>
      </c>
      <c r="Z130" s="538" t="s">
        <v>348</v>
      </c>
      <c r="AA130" s="538" t="s">
        <v>75</v>
      </c>
      <c r="AB130" s="538" t="s">
        <v>348</v>
      </c>
      <c r="AC130" s="538" t="s">
        <v>79</v>
      </c>
      <c r="AD130" s="538" t="s">
        <v>1994</v>
      </c>
      <c r="AE130" s="538" t="s">
        <v>75</v>
      </c>
      <c r="AF130" s="538" t="s">
        <v>348</v>
      </c>
      <c r="AG130" s="538" t="s">
        <v>79</v>
      </c>
      <c r="AH130" s="538" t="s">
        <v>1994</v>
      </c>
      <c r="AI130" s="538" t="s">
        <v>79</v>
      </c>
      <c r="AJ130" s="538" t="s">
        <v>1994</v>
      </c>
      <c r="AK130" s="538" t="s">
        <v>79</v>
      </c>
      <c r="AL130" s="538" t="s">
        <v>214</v>
      </c>
      <c r="AM130" s="538" t="s">
        <v>79</v>
      </c>
      <c r="AN130" s="538" t="s">
        <v>214</v>
      </c>
      <c r="AO130" s="538">
        <v>4.59798558E8</v>
      </c>
      <c r="AP130" s="538">
        <v>1.0</v>
      </c>
      <c r="AQ130" s="538">
        <v>3.838074426E9</v>
      </c>
      <c r="AR130" s="538">
        <v>37.0</v>
      </c>
      <c r="AS130" s="538" t="s">
        <v>47</v>
      </c>
      <c r="AV130" s="538" t="s">
        <v>348</v>
      </c>
    </row>
    <row r="131" ht="22.5" customHeight="1">
      <c r="A131" s="538">
        <v>130.0</v>
      </c>
      <c r="B131" s="538" t="s">
        <v>2708</v>
      </c>
      <c r="C131" s="538" t="s">
        <v>596</v>
      </c>
      <c r="D131" s="538" t="s">
        <v>322</v>
      </c>
      <c r="E131" s="538" t="s">
        <v>233</v>
      </c>
      <c r="F131" s="538" t="s">
        <v>163</v>
      </c>
      <c r="G131" s="538" t="s">
        <v>250</v>
      </c>
      <c r="H131" s="538" t="s">
        <v>155</v>
      </c>
      <c r="I131" s="538" t="s">
        <v>2661</v>
      </c>
      <c r="J131" s="538" t="s">
        <v>2710</v>
      </c>
      <c r="K131" s="538" t="b">
        <v>0</v>
      </c>
      <c r="L131" s="538" t="b">
        <v>1</v>
      </c>
      <c r="M131" s="538" t="s">
        <v>79</v>
      </c>
      <c r="N131" s="538" t="s">
        <v>233</v>
      </c>
      <c r="O131" s="538" t="s">
        <v>79</v>
      </c>
      <c r="P131" s="538" t="s">
        <v>233</v>
      </c>
      <c r="Q131" s="538" t="s">
        <v>75</v>
      </c>
      <c r="R131" s="538" t="s">
        <v>2663</v>
      </c>
      <c r="S131" s="538" t="s">
        <v>75</v>
      </c>
      <c r="T131" s="538" t="s">
        <v>2663</v>
      </c>
      <c r="U131" s="538" t="s">
        <v>75</v>
      </c>
      <c r="V131" s="538" t="s">
        <v>2663</v>
      </c>
      <c r="W131" s="538" t="s">
        <v>75</v>
      </c>
      <c r="X131" s="538" t="s">
        <v>2663</v>
      </c>
      <c r="Y131" s="538" t="s">
        <v>75</v>
      </c>
      <c r="Z131" s="538" t="s">
        <v>2663</v>
      </c>
      <c r="AA131" s="538" t="s">
        <v>75</v>
      </c>
      <c r="AB131" s="538" t="s">
        <v>2663</v>
      </c>
      <c r="AC131" s="538" t="s">
        <v>75</v>
      </c>
      <c r="AD131" s="538" t="s">
        <v>2663</v>
      </c>
      <c r="AE131" s="538" t="s">
        <v>79</v>
      </c>
      <c r="AF131" s="538" t="s">
        <v>233</v>
      </c>
      <c r="AG131" s="538" t="s">
        <v>79</v>
      </c>
      <c r="AH131" s="538" t="s">
        <v>233</v>
      </c>
      <c r="AI131" s="538" t="s">
        <v>79</v>
      </c>
      <c r="AJ131" s="538" t="s">
        <v>233</v>
      </c>
      <c r="AK131" s="538" t="s">
        <v>79</v>
      </c>
      <c r="AL131" s="538" t="s">
        <v>322</v>
      </c>
      <c r="AM131" s="538" t="s">
        <v>79</v>
      </c>
      <c r="AN131" s="538" t="s">
        <v>322</v>
      </c>
      <c r="AO131" s="538">
        <v>8.01611551E8</v>
      </c>
      <c r="AP131" s="538">
        <v>2.0</v>
      </c>
      <c r="AQ131" s="538">
        <v>3.838074426E9</v>
      </c>
      <c r="AR131" s="538">
        <v>37.0</v>
      </c>
      <c r="AS131" s="538" t="s">
        <v>47</v>
      </c>
      <c r="AV131" s="538" t="s">
        <v>2663</v>
      </c>
    </row>
    <row r="132" ht="22.5" customHeight="1">
      <c r="A132" s="538">
        <v>131.0</v>
      </c>
      <c r="B132" s="538" t="s">
        <v>2708</v>
      </c>
      <c r="C132" s="538" t="s">
        <v>596</v>
      </c>
      <c r="D132" s="538" t="s">
        <v>2711</v>
      </c>
      <c r="F132" s="538" t="s">
        <v>151</v>
      </c>
      <c r="G132" s="538" t="s">
        <v>250</v>
      </c>
      <c r="H132" s="538" t="s">
        <v>122</v>
      </c>
      <c r="J132" s="538" t="s">
        <v>2712</v>
      </c>
      <c r="K132" s="538" t="b">
        <v>0</v>
      </c>
      <c r="L132" s="538" t="b">
        <v>1</v>
      </c>
      <c r="M132" s="538" t="s">
        <v>79</v>
      </c>
      <c r="N132" s="538" t="s">
        <v>2711</v>
      </c>
      <c r="O132" s="538" t="s">
        <v>79</v>
      </c>
      <c r="P132" s="538" t="s">
        <v>2711</v>
      </c>
      <c r="Q132" s="538" t="s">
        <v>75</v>
      </c>
      <c r="R132" s="538" t="s">
        <v>1878</v>
      </c>
      <c r="S132" s="538" t="s">
        <v>79</v>
      </c>
      <c r="T132" s="538" t="s">
        <v>2711</v>
      </c>
      <c r="U132" s="538" t="s">
        <v>79</v>
      </c>
      <c r="V132" s="538" t="s">
        <v>2711</v>
      </c>
      <c r="W132" s="538" t="s">
        <v>79</v>
      </c>
      <c r="X132" s="538" t="s">
        <v>2711</v>
      </c>
      <c r="Y132" s="538" t="s">
        <v>79</v>
      </c>
      <c r="Z132" s="538" t="s">
        <v>2711</v>
      </c>
      <c r="AA132" s="538" t="s">
        <v>79</v>
      </c>
      <c r="AB132" s="538" t="s">
        <v>2711</v>
      </c>
      <c r="AC132" s="538" t="s">
        <v>79</v>
      </c>
      <c r="AD132" s="538" t="s">
        <v>2711</v>
      </c>
      <c r="AE132" s="538" t="s">
        <v>79</v>
      </c>
      <c r="AF132" s="538" t="s">
        <v>2711</v>
      </c>
      <c r="AG132" s="538" t="s">
        <v>79</v>
      </c>
      <c r="AH132" s="538" t="s">
        <v>2711</v>
      </c>
      <c r="AI132" s="538" t="s">
        <v>79</v>
      </c>
      <c r="AJ132" s="538" t="s">
        <v>2711</v>
      </c>
      <c r="AK132" s="538" t="s">
        <v>73</v>
      </c>
      <c r="AM132" s="538" t="s">
        <v>79</v>
      </c>
      <c r="AN132" s="538" t="s">
        <v>2711</v>
      </c>
      <c r="AO132" s="538">
        <v>8.69181822E8</v>
      </c>
      <c r="AP132" s="538">
        <v>3.0</v>
      </c>
      <c r="AQ132" s="538">
        <v>3.838074426E9</v>
      </c>
      <c r="AR132" s="538">
        <v>37.0</v>
      </c>
      <c r="AS132" s="538" t="s">
        <v>47</v>
      </c>
      <c r="AV132" s="538" t="s">
        <v>2711</v>
      </c>
    </row>
    <row r="133" ht="22.5" customHeight="1">
      <c r="A133" s="538">
        <v>132.0</v>
      </c>
      <c r="B133" s="538" t="s">
        <v>2713</v>
      </c>
      <c r="C133" s="538" t="s">
        <v>596</v>
      </c>
      <c r="D133" s="538" t="s">
        <v>241</v>
      </c>
      <c r="E133" s="538" t="s">
        <v>2154</v>
      </c>
      <c r="F133" s="538" t="s">
        <v>163</v>
      </c>
      <c r="G133" s="538" t="s">
        <v>250</v>
      </c>
      <c r="H133" s="538" t="s">
        <v>155</v>
      </c>
      <c r="J133" s="538" t="s">
        <v>2714</v>
      </c>
      <c r="K133" s="538" t="b">
        <v>0</v>
      </c>
      <c r="L133" s="538" t="b">
        <v>0</v>
      </c>
      <c r="M133" s="538" t="s">
        <v>75</v>
      </c>
      <c r="N133" s="538" t="s">
        <v>348</v>
      </c>
      <c r="O133" s="538" t="s">
        <v>75</v>
      </c>
      <c r="P133" s="538" t="s">
        <v>348</v>
      </c>
      <c r="Q133" s="538" t="s">
        <v>79</v>
      </c>
      <c r="R133" s="538" t="s">
        <v>2154</v>
      </c>
      <c r="S133" s="538" t="s">
        <v>79</v>
      </c>
      <c r="T133" s="538" t="s">
        <v>2154</v>
      </c>
      <c r="U133" s="538" t="s">
        <v>79</v>
      </c>
      <c r="V133" s="538" t="s">
        <v>2154</v>
      </c>
      <c r="W133" s="538" t="s">
        <v>79</v>
      </c>
      <c r="X133" s="538" t="s">
        <v>2154</v>
      </c>
      <c r="Y133" s="538" t="s">
        <v>79</v>
      </c>
      <c r="Z133" s="538" t="s">
        <v>2154</v>
      </c>
      <c r="AA133" s="538" t="s">
        <v>79</v>
      </c>
      <c r="AB133" s="538" t="s">
        <v>2154</v>
      </c>
      <c r="AC133" s="538" t="s">
        <v>79</v>
      </c>
      <c r="AD133" s="538" t="s">
        <v>2154</v>
      </c>
      <c r="AE133" s="538" t="s">
        <v>79</v>
      </c>
      <c r="AF133" s="538" t="s">
        <v>2154</v>
      </c>
      <c r="AG133" s="538" t="s">
        <v>79</v>
      </c>
      <c r="AH133" s="538" t="s">
        <v>2154</v>
      </c>
      <c r="AI133" s="538" t="s">
        <v>79</v>
      </c>
      <c r="AJ133" s="538" t="s">
        <v>2154</v>
      </c>
      <c r="AK133" s="538" t="s">
        <v>79</v>
      </c>
      <c r="AL133" s="538" t="s">
        <v>241</v>
      </c>
      <c r="AM133" s="538" t="s">
        <v>79</v>
      </c>
      <c r="AN133" s="538" t="s">
        <v>241</v>
      </c>
      <c r="AO133" s="538">
        <v>1.048556902E9</v>
      </c>
      <c r="AP133" s="538">
        <v>1.0</v>
      </c>
      <c r="AQ133" s="538">
        <v>3.266867064E9</v>
      </c>
      <c r="AR133" s="538">
        <v>36.0</v>
      </c>
      <c r="AS133" s="538" t="s">
        <v>47</v>
      </c>
      <c r="AV133" s="538" t="s">
        <v>348</v>
      </c>
    </row>
    <row r="134" ht="22.5" customHeight="1">
      <c r="A134" s="538">
        <v>133.0</v>
      </c>
      <c r="B134" s="538" t="s">
        <v>2713</v>
      </c>
      <c r="C134" s="538" t="s">
        <v>596</v>
      </c>
      <c r="D134" s="538" t="s">
        <v>112</v>
      </c>
      <c r="E134" s="538" t="s">
        <v>2715</v>
      </c>
      <c r="F134" s="538" t="s">
        <v>239</v>
      </c>
      <c r="G134" s="538" t="s">
        <v>222</v>
      </c>
      <c r="H134" s="538" t="s">
        <v>189</v>
      </c>
      <c r="I134" s="538" t="s">
        <v>320</v>
      </c>
      <c r="J134" s="538" t="s">
        <v>2716</v>
      </c>
      <c r="K134" s="538" t="b">
        <v>0</v>
      </c>
      <c r="L134" s="538" t="b">
        <v>1</v>
      </c>
      <c r="M134" s="538" t="s">
        <v>75</v>
      </c>
      <c r="N134" s="538" t="s">
        <v>2717</v>
      </c>
      <c r="O134" s="538" t="s">
        <v>75</v>
      </c>
      <c r="P134" s="538" t="s">
        <v>2717</v>
      </c>
      <c r="Q134" s="538" t="s">
        <v>79</v>
      </c>
      <c r="R134" s="538" t="s">
        <v>2715</v>
      </c>
      <c r="S134" s="538" t="s">
        <v>79</v>
      </c>
      <c r="T134" s="538" t="s">
        <v>2715</v>
      </c>
      <c r="U134" s="538" t="s">
        <v>79</v>
      </c>
      <c r="V134" s="538" t="s">
        <v>2715</v>
      </c>
      <c r="W134" s="538" t="s">
        <v>79</v>
      </c>
      <c r="X134" s="538" t="s">
        <v>2715</v>
      </c>
      <c r="Y134" s="538" t="s">
        <v>79</v>
      </c>
      <c r="Z134" s="538" t="s">
        <v>2715</v>
      </c>
      <c r="AA134" s="538" t="s">
        <v>79</v>
      </c>
      <c r="AB134" s="538" t="s">
        <v>2715</v>
      </c>
      <c r="AC134" s="538" t="s">
        <v>79</v>
      </c>
      <c r="AD134" s="538" t="s">
        <v>2715</v>
      </c>
      <c r="AE134" s="538" t="s">
        <v>79</v>
      </c>
      <c r="AF134" s="538" t="s">
        <v>2715</v>
      </c>
      <c r="AG134" s="538" t="s">
        <v>79</v>
      </c>
      <c r="AH134" s="538" t="s">
        <v>2715</v>
      </c>
      <c r="AI134" s="538" t="s">
        <v>79</v>
      </c>
      <c r="AJ134" s="538" t="s">
        <v>2715</v>
      </c>
      <c r="AK134" s="538" t="s">
        <v>79</v>
      </c>
      <c r="AL134" s="538" t="s">
        <v>112</v>
      </c>
      <c r="AM134" s="538" t="s">
        <v>79</v>
      </c>
      <c r="AN134" s="538" t="s">
        <v>112</v>
      </c>
      <c r="AO134" s="538">
        <v>3.574008773E9</v>
      </c>
      <c r="AP134" s="538">
        <v>2.0</v>
      </c>
      <c r="AQ134" s="538">
        <v>3.266867064E9</v>
      </c>
      <c r="AR134" s="538">
        <v>36.0</v>
      </c>
      <c r="AS134" s="538" t="s">
        <v>47</v>
      </c>
      <c r="AU134" s="538" t="s">
        <v>663</v>
      </c>
      <c r="AV134" s="538" t="s">
        <v>2717</v>
      </c>
    </row>
    <row r="135" ht="22.5" customHeight="1">
      <c r="A135" s="538">
        <v>134.0</v>
      </c>
      <c r="B135" s="538" t="s">
        <v>2713</v>
      </c>
      <c r="C135" s="538" t="s">
        <v>596</v>
      </c>
      <c r="D135" s="538" t="s">
        <v>363</v>
      </c>
      <c r="E135" s="538" t="s">
        <v>248</v>
      </c>
      <c r="F135" s="538" t="s">
        <v>163</v>
      </c>
      <c r="G135" s="538" t="s">
        <v>250</v>
      </c>
      <c r="H135" s="538" t="s">
        <v>122</v>
      </c>
      <c r="J135" s="538" t="s">
        <v>2718</v>
      </c>
      <c r="K135" s="538" t="b">
        <v>0</v>
      </c>
      <c r="L135" s="538" t="b">
        <v>1</v>
      </c>
      <c r="M135" s="538" t="s">
        <v>73</v>
      </c>
      <c r="O135" s="538" t="s">
        <v>73</v>
      </c>
      <c r="Q135" s="538" t="s">
        <v>79</v>
      </c>
      <c r="R135" s="538" t="s">
        <v>248</v>
      </c>
      <c r="S135" s="538" t="s">
        <v>79</v>
      </c>
      <c r="T135" s="538" t="s">
        <v>248</v>
      </c>
      <c r="U135" s="538" t="s">
        <v>79</v>
      </c>
      <c r="V135" s="538" t="s">
        <v>248</v>
      </c>
      <c r="W135" s="538" t="s">
        <v>79</v>
      </c>
      <c r="X135" s="538" t="s">
        <v>248</v>
      </c>
      <c r="Y135" s="538" t="s">
        <v>79</v>
      </c>
      <c r="Z135" s="538" t="s">
        <v>248</v>
      </c>
      <c r="AA135" s="538" t="s">
        <v>79</v>
      </c>
      <c r="AB135" s="538" t="s">
        <v>248</v>
      </c>
      <c r="AC135" s="538" t="s">
        <v>79</v>
      </c>
      <c r="AD135" s="538" t="s">
        <v>248</v>
      </c>
      <c r="AE135" s="538" t="s">
        <v>79</v>
      </c>
      <c r="AF135" s="538" t="s">
        <v>248</v>
      </c>
      <c r="AG135" s="538" t="s">
        <v>79</v>
      </c>
      <c r="AH135" s="538" t="s">
        <v>248</v>
      </c>
      <c r="AI135" s="538" t="s">
        <v>79</v>
      </c>
      <c r="AJ135" s="538" t="s">
        <v>248</v>
      </c>
      <c r="AK135" s="538" t="s">
        <v>79</v>
      </c>
      <c r="AL135" s="538" t="s">
        <v>363</v>
      </c>
      <c r="AM135" s="538" t="s">
        <v>79</v>
      </c>
      <c r="AN135" s="538" t="s">
        <v>363</v>
      </c>
      <c r="AO135" s="538">
        <v>2.947407271E9</v>
      </c>
      <c r="AP135" s="538">
        <v>3.0</v>
      </c>
      <c r="AQ135" s="538">
        <v>3.266867064E9</v>
      </c>
      <c r="AR135" s="538">
        <v>36.0</v>
      </c>
      <c r="AS135" s="538" t="s">
        <v>47</v>
      </c>
    </row>
    <row r="136" ht="22.5" customHeight="1">
      <c r="A136" s="538">
        <v>135.0</v>
      </c>
      <c r="B136" s="538" t="s">
        <v>2719</v>
      </c>
      <c r="C136" s="538" t="s">
        <v>596</v>
      </c>
      <c r="D136" s="538" t="s">
        <v>398</v>
      </c>
      <c r="F136" s="538" t="s">
        <v>151</v>
      </c>
      <c r="G136" s="538" t="s">
        <v>250</v>
      </c>
      <c r="H136" s="538" t="s">
        <v>155</v>
      </c>
      <c r="J136" s="538" t="s">
        <v>2720</v>
      </c>
      <c r="K136" s="538" t="b">
        <v>0</v>
      </c>
      <c r="L136" s="538" t="b">
        <v>0</v>
      </c>
      <c r="M136" s="538" t="s">
        <v>79</v>
      </c>
      <c r="N136" s="538" t="s">
        <v>398</v>
      </c>
      <c r="O136" s="538" t="s">
        <v>79</v>
      </c>
      <c r="P136" s="538" t="s">
        <v>398</v>
      </c>
      <c r="Q136" s="538" t="s">
        <v>79</v>
      </c>
      <c r="R136" s="538" t="s">
        <v>398</v>
      </c>
      <c r="S136" s="538" t="s">
        <v>79</v>
      </c>
      <c r="T136" s="538" t="s">
        <v>398</v>
      </c>
      <c r="U136" s="538" t="s">
        <v>79</v>
      </c>
      <c r="V136" s="538" t="s">
        <v>398</v>
      </c>
      <c r="W136" s="538" t="s">
        <v>79</v>
      </c>
      <c r="X136" s="538" t="s">
        <v>398</v>
      </c>
      <c r="Y136" s="538" t="s">
        <v>79</v>
      </c>
      <c r="Z136" s="538" t="s">
        <v>398</v>
      </c>
      <c r="AA136" s="538" t="s">
        <v>79</v>
      </c>
      <c r="AB136" s="538" t="s">
        <v>398</v>
      </c>
      <c r="AC136" s="538" t="s">
        <v>79</v>
      </c>
      <c r="AD136" s="538" t="s">
        <v>398</v>
      </c>
      <c r="AE136" s="538" t="s">
        <v>79</v>
      </c>
      <c r="AF136" s="538" t="s">
        <v>398</v>
      </c>
      <c r="AG136" s="538" t="s">
        <v>79</v>
      </c>
      <c r="AH136" s="538" t="s">
        <v>398</v>
      </c>
      <c r="AI136" s="538" t="s">
        <v>79</v>
      </c>
      <c r="AJ136" s="538" t="s">
        <v>398</v>
      </c>
      <c r="AK136" s="538" t="s">
        <v>79</v>
      </c>
      <c r="AL136" s="538" t="s">
        <v>398</v>
      </c>
      <c r="AM136" s="538" t="s">
        <v>73</v>
      </c>
      <c r="AO136" s="538">
        <v>3.661089548E9</v>
      </c>
      <c r="AP136" s="538">
        <v>1.0</v>
      </c>
      <c r="AQ136" s="538">
        <v>3.388471847E9</v>
      </c>
      <c r="AR136" s="538">
        <v>39.0</v>
      </c>
      <c r="AS136" s="538" t="s">
        <v>45</v>
      </c>
    </row>
    <row r="137" ht="22.5" customHeight="1">
      <c r="A137" s="538">
        <v>136.0</v>
      </c>
      <c r="B137" s="538" t="s">
        <v>2719</v>
      </c>
      <c r="C137" s="538" t="s">
        <v>596</v>
      </c>
      <c r="D137" s="538" t="s">
        <v>400</v>
      </c>
      <c r="F137" s="538" t="s">
        <v>151</v>
      </c>
      <c r="G137" s="538" t="s">
        <v>250</v>
      </c>
      <c r="H137" s="538" t="s">
        <v>122</v>
      </c>
      <c r="J137" s="538" t="s">
        <v>2721</v>
      </c>
      <c r="K137" s="538" t="b">
        <v>0</v>
      </c>
      <c r="L137" s="538" t="b">
        <v>1</v>
      </c>
      <c r="M137" s="538" t="s">
        <v>79</v>
      </c>
      <c r="N137" s="538" t="s">
        <v>400</v>
      </c>
      <c r="O137" s="538" t="s">
        <v>79</v>
      </c>
      <c r="P137" s="538" t="s">
        <v>400</v>
      </c>
      <c r="Q137" s="538" t="s">
        <v>79</v>
      </c>
      <c r="R137" s="538" t="s">
        <v>400</v>
      </c>
      <c r="S137" s="538" t="s">
        <v>79</v>
      </c>
      <c r="T137" s="538" t="s">
        <v>400</v>
      </c>
      <c r="U137" s="538" t="s">
        <v>79</v>
      </c>
      <c r="V137" s="538" t="s">
        <v>400</v>
      </c>
      <c r="W137" s="538" t="s">
        <v>79</v>
      </c>
      <c r="X137" s="538" t="s">
        <v>400</v>
      </c>
      <c r="Y137" s="538" t="s">
        <v>79</v>
      </c>
      <c r="Z137" s="538" t="s">
        <v>400</v>
      </c>
      <c r="AA137" s="538" t="s">
        <v>79</v>
      </c>
      <c r="AB137" s="538" t="s">
        <v>400</v>
      </c>
      <c r="AC137" s="538" t="s">
        <v>79</v>
      </c>
      <c r="AD137" s="538" t="s">
        <v>400</v>
      </c>
      <c r="AE137" s="538" t="s">
        <v>79</v>
      </c>
      <c r="AF137" s="538" t="s">
        <v>400</v>
      </c>
      <c r="AG137" s="538" t="s">
        <v>79</v>
      </c>
      <c r="AH137" s="538" t="s">
        <v>400</v>
      </c>
      <c r="AI137" s="538" t="s">
        <v>79</v>
      </c>
      <c r="AJ137" s="538" t="s">
        <v>400</v>
      </c>
      <c r="AK137" s="538" t="s">
        <v>79</v>
      </c>
      <c r="AL137" s="538" t="s">
        <v>400</v>
      </c>
      <c r="AM137" s="538" t="s">
        <v>73</v>
      </c>
      <c r="AO137" s="538">
        <v>4.68346955E8</v>
      </c>
      <c r="AP137" s="538">
        <v>2.0</v>
      </c>
      <c r="AQ137" s="538">
        <v>3.388471847E9</v>
      </c>
      <c r="AR137" s="538">
        <v>39.0</v>
      </c>
      <c r="AS137" s="538" t="s">
        <v>45</v>
      </c>
    </row>
    <row r="138" ht="22.5" customHeight="1">
      <c r="A138" s="538">
        <v>137.0</v>
      </c>
      <c r="B138" s="538" t="s">
        <v>2722</v>
      </c>
      <c r="C138" s="538" t="s">
        <v>596</v>
      </c>
      <c r="D138" s="538" t="s">
        <v>112</v>
      </c>
      <c r="E138" s="538" t="s">
        <v>2723</v>
      </c>
      <c r="F138" s="538" t="s">
        <v>239</v>
      </c>
      <c r="G138" s="538" t="s">
        <v>250</v>
      </c>
      <c r="H138" s="538" t="s">
        <v>122</v>
      </c>
      <c r="I138" s="538" t="s">
        <v>2724</v>
      </c>
      <c r="J138" s="538" t="s">
        <v>2725</v>
      </c>
      <c r="K138" s="538" t="b">
        <v>0</v>
      </c>
      <c r="L138" s="538" t="b">
        <v>1</v>
      </c>
      <c r="M138" s="538" t="s">
        <v>75</v>
      </c>
      <c r="N138" s="538" t="s">
        <v>276</v>
      </c>
      <c r="O138" s="538" t="s">
        <v>75</v>
      </c>
      <c r="P138" s="538" t="s">
        <v>276</v>
      </c>
      <c r="Q138" s="538" t="s">
        <v>79</v>
      </c>
      <c r="R138" s="538" t="s">
        <v>2723</v>
      </c>
      <c r="S138" s="538" t="s">
        <v>79</v>
      </c>
      <c r="T138" s="538" t="s">
        <v>2723</v>
      </c>
      <c r="U138" s="538" t="s">
        <v>79</v>
      </c>
      <c r="V138" s="538" t="s">
        <v>2723</v>
      </c>
      <c r="W138" s="538" t="s">
        <v>79</v>
      </c>
      <c r="X138" s="538" t="s">
        <v>2723</v>
      </c>
      <c r="Y138" s="538" t="s">
        <v>79</v>
      </c>
      <c r="Z138" s="538" t="s">
        <v>2723</v>
      </c>
      <c r="AA138" s="538" t="s">
        <v>79</v>
      </c>
      <c r="AB138" s="538" t="s">
        <v>2723</v>
      </c>
      <c r="AC138" s="538" t="s">
        <v>79</v>
      </c>
      <c r="AD138" s="538" t="s">
        <v>2723</v>
      </c>
      <c r="AE138" s="538" t="s">
        <v>79</v>
      </c>
      <c r="AF138" s="538" t="s">
        <v>2723</v>
      </c>
      <c r="AG138" s="538" t="s">
        <v>79</v>
      </c>
      <c r="AH138" s="538" t="s">
        <v>2723</v>
      </c>
      <c r="AI138" s="538" t="s">
        <v>79</v>
      </c>
      <c r="AJ138" s="538" t="s">
        <v>2723</v>
      </c>
      <c r="AK138" s="538" t="s">
        <v>79</v>
      </c>
      <c r="AL138" s="538" t="s">
        <v>112</v>
      </c>
      <c r="AM138" s="538" t="s">
        <v>79</v>
      </c>
      <c r="AN138" s="538" t="s">
        <v>112</v>
      </c>
      <c r="AO138" s="538">
        <v>7.988936E8</v>
      </c>
      <c r="AP138" s="538">
        <v>1.0</v>
      </c>
      <c r="AQ138" s="538">
        <v>1.747080465E9</v>
      </c>
      <c r="AR138" s="538">
        <v>40.0</v>
      </c>
      <c r="AS138" s="538" t="s">
        <v>46</v>
      </c>
      <c r="AV138" s="538" t="s">
        <v>276</v>
      </c>
    </row>
    <row r="139" ht="22.5" customHeight="1">
      <c r="A139" s="538">
        <v>138.0</v>
      </c>
      <c r="B139" s="538" t="s">
        <v>2722</v>
      </c>
      <c r="C139" s="538" t="s">
        <v>596</v>
      </c>
      <c r="D139" s="538" t="s">
        <v>366</v>
      </c>
      <c r="E139" s="538" t="s">
        <v>2723</v>
      </c>
      <c r="F139" s="538" t="s">
        <v>239</v>
      </c>
      <c r="G139" s="538" t="s">
        <v>250</v>
      </c>
      <c r="H139" s="538" t="s">
        <v>122</v>
      </c>
      <c r="I139" s="538" t="s">
        <v>2724</v>
      </c>
      <c r="J139" s="538" t="s">
        <v>2726</v>
      </c>
      <c r="K139" s="538" t="b">
        <v>0</v>
      </c>
      <c r="L139" s="538" t="b">
        <v>1</v>
      </c>
      <c r="M139" s="538" t="s">
        <v>75</v>
      </c>
      <c r="N139" s="538" t="s">
        <v>276</v>
      </c>
      <c r="O139" s="538" t="s">
        <v>75</v>
      </c>
      <c r="P139" s="538" t="s">
        <v>276</v>
      </c>
      <c r="Q139" s="538" t="s">
        <v>79</v>
      </c>
      <c r="R139" s="538" t="s">
        <v>2723</v>
      </c>
      <c r="S139" s="538" t="s">
        <v>79</v>
      </c>
      <c r="T139" s="538" t="s">
        <v>2723</v>
      </c>
      <c r="U139" s="538" t="s">
        <v>79</v>
      </c>
      <c r="V139" s="538" t="s">
        <v>2723</v>
      </c>
      <c r="W139" s="538" t="s">
        <v>79</v>
      </c>
      <c r="X139" s="538" t="s">
        <v>2723</v>
      </c>
      <c r="Y139" s="538" t="s">
        <v>79</v>
      </c>
      <c r="Z139" s="538" t="s">
        <v>2723</v>
      </c>
      <c r="AA139" s="538" t="s">
        <v>79</v>
      </c>
      <c r="AB139" s="538" t="s">
        <v>2723</v>
      </c>
      <c r="AC139" s="538" t="s">
        <v>79</v>
      </c>
      <c r="AD139" s="538" t="s">
        <v>2723</v>
      </c>
      <c r="AE139" s="538" t="s">
        <v>79</v>
      </c>
      <c r="AF139" s="538" t="s">
        <v>2723</v>
      </c>
      <c r="AG139" s="538" t="s">
        <v>79</v>
      </c>
      <c r="AH139" s="538" t="s">
        <v>2723</v>
      </c>
      <c r="AI139" s="538" t="s">
        <v>79</v>
      </c>
      <c r="AJ139" s="538" t="s">
        <v>2723</v>
      </c>
      <c r="AK139" s="538" t="s">
        <v>79</v>
      </c>
      <c r="AL139" s="538" t="s">
        <v>366</v>
      </c>
      <c r="AM139" s="538" t="s">
        <v>79</v>
      </c>
      <c r="AN139" s="538" t="s">
        <v>366</v>
      </c>
      <c r="AO139" s="538">
        <v>7.50397083E8</v>
      </c>
      <c r="AP139" s="538">
        <v>2.0</v>
      </c>
      <c r="AQ139" s="538">
        <v>1.747080465E9</v>
      </c>
      <c r="AR139" s="538">
        <v>40.0</v>
      </c>
      <c r="AS139" s="538" t="s">
        <v>46</v>
      </c>
      <c r="AV139" s="538" t="s">
        <v>276</v>
      </c>
    </row>
    <row r="140" ht="22.5" customHeight="1">
      <c r="A140" s="538">
        <v>139.0</v>
      </c>
      <c r="B140" s="538" t="s">
        <v>2722</v>
      </c>
      <c r="C140" s="538" t="s">
        <v>596</v>
      </c>
      <c r="D140" s="538" t="s">
        <v>325</v>
      </c>
      <c r="E140" s="538" t="s">
        <v>2723</v>
      </c>
      <c r="F140" s="538" t="s">
        <v>239</v>
      </c>
      <c r="G140" s="538" t="s">
        <v>222</v>
      </c>
      <c r="H140" s="538" t="s">
        <v>201</v>
      </c>
      <c r="I140" s="538" t="s">
        <v>2724</v>
      </c>
      <c r="J140" s="538" t="s">
        <v>2727</v>
      </c>
      <c r="K140" s="538" t="b">
        <v>0</v>
      </c>
      <c r="L140" s="538" t="b">
        <v>1</v>
      </c>
      <c r="M140" s="538" t="s">
        <v>75</v>
      </c>
      <c r="N140" s="538" t="s">
        <v>276</v>
      </c>
      <c r="O140" s="538" t="s">
        <v>75</v>
      </c>
      <c r="P140" s="538" t="s">
        <v>276</v>
      </c>
      <c r="Q140" s="538" t="s">
        <v>79</v>
      </c>
      <c r="R140" s="538" t="s">
        <v>2723</v>
      </c>
      <c r="S140" s="538" t="s">
        <v>79</v>
      </c>
      <c r="T140" s="538" t="s">
        <v>2723</v>
      </c>
      <c r="U140" s="538" t="s">
        <v>79</v>
      </c>
      <c r="V140" s="538" t="s">
        <v>2723</v>
      </c>
      <c r="W140" s="538" t="s">
        <v>79</v>
      </c>
      <c r="X140" s="538" t="s">
        <v>2723</v>
      </c>
      <c r="Y140" s="538" t="s">
        <v>79</v>
      </c>
      <c r="Z140" s="538" t="s">
        <v>2723</v>
      </c>
      <c r="AA140" s="538" t="s">
        <v>79</v>
      </c>
      <c r="AB140" s="538" t="s">
        <v>2723</v>
      </c>
      <c r="AC140" s="538" t="s">
        <v>79</v>
      </c>
      <c r="AD140" s="538" t="s">
        <v>2723</v>
      </c>
      <c r="AE140" s="538" t="s">
        <v>79</v>
      </c>
      <c r="AF140" s="538" t="s">
        <v>2723</v>
      </c>
      <c r="AG140" s="538" t="s">
        <v>79</v>
      </c>
      <c r="AH140" s="538" t="s">
        <v>2723</v>
      </c>
      <c r="AI140" s="538" t="s">
        <v>79</v>
      </c>
      <c r="AJ140" s="538" t="s">
        <v>2723</v>
      </c>
      <c r="AK140" s="538" t="s">
        <v>79</v>
      </c>
      <c r="AL140" s="538" t="s">
        <v>325</v>
      </c>
      <c r="AM140" s="538" t="s">
        <v>79</v>
      </c>
      <c r="AN140" s="538" t="s">
        <v>325</v>
      </c>
      <c r="AO140" s="538">
        <v>4.42238844E8</v>
      </c>
      <c r="AP140" s="538">
        <v>3.0</v>
      </c>
      <c r="AQ140" s="538">
        <v>1.747080465E9</v>
      </c>
      <c r="AR140" s="538">
        <v>40.0</v>
      </c>
      <c r="AS140" s="538" t="s">
        <v>46</v>
      </c>
      <c r="AV140" s="538" t="s">
        <v>276</v>
      </c>
    </row>
    <row r="141" ht="22.5" customHeight="1">
      <c r="A141" s="538">
        <v>140.0</v>
      </c>
      <c r="B141" s="538" t="s">
        <v>2728</v>
      </c>
      <c r="C141" s="538" t="s">
        <v>596</v>
      </c>
      <c r="D141" s="538" t="s">
        <v>241</v>
      </c>
      <c r="E141" s="538" t="s">
        <v>2729</v>
      </c>
      <c r="F141" s="538" t="s">
        <v>163</v>
      </c>
      <c r="G141" s="538" t="s">
        <v>250</v>
      </c>
      <c r="H141" s="538" t="s">
        <v>155</v>
      </c>
      <c r="I141" s="538" t="s">
        <v>367</v>
      </c>
      <c r="J141" s="538" t="s">
        <v>2730</v>
      </c>
      <c r="K141" s="538" t="b">
        <v>0</v>
      </c>
      <c r="L141" s="538" t="b">
        <v>0</v>
      </c>
      <c r="M141" s="538" t="s">
        <v>79</v>
      </c>
      <c r="N141" s="538" t="s">
        <v>2729</v>
      </c>
      <c r="O141" s="538" t="s">
        <v>79</v>
      </c>
      <c r="P141" s="538" t="s">
        <v>2729</v>
      </c>
      <c r="Q141" s="538" t="s">
        <v>75</v>
      </c>
      <c r="R141" s="538" t="s">
        <v>348</v>
      </c>
      <c r="S141" s="538" t="s">
        <v>75</v>
      </c>
      <c r="T141" s="538" t="s">
        <v>348</v>
      </c>
      <c r="U141" s="538" t="s">
        <v>79</v>
      </c>
      <c r="V141" s="538" t="s">
        <v>2729</v>
      </c>
      <c r="W141" s="538" t="s">
        <v>79</v>
      </c>
      <c r="X141" s="538" t="s">
        <v>2729</v>
      </c>
      <c r="Y141" s="538" t="s">
        <v>79</v>
      </c>
      <c r="Z141" s="538" t="s">
        <v>2729</v>
      </c>
      <c r="AA141" s="538" t="s">
        <v>79</v>
      </c>
      <c r="AB141" s="538" t="s">
        <v>2729</v>
      </c>
      <c r="AC141" s="538" t="s">
        <v>79</v>
      </c>
      <c r="AD141" s="538" t="s">
        <v>2729</v>
      </c>
      <c r="AE141" s="538" t="s">
        <v>75</v>
      </c>
      <c r="AF141" s="538" t="s">
        <v>348</v>
      </c>
      <c r="AG141" s="538" t="s">
        <v>79</v>
      </c>
      <c r="AH141" s="538" t="s">
        <v>2729</v>
      </c>
      <c r="AI141" s="538" t="s">
        <v>79</v>
      </c>
      <c r="AJ141" s="538" t="s">
        <v>2729</v>
      </c>
      <c r="AK141" s="538" t="s">
        <v>79</v>
      </c>
      <c r="AL141" s="538" t="s">
        <v>241</v>
      </c>
      <c r="AM141" s="538" t="s">
        <v>79</v>
      </c>
      <c r="AN141" s="538" t="s">
        <v>241</v>
      </c>
      <c r="AO141" s="538">
        <v>2.08535303E9</v>
      </c>
      <c r="AP141" s="538">
        <v>1.0</v>
      </c>
      <c r="AQ141" s="538">
        <v>3.440676742E9</v>
      </c>
      <c r="AR141" s="538">
        <v>41.0</v>
      </c>
      <c r="AS141" s="538" t="s">
        <v>46</v>
      </c>
      <c r="AV141" s="538" t="s">
        <v>348</v>
      </c>
    </row>
    <row r="142" ht="22.5" customHeight="1">
      <c r="A142" s="538">
        <v>141.0</v>
      </c>
      <c r="B142" s="538" t="s">
        <v>2728</v>
      </c>
      <c r="C142" s="538" t="s">
        <v>596</v>
      </c>
      <c r="D142" s="538" t="s">
        <v>295</v>
      </c>
      <c r="E142" s="538" t="s">
        <v>368</v>
      </c>
      <c r="F142" s="538" t="s">
        <v>163</v>
      </c>
      <c r="G142" s="538" t="s">
        <v>250</v>
      </c>
      <c r="H142" s="538" t="s">
        <v>155</v>
      </c>
      <c r="I142" s="538" t="s">
        <v>367</v>
      </c>
      <c r="J142" s="538" t="s">
        <v>2731</v>
      </c>
      <c r="K142" s="538" t="b">
        <v>0</v>
      </c>
      <c r="L142" s="538" t="b">
        <v>1</v>
      </c>
      <c r="M142" s="538" t="s">
        <v>79</v>
      </c>
      <c r="N142" s="538" t="s">
        <v>368</v>
      </c>
      <c r="O142" s="538" t="s">
        <v>79</v>
      </c>
      <c r="P142" s="538" t="s">
        <v>368</v>
      </c>
      <c r="Q142" s="538" t="s">
        <v>79</v>
      </c>
      <c r="R142" s="538" t="s">
        <v>368</v>
      </c>
      <c r="S142" s="538" t="s">
        <v>79</v>
      </c>
      <c r="T142" s="538" t="s">
        <v>368</v>
      </c>
      <c r="U142" s="538" t="s">
        <v>79</v>
      </c>
      <c r="V142" s="538" t="s">
        <v>368</v>
      </c>
      <c r="W142" s="538" t="s">
        <v>79</v>
      </c>
      <c r="X142" s="538" t="s">
        <v>368</v>
      </c>
      <c r="Y142" s="538" t="s">
        <v>73</v>
      </c>
      <c r="AA142" s="538" t="s">
        <v>73</v>
      </c>
      <c r="AC142" s="538" t="s">
        <v>79</v>
      </c>
      <c r="AD142" s="538" t="s">
        <v>368</v>
      </c>
      <c r="AE142" s="538" t="s">
        <v>73</v>
      </c>
      <c r="AG142" s="538" t="s">
        <v>79</v>
      </c>
      <c r="AH142" s="538" t="s">
        <v>368</v>
      </c>
      <c r="AI142" s="538" t="s">
        <v>79</v>
      </c>
      <c r="AJ142" s="538" t="s">
        <v>368</v>
      </c>
      <c r="AK142" s="538" t="s">
        <v>79</v>
      </c>
      <c r="AL142" s="538" t="s">
        <v>295</v>
      </c>
      <c r="AM142" s="538" t="s">
        <v>79</v>
      </c>
      <c r="AN142" s="538" t="s">
        <v>295</v>
      </c>
      <c r="AO142" s="538">
        <v>2.929085195E9</v>
      </c>
      <c r="AP142" s="538">
        <v>2.0</v>
      </c>
      <c r="AQ142" s="538">
        <v>3.440676742E9</v>
      </c>
      <c r="AR142" s="538">
        <v>41.0</v>
      </c>
      <c r="AS142" s="538" t="s">
        <v>46</v>
      </c>
    </row>
    <row r="143" ht="22.5" customHeight="1">
      <c r="A143" s="538">
        <v>142.0</v>
      </c>
      <c r="B143" s="538" t="s">
        <v>2728</v>
      </c>
      <c r="C143" s="538" t="s">
        <v>596</v>
      </c>
      <c r="D143" s="538" t="s">
        <v>366</v>
      </c>
      <c r="E143" s="538" t="s">
        <v>228</v>
      </c>
      <c r="F143" s="538" t="s">
        <v>163</v>
      </c>
      <c r="G143" s="538" t="s">
        <v>250</v>
      </c>
      <c r="H143" s="538" t="s">
        <v>122</v>
      </c>
      <c r="I143" s="538" t="s">
        <v>367</v>
      </c>
      <c r="J143" s="538" t="s">
        <v>2732</v>
      </c>
      <c r="K143" s="538" t="b">
        <v>0</v>
      </c>
      <c r="L143" s="538" t="b">
        <v>1</v>
      </c>
      <c r="M143" s="538" t="s">
        <v>79</v>
      </c>
      <c r="N143" s="538" t="s">
        <v>228</v>
      </c>
      <c r="O143" s="538" t="s">
        <v>79</v>
      </c>
      <c r="P143" s="538" t="s">
        <v>228</v>
      </c>
      <c r="Q143" s="538" t="s">
        <v>73</v>
      </c>
      <c r="S143" s="538" t="s">
        <v>73</v>
      </c>
      <c r="U143" s="538" t="s">
        <v>79</v>
      </c>
      <c r="V143" s="538" t="s">
        <v>228</v>
      </c>
      <c r="W143" s="538" t="s">
        <v>73</v>
      </c>
      <c r="Y143" s="538" t="s">
        <v>73</v>
      </c>
      <c r="AA143" s="538" t="s">
        <v>73</v>
      </c>
      <c r="AC143" s="538" t="s">
        <v>79</v>
      </c>
      <c r="AD143" s="538" t="s">
        <v>228</v>
      </c>
      <c r="AE143" s="538" t="s">
        <v>73</v>
      </c>
      <c r="AG143" s="538" t="s">
        <v>79</v>
      </c>
      <c r="AH143" s="538" t="s">
        <v>228</v>
      </c>
      <c r="AI143" s="538" t="s">
        <v>79</v>
      </c>
      <c r="AJ143" s="538" t="s">
        <v>228</v>
      </c>
      <c r="AK143" s="538" t="s">
        <v>79</v>
      </c>
      <c r="AL143" s="538" t="s">
        <v>366</v>
      </c>
      <c r="AM143" s="538" t="s">
        <v>79</v>
      </c>
      <c r="AN143" s="538" t="s">
        <v>366</v>
      </c>
      <c r="AO143" s="538">
        <v>3.970062343E9</v>
      </c>
      <c r="AP143" s="538">
        <v>3.0</v>
      </c>
      <c r="AQ143" s="538">
        <v>3.440676742E9</v>
      </c>
      <c r="AR143" s="538">
        <v>41.0</v>
      </c>
      <c r="AS143" s="538" t="s">
        <v>46</v>
      </c>
    </row>
    <row r="144" ht="22.5" customHeight="1">
      <c r="A144" s="538">
        <v>143.0</v>
      </c>
      <c r="B144" s="538" t="s">
        <v>2733</v>
      </c>
      <c r="C144" s="538" t="s">
        <v>596</v>
      </c>
      <c r="D144" s="538" t="s">
        <v>218</v>
      </c>
      <c r="F144" s="538" t="s">
        <v>163</v>
      </c>
      <c r="G144" s="538" t="s">
        <v>250</v>
      </c>
      <c r="H144" s="538" t="s">
        <v>122</v>
      </c>
      <c r="J144" s="538" t="s">
        <v>2734</v>
      </c>
      <c r="K144" s="538" t="b">
        <v>0</v>
      </c>
      <c r="L144" s="538" t="b">
        <v>1</v>
      </c>
      <c r="M144" s="538" t="s">
        <v>73</v>
      </c>
      <c r="O144" s="538" t="s">
        <v>73</v>
      </c>
      <c r="Q144" s="538" t="s">
        <v>73</v>
      </c>
      <c r="S144" s="538" t="s">
        <v>73</v>
      </c>
      <c r="U144" s="538" t="s">
        <v>73</v>
      </c>
      <c r="W144" s="538" t="s">
        <v>73</v>
      </c>
      <c r="Y144" s="538" t="s">
        <v>73</v>
      </c>
      <c r="AA144" s="538" t="s">
        <v>73</v>
      </c>
      <c r="AC144" s="538" t="s">
        <v>73</v>
      </c>
      <c r="AE144" s="538" t="s">
        <v>73</v>
      </c>
      <c r="AG144" s="538" t="s">
        <v>73</v>
      </c>
      <c r="AI144" s="538" t="s">
        <v>73</v>
      </c>
      <c r="AK144" s="538" t="s">
        <v>79</v>
      </c>
      <c r="AL144" s="538" t="s">
        <v>218</v>
      </c>
      <c r="AM144" s="538" t="s">
        <v>79</v>
      </c>
      <c r="AN144" s="538" t="s">
        <v>218</v>
      </c>
      <c r="AO144" s="538">
        <v>2.108941546E9</v>
      </c>
      <c r="AP144" s="538">
        <v>1.0</v>
      </c>
      <c r="AQ144" s="538">
        <v>3.643189775E9</v>
      </c>
      <c r="AR144" s="538">
        <v>42.0</v>
      </c>
      <c r="AS144" s="538" t="s">
        <v>47</v>
      </c>
    </row>
    <row r="145" ht="22.5" customHeight="1">
      <c r="A145" s="538">
        <v>144.0</v>
      </c>
      <c r="B145" s="538" t="s">
        <v>2733</v>
      </c>
      <c r="C145" s="538" t="s">
        <v>596</v>
      </c>
      <c r="D145" s="538" t="s">
        <v>241</v>
      </c>
      <c r="E145" s="538" t="s">
        <v>2200</v>
      </c>
      <c r="F145" s="538" t="s">
        <v>163</v>
      </c>
      <c r="G145" s="538" t="s">
        <v>250</v>
      </c>
      <c r="H145" s="538" t="s">
        <v>155</v>
      </c>
      <c r="J145" s="538" t="s">
        <v>2735</v>
      </c>
      <c r="K145" s="538" t="b">
        <v>0</v>
      </c>
      <c r="L145" s="538" t="b">
        <v>0</v>
      </c>
      <c r="M145" s="538" t="s">
        <v>79</v>
      </c>
      <c r="N145" s="538" t="s">
        <v>1994</v>
      </c>
      <c r="O145" s="538" t="s">
        <v>79</v>
      </c>
      <c r="P145" s="538" t="s">
        <v>1994</v>
      </c>
      <c r="Q145" s="538" t="s">
        <v>75</v>
      </c>
      <c r="R145" s="538" t="s">
        <v>348</v>
      </c>
      <c r="S145" s="538" t="s">
        <v>75</v>
      </c>
      <c r="T145" s="538" t="s">
        <v>348</v>
      </c>
      <c r="U145" s="538" t="s">
        <v>79</v>
      </c>
      <c r="V145" s="538" t="s">
        <v>1994</v>
      </c>
      <c r="W145" s="538" t="s">
        <v>75</v>
      </c>
      <c r="X145" s="538" t="s">
        <v>348</v>
      </c>
      <c r="Y145" s="538" t="s">
        <v>79</v>
      </c>
      <c r="Z145" s="538" t="s">
        <v>377</v>
      </c>
      <c r="AA145" s="538" t="s">
        <v>79</v>
      </c>
      <c r="AB145" s="538" t="s">
        <v>377</v>
      </c>
      <c r="AC145" s="538" t="s">
        <v>79</v>
      </c>
      <c r="AD145" s="538" t="s">
        <v>1994</v>
      </c>
      <c r="AE145" s="538" t="s">
        <v>79</v>
      </c>
      <c r="AF145" s="538" t="s">
        <v>377</v>
      </c>
      <c r="AG145" s="538" t="s">
        <v>79</v>
      </c>
      <c r="AH145" s="538" t="s">
        <v>1994</v>
      </c>
      <c r="AI145" s="538" t="s">
        <v>79</v>
      </c>
      <c r="AJ145" s="538" t="s">
        <v>1994</v>
      </c>
      <c r="AK145" s="538" t="s">
        <v>79</v>
      </c>
      <c r="AL145" s="538" t="s">
        <v>241</v>
      </c>
      <c r="AM145" s="538" t="s">
        <v>79</v>
      </c>
      <c r="AN145" s="538" t="s">
        <v>241</v>
      </c>
      <c r="AO145" s="538">
        <v>1.741270321E9</v>
      </c>
      <c r="AP145" s="538">
        <v>2.0</v>
      </c>
      <c r="AQ145" s="538">
        <v>3.643189775E9</v>
      </c>
      <c r="AR145" s="538">
        <v>42.0</v>
      </c>
      <c r="AS145" s="538" t="s">
        <v>47</v>
      </c>
      <c r="AV145" s="538" t="s">
        <v>348</v>
      </c>
    </row>
    <row r="146" ht="22.5" customHeight="1">
      <c r="A146" s="538">
        <v>145.0</v>
      </c>
      <c r="B146" s="538" t="s">
        <v>2733</v>
      </c>
      <c r="C146" s="538" t="s">
        <v>596</v>
      </c>
      <c r="D146" s="538" t="s">
        <v>246</v>
      </c>
      <c r="E146" s="538" t="s">
        <v>1688</v>
      </c>
      <c r="F146" s="538" t="s">
        <v>163</v>
      </c>
      <c r="G146" s="538" t="s">
        <v>222</v>
      </c>
      <c r="H146" s="538" t="s">
        <v>155</v>
      </c>
      <c r="J146" s="538" t="s">
        <v>2736</v>
      </c>
      <c r="K146" s="538" t="b">
        <v>0</v>
      </c>
      <c r="L146" s="538" t="b">
        <v>1</v>
      </c>
      <c r="M146" s="538" t="s">
        <v>79</v>
      </c>
      <c r="N146" s="538" t="s">
        <v>228</v>
      </c>
      <c r="O146" s="538" t="s">
        <v>79</v>
      </c>
      <c r="P146" s="538" t="s">
        <v>228</v>
      </c>
      <c r="Q146" s="538" t="s">
        <v>73</v>
      </c>
      <c r="S146" s="538" t="s">
        <v>73</v>
      </c>
      <c r="U146" s="538" t="s">
        <v>79</v>
      </c>
      <c r="V146" s="538" t="s">
        <v>228</v>
      </c>
      <c r="W146" s="538" t="s">
        <v>73</v>
      </c>
      <c r="Y146" s="538" t="s">
        <v>79</v>
      </c>
      <c r="Z146" s="538" t="s">
        <v>377</v>
      </c>
      <c r="AA146" s="538" t="s">
        <v>79</v>
      </c>
      <c r="AB146" s="538" t="s">
        <v>377</v>
      </c>
      <c r="AC146" s="538" t="s">
        <v>79</v>
      </c>
      <c r="AD146" s="538" t="s">
        <v>228</v>
      </c>
      <c r="AE146" s="538" t="s">
        <v>79</v>
      </c>
      <c r="AF146" s="538" t="s">
        <v>377</v>
      </c>
      <c r="AG146" s="538" t="s">
        <v>79</v>
      </c>
      <c r="AH146" s="538" t="s">
        <v>228</v>
      </c>
      <c r="AI146" s="538" t="s">
        <v>79</v>
      </c>
      <c r="AJ146" s="538" t="s">
        <v>228</v>
      </c>
      <c r="AK146" s="538" t="s">
        <v>79</v>
      </c>
      <c r="AL146" s="538" t="s">
        <v>246</v>
      </c>
      <c r="AM146" s="538" t="s">
        <v>79</v>
      </c>
      <c r="AN146" s="538" t="s">
        <v>246</v>
      </c>
      <c r="AO146" s="538">
        <v>2.979155591E9</v>
      </c>
      <c r="AP146" s="538">
        <v>3.0</v>
      </c>
      <c r="AQ146" s="538">
        <v>3.643189775E9</v>
      </c>
      <c r="AR146" s="538">
        <v>42.0</v>
      </c>
      <c r="AS146" s="538" t="s">
        <v>47</v>
      </c>
    </row>
    <row r="147" ht="22.5" customHeight="1">
      <c r="A147" s="538">
        <v>146.0</v>
      </c>
      <c r="B147" s="538" t="s">
        <v>2737</v>
      </c>
      <c r="C147" s="538" t="s">
        <v>596</v>
      </c>
      <c r="D147" s="538" t="s">
        <v>268</v>
      </c>
      <c r="F147" s="538" t="s">
        <v>151</v>
      </c>
      <c r="G147" s="538" t="s">
        <v>250</v>
      </c>
      <c r="H147" s="538" t="s">
        <v>122</v>
      </c>
      <c r="J147" s="538" t="s">
        <v>2738</v>
      </c>
      <c r="K147" s="538" t="b">
        <v>0</v>
      </c>
      <c r="L147" s="538" t="b">
        <v>1</v>
      </c>
      <c r="M147" s="538" t="s">
        <v>79</v>
      </c>
      <c r="N147" s="538" t="s">
        <v>268</v>
      </c>
      <c r="O147" s="538" t="s">
        <v>79</v>
      </c>
      <c r="P147" s="538" t="s">
        <v>268</v>
      </c>
      <c r="Q147" s="538" t="s">
        <v>79</v>
      </c>
      <c r="R147" s="538" t="s">
        <v>268</v>
      </c>
      <c r="S147" s="538" t="s">
        <v>79</v>
      </c>
      <c r="T147" s="538" t="s">
        <v>268</v>
      </c>
      <c r="U147" s="538" t="s">
        <v>79</v>
      </c>
      <c r="V147" s="538" t="s">
        <v>268</v>
      </c>
      <c r="W147" s="538" t="s">
        <v>79</v>
      </c>
      <c r="X147" s="538" t="s">
        <v>268</v>
      </c>
      <c r="Y147" s="538" t="s">
        <v>79</v>
      </c>
      <c r="Z147" s="538" t="s">
        <v>268</v>
      </c>
      <c r="AA147" s="538" t="s">
        <v>79</v>
      </c>
      <c r="AB147" s="538" t="s">
        <v>268</v>
      </c>
      <c r="AC147" s="538" t="s">
        <v>79</v>
      </c>
      <c r="AD147" s="538" t="s">
        <v>268</v>
      </c>
      <c r="AE147" s="538" t="s">
        <v>79</v>
      </c>
      <c r="AF147" s="538" t="s">
        <v>268</v>
      </c>
      <c r="AG147" s="538" t="s">
        <v>79</v>
      </c>
      <c r="AH147" s="538" t="s">
        <v>268</v>
      </c>
      <c r="AI147" s="538" t="s">
        <v>79</v>
      </c>
      <c r="AJ147" s="538" t="s">
        <v>268</v>
      </c>
      <c r="AK147" s="538" t="s">
        <v>79</v>
      </c>
      <c r="AL147" s="538" t="s">
        <v>268</v>
      </c>
      <c r="AM147" s="538" t="s">
        <v>73</v>
      </c>
      <c r="AO147" s="538">
        <v>2.563464277E9</v>
      </c>
      <c r="AP147" s="538">
        <v>1.0</v>
      </c>
      <c r="AQ147" s="538">
        <v>4.283494851E9</v>
      </c>
      <c r="AR147" s="538">
        <v>43.0</v>
      </c>
      <c r="AS147" s="538" t="s">
        <v>45</v>
      </c>
    </row>
    <row r="148" ht="22.5" customHeight="1">
      <c r="A148" s="538">
        <v>147.0</v>
      </c>
      <c r="B148" s="538" t="s">
        <v>2737</v>
      </c>
      <c r="C148" s="538" t="s">
        <v>596</v>
      </c>
      <c r="D148" s="538" t="s">
        <v>286</v>
      </c>
      <c r="F148" s="538" t="s">
        <v>151</v>
      </c>
      <c r="G148" s="538" t="s">
        <v>250</v>
      </c>
      <c r="H148" s="538" t="s">
        <v>122</v>
      </c>
      <c r="J148" s="538" t="s">
        <v>2739</v>
      </c>
      <c r="K148" s="538" t="b">
        <v>0</v>
      </c>
      <c r="L148" s="538" t="b">
        <v>1</v>
      </c>
      <c r="M148" s="538" t="s">
        <v>79</v>
      </c>
      <c r="N148" s="538" t="s">
        <v>286</v>
      </c>
      <c r="O148" s="538" t="s">
        <v>79</v>
      </c>
      <c r="P148" s="538" t="s">
        <v>286</v>
      </c>
      <c r="Q148" s="538" t="s">
        <v>79</v>
      </c>
      <c r="R148" s="538" t="s">
        <v>286</v>
      </c>
      <c r="S148" s="538" t="s">
        <v>79</v>
      </c>
      <c r="T148" s="538" t="s">
        <v>286</v>
      </c>
      <c r="U148" s="538" t="s">
        <v>79</v>
      </c>
      <c r="V148" s="538" t="s">
        <v>286</v>
      </c>
      <c r="W148" s="538" t="s">
        <v>79</v>
      </c>
      <c r="X148" s="538" t="s">
        <v>286</v>
      </c>
      <c r="Y148" s="538" t="s">
        <v>79</v>
      </c>
      <c r="Z148" s="538" t="s">
        <v>286</v>
      </c>
      <c r="AA148" s="538" t="s">
        <v>79</v>
      </c>
      <c r="AB148" s="538" t="s">
        <v>286</v>
      </c>
      <c r="AC148" s="538" t="s">
        <v>79</v>
      </c>
      <c r="AD148" s="538" t="s">
        <v>286</v>
      </c>
      <c r="AE148" s="538" t="s">
        <v>79</v>
      </c>
      <c r="AF148" s="538" t="s">
        <v>286</v>
      </c>
      <c r="AG148" s="538" t="s">
        <v>79</v>
      </c>
      <c r="AH148" s="538" t="s">
        <v>286</v>
      </c>
      <c r="AI148" s="538" t="s">
        <v>79</v>
      </c>
      <c r="AJ148" s="538" t="s">
        <v>286</v>
      </c>
      <c r="AK148" s="538" t="s">
        <v>79</v>
      </c>
      <c r="AL148" s="538" t="s">
        <v>286</v>
      </c>
      <c r="AM148" s="538" t="s">
        <v>73</v>
      </c>
      <c r="AO148" s="538">
        <v>6.1799873E8</v>
      </c>
      <c r="AP148" s="538">
        <v>2.0</v>
      </c>
      <c r="AQ148" s="538">
        <v>4.283494851E9</v>
      </c>
      <c r="AR148" s="538">
        <v>43.0</v>
      </c>
      <c r="AS148" s="538" t="s">
        <v>45</v>
      </c>
    </row>
    <row r="149" ht="22.5" customHeight="1">
      <c r="A149" s="538">
        <v>148.0</v>
      </c>
      <c r="B149" s="538" t="s">
        <v>2740</v>
      </c>
      <c r="C149" s="538" t="s">
        <v>596</v>
      </c>
      <c r="D149" s="538" t="s">
        <v>325</v>
      </c>
      <c r="F149" s="538" t="s">
        <v>216</v>
      </c>
      <c r="G149" s="538" t="s">
        <v>250</v>
      </c>
      <c r="H149" s="538" t="s">
        <v>155</v>
      </c>
      <c r="I149" s="538" t="s">
        <v>350</v>
      </c>
      <c r="J149" s="538" t="s">
        <v>2741</v>
      </c>
      <c r="K149" s="538" t="b">
        <v>0</v>
      </c>
      <c r="L149" s="538" t="b">
        <v>1</v>
      </c>
      <c r="M149" s="538" t="s">
        <v>73</v>
      </c>
      <c r="O149" s="538" t="s">
        <v>73</v>
      </c>
      <c r="Q149" s="538" t="s">
        <v>73</v>
      </c>
      <c r="S149" s="538" t="s">
        <v>73</v>
      </c>
      <c r="U149" s="538" t="s">
        <v>73</v>
      </c>
      <c r="W149" s="538" t="s">
        <v>73</v>
      </c>
      <c r="Y149" s="538" t="s">
        <v>73</v>
      </c>
      <c r="AA149" s="538" t="s">
        <v>73</v>
      </c>
      <c r="AC149" s="538" t="s">
        <v>73</v>
      </c>
      <c r="AE149" s="538" t="s">
        <v>73</v>
      </c>
      <c r="AG149" s="538" t="s">
        <v>73</v>
      </c>
      <c r="AI149" s="538" t="s">
        <v>73</v>
      </c>
      <c r="AK149" s="538" t="s">
        <v>79</v>
      </c>
      <c r="AL149" s="538" t="s">
        <v>325</v>
      </c>
      <c r="AM149" s="538" t="s">
        <v>79</v>
      </c>
      <c r="AN149" s="538" t="s">
        <v>325</v>
      </c>
      <c r="AO149" s="538">
        <v>1.23954113E8</v>
      </c>
      <c r="AP149" s="538">
        <v>1.0</v>
      </c>
      <c r="AQ149" s="538">
        <v>2.325864718E9</v>
      </c>
      <c r="AR149" s="538">
        <v>46.0</v>
      </c>
      <c r="AS149" s="538" t="s">
        <v>46</v>
      </c>
    </row>
    <row r="150" ht="22.5" customHeight="1">
      <c r="A150" s="538">
        <v>149.0</v>
      </c>
      <c r="B150" s="538" t="s">
        <v>2740</v>
      </c>
      <c r="C150" s="538" t="s">
        <v>596</v>
      </c>
      <c r="D150" s="538" t="s">
        <v>394</v>
      </c>
      <c r="F150" s="538" t="s">
        <v>151</v>
      </c>
      <c r="G150" s="538" t="s">
        <v>250</v>
      </c>
      <c r="H150" s="538" t="s">
        <v>122</v>
      </c>
      <c r="J150" s="538" t="s">
        <v>2742</v>
      </c>
      <c r="K150" s="538" t="b">
        <v>0</v>
      </c>
      <c r="L150" s="538" t="b">
        <v>1</v>
      </c>
      <c r="M150" s="538" t="s">
        <v>79</v>
      </c>
      <c r="N150" s="538" t="s">
        <v>394</v>
      </c>
      <c r="O150" s="538" t="s">
        <v>79</v>
      </c>
      <c r="P150" s="538" t="s">
        <v>394</v>
      </c>
      <c r="Q150" s="538" t="s">
        <v>75</v>
      </c>
      <c r="R150" s="538" t="s">
        <v>1878</v>
      </c>
      <c r="S150" s="538" t="s">
        <v>79</v>
      </c>
      <c r="T150" s="538" t="s">
        <v>394</v>
      </c>
      <c r="U150" s="538" t="s">
        <v>79</v>
      </c>
      <c r="V150" s="538" t="s">
        <v>394</v>
      </c>
      <c r="W150" s="538" t="s">
        <v>79</v>
      </c>
      <c r="X150" s="538" t="s">
        <v>394</v>
      </c>
      <c r="Y150" s="538" t="s">
        <v>79</v>
      </c>
      <c r="Z150" s="538" t="s">
        <v>394</v>
      </c>
      <c r="AA150" s="538" t="s">
        <v>79</v>
      </c>
      <c r="AB150" s="538" t="s">
        <v>394</v>
      </c>
      <c r="AC150" s="538" t="s">
        <v>79</v>
      </c>
      <c r="AD150" s="538" t="s">
        <v>394</v>
      </c>
      <c r="AE150" s="538" t="s">
        <v>79</v>
      </c>
      <c r="AF150" s="538" t="s">
        <v>394</v>
      </c>
      <c r="AG150" s="538" t="s">
        <v>79</v>
      </c>
      <c r="AH150" s="538" t="s">
        <v>394</v>
      </c>
      <c r="AI150" s="538" t="s">
        <v>79</v>
      </c>
      <c r="AJ150" s="538" t="s">
        <v>394</v>
      </c>
      <c r="AK150" s="538" t="s">
        <v>73</v>
      </c>
      <c r="AM150" s="538" t="s">
        <v>79</v>
      </c>
      <c r="AN150" s="538" t="s">
        <v>394</v>
      </c>
      <c r="AO150" s="538">
        <v>1.042739247E9</v>
      </c>
      <c r="AP150" s="538">
        <v>2.0</v>
      </c>
      <c r="AQ150" s="538">
        <v>2.325864718E9</v>
      </c>
      <c r="AR150" s="538">
        <v>46.0</v>
      </c>
      <c r="AS150" s="538" t="s">
        <v>46</v>
      </c>
      <c r="AV150" s="538" t="s">
        <v>394</v>
      </c>
    </row>
    <row r="151" ht="22.5" customHeight="1">
      <c r="A151" s="538">
        <v>150.0</v>
      </c>
      <c r="B151" s="538" t="s">
        <v>2740</v>
      </c>
      <c r="C151" s="538" t="s">
        <v>596</v>
      </c>
      <c r="D151" s="538" t="s">
        <v>295</v>
      </c>
      <c r="E151" s="538" t="s">
        <v>1527</v>
      </c>
      <c r="F151" s="538" t="s">
        <v>163</v>
      </c>
      <c r="G151" s="538" t="s">
        <v>250</v>
      </c>
      <c r="H151" s="538" t="s">
        <v>155</v>
      </c>
      <c r="I151" s="538" t="s">
        <v>2743</v>
      </c>
      <c r="J151" s="538" t="s">
        <v>2744</v>
      </c>
      <c r="K151" s="538" t="b">
        <v>0</v>
      </c>
      <c r="L151" s="538" t="b">
        <v>1</v>
      </c>
      <c r="M151" s="538" t="s">
        <v>79</v>
      </c>
      <c r="N151" s="538" t="s">
        <v>1527</v>
      </c>
      <c r="O151" s="538" t="s">
        <v>79</v>
      </c>
      <c r="P151" s="538" t="s">
        <v>1527</v>
      </c>
      <c r="Q151" s="538" t="s">
        <v>75</v>
      </c>
      <c r="R151" s="538" t="s">
        <v>2745</v>
      </c>
      <c r="S151" s="538" t="s">
        <v>75</v>
      </c>
      <c r="T151" s="538" t="s">
        <v>2745</v>
      </c>
      <c r="U151" s="538" t="s">
        <v>79</v>
      </c>
      <c r="V151" s="538" t="s">
        <v>228</v>
      </c>
      <c r="W151" s="538" t="s">
        <v>75</v>
      </c>
      <c r="X151" s="538" t="s">
        <v>2745</v>
      </c>
      <c r="Y151" s="538" t="s">
        <v>75</v>
      </c>
      <c r="Z151" s="538" t="s">
        <v>2745</v>
      </c>
      <c r="AA151" s="538" t="s">
        <v>75</v>
      </c>
      <c r="AB151" s="538" t="s">
        <v>2745</v>
      </c>
      <c r="AC151" s="538" t="s">
        <v>79</v>
      </c>
      <c r="AD151" s="538" t="s">
        <v>228</v>
      </c>
      <c r="AE151" s="538" t="s">
        <v>79</v>
      </c>
      <c r="AF151" s="538" t="s">
        <v>233</v>
      </c>
      <c r="AG151" s="538" t="s">
        <v>79</v>
      </c>
      <c r="AH151" s="538" t="s">
        <v>1527</v>
      </c>
      <c r="AI151" s="538" t="s">
        <v>79</v>
      </c>
      <c r="AJ151" s="538" t="s">
        <v>1527</v>
      </c>
      <c r="AK151" s="538" t="s">
        <v>79</v>
      </c>
      <c r="AL151" s="538" t="s">
        <v>295</v>
      </c>
      <c r="AM151" s="538" t="s">
        <v>79</v>
      </c>
      <c r="AN151" s="538" t="s">
        <v>295</v>
      </c>
      <c r="AO151" s="538">
        <v>3.06961242E9</v>
      </c>
      <c r="AP151" s="538">
        <v>3.0</v>
      </c>
      <c r="AQ151" s="538">
        <v>2.325864718E9</v>
      </c>
      <c r="AR151" s="538">
        <v>46.0</v>
      </c>
      <c r="AS151" s="538" t="s">
        <v>46</v>
      </c>
      <c r="AV151" s="538" t="s">
        <v>2745</v>
      </c>
    </row>
    <row r="152" ht="22.5" customHeight="1">
      <c r="A152" s="538">
        <v>151.0</v>
      </c>
      <c r="B152" s="538" t="s">
        <v>2746</v>
      </c>
      <c r="C152" s="538" t="s">
        <v>596</v>
      </c>
      <c r="D152" s="538" t="s">
        <v>218</v>
      </c>
      <c r="E152" s="538" t="s">
        <v>273</v>
      </c>
      <c r="F152" s="538" t="s">
        <v>239</v>
      </c>
      <c r="G152" s="538" t="s">
        <v>250</v>
      </c>
      <c r="H152" s="538" t="s">
        <v>122</v>
      </c>
      <c r="I152" s="538" t="s">
        <v>2724</v>
      </c>
      <c r="J152" s="538" t="s">
        <v>2747</v>
      </c>
      <c r="K152" s="538" t="b">
        <v>0</v>
      </c>
      <c r="L152" s="538" t="b">
        <v>1</v>
      </c>
      <c r="M152" s="538" t="s">
        <v>75</v>
      </c>
      <c r="N152" s="538" t="s">
        <v>273</v>
      </c>
      <c r="O152" s="538" t="s">
        <v>75</v>
      </c>
      <c r="P152" s="538" t="s">
        <v>273</v>
      </c>
      <c r="Q152" s="538" t="s">
        <v>75</v>
      </c>
      <c r="R152" s="538" t="s">
        <v>273</v>
      </c>
      <c r="S152" s="538" t="s">
        <v>75</v>
      </c>
      <c r="T152" s="538" t="s">
        <v>273</v>
      </c>
      <c r="U152" s="538" t="s">
        <v>75</v>
      </c>
      <c r="V152" s="538" t="s">
        <v>273</v>
      </c>
      <c r="W152" s="538" t="s">
        <v>75</v>
      </c>
      <c r="X152" s="538" t="s">
        <v>273</v>
      </c>
      <c r="Y152" s="538" t="s">
        <v>75</v>
      </c>
      <c r="Z152" s="538" t="s">
        <v>273</v>
      </c>
      <c r="AA152" s="538" t="s">
        <v>75</v>
      </c>
      <c r="AB152" s="538" t="s">
        <v>273</v>
      </c>
      <c r="AC152" s="538" t="s">
        <v>75</v>
      </c>
      <c r="AD152" s="538" t="s">
        <v>273</v>
      </c>
      <c r="AE152" s="538" t="s">
        <v>75</v>
      </c>
      <c r="AF152" s="538" t="s">
        <v>273</v>
      </c>
      <c r="AG152" s="538" t="s">
        <v>75</v>
      </c>
      <c r="AH152" s="538" t="s">
        <v>273</v>
      </c>
      <c r="AI152" s="538" t="s">
        <v>75</v>
      </c>
      <c r="AJ152" s="538" t="s">
        <v>273</v>
      </c>
      <c r="AK152" s="538" t="s">
        <v>79</v>
      </c>
      <c r="AL152" s="538" t="s">
        <v>218</v>
      </c>
      <c r="AM152" s="538" t="s">
        <v>79</v>
      </c>
      <c r="AN152" s="538" t="s">
        <v>218</v>
      </c>
      <c r="AO152" s="538">
        <v>3.803060874E9</v>
      </c>
      <c r="AP152" s="538">
        <v>1.0</v>
      </c>
      <c r="AQ152" s="538">
        <v>3.992201594E9</v>
      </c>
      <c r="AR152" s="538">
        <v>44.0</v>
      </c>
      <c r="AS152" s="538" t="s">
        <v>47</v>
      </c>
      <c r="AV152" s="538" t="s">
        <v>273</v>
      </c>
    </row>
    <row r="153" ht="22.5" customHeight="1">
      <c r="A153" s="538">
        <v>152.0</v>
      </c>
      <c r="B153" s="538" t="s">
        <v>2746</v>
      </c>
      <c r="C153" s="538" t="s">
        <v>596</v>
      </c>
      <c r="D153" s="538" t="s">
        <v>325</v>
      </c>
      <c r="E153" s="538" t="s">
        <v>248</v>
      </c>
      <c r="F153" s="538" t="s">
        <v>239</v>
      </c>
      <c r="G153" s="538" t="s">
        <v>250</v>
      </c>
      <c r="H153" s="538" t="s">
        <v>155</v>
      </c>
      <c r="I153" s="538" t="s">
        <v>384</v>
      </c>
      <c r="J153" s="538" t="s">
        <v>2748</v>
      </c>
      <c r="K153" s="538" t="b">
        <v>0</v>
      </c>
      <c r="L153" s="538" t="b">
        <v>1</v>
      </c>
      <c r="M153" s="538" t="s">
        <v>73</v>
      </c>
      <c r="O153" s="538" t="s">
        <v>73</v>
      </c>
      <c r="Q153" s="538" t="s">
        <v>79</v>
      </c>
      <c r="R153" s="538" t="s">
        <v>248</v>
      </c>
      <c r="S153" s="538" t="s">
        <v>79</v>
      </c>
      <c r="T153" s="538" t="s">
        <v>248</v>
      </c>
      <c r="U153" s="538" t="s">
        <v>79</v>
      </c>
      <c r="V153" s="538" t="s">
        <v>248</v>
      </c>
      <c r="W153" s="538" t="s">
        <v>79</v>
      </c>
      <c r="X153" s="538" t="s">
        <v>248</v>
      </c>
      <c r="Y153" s="538" t="s">
        <v>79</v>
      </c>
      <c r="Z153" s="538" t="s">
        <v>248</v>
      </c>
      <c r="AA153" s="538" t="s">
        <v>79</v>
      </c>
      <c r="AB153" s="538" t="s">
        <v>248</v>
      </c>
      <c r="AC153" s="538" t="s">
        <v>79</v>
      </c>
      <c r="AD153" s="538" t="s">
        <v>248</v>
      </c>
      <c r="AE153" s="538" t="s">
        <v>79</v>
      </c>
      <c r="AF153" s="538" t="s">
        <v>248</v>
      </c>
      <c r="AG153" s="538" t="s">
        <v>79</v>
      </c>
      <c r="AH153" s="538" t="s">
        <v>248</v>
      </c>
      <c r="AI153" s="538" t="s">
        <v>79</v>
      </c>
      <c r="AJ153" s="538" t="s">
        <v>248</v>
      </c>
      <c r="AK153" s="538" t="s">
        <v>79</v>
      </c>
      <c r="AL153" s="538" t="s">
        <v>325</v>
      </c>
      <c r="AM153" s="538" t="s">
        <v>79</v>
      </c>
      <c r="AN153" s="538" t="s">
        <v>325</v>
      </c>
      <c r="AO153" s="538">
        <v>4.093214898E9</v>
      </c>
      <c r="AP153" s="538">
        <v>2.0</v>
      </c>
      <c r="AQ153" s="538">
        <v>3.992201594E9</v>
      </c>
      <c r="AR153" s="538">
        <v>44.0</v>
      </c>
      <c r="AS153" s="538" t="s">
        <v>47</v>
      </c>
    </row>
    <row r="154" ht="22.5" customHeight="1">
      <c r="A154" s="538">
        <v>153.0</v>
      </c>
      <c r="B154" s="538" t="s">
        <v>2746</v>
      </c>
      <c r="C154" s="538" t="s">
        <v>596</v>
      </c>
      <c r="D154" s="538" t="s">
        <v>246</v>
      </c>
      <c r="E154" s="538" t="s">
        <v>2749</v>
      </c>
      <c r="F154" s="538" t="s">
        <v>163</v>
      </c>
      <c r="G154" s="538" t="s">
        <v>222</v>
      </c>
      <c r="H154" s="538" t="s">
        <v>155</v>
      </c>
      <c r="J154" s="538" t="s">
        <v>2750</v>
      </c>
      <c r="K154" s="538" t="b">
        <v>0</v>
      </c>
      <c r="L154" s="538" t="b">
        <v>1</v>
      </c>
      <c r="M154" s="538" t="s">
        <v>73</v>
      </c>
      <c r="O154" s="538" t="s">
        <v>79</v>
      </c>
      <c r="P154" s="538" t="s">
        <v>385</v>
      </c>
      <c r="Q154" s="538" t="s">
        <v>79</v>
      </c>
      <c r="R154" s="538" t="s">
        <v>248</v>
      </c>
      <c r="S154" s="538" t="s">
        <v>79</v>
      </c>
      <c r="T154" s="538" t="s">
        <v>248</v>
      </c>
      <c r="U154" s="538" t="s">
        <v>79</v>
      </c>
      <c r="V154" s="538" t="s">
        <v>248</v>
      </c>
      <c r="W154" s="538" t="s">
        <v>79</v>
      </c>
      <c r="X154" s="538" t="s">
        <v>248</v>
      </c>
      <c r="Y154" s="538" t="s">
        <v>79</v>
      </c>
      <c r="Z154" s="538" t="s">
        <v>248</v>
      </c>
      <c r="AA154" s="538" t="s">
        <v>79</v>
      </c>
      <c r="AB154" s="538" t="s">
        <v>248</v>
      </c>
      <c r="AC154" s="538" t="s">
        <v>79</v>
      </c>
      <c r="AD154" s="538" t="s">
        <v>248</v>
      </c>
      <c r="AE154" s="538" t="s">
        <v>79</v>
      </c>
      <c r="AF154" s="538" t="s">
        <v>248</v>
      </c>
      <c r="AG154" s="538" t="s">
        <v>79</v>
      </c>
      <c r="AH154" s="538" t="s">
        <v>248</v>
      </c>
      <c r="AI154" s="538" t="s">
        <v>79</v>
      </c>
      <c r="AJ154" s="538" t="s">
        <v>248</v>
      </c>
      <c r="AK154" s="538" t="s">
        <v>79</v>
      </c>
      <c r="AL154" s="538" t="s">
        <v>246</v>
      </c>
      <c r="AM154" s="538" t="s">
        <v>79</v>
      </c>
      <c r="AN154" s="538" t="s">
        <v>246</v>
      </c>
      <c r="AO154" s="538">
        <v>2.472395414E9</v>
      </c>
      <c r="AP154" s="538">
        <v>3.0</v>
      </c>
      <c r="AQ154" s="538">
        <v>3.992201594E9</v>
      </c>
      <c r="AR154" s="538">
        <v>44.0</v>
      </c>
      <c r="AS154" s="538" t="s">
        <v>47</v>
      </c>
    </row>
    <row r="155" ht="22.5" customHeight="1">
      <c r="A155" s="538">
        <v>154.0</v>
      </c>
      <c r="B155" s="538" t="s">
        <v>2751</v>
      </c>
      <c r="C155" s="538" t="s">
        <v>596</v>
      </c>
      <c r="D155" s="538" t="s">
        <v>292</v>
      </c>
      <c r="E155" s="538" t="s">
        <v>2749</v>
      </c>
      <c r="F155" s="538" t="s">
        <v>163</v>
      </c>
      <c r="G155" s="538" t="s">
        <v>222</v>
      </c>
      <c r="H155" s="538" t="s">
        <v>201</v>
      </c>
      <c r="I155" s="538" t="s">
        <v>114</v>
      </c>
      <c r="J155" s="538" t="s">
        <v>2752</v>
      </c>
      <c r="K155" s="538" t="b">
        <v>0</v>
      </c>
      <c r="L155" s="538" t="b">
        <v>1</v>
      </c>
      <c r="M155" s="538" t="s">
        <v>73</v>
      </c>
      <c r="O155" s="538" t="s">
        <v>79</v>
      </c>
      <c r="P155" s="538" t="s">
        <v>385</v>
      </c>
      <c r="Q155" s="538" t="s">
        <v>79</v>
      </c>
      <c r="R155" s="538" t="s">
        <v>248</v>
      </c>
      <c r="S155" s="538" t="s">
        <v>79</v>
      </c>
      <c r="T155" s="538" t="s">
        <v>248</v>
      </c>
      <c r="U155" s="538" t="s">
        <v>79</v>
      </c>
      <c r="V155" s="538" t="s">
        <v>248</v>
      </c>
      <c r="W155" s="538" t="s">
        <v>79</v>
      </c>
      <c r="X155" s="538" t="s">
        <v>248</v>
      </c>
      <c r="Y155" s="538" t="s">
        <v>79</v>
      </c>
      <c r="Z155" s="538" t="s">
        <v>248</v>
      </c>
      <c r="AA155" s="538" t="s">
        <v>79</v>
      </c>
      <c r="AB155" s="538" t="s">
        <v>248</v>
      </c>
      <c r="AC155" s="538" t="s">
        <v>79</v>
      </c>
      <c r="AD155" s="538" t="s">
        <v>248</v>
      </c>
      <c r="AE155" s="538" t="s">
        <v>79</v>
      </c>
      <c r="AF155" s="538" t="s">
        <v>248</v>
      </c>
      <c r="AG155" s="538" t="s">
        <v>79</v>
      </c>
      <c r="AH155" s="538" t="s">
        <v>248</v>
      </c>
      <c r="AI155" s="538" t="s">
        <v>79</v>
      </c>
      <c r="AJ155" s="538" t="s">
        <v>248</v>
      </c>
      <c r="AK155" s="538" t="s">
        <v>79</v>
      </c>
      <c r="AL155" s="538" t="s">
        <v>292</v>
      </c>
      <c r="AM155" s="538" t="s">
        <v>79</v>
      </c>
      <c r="AN155" s="538" t="s">
        <v>292</v>
      </c>
      <c r="AO155" s="538">
        <v>2.150885162E9</v>
      </c>
      <c r="AP155" s="538">
        <v>1.0</v>
      </c>
      <c r="AQ155" s="538">
        <v>4.081411215E9</v>
      </c>
      <c r="AR155" s="538">
        <v>45.0</v>
      </c>
      <c r="AS155" s="538" t="s">
        <v>46</v>
      </c>
    </row>
    <row r="156" ht="22.5" customHeight="1">
      <c r="A156" s="538">
        <v>155.0</v>
      </c>
      <c r="B156" s="538" t="s">
        <v>2751</v>
      </c>
      <c r="C156" s="538" t="s">
        <v>596</v>
      </c>
      <c r="D156" s="538" t="s">
        <v>322</v>
      </c>
      <c r="E156" s="538" t="s">
        <v>2396</v>
      </c>
      <c r="F156" s="538" t="s">
        <v>163</v>
      </c>
      <c r="G156" s="538" t="s">
        <v>250</v>
      </c>
      <c r="H156" s="538" t="s">
        <v>155</v>
      </c>
      <c r="J156" s="538" t="s">
        <v>2753</v>
      </c>
      <c r="K156" s="538" t="b">
        <v>0</v>
      </c>
      <c r="L156" s="538" t="b">
        <v>1</v>
      </c>
      <c r="M156" s="538" t="s">
        <v>75</v>
      </c>
      <c r="N156" s="538" t="s">
        <v>333</v>
      </c>
      <c r="O156" s="538" t="s">
        <v>75</v>
      </c>
      <c r="P156" s="538" t="s">
        <v>333</v>
      </c>
      <c r="Q156" s="538" t="s">
        <v>79</v>
      </c>
      <c r="R156" s="538" t="s">
        <v>2396</v>
      </c>
      <c r="S156" s="538" t="s">
        <v>79</v>
      </c>
      <c r="T156" s="538" t="s">
        <v>2396</v>
      </c>
      <c r="U156" s="538" t="s">
        <v>79</v>
      </c>
      <c r="V156" s="538" t="s">
        <v>2396</v>
      </c>
      <c r="W156" s="538" t="s">
        <v>79</v>
      </c>
      <c r="X156" s="538" t="s">
        <v>2396</v>
      </c>
      <c r="Y156" s="538" t="s">
        <v>79</v>
      </c>
      <c r="Z156" s="538" t="s">
        <v>2396</v>
      </c>
      <c r="AA156" s="538" t="s">
        <v>79</v>
      </c>
      <c r="AB156" s="538" t="s">
        <v>2396</v>
      </c>
      <c r="AC156" s="538" t="s">
        <v>79</v>
      </c>
      <c r="AD156" s="538" t="s">
        <v>2396</v>
      </c>
      <c r="AE156" s="538" t="s">
        <v>79</v>
      </c>
      <c r="AF156" s="538" t="s">
        <v>2396</v>
      </c>
      <c r="AG156" s="538" t="s">
        <v>79</v>
      </c>
      <c r="AH156" s="538" t="s">
        <v>2396</v>
      </c>
      <c r="AI156" s="538" t="s">
        <v>79</v>
      </c>
      <c r="AJ156" s="538" t="s">
        <v>2396</v>
      </c>
      <c r="AK156" s="538" t="s">
        <v>79</v>
      </c>
      <c r="AL156" s="538" t="s">
        <v>322</v>
      </c>
      <c r="AM156" s="538" t="s">
        <v>79</v>
      </c>
      <c r="AN156" s="538" t="s">
        <v>322</v>
      </c>
      <c r="AO156" s="538">
        <v>3.216362472E9</v>
      </c>
      <c r="AP156" s="538">
        <v>2.0</v>
      </c>
      <c r="AQ156" s="538">
        <v>4.081411215E9</v>
      </c>
      <c r="AR156" s="538">
        <v>45.0</v>
      </c>
      <c r="AS156" s="538" t="s">
        <v>46</v>
      </c>
      <c r="AV156" s="538" t="s">
        <v>333</v>
      </c>
    </row>
    <row r="157" ht="22.5" customHeight="1">
      <c r="A157" s="538">
        <v>156.0</v>
      </c>
      <c r="B157" s="538" t="s">
        <v>2751</v>
      </c>
      <c r="C157" s="538" t="s">
        <v>596</v>
      </c>
      <c r="D157" s="538" t="s">
        <v>295</v>
      </c>
      <c r="E157" s="538" t="s">
        <v>2754</v>
      </c>
      <c r="F157" s="538" t="s">
        <v>239</v>
      </c>
      <c r="G157" s="538" t="s">
        <v>222</v>
      </c>
      <c r="H157" s="538" t="s">
        <v>201</v>
      </c>
      <c r="I157" s="538" t="s">
        <v>320</v>
      </c>
      <c r="J157" s="538" t="s">
        <v>2755</v>
      </c>
      <c r="K157" s="538" t="b">
        <v>0</v>
      </c>
      <c r="L157" s="538" t="b">
        <v>1</v>
      </c>
      <c r="M157" s="538" t="s">
        <v>79</v>
      </c>
      <c r="N157" s="538" t="s">
        <v>2756</v>
      </c>
      <c r="O157" s="538" t="s">
        <v>79</v>
      </c>
      <c r="P157" s="538" t="s">
        <v>385</v>
      </c>
      <c r="Q157" s="538" t="s">
        <v>79</v>
      </c>
      <c r="R157" s="538" t="s">
        <v>2757</v>
      </c>
      <c r="S157" s="538" t="s">
        <v>79</v>
      </c>
      <c r="T157" s="538" t="s">
        <v>2757</v>
      </c>
      <c r="U157" s="538" t="s">
        <v>79</v>
      </c>
      <c r="V157" s="538" t="s">
        <v>2757</v>
      </c>
      <c r="W157" s="538" t="s">
        <v>79</v>
      </c>
      <c r="X157" s="538" t="s">
        <v>2757</v>
      </c>
      <c r="Y157" s="538" t="s">
        <v>79</v>
      </c>
      <c r="Z157" s="538" t="s">
        <v>2757</v>
      </c>
      <c r="AA157" s="538" t="s">
        <v>79</v>
      </c>
      <c r="AB157" s="538" t="s">
        <v>2757</v>
      </c>
      <c r="AC157" s="538" t="s">
        <v>79</v>
      </c>
      <c r="AD157" s="538" t="s">
        <v>2757</v>
      </c>
      <c r="AE157" s="538" t="s">
        <v>79</v>
      </c>
      <c r="AF157" s="538" t="s">
        <v>2757</v>
      </c>
      <c r="AG157" s="538" t="s">
        <v>79</v>
      </c>
      <c r="AH157" s="538" t="s">
        <v>2757</v>
      </c>
      <c r="AI157" s="538" t="s">
        <v>79</v>
      </c>
      <c r="AJ157" s="538" t="s">
        <v>2757</v>
      </c>
      <c r="AK157" s="538" t="s">
        <v>79</v>
      </c>
      <c r="AL157" s="538" t="s">
        <v>295</v>
      </c>
      <c r="AM157" s="538" t="s">
        <v>79</v>
      </c>
      <c r="AN157" s="538" t="s">
        <v>295</v>
      </c>
      <c r="AO157" s="538">
        <v>1.401383181E9</v>
      </c>
      <c r="AP157" s="538">
        <v>3.0</v>
      </c>
      <c r="AQ157" s="538">
        <v>4.081411215E9</v>
      </c>
      <c r="AR157" s="538">
        <v>45.0</v>
      </c>
      <c r="AS157" s="538" t="s">
        <v>46</v>
      </c>
    </row>
    <row r="158" ht="22.5" customHeight="1">
      <c r="A158" s="538">
        <v>157.0</v>
      </c>
      <c r="B158" s="538" t="s">
        <v>2758</v>
      </c>
      <c r="C158" s="538" t="s">
        <v>596</v>
      </c>
      <c r="D158" s="538" t="s">
        <v>112</v>
      </c>
      <c r="E158" s="538" t="s">
        <v>2759</v>
      </c>
      <c r="F158" s="538" t="s">
        <v>163</v>
      </c>
      <c r="G158" s="538" t="s">
        <v>250</v>
      </c>
      <c r="H158" s="538" t="s">
        <v>155</v>
      </c>
      <c r="I158" s="538" t="s">
        <v>2760</v>
      </c>
      <c r="J158" s="538" t="s">
        <v>2761</v>
      </c>
      <c r="K158" s="538" t="b">
        <v>0</v>
      </c>
      <c r="L158" s="538" t="b">
        <v>0</v>
      </c>
      <c r="M158" s="538" t="s">
        <v>79</v>
      </c>
      <c r="N158" s="538" t="s">
        <v>2759</v>
      </c>
      <c r="O158" s="538" t="s">
        <v>79</v>
      </c>
      <c r="P158" s="538" t="s">
        <v>2759</v>
      </c>
      <c r="Q158" s="538" t="s">
        <v>79</v>
      </c>
      <c r="R158" s="538" t="s">
        <v>2762</v>
      </c>
      <c r="S158" s="538" t="s">
        <v>79</v>
      </c>
      <c r="T158" s="538" t="s">
        <v>2762</v>
      </c>
      <c r="U158" s="538" t="s">
        <v>79</v>
      </c>
      <c r="V158" s="538" t="s">
        <v>2762</v>
      </c>
      <c r="W158" s="538" t="s">
        <v>79</v>
      </c>
      <c r="X158" s="538" t="s">
        <v>2762</v>
      </c>
      <c r="Y158" s="538" t="s">
        <v>79</v>
      </c>
      <c r="Z158" s="538" t="s">
        <v>2763</v>
      </c>
      <c r="AA158" s="538" t="s">
        <v>79</v>
      </c>
      <c r="AB158" s="538" t="s">
        <v>2762</v>
      </c>
      <c r="AC158" s="538" t="s">
        <v>79</v>
      </c>
      <c r="AD158" s="538" t="s">
        <v>2762</v>
      </c>
      <c r="AE158" s="538" t="s">
        <v>79</v>
      </c>
      <c r="AF158" s="538" t="s">
        <v>2759</v>
      </c>
      <c r="AG158" s="538" t="s">
        <v>79</v>
      </c>
      <c r="AH158" s="538" t="s">
        <v>2759</v>
      </c>
      <c r="AI158" s="538" t="s">
        <v>79</v>
      </c>
      <c r="AJ158" s="538" t="s">
        <v>2759</v>
      </c>
      <c r="AK158" s="538" t="s">
        <v>79</v>
      </c>
      <c r="AL158" s="538" t="s">
        <v>112</v>
      </c>
      <c r="AM158" s="538" t="s">
        <v>79</v>
      </c>
      <c r="AN158" s="538" t="s">
        <v>112</v>
      </c>
      <c r="AO158" s="538">
        <v>2.377325098E9</v>
      </c>
      <c r="AP158" s="538">
        <v>1.0</v>
      </c>
      <c r="AQ158" s="538">
        <v>5.87246835E8</v>
      </c>
      <c r="AR158" s="538">
        <v>48.0</v>
      </c>
      <c r="AS158" s="538" t="s">
        <v>46</v>
      </c>
    </row>
    <row r="159" ht="22.5" customHeight="1">
      <c r="A159" s="538">
        <v>158.0</v>
      </c>
      <c r="B159" s="538" t="s">
        <v>2758</v>
      </c>
      <c r="C159" s="538" t="s">
        <v>596</v>
      </c>
      <c r="D159" s="538" t="s">
        <v>295</v>
      </c>
      <c r="E159" s="538" t="s">
        <v>2764</v>
      </c>
      <c r="F159" s="538" t="s">
        <v>163</v>
      </c>
      <c r="G159" s="538" t="s">
        <v>250</v>
      </c>
      <c r="H159" s="538" t="s">
        <v>155</v>
      </c>
      <c r="I159" s="538" t="s">
        <v>2760</v>
      </c>
      <c r="J159" s="538" t="s">
        <v>2765</v>
      </c>
      <c r="K159" s="538" t="b">
        <v>0</v>
      </c>
      <c r="L159" s="538" t="b">
        <v>1</v>
      </c>
      <c r="M159" s="538" t="s">
        <v>79</v>
      </c>
      <c r="N159" s="538" t="s">
        <v>2764</v>
      </c>
      <c r="O159" s="538" t="s">
        <v>79</v>
      </c>
      <c r="P159" s="538" t="s">
        <v>2764</v>
      </c>
      <c r="Q159" s="538" t="s">
        <v>79</v>
      </c>
      <c r="R159" s="538" t="s">
        <v>2766</v>
      </c>
      <c r="S159" s="538" t="s">
        <v>79</v>
      </c>
      <c r="T159" s="538" t="s">
        <v>2766</v>
      </c>
      <c r="U159" s="538" t="s">
        <v>79</v>
      </c>
      <c r="V159" s="538" t="s">
        <v>2766</v>
      </c>
      <c r="W159" s="538" t="s">
        <v>79</v>
      </c>
      <c r="X159" s="538" t="s">
        <v>2766</v>
      </c>
      <c r="Y159" s="538" t="s">
        <v>79</v>
      </c>
      <c r="Z159" s="538" t="s">
        <v>2767</v>
      </c>
      <c r="AA159" s="538" t="s">
        <v>79</v>
      </c>
      <c r="AB159" s="538" t="s">
        <v>2767</v>
      </c>
      <c r="AC159" s="538" t="s">
        <v>79</v>
      </c>
      <c r="AD159" s="538" t="s">
        <v>2766</v>
      </c>
      <c r="AE159" s="538" t="s">
        <v>79</v>
      </c>
      <c r="AF159" s="538" t="s">
        <v>2764</v>
      </c>
      <c r="AG159" s="538" t="s">
        <v>79</v>
      </c>
      <c r="AH159" s="538" t="s">
        <v>2764</v>
      </c>
      <c r="AI159" s="538" t="s">
        <v>79</v>
      </c>
      <c r="AJ159" s="538" t="s">
        <v>2764</v>
      </c>
      <c r="AK159" s="538" t="s">
        <v>79</v>
      </c>
      <c r="AL159" s="538" t="s">
        <v>295</v>
      </c>
      <c r="AM159" s="538" t="s">
        <v>79</v>
      </c>
      <c r="AN159" s="538" t="s">
        <v>295</v>
      </c>
      <c r="AO159" s="538">
        <v>8.59457704E8</v>
      </c>
      <c r="AP159" s="538">
        <v>2.0</v>
      </c>
      <c r="AQ159" s="538">
        <v>5.87246835E8</v>
      </c>
      <c r="AR159" s="538">
        <v>48.0</v>
      </c>
      <c r="AS159" s="538" t="s">
        <v>46</v>
      </c>
    </row>
    <row r="160" ht="22.5" customHeight="1">
      <c r="A160" s="538">
        <v>159.0</v>
      </c>
      <c r="B160" s="538" t="s">
        <v>2758</v>
      </c>
      <c r="C160" s="538" t="s">
        <v>596</v>
      </c>
      <c r="D160" s="538" t="s">
        <v>363</v>
      </c>
      <c r="F160" s="538" t="s">
        <v>151</v>
      </c>
      <c r="G160" s="538" t="s">
        <v>250</v>
      </c>
      <c r="H160" s="538" t="s">
        <v>122</v>
      </c>
      <c r="J160" s="538" t="s">
        <v>2768</v>
      </c>
      <c r="K160" s="538" t="b">
        <v>0</v>
      </c>
      <c r="L160" s="538" t="b">
        <v>1</v>
      </c>
      <c r="M160" s="538" t="s">
        <v>73</v>
      </c>
      <c r="O160" s="538" t="s">
        <v>73</v>
      </c>
      <c r="Q160" s="538" t="s">
        <v>73</v>
      </c>
      <c r="S160" s="538" t="s">
        <v>73</v>
      </c>
      <c r="U160" s="538" t="s">
        <v>73</v>
      </c>
      <c r="W160" s="538" t="s">
        <v>73</v>
      </c>
      <c r="Y160" s="538" t="s">
        <v>73</v>
      </c>
      <c r="AA160" s="538" t="s">
        <v>73</v>
      </c>
      <c r="AC160" s="538" t="s">
        <v>73</v>
      </c>
      <c r="AE160" s="538" t="s">
        <v>73</v>
      </c>
      <c r="AG160" s="538" t="s">
        <v>73</v>
      </c>
      <c r="AI160" s="538" t="s">
        <v>73</v>
      </c>
      <c r="AK160" s="538" t="s">
        <v>79</v>
      </c>
      <c r="AL160" s="538" t="s">
        <v>363</v>
      </c>
      <c r="AM160" s="538" t="s">
        <v>79</v>
      </c>
      <c r="AN160" s="538" t="s">
        <v>363</v>
      </c>
      <c r="AO160" s="538">
        <v>4.122925361E9</v>
      </c>
      <c r="AP160" s="538">
        <v>3.0</v>
      </c>
      <c r="AQ160" s="538">
        <v>5.87246835E8</v>
      </c>
      <c r="AR160" s="538">
        <v>48.0</v>
      </c>
      <c r="AS160" s="538" t="s">
        <v>46</v>
      </c>
    </row>
    <row r="161" ht="22.5" customHeight="1">
      <c r="A161" s="538">
        <v>160.0</v>
      </c>
      <c r="B161" s="538" t="s">
        <v>2769</v>
      </c>
      <c r="C161" s="538" t="s">
        <v>596</v>
      </c>
      <c r="D161" s="538" t="s">
        <v>2770</v>
      </c>
      <c r="F161" s="538" t="s">
        <v>151</v>
      </c>
      <c r="G161" s="538" t="s">
        <v>250</v>
      </c>
      <c r="H161" s="538" t="s">
        <v>155</v>
      </c>
      <c r="J161" s="538" t="s">
        <v>2771</v>
      </c>
      <c r="K161" s="538" t="b">
        <v>0</v>
      </c>
      <c r="L161" s="538" t="b">
        <v>1</v>
      </c>
      <c r="M161" s="538" t="s">
        <v>79</v>
      </c>
      <c r="N161" s="538" t="s">
        <v>2770</v>
      </c>
      <c r="O161" s="538" t="s">
        <v>79</v>
      </c>
      <c r="P161" s="538" t="s">
        <v>2770</v>
      </c>
      <c r="Q161" s="538" t="s">
        <v>79</v>
      </c>
      <c r="R161" s="538" t="s">
        <v>2770</v>
      </c>
      <c r="S161" s="538" t="s">
        <v>79</v>
      </c>
      <c r="T161" s="538" t="s">
        <v>2770</v>
      </c>
      <c r="U161" s="538" t="s">
        <v>79</v>
      </c>
      <c r="V161" s="538" t="s">
        <v>2770</v>
      </c>
      <c r="W161" s="538" t="s">
        <v>79</v>
      </c>
      <c r="X161" s="538" t="s">
        <v>2770</v>
      </c>
      <c r="Y161" s="538" t="s">
        <v>79</v>
      </c>
      <c r="Z161" s="538" t="s">
        <v>2770</v>
      </c>
      <c r="AA161" s="538" t="s">
        <v>79</v>
      </c>
      <c r="AB161" s="538" t="s">
        <v>2770</v>
      </c>
      <c r="AC161" s="538" t="s">
        <v>79</v>
      </c>
      <c r="AD161" s="538" t="s">
        <v>2770</v>
      </c>
      <c r="AE161" s="538" t="s">
        <v>79</v>
      </c>
      <c r="AF161" s="538" t="s">
        <v>2770</v>
      </c>
      <c r="AG161" s="538" t="s">
        <v>79</v>
      </c>
      <c r="AH161" s="538" t="s">
        <v>2770</v>
      </c>
      <c r="AI161" s="538" t="s">
        <v>79</v>
      </c>
      <c r="AJ161" s="538" t="s">
        <v>2770</v>
      </c>
      <c r="AK161" s="538" t="s">
        <v>79</v>
      </c>
      <c r="AL161" s="538" t="s">
        <v>2770</v>
      </c>
      <c r="AM161" s="538" t="s">
        <v>73</v>
      </c>
      <c r="AO161" s="538">
        <v>3.914072116E9</v>
      </c>
      <c r="AP161" s="538">
        <v>1.0</v>
      </c>
      <c r="AQ161" s="538">
        <v>1.240927405E9</v>
      </c>
      <c r="AR161" s="538">
        <v>47.0</v>
      </c>
      <c r="AS161" s="538" t="s">
        <v>47</v>
      </c>
    </row>
    <row r="162" ht="22.5" customHeight="1">
      <c r="A162" s="538">
        <v>161.0</v>
      </c>
      <c r="B162" s="538" t="s">
        <v>2769</v>
      </c>
      <c r="C162" s="538" t="s">
        <v>596</v>
      </c>
      <c r="D162" s="538" t="s">
        <v>400</v>
      </c>
      <c r="F162" s="538" t="s">
        <v>151</v>
      </c>
      <c r="G162" s="538" t="s">
        <v>250</v>
      </c>
      <c r="H162" s="538" t="s">
        <v>122</v>
      </c>
      <c r="J162" s="538" t="s">
        <v>2772</v>
      </c>
      <c r="K162" s="538" t="b">
        <v>0</v>
      </c>
      <c r="L162" s="538" t="b">
        <v>1</v>
      </c>
      <c r="M162" s="538" t="s">
        <v>79</v>
      </c>
      <c r="N162" s="538" t="s">
        <v>400</v>
      </c>
      <c r="O162" s="538" t="s">
        <v>79</v>
      </c>
      <c r="P162" s="538" t="s">
        <v>400</v>
      </c>
      <c r="Q162" s="538" t="s">
        <v>79</v>
      </c>
      <c r="R162" s="538" t="s">
        <v>400</v>
      </c>
      <c r="S162" s="538" t="s">
        <v>79</v>
      </c>
      <c r="T162" s="538" t="s">
        <v>400</v>
      </c>
      <c r="U162" s="538" t="s">
        <v>79</v>
      </c>
      <c r="V162" s="538" t="s">
        <v>400</v>
      </c>
      <c r="W162" s="538" t="s">
        <v>79</v>
      </c>
      <c r="X162" s="538" t="s">
        <v>400</v>
      </c>
      <c r="Y162" s="538" t="s">
        <v>79</v>
      </c>
      <c r="Z162" s="538" t="s">
        <v>400</v>
      </c>
      <c r="AA162" s="538" t="s">
        <v>79</v>
      </c>
      <c r="AB162" s="538" t="s">
        <v>400</v>
      </c>
      <c r="AC162" s="538" t="s">
        <v>79</v>
      </c>
      <c r="AD162" s="538" t="s">
        <v>400</v>
      </c>
      <c r="AE162" s="538" t="s">
        <v>79</v>
      </c>
      <c r="AF162" s="538" t="s">
        <v>400</v>
      </c>
      <c r="AG162" s="538" t="s">
        <v>79</v>
      </c>
      <c r="AH162" s="538" t="s">
        <v>400</v>
      </c>
      <c r="AI162" s="538" t="s">
        <v>79</v>
      </c>
      <c r="AJ162" s="538" t="s">
        <v>400</v>
      </c>
      <c r="AK162" s="538" t="s">
        <v>79</v>
      </c>
      <c r="AL162" s="538" t="s">
        <v>400</v>
      </c>
      <c r="AM162" s="538" t="s">
        <v>73</v>
      </c>
      <c r="AO162" s="538">
        <v>4.070062661E9</v>
      </c>
      <c r="AP162" s="538">
        <v>2.0</v>
      </c>
      <c r="AQ162" s="538">
        <v>1.240927405E9</v>
      </c>
      <c r="AR162" s="538">
        <v>47.0</v>
      </c>
      <c r="AS162" s="538" t="s">
        <v>47</v>
      </c>
    </row>
    <row r="163" ht="22.5" customHeight="1">
      <c r="A163" s="538">
        <v>162.0</v>
      </c>
      <c r="B163" s="538" t="s">
        <v>2769</v>
      </c>
      <c r="C163" s="538" t="s">
        <v>596</v>
      </c>
      <c r="D163" s="538" t="s">
        <v>310</v>
      </c>
      <c r="F163" s="538" t="s">
        <v>151</v>
      </c>
      <c r="G163" s="538" t="s">
        <v>250</v>
      </c>
      <c r="H163" s="538" t="s">
        <v>122</v>
      </c>
      <c r="J163" s="538" t="s">
        <v>2773</v>
      </c>
      <c r="K163" s="538" t="b">
        <v>0</v>
      </c>
      <c r="L163" s="538" t="b">
        <v>1</v>
      </c>
      <c r="M163" s="538" t="s">
        <v>73</v>
      </c>
      <c r="O163" s="538" t="s">
        <v>73</v>
      </c>
      <c r="Q163" s="538" t="s">
        <v>73</v>
      </c>
      <c r="S163" s="538" t="s">
        <v>73</v>
      </c>
      <c r="U163" s="538" t="s">
        <v>73</v>
      </c>
      <c r="W163" s="538" t="s">
        <v>73</v>
      </c>
      <c r="Y163" s="538" t="s">
        <v>73</v>
      </c>
      <c r="AA163" s="538" t="s">
        <v>73</v>
      </c>
      <c r="AC163" s="538" t="s">
        <v>73</v>
      </c>
      <c r="AE163" s="538" t="s">
        <v>73</v>
      </c>
      <c r="AG163" s="538" t="s">
        <v>73</v>
      </c>
      <c r="AI163" s="538" t="s">
        <v>73</v>
      </c>
      <c r="AK163" s="538" t="s">
        <v>79</v>
      </c>
      <c r="AL163" s="538" t="s">
        <v>310</v>
      </c>
      <c r="AM163" s="538" t="s">
        <v>79</v>
      </c>
      <c r="AN163" s="538" t="s">
        <v>310</v>
      </c>
      <c r="AO163" s="538">
        <v>9.13757396E8</v>
      </c>
      <c r="AP163" s="538">
        <v>3.0</v>
      </c>
      <c r="AQ163" s="538">
        <v>1.240927405E9</v>
      </c>
      <c r="AR163" s="538">
        <v>47.0</v>
      </c>
      <c r="AS163" s="538" t="s">
        <v>47</v>
      </c>
    </row>
    <row r="164" ht="22.5" customHeight="1">
      <c r="A164" s="538">
        <v>163.0</v>
      </c>
      <c r="B164" s="538" t="s">
        <v>2774</v>
      </c>
      <c r="C164" s="538" t="s">
        <v>596</v>
      </c>
      <c r="D164" s="538" t="s">
        <v>2775</v>
      </c>
      <c r="E164" s="538" t="s">
        <v>2776</v>
      </c>
      <c r="F164" s="538" t="s">
        <v>151</v>
      </c>
      <c r="G164" s="538" t="s">
        <v>250</v>
      </c>
      <c r="H164" s="538" t="s">
        <v>122</v>
      </c>
      <c r="J164" s="538" t="s">
        <v>2777</v>
      </c>
      <c r="K164" s="538" t="b">
        <v>0</v>
      </c>
      <c r="L164" s="538" t="b">
        <v>1</v>
      </c>
      <c r="M164" s="538" t="s">
        <v>79</v>
      </c>
      <c r="N164" s="538" t="s">
        <v>2775</v>
      </c>
      <c r="O164" s="538" t="s">
        <v>79</v>
      </c>
      <c r="P164" s="538" t="s">
        <v>2775</v>
      </c>
      <c r="Q164" s="538" t="s">
        <v>79</v>
      </c>
      <c r="R164" s="538" t="s">
        <v>2775</v>
      </c>
      <c r="S164" s="538" t="s">
        <v>79</v>
      </c>
      <c r="T164" s="538" t="s">
        <v>2775</v>
      </c>
      <c r="U164" s="538" t="s">
        <v>79</v>
      </c>
      <c r="V164" s="538" t="s">
        <v>2775</v>
      </c>
      <c r="W164" s="538" t="s">
        <v>79</v>
      </c>
      <c r="X164" s="538" t="s">
        <v>2775</v>
      </c>
      <c r="Y164" s="538" t="s">
        <v>79</v>
      </c>
      <c r="Z164" s="538" t="s">
        <v>2775</v>
      </c>
      <c r="AA164" s="538" t="s">
        <v>75</v>
      </c>
      <c r="AB164" s="538" t="s">
        <v>1878</v>
      </c>
      <c r="AC164" s="538" t="s">
        <v>79</v>
      </c>
      <c r="AD164" s="538" t="s">
        <v>2775</v>
      </c>
      <c r="AE164" s="538" t="s">
        <v>79</v>
      </c>
      <c r="AF164" s="538" t="s">
        <v>2775</v>
      </c>
      <c r="AG164" s="538" t="s">
        <v>79</v>
      </c>
      <c r="AH164" s="538" t="s">
        <v>2775</v>
      </c>
      <c r="AI164" s="538" t="s">
        <v>79</v>
      </c>
      <c r="AJ164" s="538" t="s">
        <v>2775</v>
      </c>
      <c r="AK164" s="538" t="s">
        <v>73</v>
      </c>
      <c r="AM164" s="538" t="s">
        <v>79</v>
      </c>
      <c r="AN164" s="538" t="s">
        <v>2775</v>
      </c>
      <c r="AO164" s="538">
        <v>4.018543622E9</v>
      </c>
      <c r="AP164" s="538">
        <v>1.0</v>
      </c>
      <c r="AQ164" s="538">
        <v>2.278545156E9</v>
      </c>
      <c r="AR164" s="538">
        <v>49.0</v>
      </c>
      <c r="AS164" s="538" t="s">
        <v>46</v>
      </c>
      <c r="AV164" s="538" t="s">
        <v>2775</v>
      </c>
    </row>
    <row r="165" ht="22.5" customHeight="1">
      <c r="A165" s="538">
        <v>164.0</v>
      </c>
      <c r="B165" s="538" t="s">
        <v>2774</v>
      </c>
      <c r="C165" s="538" t="s">
        <v>596</v>
      </c>
      <c r="D165" s="538" t="s">
        <v>241</v>
      </c>
      <c r="E165" s="538" t="s">
        <v>2778</v>
      </c>
      <c r="F165" s="538" t="s">
        <v>163</v>
      </c>
      <c r="G165" s="538" t="s">
        <v>250</v>
      </c>
      <c r="H165" s="538" t="s">
        <v>155</v>
      </c>
      <c r="I165" s="538" t="s">
        <v>2779</v>
      </c>
      <c r="J165" s="538" t="s">
        <v>2780</v>
      </c>
      <c r="K165" s="538" t="b">
        <v>0</v>
      </c>
      <c r="L165" s="538" t="b">
        <v>0</v>
      </c>
      <c r="M165" s="538" t="s">
        <v>79</v>
      </c>
      <c r="N165" s="538" t="s">
        <v>2778</v>
      </c>
      <c r="O165" s="538" t="s">
        <v>79</v>
      </c>
      <c r="P165" s="538" t="s">
        <v>2778</v>
      </c>
      <c r="Q165" s="538" t="s">
        <v>79</v>
      </c>
      <c r="R165" s="538" t="s">
        <v>2781</v>
      </c>
      <c r="S165" s="538" t="s">
        <v>79</v>
      </c>
      <c r="T165" s="538" t="s">
        <v>2781</v>
      </c>
      <c r="U165" s="538" t="s">
        <v>79</v>
      </c>
      <c r="V165" s="538" t="s">
        <v>2781</v>
      </c>
      <c r="W165" s="538" t="s">
        <v>79</v>
      </c>
      <c r="X165" s="538" t="s">
        <v>2781</v>
      </c>
      <c r="Y165" s="538" t="s">
        <v>79</v>
      </c>
      <c r="Z165" s="538" t="s">
        <v>2781</v>
      </c>
      <c r="AA165" s="538" t="s">
        <v>79</v>
      </c>
      <c r="AB165" s="538" t="s">
        <v>2781</v>
      </c>
      <c r="AC165" s="538" t="s">
        <v>79</v>
      </c>
      <c r="AD165" s="538" t="s">
        <v>2781</v>
      </c>
      <c r="AE165" s="538" t="s">
        <v>79</v>
      </c>
      <c r="AF165" s="538" t="s">
        <v>2782</v>
      </c>
      <c r="AG165" s="538" t="s">
        <v>79</v>
      </c>
      <c r="AH165" s="538" t="s">
        <v>2778</v>
      </c>
      <c r="AI165" s="538" t="s">
        <v>79</v>
      </c>
      <c r="AJ165" s="538" t="s">
        <v>2778</v>
      </c>
      <c r="AK165" s="538" t="s">
        <v>79</v>
      </c>
      <c r="AL165" s="538" t="s">
        <v>241</v>
      </c>
      <c r="AM165" s="538" t="s">
        <v>79</v>
      </c>
      <c r="AN165" s="538" t="s">
        <v>241</v>
      </c>
      <c r="AO165" s="538">
        <v>2.340851068E9</v>
      </c>
      <c r="AP165" s="538">
        <v>2.0</v>
      </c>
      <c r="AQ165" s="538">
        <v>2.278545156E9</v>
      </c>
      <c r="AR165" s="538">
        <v>49.0</v>
      </c>
      <c r="AS165" s="538" t="s">
        <v>46</v>
      </c>
    </row>
    <row r="166" ht="22.5" customHeight="1">
      <c r="A166" s="538">
        <v>165.0</v>
      </c>
      <c r="B166" s="538" t="s">
        <v>2774</v>
      </c>
      <c r="C166" s="538" t="s">
        <v>596</v>
      </c>
      <c r="D166" s="538" t="s">
        <v>295</v>
      </c>
      <c r="F166" s="538" t="s">
        <v>151</v>
      </c>
      <c r="G166" s="538" t="s">
        <v>250</v>
      </c>
      <c r="H166" s="538" t="s">
        <v>155</v>
      </c>
      <c r="J166" s="538" t="s">
        <v>2783</v>
      </c>
      <c r="K166" s="538" t="b">
        <v>0</v>
      </c>
      <c r="L166" s="538" t="b">
        <v>1</v>
      </c>
      <c r="M166" s="538" t="s">
        <v>73</v>
      </c>
      <c r="O166" s="538" t="s">
        <v>73</v>
      </c>
      <c r="Q166" s="538" t="s">
        <v>73</v>
      </c>
      <c r="S166" s="538" t="s">
        <v>73</v>
      </c>
      <c r="U166" s="538" t="s">
        <v>73</v>
      </c>
      <c r="W166" s="538" t="s">
        <v>73</v>
      </c>
      <c r="Y166" s="538" t="s">
        <v>73</v>
      </c>
      <c r="AA166" s="538" t="s">
        <v>73</v>
      </c>
      <c r="AC166" s="538" t="s">
        <v>73</v>
      </c>
      <c r="AE166" s="538" t="s">
        <v>73</v>
      </c>
      <c r="AG166" s="538" t="s">
        <v>73</v>
      </c>
      <c r="AI166" s="538" t="s">
        <v>73</v>
      </c>
      <c r="AK166" s="538" t="s">
        <v>79</v>
      </c>
      <c r="AL166" s="538" t="s">
        <v>295</v>
      </c>
      <c r="AM166" s="538" t="s">
        <v>79</v>
      </c>
      <c r="AN166" s="538" t="s">
        <v>295</v>
      </c>
      <c r="AO166" s="538">
        <v>1.780467108E9</v>
      </c>
      <c r="AP166" s="538">
        <v>3.0</v>
      </c>
      <c r="AQ166" s="538">
        <v>2.278545156E9</v>
      </c>
      <c r="AR166" s="538">
        <v>49.0</v>
      </c>
      <c r="AS166" s="538" t="s">
        <v>46</v>
      </c>
    </row>
    <row r="167" ht="22.5" customHeight="1">
      <c r="A167" s="538">
        <v>166.0</v>
      </c>
      <c r="B167" s="538" t="s">
        <v>2784</v>
      </c>
      <c r="C167" s="538" t="s">
        <v>596</v>
      </c>
      <c r="D167" s="538" t="s">
        <v>218</v>
      </c>
      <c r="E167" s="538" t="s">
        <v>365</v>
      </c>
      <c r="F167" s="538" t="s">
        <v>163</v>
      </c>
      <c r="G167" s="538" t="s">
        <v>250</v>
      </c>
      <c r="H167" s="538" t="s">
        <v>122</v>
      </c>
      <c r="J167" s="538" t="s">
        <v>2785</v>
      </c>
      <c r="K167" s="538" t="b">
        <v>0</v>
      </c>
      <c r="L167" s="538" t="b">
        <v>1</v>
      </c>
      <c r="M167" s="538" t="s">
        <v>79</v>
      </c>
      <c r="N167" s="538" t="s">
        <v>365</v>
      </c>
      <c r="O167" s="538" t="s">
        <v>79</v>
      </c>
      <c r="P167" s="538" t="s">
        <v>365</v>
      </c>
      <c r="Q167" s="538" t="s">
        <v>79</v>
      </c>
      <c r="R167" s="538" t="s">
        <v>365</v>
      </c>
      <c r="S167" s="538" t="s">
        <v>79</v>
      </c>
      <c r="T167" s="538" t="s">
        <v>365</v>
      </c>
      <c r="U167" s="538" t="s">
        <v>79</v>
      </c>
      <c r="V167" s="538" t="s">
        <v>365</v>
      </c>
      <c r="W167" s="538" t="s">
        <v>79</v>
      </c>
      <c r="X167" s="538" t="s">
        <v>365</v>
      </c>
      <c r="Y167" s="538" t="s">
        <v>73</v>
      </c>
      <c r="AA167" s="538" t="s">
        <v>73</v>
      </c>
      <c r="AC167" s="538" t="s">
        <v>79</v>
      </c>
      <c r="AD167" s="538" t="s">
        <v>365</v>
      </c>
      <c r="AE167" s="538" t="s">
        <v>79</v>
      </c>
      <c r="AF167" s="538" t="s">
        <v>365</v>
      </c>
      <c r="AG167" s="538" t="s">
        <v>79</v>
      </c>
      <c r="AH167" s="538" t="s">
        <v>365</v>
      </c>
      <c r="AI167" s="538" t="s">
        <v>79</v>
      </c>
      <c r="AJ167" s="538" t="s">
        <v>365</v>
      </c>
      <c r="AK167" s="538" t="s">
        <v>79</v>
      </c>
      <c r="AL167" s="538" t="s">
        <v>218</v>
      </c>
      <c r="AM167" s="538" t="s">
        <v>79</v>
      </c>
      <c r="AN167" s="538" t="s">
        <v>218</v>
      </c>
      <c r="AO167" s="538">
        <v>1.294477235E9</v>
      </c>
      <c r="AP167" s="538">
        <v>1.0</v>
      </c>
      <c r="AQ167" s="538">
        <v>2.766262625E9</v>
      </c>
      <c r="AR167" s="538">
        <v>50.0</v>
      </c>
      <c r="AS167" s="538" t="s">
        <v>45</v>
      </c>
    </row>
    <row r="168" ht="22.5" customHeight="1">
      <c r="A168" s="538">
        <v>167.0</v>
      </c>
      <c r="B168" s="538" t="s">
        <v>2784</v>
      </c>
      <c r="C168" s="538" t="s">
        <v>596</v>
      </c>
      <c r="D168" s="538" t="s">
        <v>218</v>
      </c>
      <c r="E168" s="538" t="s">
        <v>228</v>
      </c>
      <c r="F168" s="538" t="s">
        <v>163</v>
      </c>
      <c r="G168" s="538" t="s">
        <v>250</v>
      </c>
      <c r="H168" s="538" t="s">
        <v>122</v>
      </c>
      <c r="J168" s="538" t="s">
        <v>2786</v>
      </c>
      <c r="K168" s="538" t="b">
        <v>0</v>
      </c>
      <c r="L168" s="538" t="b">
        <v>1</v>
      </c>
      <c r="M168" s="538" t="s">
        <v>79</v>
      </c>
      <c r="N168" s="538" t="s">
        <v>228</v>
      </c>
      <c r="O168" s="538" t="s">
        <v>79</v>
      </c>
      <c r="P168" s="538" t="s">
        <v>228</v>
      </c>
      <c r="Q168" s="538" t="s">
        <v>73</v>
      </c>
      <c r="S168" s="538" t="s">
        <v>73</v>
      </c>
      <c r="U168" s="538" t="s">
        <v>79</v>
      </c>
      <c r="V168" s="538" t="s">
        <v>228</v>
      </c>
      <c r="W168" s="538" t="s">
        <v>73</v>
      </c>
      <c r="Y168" s="538" t="s">
        <v>73</v>
      </c>
      <c r="AA168" s="538" t="s">
        <v>73</v>
      </c>
      <c r="AC168" s="538" t="s">
        <v>79</v>
      </c>
      <c r="AD168" s="538" t="s">
        <v>228</v>
      </c>
      <c r="AE168" s="538" t="s">
        <v>73</v>
      </c>
      <c r="AG168" s="538" t="s">
        <v>79</v>
      </c>
      <c r="AH168" s="538" t="s">
        <v>228</v>
      </c>
      <c r="AI168" s="538" t="s">
        <v>79</v>
      </c>
      <c r="AJ168" s="538" t="s">
        <v>228</v>
      </c>
      <c r="AK168" s="538" t="s">
        <v>79</v>
      </c>
      <c r="AL168" s="538" t="s">
        <v>218</v>
      </c>
      <c r="AM168" s="538" t="s">
        <v>79</v>
      </c>
      <c r="AN168" s="538" t="s">
        <v>218</v>
      </c>
      <c r="AO168" s="538">
        <v>2.811269766E9</v>
      </c>
      <c r="AP168" s="538">
        <v>2.0</v>
      </c>
      <c r="AQ168" s="538">
        <v>2.766262625E9</v>
      </c>
      <c r="AR168" s="538">
        <v>50.0</v>
      </c>
      <c r="AS168" s="538" t="s">
        <v>45</v>
      </c>
    </row>
    <row r="169" ht="22.5" customHeight="1">
      <c r="A169" s="538">
        <v>168.0</v>
      </c>
      <c r="B169" s="538" t="s">
        <v>2787</v>
      </c>
      <c r="C169" s="538" t="s">
        <v>597</v>
      </c>
      <c r="D169" s="538" t="s">
        <v>241</v>
      </c>
      <c r="E169" s="538" t="s">
        <v>2788</v>
      </c>
      <c r="F169" s="538" t="s">
        <v>163</v>
      </c>
      <c r="G169" s="538" t="s">
        <v>250</v>
      </c>
      <c r="H169" s="538" t="s">
        <v>155</v>
      </c>
      <c r="J169" s="538" t="s">
        <v>2789</v>
      </c>
      <c r="K169" s="538" t="b">
        <v>0</v>
      </c>
      <c r="L169" s="538" t="b">
        <v>0</v>
      </c>
      <c r="M169" s="538" t="s">
        <v>75</v>
      </c>
      <c r="N169" s="538" t="s">
        <v>2790</v>
      </c>
      <c r="O169" s="538" t="s">
        <v>75</v>
      </c>
      <c r="P169" s="538" t="s">
        <v>2790</v>
      </c>
      <c r="Q169" s="538" t="s">
        <v>79</v>
      </c>
      <c r="R169" s="538" t="s">
        <v>2788</v>
      </c>
      <c r="S169" s="538" t="s">
        <v>79</v>
      </c>
      <c r="T169" s="538" t="s">
        <v>2788</v>
      </c>
      <c r="U169" s="538" t="s">
        <v>79</v>
      </c>
      <c r="V169" s="538" t="s">
        <v>2788</v>
      </c>
      <c r="W169" s="538" t="s">
        <v>79</v>
      </c>
      <c r="X169" s="538" t="s">
        <v>2788</v>
      </c>
      <c r="Y169" s="538" t="s">
        <v>79</v>
      </c>
      <c r="Z169" s="538" t="s">
        <v>2788</v>
      </c>
      <c r="AA169" s="538" t="s">
        <v>79</v>
      </c>
      <c r="AB169" s="538" t="s">
        <v>2788</v>
      </c>
      <c r="AC169" s="538" t="s">
        <v>79</v>
      </c>
      <c r="AD169" s="538" t="s">
        <v>2788</v>
      </c>
      <c r="AE169" s="538" t="s">
        <v>79</v>
      </c>
      <c r="AF169" s="538" t="s">
        <v>2788</v>
      </c>
      <c r="AG169" s="538" t="s">
        <v>79</v>
      </c>
      <c r="AH169" s="538" t="s">
        <v>2788</v>
      </c>
      <c r="AI169" s="538" t="s">
        <v>79</v>
      </c>
      <c r="AJ169" s="538" t="s">
        <v>2788</v>
      </c>
      <c r="AK169" s="538" t="s">
        <v>79</v>
      </c>
      <c r="AL169" s="538" t="s">
        <v>241</v>
      </c>
      <c r="AM169" s="538" t="s">
        <v>79</v>
      </c>
      <c r="AN169" s="538" t="s">
        <v>241</v>
      </c>
      <c r="AO169" s="538">
        <v>1.556983347E9</v>
      </c>
      <c r="AP169" s="538">
        <v>1.0</v>
      </c>
      <c r="AQ169" s="538">
        <v>3.861775054E9</v>
      </c>
      <c r="AR169" s="538">
        <v>53.0</v>
      </c>
      <c r="AS169" s="538" t="s">
        <v>47</v>
      </c>
      <c r="AV169" s="538" t="s">
        <v>2790</v>
      </c>
    </row>
    <row r="170" ht="22.5" customHeight="1">
      <c r="A170" s="538">
        <v>169.0</v>
      </c>
      <c r="B170" s="538" t="s">
        <v>2787</v>
      </c>
      <c r="C170" s="538" t="s">
        <v>597</v>
      </c>
      <c r="D170" s="538" t="s">
        <v>246</v>
      </c>
      <c r="E170" s="538" t="s">
        <v>950</v>
      </c>
      <c r="F170" s="538" t="s">
        <v>163</v>
      </c>
      <c r="G170" s="538" t="s">
        <v>222</v>
      </c>
      <c r="H170" s="538" t="s">
        <v>155</v>
      </c>
      <c r="J170" s="538" t="s">
        <v>2791</v>
      </c>
      <c r="K170" s="538" t="b">
        <v>0</v>
      </c>
      <c r="L170" s="538" t="b">
        <v>1</v>
      </c>
      <c r="M170" s="538" t="s">
        <v>75</v>
      </c>
      <c r="N170" s="538" t="s">
        <v>342</v>
      </c>
      <c r="O170" s="538" t="s">
        <v>75</v>
      </c>
      <c r="P170" s="538" t="s">
        <v>342</v>
      </c>
      <c r="Q170" s="538" t="s">
        <v>79</v>
      </c>
      <c r="R170" s="538" t="s">
        <v>950</v>
      </c>
      <c r="S170" s="538" t="s">
        <v>79</v>
      </c>
      <c r="T170" s="538" t="s">
        <v>950</v>
      </c>
      <c r="U170" s="538" t="s">
        <v>79</v>
      </c>
      <c r="V170" s="538" t="s">
        <v>950</v>
      </c>
      <c r="W170" s="538" t="s">
        <v>79</v>
      </c>
      <c r="X170" s="538" t="s">
        <v>950</v>
      </c>
      <c r="Y170" s="538" t="s">
        <v>79</v>
      </c>
      <c r="Z170" s="538" t="s">
        <v>950</v>
      </c>
      <c r="AA170" s="538" t="s">
        <v>79</v>
      </c>
      <c r="AB170" s="538" t="s">
        <v>950</v>
      </c>
      <c r="AC170" s="538" t="s">
        <v>79</v>
      </c>
      <c r="AD170" s="538" t="s">
        <v>950</v>
      </c>
      <c r="AE170" s="538" t="s">
        <v>79</v>
      </c>
      <c r="AF170" s="538" t="s">
        <v>950</v>
      </c>
      <c r="AG170" s="538" t="s">
        <v>79</v>
      </c>
      <c r="AH170" s="538" t="s">
        <v>950</v>
      </c>
      <c r="AI170" s="538" t="s">
        <v>79</v>
      </c>
      <c r="AJ170" s="538" t="s">
        <v>950</v>
      </c>
      <c r="AK170" s="538" t="s">
        <v>79</v>
      </c>
      <c r="AL170" s="538" t="s">
        <v>246</v>
      </c>
      <c r="AM170" s="538" t="s">
        <v>79</v>
      </c>
      <c r="AN170" s="538" t="s">
        <v>246</v>
      </c>
      <c r="AO170" s="538">
        <v>2.171823291E9</v>
      </c>
      <c r="AP170" s="538">
        <v>2.0</v>
      </c>
      <c r="AQ170" s="538">
        <v>3.861775054E9</v>
      </c>
      <c r="AR170" s="538">
        <v>53.0</v>
      </c>
      <c r="AS170" s="538" t="s">
        <v>47</v>
      </c>
      <c r="AV170" s="538" t="s">
        <v>342</v>
      </c>
    </row>
    <row r="171" ht="22.5" customHeight="1">
      <c r="A171" s="538">
        <v>170.0</v>
      </c>
      <c r="B171" s="538" t="s">
        <v>2787</v>
      </c>
      <c r="C171" s="538" t="s">
        <v>597</v>
      </c>
      <c r="D171" s="538" t="s">
        <v>369</v>
      </c>
      <c r="E171" s="538" t="s">
        <v>2792</v>
      </c>
      <c r="F171" s="538" t="s">
        <v>239</v>
      </c>
      <c r="G171" s="538" t="s">
        <v>222</v>
      </c>
      <c r="H171" s="538" t="s">
        <v>201</v>
      </c>
      <c r="J171" s="538" t="s">
        <v>2793</v>
      </c>
      <c r="K171" s="538" t="b">
        <v>0</v>
      </c>
      <c r="L171" s="538" t="b">
        <v>1</v>
      </c>
      <c r="M171" s="538" t="s">
        <v>75</v>
      </c>
      <c r="N171" s="538" t="s">
        <v>342</v>
      </c>
      <c r="O171" s="538" t="s">
        <v>79</v>
      </c>
      <c r="P171" s="538" t="s">
        <v>385</v>
      </c>
      <c r="Q171" s="538" t="s">
        <v>79</v>
      </c>
      <c r="R171" s="538" t="s">
        <v>950</v>
      </c>
      <c r="S171" s="538" t="s">
        <v>79</v>
      </c>
      <c r="T171" s="538" t="s">
        <v>950</v>
      </c>
      <c r="U171" s="538" t="s">
        <v>79</v>
      </c>
      <c r="V171" s="538" t="s">
        <v>950</v>
      </c>
      <c r="W171" s="538" t="s">
        <v>79</v>
      </c>
      <c r="X171" s="538" t="s">
        <v>950</v>
      </c>
      <c r="Y171" s="538" t="s">
        <v>79</v>
      </c>
      <c r="Z171" s="538" t="s">
        <v>950</v>
      </c>
      <c r="AA171" s="538" t="s">
        <v>79</v>
      </c>
      <c r="AB171" s="538" t="s">
        <v>950</v>
      </c>
      <c r="AC171" s="538" t="s">
        <v>79</v>
      </c>
      <c r="AD171" s="538" t="s">
        <v>950</v>
      </c>
      <c r="AE171" s="538" t="s">
        <v>79</v>
      </c>
      <c r="AF171" s="538" t="s">
        <v>950</v>
      </c>
      <c r="AG171" s="538" t="s">
        <v>79</v>
      </c>
      <c r="AH171" s="538" t="s">
        <v>950</v>
      </c>
      <c r="AI171" s="538" t="s">
        <v>79</v>
      </c>
      <c r="AJ171" s="538" t="s">
        <v>950</v>
      </c>
      <c r="AK171" s="538" t="s">
        <v>79</v>
      </c>
      <c r="AL171" s="538" t="s">
        <v>369</v>
      </c>
      <c r="AM171" s="538" t="s">
        <v>79</v>
      </c>
      <c r="AN171" s="538" t="s">
        <v>369</v>
      </c>
      <c r="AO171" s="538">
        <v>2.719966423E9</v>
      </c>
      <c r="AP171" s="538">
        <v>3.0</v>
      </c>
      <c r="AQ171" s="538">
        <v>3.861775054E9</v>
      </c>
      <c r="AR171" s="538">
        <v>53.0</v>
      </c>
      <c r="AS171" s="538" t="s">
        <v>47</v>
      </c>
      <c r="AV171" s="538" t="s">
        <v>342</v>
      </c>
    </row>
    <row r="172" ht="22.5" customHeight="1">
      <c r="A172" s="538">
        <v>171.0</v>
      </c>
      <c r="B172" s="538" t="s">
        <v>2787</v>
      </c>
      <c r="C172" s="538" t="s">
        <v>597</v>
      </c>
      <c r="D172" s="538" t="s">
        <v>295</v>
      </c>
      <c r="E172" s="538" t="s">
        <v>950</v>
      </c>
      <c r="F172" s="538" t="s">
        <v>163</v>
      </c>
      <c r="G172" s="538" t="s">
        <v>250</v>
      </c>
      <c r="H172" s="538" t="s">
        <v>155</v>
      </c>
      <c r="J172" s="538" t="s">
        <v>2794</v>
      </c>
      <c r="K172" s="538" t="b">
        <v>0</v>
      </c>
      <c r="L172" s="538" t="b">
        <v>1</v>
      </c>
      <c r="M172" s="538" t="s">
        <v>75</v>
      </c>
      <c r="N172" s="538" t="s">
        <v>342</v>
      </c>
      <c r="O172" s="538" t="s">
        <v>75</v>
      </c>
      <c r="P172" s="538" t="s">
        <v>342</v>
      </c>
      <c r="Q172" s="538" t="s">
        <v>79</v>
      </c>
      <c r="R172" s="538" t="s">
        <v>950</v>
      </c>
      <c r="S172" s="538" t="s">
        <v>79</v>
      </c>
      <c r="T172" s="538" t="s">
        <v>950</v>
      </c>
      <c r="U172" s="538" t="s">
        <v>79</v>
      </c>
      <c r="V172" s="538" t="s">
        <v>950</v>
      </c>
      <c r="W172" s="538" t="s">
        <v>79</v>
      </c>
      <c r="X172" s="538" t="s">
        <v>950</v>
      </c>
      <c r="Y172" s="538" t="s">
        <v>79</v>
      </c>
      <c r="Z172" s="538" t="s">
        <v>950</v>
      </c>
      <c r="AA172" s="538" t="s">
        <v>79</v>
      </c>
      <c r="AB172" s="538" t="s">
        <v>950</v>
      </c>
      <c r="AC172" s="538" t="s">
        <v>79</v>
      </c>
      <c r="AD172" s="538" t="s">
        <v>950</v>
      </c>
      <c r="AE172" s="538" t="s">
        <v>79</v>
      </c>
      <c r="AF172" s="538" t="s">
        <v>950</v>
      </c>
      <c r="AG172" s="538" t="s">
        <v>79</v>
      </c>
      <c r="AH172" s="538" t="s">
        <v>950</v>
      </c>
      <c r="AI172" s="538" t="s">
        <v>79</v>
      </c>
      <c r="AJ172" s="538" t="s">
        <v>950</v>
      </c>
      <c r="AK172" s="538" t="s">
        <v>79</v>
      </c>
      <c r="AL172" s="538" t="s">
        <v>295</v>
      </c>
      <c r="AM172" s="538" t="s">
        <v>79</v>
      </c>
      <c r="AN172" s="538" t="s">
        <v>295</v>
      </c>
      <c r="AO172" s="538">
        <v>1.460121169E9</v>
      </c>
      <c r="AP172" s="538">
        <v>4.0</v>
      </c>
      <c r="AQ172" s="538">
        <v>3.861775054E9</v>
      </c>
      <c r="AR172" s="538">
        <v>53.0</v>
      </c>
      <c r="AS172" s="538" t="s">
        <v>47</v>
      </c>
      <c r="AV172" s="538" t="s">
        <v>342</v>
      </c>
    </row>
    <row r="173" ht="22.5" customHeight="1">
      <c r="A173" s="538">
        <v>172.0</v>
      </c>
      <c r="B173" s="538" t="s">
        <v>2795</v>
      </c>
      <c r="C173" s="538" t="s">
        <v>597</v>
      </c>
      <c r="D173" s="538" t="s">
        <v>241</v>
      </c>
      <c r="E173" s="538" t="s">
        <v>2796</v>
      </c>
      <c r="F173" s="538" t="s">
        <v>163</v>
      </c>
      <c r="G173" s="538" t="s">
        <v>250</v>
      </c>
      <c r="H173" s="538" t="s">
        <v>155</v>
      </c>
      <c r="J173" s="538" t="s">
        <v>2797</v>
      </c>
      <c r="K173" s="538" t="b">
        <v>0</v>
      </c>
      <c r="L173" s="538" t="b">
        <v>0</v>
      </c>
      <c r="M173" s="538" t="s">
        <v>75</v>
      </c>
      <c r="N173" s="538" t="s">
        <v>2798</v>
      </c>
      <c r="O173" s="538" t="s">
        <v>75</v>
      </c>
      <c r="P173" s="538" t="s">
        <v>2798</v>
      </c>
      <c r="Q173" s="538" t="s">
        <v>79</v>
      </c>
      <c r="R173" s="538" t="s">
        <v>2796</v>
      </c>
      <c r="S173" s="538" t="s">
        <v>79</v>
      </c>
      <c r="T173" s="538" t="s">
        <v>2796</v>
      </c>
      <c r="U173" s="538" t="s">
        <v>79</v>
      </c>
      <c r="V173" s="538" t="s">
        <v>2796</v>
      </c>
      <c r="W173" s="538" t="s">
        <v>79</v>
      </c>
      <c r="X173" s="538" t="s">
        <v>2796</v>
      </c>
      <c r="Y173" s="538" t="s">
        <v>79</v>
      </c>
      <c r="Z173" s="538" t="s">
        <v>2796</v>
      </c>
      <c r="AA173" s="538" t="s">
        <v>79</v>
      </c>
      <c r="AB173" s="538" t="s">
        <v>2796</v>
      </c>
      <c r="AC173" s="538" t="s">
        <v>79</v>
      </c>
      <c r="AD173" s="538" t="s">
        <v>2796</v>
      </c>
      <c r="AE173" s="538" t="s">
        <v>79</v>
      </c>
      <c r="AF173" s="538" t="s">
        <v>2796</v>
      </c>
      <c r="AG173" s="538" t="s">
        <v>79</v>
      </c>
      <c r="AH173" s="538" t="s">
        <v>2796</v>
      </c>
      <c r="AI173" s="538" t="s">
        <v>79</v>
      </c>
      <c r="AJ173" s="538" t="s">
        <v>2796</v>
      </c>
      <c r="AK173" s="538" t="s">
        <v>79</v>
      </c>
      <c r="AL173" s="538" t="s">
        <v>241</v>
      </c>
      <c r="AM173" s="538" t="s">
        <v>79</v>
      </c>
      <c r="AN173" s="538" t="s">
        <v>241</v>
      </c>
      <c r="AO173" s="538">
        <v>4.13182823E8</v>
      </c>
      <c r="AP173" s="538">
        <v>1.0</v>
      </c>
      <c r="AQ173" s="538">
        <v>1.978548115E9</v>
      </c>
      <c r="AR173" s="538">
        <v>55.0</v>
      </c>
      <c r="AS173" s="538" t="s">
        <v>47</v>
      </c>
      <c r="AV173" s="538" t="s">
        <v>2798</v>
      </c>
    </row>
    <row r="174" ht="22.5" customHeight="1">
      <c r="A174" s="538">
        <v>173.0</v>
      </c>
      <c r="B174" s="538" t="s">
        <v>2795</v>
      </c>
      <c r="C174" s="538" t="s">
        <v>597</v>
      </c>
      <c r="D174" s="538" t="s">
        <v>246</v>
      </c>
      <c r="E174" s="538" t="s">
        <v>956</v>
      </c>
      <c r="F174" s="538" t="s">
        <v>163</v>
      </c>
      <c r="G174" s="538" t="s">
        <v>222</v>
      </c>
      <c r="H174" s="538" t="s">
        <v>155</v>
      </c>
      <c r="J174" s="538" t="s">
        <v>2799</v>
      </c>
      <c r="K174" s="538" t="b">
        <v>0</v>
      </c>
      <c r="L174" s="538" t="b">
        <v>1</v>
      </c>
      <c r="M174" s="538" t="s">
        <v>75</v>
      </c>
      <c r="N174" s="538" t="s">
        <v>309</v>
      </c>
      <c r="O174" s="538" t="s">
        <v>75</v>
      </c>
      <c r="P174" s="538" t="s">
        <v>309</v>
      </c>
      <c r="Q174" s="538" t="s">
        <v>79</v>
      </c>
      <c r="R174" s="538" t="s">
        <v>956</v>
      </c>
      <c r="S174" s="538" t="s">
        <v>79</v>
      </c>
      <c r="T174" s="538" t="s">
        <v>956</v>
      </c>
      <c r="U174" s="538" t="s">
        <v>79</v>
      </c>
      <c r="V174" s="538" t="s">
        <v>956</v>
      </c>
      <c r="W174" s="538" t="s">
        <v>79</v>
      </c>
      <c r="X174" s="538" t="s">
        <v>956</v>
      </c>
      <c r="Y174" s="538" t="s">
        <v>79</v>
      </c>
      <c r="Z174" s="538" t="s">
        <v>956</v>
      </c>
      <c r="AA174" s="538" t="s">
        <v>79</v>
      </c>
      <c r="AB174" s="538" t="s">
        <v>956</v>
      </c>
      <c r="AC174" s="538" t="s">
        <v>79</v>
      </c>
      <c r="AD174" s="538" t="s">
        <v>956</v>
      </c>
      <c r="AE174" s="538" t="s">
        <v>79</v>
      </c>
      <c r="AF174" s="538" t="s">
        <v>956</v>
      </c>
      <c r="AG174" s="538" t="s">
        <v>79</v>
      </c>
      <c r="AH174" s="538" t="s">
        <v>956</v>
      </c>
      <c r="AI174" s="538" t="s">
        <v>79</v>
      </c>
      <c r="AJ174" s="538" t="s">
        <v>956</v>
      </c>
      <c r="AK174" s="538" t="s">
        <v>79</v>
      </c>
      <c r="AL174" s="538" t="s">
        <v>246</v>
      </c>
      <c r="AM174" s="538" t="s">
        <v>79</v>
      </c>
      <c r="AN174" s="538" t="s">
        <v>246</v>
      </c>
      <c r="AO174" s="538">
        <v>2.776534533E9</v>
      </c>
      <c r="AP174" s="538">
        <v>2.0</v>
      </c>
      <c r="AQ174" s="538">
        <v>1.978548115E9</v>
      </c>
      <c r="AR174" s="538">
        <v>55.0</v>
      </c>
      <c r="AS174" s="538" t="s">
        <v>47</v>
      </c>
      <c r="AV174" s="538" t="s">
        <v>309</v>
      </c>
    </row>
    <row r="175" ht="22.5" customHeight="1">
      <c r="A175" s="538">
        <v>174.0</v>
      </c>
      <c r="B175" s="538" t="s">
        <v>2795</v>
      </c>
      <c r="C175" s="538" t="s">
        <v>597</v>
      </c>
      <c r="D175" s="538" t="s">
        <v>369</v>
      </c>
      <c r="E175" s="538" t="s">
        <v>2800</v>
      </c>
      <c r="F175" s="538" t="s">
        <v>239</v>
      </c>
      <c r="G175" s="538" t="s">
        <v>222</v>
      </c>
      <c r="H175" s="538" t="s">
        <v>201</v>
      </c>
      <c r="J175" s="538" t="s">
        <v>2801</v>
      </c>
      <c r="K175" s="538" t="b">
        <v>0</v>
      </c>
      <c r="L175" s="538" t="b">
        <v>1</v>
      </c>
      <c r="M175" s="538" t="s">
        <v>75</v>
      </c>
      <c r="N175" s="538" t="s">
        <v>309</v>
      </c>
      <c r="O175" s="538" t="s">
        <v>79</v>
      </c>
      <c r="P175" s="538" t="s">
        <v>385</v>
      </c>
      <c r="Q175" s="538" t="s">
        <v>79</v>
      </c>
      <c r="R175" s="538" t="s">
        <v>956</v>
      </c>
      <c r="S175" s="538" t="s">
        <v>79</v>
      </c>
      <c r="T175" s="538" t="s">
        <v>956</v>
      </c>
      <c r="U175" s="538" t="s">
        <v>79</v>
      </c>
      <c r="V175" s="538" t="s">
        <v>956</v>
      </c>
      <c r="W175" s="538" t="s">
        <v>79</v>
      </c>
      <c r="X175" s="538" t="s">
        <v>956</v>
      </c>
      <c r="Y175" s="538" t="s">
        <v>79</v>
      </c>
      <c r="Z175" s="538" t="s">
        <v>956</v>
      </c>
      <c r="AA175" s="538" t="s">
        <v>79</v>
      </c>
      <c r="AB175" s="538" t="s">
        <v>956</v>
      </c>
      <c r="AC175" s="538" t="s">
        <v>79</v>
      </c>
      <c r="AD175" s="538" t="s">
        <v>956</v>
      </c>
      <c r="AE175" s="538" t="s">
        <v>79</v>
      </c>
      <c r="AF175" s="538" t="s">
        <v>956</v>
      </c>
      <c r="AG175" s="538" t="s">
        <v>79</v>
      </c>
      <c r="AH175" s="538" t="s">
        <v>956</v>
      </c>
      <c r="AI175" s="538" t="s">
        <v>79</v>
      </c>
      <c r="AJ175" s="538" t="s">
        <v>956</v>
      </c>
      <c r="AK175" s="538" t="s">
        <v>79</v>
      </c>
      <c r="AL175" s="538" t="s">
        <v>369</v>
      </c>
      <c r="AM175" s="538" t="s">
        <v>79</v>
      </c>
      <c r="AN175" s="538" t="s">
        <v>369</v>
      </c>
      <c r="AO175" s="538">
        <v>3.083783613E9</v>
      </c>
      <c r="AP175" s="538">
        <v>3.0</v>
      </c>
      <c r="AQ175" s="538">
        <v>1.978548115E9</v>
      </c>
      <c r="AR175" s="538">
        <v>55.0</v>
      </c>
      <c r="AS175" s="538" t="s">
        <v>47</v>
      </c>
      <c r="AV175" s="538" t="s">
        <v>309</v>
      </c>
    </row>
    <row r="176" ht="22.5" customHeight="1">
      <c r="A176" s="538">
        <v>175.0</v>
      </c>
      <c r="B176" s="538" t="s">
        <v>2795</v>
      </c>
      <c r="C176" s="538" t="s">
        <v>597</v>
      </c>
      <c r="D176" s="538" t="s">
        <v>325</v>
      </c>
      <c r="E176" s="538" t="s">
        <v>956</v>
      </c>
      <c r="F176" s="538" t="s">
        <v>163</v>
      </c>
      <c r="G176" s="538" t="s">
        <v>250</v>
      </c>
      <c r="H176" s="538" t="s">
        <v>155</v>
      </c>
      <c r="J176" s="538" t="s">
        <v>2802</v>
      </c>
      <c r="K176" s="538" t="b">
        <v>0</v>
      </c>
      <c r="L176" s="538" t="b">
        <v>1</v>
      </c>
      <c r="M176" s="538" t="s">
        <v>75</v>
      </c>
      <c r="N176" s="538" t="s">
        <v>309</v>
      </c>
      <c r="O176" s="538" t="s">
        <v>75</v>
      </c>
      <c r="P176" s="538" t="s">
        <v>309</v>
      </c>
      <c r="Q176" s="538" t="s">
        <v>79</v>
      </c>
      <c r="R176" s="538" t="s">
        <v>956</v>
      </c>
      <c r="S176" s="538" t="s">
        <v>79</v>
      </c>
      <c r="T176" s="538" t="s">
        <v>956</v>
      </c>
      <c r="U176" s="538" t="s">
        <v>79</v>
      </c>
      <c r="V176" s="538" t="s">
        <v>956</v>
      </c>
      <c r="W176" s="538" t="s">
        <v>79</v>
      </c>
      <c r="X176" s="538" t="s">
        <v>956</v>
      </c>
      <c r="Y176" s="538" t="s">
        <v>79</v>
      </c>
      <c r="Z176" s="538" t="s">
        <v>956</v>
      </c>
      <c r="AA176" s="538" t="s">
        <v>79</v>
      </c>
      <c r="AB176" s="538" t="s">
        <v>956</v>
      </c>
      <c r="AC176" s="538" t="s">
        <v>79</v>
      </c>
      <c r="AD176" s="538" t="s">
        <v>956</v>
      </c>
      <c r="AE176" s="538" t="s">
        <v>79</v>
      </c>
      <c r="AF176" s="538" t="s">
        <v>956</v>
      </c>
      <c r="AG176" s="538" t="s">
        <v>79</v>
      </c>
      <c r="AH176" s="538" t="s">
        <v>956</v>
      </c>
      <c r="AI176" s="538" t="s">
        <v>79</v>
      </c>
      <c r="AJ176" s="538" t="s">
        <v>956</v>
      </c>
      <c r="AK176" s="538" t="s">
        <v>79</v>
      </c>
      <c r="AL176" s="538" t="s">
        <v>325</v>
      </c>
      <c r="AM176" s="538" t="s">
        <v>79</v>
      </c>
      <c r="AN176" s="538" t="s">
        <v>325</v>
      </c>
      <c r="AO176" s="538">
        <v>1.825967665E9</v>
      </c>
      <c r="AP176" s="538">
        <v>4.0</v>
      </c>
      <c r="AQ176" s="538">
        <v>1.978548115E9</v>
      </c>
      <c r="AR176" s="538">
        <v>55.0</v>
      </c>
      <c r="AS176" s="538" t="s">
        <v>47</v>
      </c>
      <c r="AV176" s="538" t="s">
        <v>309</v>
      </c>
    </row>
    <row r="177" ht="22.5" customHeight="1">
      <c r="A177" s="538">
        <v>176.0</v>
      </c>
      <c r="B177" s="538" t="s">
        <v>2803</v>
      </c>
      <c r="C177" s="538" t="s">
        <v>597</v>
      </c>
      <c r="D177" s="538" t="s">
        <v>241</v>
      </c>
      <c r="E177" s="538" t="s">
        <v>2804</v>
      </c>
      <c r="F177" s="538" t="s">
        <v>163</v>
      </c>
      <c r="G177" s="538" t="s">
        <v>250</v>
      </c>
      <c r="H177" s="538" t="s">
        <v>155</v>
      </c>
      <c r="J177" s="538" t="s">
        <v>2805</v>
      </c>
      <c r="K177" s="538" t="b">
        <v>0</v>
      </c>
      <c r="L177" s="538" t="b">
        <v>0</v>
      </c>
      <c r="M177" s="538" t="s">
        <v>75</v>
      </c>
      <c r="N177" s="538" t="s">
        <v>2806</v>
      </c>
      <c r="O177" s="538" t="s">
        <v>75</v>
      </c>
      <c r="P177" s="538" t="s">
        <v>2806</v>
      </c>
      <c r="Q177" s="538" t="s">
        <v>79</v>
      </c>
      <c r="R177" s="538" t="s">
        <v>2804</v>
      </c>
      <c r="S177" s="538" t="s">
        <v>79</v>
      </c>
      <c r="T177" s="538" t="s">
        <v>2804</v>
      </c>
      <c r="U177" s="538" t="s">
        <v>79</v>
      </c>
      <c r="V177" s="538" t="s">
        <v>2804</v>
      </c>
      <c r="W177" s="538" t="s">
        <v>79</v>
      </c>
      <c r="X177" s="538" t="s">
        <v>2804</v>
      </c>
      <c r="Y177" s="538" t="s">
        <v>79</v>
      </c>
      <c r="Z177" s="538" t="s">
        <v>2804</v>
      </c>
      <c r="AA177" s="538" t="s">
        <v>79</v>
      </c>
      <c r="AB177" s="538" t="s">
        <v>2804</v>
      </c>
      <c r="AC177" s="538" t="s">
        <v>79</v>
      </c>
      <c r="AD177" s="538" t="s">
        <v>2804</v>
      </c>
      <c r="AE177" s="538" t="s">
        <v>79</v>
      </c>
      <c r="AF177" s="538" t="s">
        <v>2804</v>
      </c>
      <c r="AG177" s="538" t="s">
        <v>79</v>
      </c>
      <c r="AH177" s="538" t="s">
        <v>2804</v>
      </c>
      <c r="AI177" s="538" t="s">
        <v>79</v>
      </c>
      <c r="AJ177" s="538" t="s">
        <v>2804</v>
      </c>
      <c r="AK177" s="538" t="s">
        <v>79</v>
      </c>
      <c r="AL177" s="538" t="s">
        <v>241</v>
      </c>
      <c r="AM177" s="538" t="s">
        <v>79</v>
      </c>
      <c r="AN177" s="538" t="s">
        <v>241</v>
      </c>
      <c r="AO177" s="538">
        <v>3.00175952E9</v>
      </c>
      <c r="AP177" s="538">
        <v>1.0</v>
      </c>
      <c r="AQ177" s="538">
        <v>4.243652761E9</v>
      </c>
      <c r="AR177" s="538">
        <v>57.0</v>
      </c>
      <c r="AS177" s="538" t="s">
        <v>47</v>
      </c>
      <c r="AV177" s="538" t="s">
        <v>2806</v>
      </c>
    </row>
    <row r="178" ht="22.5" customHeight="1">
      <c r="A178" s="538">
        <v>177.0</v>
      </c>
      <c r="B178" s="538" t="s">
        <v>2803</v>
      </c>
      <c r="C178" s="538" t="s">
        <v>597</v>
      </c>
      <c r="D178" s="538" t="s">
        <v>246</v>
      </c>
      <c r="E178" s="538" t="s">
        <v>943</v>
      </c>
      <c r="F178" s="538" t="s">
        <v>163</v>
      </c>
      <c r="G178" s="538" t="s">
        <v>222</v>
      </c>
      <c r="H178" s="538" t="s">
        <v>155</v>
      </c>
      <c r="J178" s="538" t="s">
        <v>2807</v>
      </c>
      <c r="K178" s="538" t="b">
        <v>0</v>
      </c>
      <c r="L178" s="538" t="b">
        <v>1</v>
      </c>
      <c r="M178" s="538" t="s">
        <v>75</v>
      </c>
      <c r="N178" s="538" t="s">
        <v>300</v>
      </c>
      <c r="O178" s="538" t="s">
        <v>75</v>
      </c>
      <c r="P178" s="538" t="s">
        <v>300</v>
      </c>
      <c r="Q178" s="538" t="s">
        <v>79</v>
      </c>
      <c r="R178" s="538" t="s">
        <v>943</v>
      </c>
      <c r="S178" s="538" t="s">
        <v>79</v>
      </c>
      <c r="T178" s="538" t="s">
        <v>943</v>
      </c>
      <c r="U178" s="538" t="s">
        <v>79</v>
      </c>
      <c r="V178" s="538" t="s">
        <v>943</v>
      </c>
      <c r="W178" s="538" t="s">
        <v>79</v>
      </c>
      <c r="X178" s="538" t="s">
        <v>943</v>
      </c>
      <c r="Y178" s="538" t="s">
        <v>79</v>
      </c>
      <c r="Z178" s="538" t="s">
        <v>943</v>
      </c>
      <c r="AA178" s="538" t="s">
        <v>79</v>
      </c>
      <c r="AB178" s="538" t="s">
        <v>943</v>
      </c>
      <c r="AC178" s="538" t="s">
        <v>79</v>
      </c>
      <c r="AD178" s="538" t="s">
        <v>943</v>
      </c>
      <c r="AE178" s="538" t="s">
        <v>79</v>
      </c>
      <c r="AF178" s="538" t="s">
        <v>943</v>
      </c>
      <c r="AG178" s="538" t="s">
        <v>79</v>
      </c>
      <c r="AH178" s="538" t="s">
        <v>943</v>
      </c>
      <c r="AI178" s="538" t="s">
        <v>79</v>
      </c>
      <c r="AJ178" s="538" t="s">
        <v>943</v>
      </c>
      <c r="AK178" s="538" t="s">
        <v>79</v>
      </c>
      <c r="AL178" s="538" t="s">
        <v>246</v>
      </c>
      <c r="AM178" s="538" t="s">
        <v>79</v>
      </c>
      <c r="AN178" s="538" t="s">
        <v>246</v>
      </c>
      <c r="AO178" s="538">
        <v>2.735336397E9</v>
      </c>
      <c r="AP178" s="538">
        <v>2.0</v>
      </c>
      <c r="AQ178" s="538">
        <v>4.243652761E9</v>
      </c>
      <c r="AR178" s="538">
        <v>57.0</v>
      </c>
      <c r="AS178" s="538" t="s">
        <v>47</v>
      </c>
      <c r="AV178" s="538" t="s">
        <v>300</v>
      </c>
    </row>
    <row r="179" ht="22.5" customHeight="1">
      <c r="A179" s="538">
        <v>178.0</v>
      </c>
      <c r="B179" s="538" t="s">
        <v>2803</v>
      </c>
      <c r="C179" s="538" t="s">
        <v>597</v>
      </c>
      <c r="D179" s="538" t="s">
        <v>369</v>
      </c>
      <c r="E179" s="538" t="s">
        <v>2808</v>
      </c>
      <c r="F179" s="538" t="s">
        <v>239</v>
      </c>
      <c r="G179" s="538" t="s">
        <v>222</v>
      </c>
      <c r="H179" s="538" t="s">
        <v>201</v>
      </c>
      <c r="J179" s="538" t="s">
        <v>2809</v>
      </c>
      <c r="K179" s="538" t="b">
        <v>0</v>
      </c>
      <c r="L179" s="538" t="b">
        <v>1</v>
      </c>
      <c r="M179" s="538" t="s">
        <v>75</v>
      </c>
      <c r="N179" s="538" t="s">
        <v>300</v>
      </c>
      <c r="O179" s="538" t="s">
        <v>79</v>
      </c>
      <c r="P179" s="538" t="s">
        <v>385</v>
      </c>
      <c r="Q179" s="538" t="s">
        <v>79</v>
      </c>
      <c r="R179" s="538" t="s">
        <v>943</v>
      </c>
      <c r="S179" s="538" t="s">
        <v>79</v>
      </c>
      <c r="T179" s="538" t="s">
        <v>943</v>
      </c>
      <c r="U179" s="538" t="s">
        <v>79</v>
      </c>
      <c r="V179" s="538" t="s">
        <v>943</v>
      </c>
      <c r="W179" s="538" t="s">
        <v>79</v>
      </c>
      <c r="X179" s="538" t="s">
        <v>943</v>
      </c>
      <c r="Y179" s="538" t="s">
        <v>79</v>
      </c>
      <c r="Z179" s="538" t="s">
        <v>943</v>
      </c>
      <c r="AA179" s="538" t="s">
        <v>79</v>
      </c>
      <c r="AB179" s="538" t="s">
        <v>943</v>
      </c>
      <c r="AC179" s="538" t="s">
        <v>79</v>
      </c>
      <c r="AD179" s="538" t="s">
        <v>943</v>
      </c>
      <c r="AE179" s="538" t="s">
        <v>79</v>
      </c>
      <c r="AF179" s="538" t="s">
        <v>943</v>
      </c>
      <c r="AG179" s="538" t="s">
        <v>79</v>
      </c>
      <c r="AH179" s="538" t="s">
        <v>943</v>
      </c>
      <c r="AI179" s="538" t="s">
        <v>79</v>
      </c>
      <c r="AJ179" s="538" t="s">
        <v>943</v>
      </c>
      <c r="AK179" s="538" t="s">
        <v>79</v>
      </c>
      <c r="AL179" s="538" t="s">
        <v>369</v>
      </c>
      <c r="AM179" s="538" t="s">
        <v>79</v>
      </c>
      <c r="AN179" s="538" t="s">
        <v>369</v>
      </c>
      <c r="AO179" s="538">
        <v>1.805390929E9</v>
      </c>
      <c r="AP179" s="538">
        <v>3.0</v>
      </c>
      <c r="AQ179" s="538">
        <v>4.243652761E9</v>
      </c>
      <c r="AR179" s="538">
        <v>57.0</v>
      </c>
      <c r="AS179" s="538" t="s">
        <v>47</v>
      </c>
      <c r="AV179" s="538" t="s">
        <v>300</v>
      </c>
    </row>
    <row r="180" ht="22.5" customHeight="1">
      <c r="A180" s="538">
        <v>179.0</v>
      </c>
      <c r="B180" s="538" t="s">
        <v>2803</v>
      </c>
      <c r="C180" s="538" t="s">
        <v>597</v>
      </c>
      <c r="D180" s="538" t="s">
        <v>322</v>
      </c>
      <c r="E180" s="538" t="s">
        <v>943</v>
      </c>
      <c r="F180" s="538" t="s">
        <v>163</v>
      </c>
      <c r="G180" s="538" t="s">
        <v>250</v>
      </c>
      <c r="H180" s="538" t="s">
        <v>155</v>
      </c>
      <c r="J180" s="538" t="s">
        <v>2810</v>
      </c>
      <c r="K180" s="538" t="b">
        <v>0</v>
      </c>
      <c r="L180" s="538" t="b">
        <v>1</v>
      </c>
      <c r="M180" s="538" t="s">
        <v>75</v>
      </c>
      <c r="N180" s="538" t="s">
        <v>300</v>
      </c>
      <c r="O180" s="538" t="s">
        <v>75</v>
      </c>
      <c r="P180" s="538" t="s">
        <v>300</v>
      </c>
      <c r="Q180" s="538" t="s">
        <v>79</v>
      </c>
      <c r="R180" s="538" t="s">
        <v>943</v>
      </c>
      <c r="S180" s="538" t="s">
        <v>79</v>
      </c>
      <c r="T180" s="538" t="s">
        <v>943</v>
      </c>
      <c r="U180" s="538" t="s">
        <v>79</v>
      </c>
      <c r="V180" s="538" t="s">
        <v>943</v>
      </c>
      <c r="W180" s="538" t="s">
        <v>79</v>
      </c>
      <c r="X180" s="538" t="s">
        <v>943</v>
      </c>
      <c r="Y180" s="538" t="s">
        <v>79</v>
      </c>
      <c r="Z180" s="538" t="s">
        <v>943</v>
      </c>
      <c r="AA180" s="538" t="s">
        <v>79</v>
      </c>
      <c r="AB180" s="538" t="s">
        <v>943</v>
      </c>
      <c r="AC180" s="538" t="s">
        <v>79</v>
      </c>
      <c r="AD180" s="538" t="s">
        <v>943</v>
      </c>
      <c r="AE180" s="538" t="s">
        <v>79</v>
      </c>
      <c r="AF180" s="538" t="s">
        <v>943</v>
      </c>
      <c r="AG180" s="538" t="s">
        <v>79</v>
      </c>
      <c r="AH180" s="538" t="s">
        <v>943</v>
      </c>
      <c r="AI180" s="538" t="s">
        <v>79</v>
      </c>
      <c r="AJ180" s="538" t="s">
        <v>943</v>
      </c>
      <c r="AK180" s="538" t="s">
        <v>79</v>
      </c>
      <c r="AL180" s="538" t="s">
        <v>322</v>
      </c>
      <c r="AM180" s="538" t="s">
        <v>79</v>
      </c>
      <c r="AN180" s="538" t="s">
        <v>322</v>
      </c>
      <c r="AO180" s="538">
        <v>3.383108265E9</v>
      </c>
      <c r="AP180" s="538">
        <v>4.0</v>
      </c>
      <c r="AQ180" s="538">
        <v>4.243652761E9</v>
      </c>
      <c r="AR180" s="538">
        <v>57.0</v>
      </c>
      <c r="AS180" s="538" t="s">
        <v>47</v>
      </c>
      <c r="AV180" s="538" t="s">
        <v>300</v>
      </c>
    </row>
    <row r="181" ht="22.5" customHeight="1">
      <c r="A181" s="538">
        <v>180.0</v>
      </c>
      <c r="B181" s="538" t="s">
        <v>2811</v>
      </c>
      <c r="C181" s="538" t="s">
        <v>597</v>
      </c>
      <c r="D181" s="538" t="s">
        <v>265</v>
      </c>
      <c r="E181" s="538" t="s">
        <v>354</v>
      </c>
      <c r="F181" s="538" t="s">
        <v>151</v>
      </c>
      <c r="G181" s="538" t="s">
        <v>250</v>
      </c>
      <c r="H181" s="538" t="s">
        <v>122</v>
      </c>
      <c r="J181" s="538" t="s">
        <v>2812</v>
      </c>
      <c r="K181" s="538" t="b">
        <v>0</v>
      </c>
      <c r="L181" s="538" t="b">
        <v>1</v>
      </c>
      <c r="M181" s="538" t="s">
        <v>79</v>
      </c>
      <c r="N181" s="538" t="s">
        <v>265</v>
      </c>
      <c r="O181" s="538" t="s">
        <v>79</v>
      </c>
      <c r="P181" s="538" t="s">
        <v>265</v>
      </c>
      <c r="Q181" s="538" t="s">
        <v>79</v>
      </c>
      <c r="R181" s="538" t="s">
        <v>265</v>
      </c>
      <c r="S181" s="538" t="s">
        <v>79</v>
      </c>
      <c r="T181" s="538" t="s">
        <v>265</v>
      </c>
      <c r="U181" s="538" t="s">
        <v>79</v>
      </c>
      <c r="V181" s="538" t="s">
        <v>265</v>
      </c>
      <c r="W181" s="538" t="s">
        <v>79</v>
      </c>
      <c r="X181" s="538" t="s">
        <v>265</v>
      </c>
      <c r="Y181" s="538" t="s">
        <v>79</v>
      </c>
      <c r="Z181" s="538" t="s">
        <v>265</v>
      </c>
      <c r="AA181" s="538" t="s">
        <v>79</v>
      </c>
      <c r="AB181" s="538" t="s">
        <v>265</v>
      </c>
      <c r="AC181" s="538" t="s">
        <v>79</v>
      </c>
      <c r="AD181" s="538" t="s">
        <v>265</v>
      </c>
      <c r="AE181" s="538" t="s">
        <v>79</v>
      </c>
      <c r="AF181" s="538" t="s">
        <v>265</v>
      </c>
      <c r="AG181" s="538" t="s">
        <v>79</v>
      </c>
      <c r="AH181" s="538" t="s">
        <v>265</v>
      </c>
      <c r="AI181" s="538" t="s">
        <v>79</v>
      </c>
      <c r="AJ181" s="538" t="s">
        <v>265</v>
      </c>
      <c r="AK181" s="538" t="s">
        <v>79</v>
      </c>
      <c r="AL181" s="538" t="s">
        <v>265</v>
      </c>
      <c r="AM181" s="538" t="s">
        <v>73</v>
      </c>
      <c r="AO181" s="538">
        <v>3.022170676E9</v>
      </c>
      <c r="AP181" s="538">
        <v>1.0</v>
      </c>
      <c r="AQ181" s="538">
        <v>1.032632179E9</v>
      </c>
      <c r="AR181" s="538">
        <v>54.0</v>
      </c>
      <c r="AS181" s="538" t="s">
        <v>47</v>
      </c>
    </row>
    <row r="182" ht="22.5" customHeight="1">
      <c r="A182" s="538">
        <v>181.0</v>
      </c>
      <c r="B182" s="538" t="s">
        <v>2811</v>
      </c>
      <c r="C182" s="538" t="s">
        <v>597</v>
      </c>
      <c r="D182" s="538" t="s">
        <v>268</v>
      </c>
      <c r="E182" s="538" t="s">
        <v>354</v>
      </c>
      <c r="F182" s="538" t="s">
        <v>151</v>
      </c>
      <c r="G182" s="538" t="s">
        <v>250</v>
      </c>
      <c r="H182" s="538" t="s">
        <v>122</v>
      </c>
      <c r="J182" s="538" t="s">
        <v>2813</v>
      </c>
      <c r="K182" s="538" t="b">
        <v>0</v>
      </c>
      <c r="L182" s="538" t="b">
        <v>1</v>
      </c>
      <c r="M182" s="538" t="s">
        <v>79</v>
      </c>
      <c r="N182" s="538" t="s">
        <v>268</v>
      </c>
      <c r="O182" s="538" t="s">
        <v>79</v>
      </c>
      <c r="P182" s="538" t="s">
        <v>268</v>
      </c>
      <c r="Q182" s="538" t="s">
        <v>79</v>
      </c>
      <c r="R182" s="538" t="s">
        <v>268</v>
      </c>
      <c r="S182" s="538" t="s">
        <v>79</v>
      </c>
      <c r="T182" s="538" t="s">
        <v>268</v>
      </c>
      <c r="U182" s="538" t="s">
        <v>79</v>
      </c>
      <c r="V182" s="538" t="s">
        <v>268</v>
      </c>
      <c r="W182" s="538" t="s">
        <v>79</v>
      </c>
      <c r="X182" s="538" t="s">
        <v>268</v>
      </c>
      <c r="Y182" s="538" t="s">
        <v>79</v>
      </c>
      <c r="Z182" s="538" t="s">
        <v>268</v>
      </c>
      <c r="AA182" s="538" t="s">
        <v>79</v>
      </c>
      <c r="AB182" s="538" t="s">
        <v>268</v>
      </c>
      <c r="AC182" s="538" t="s">
        <v>79</v>
      </c>
      <c r="AD182" s="538" t="s">
        <v>268</v>
      </c>
      <c r="AE182" s="538" t="s">
        <v>79</v>
      </c>
      <c r="AF182" s="538" t="s">
        <v>268</v>
      </c>
      <c r="AG182" s="538" t="s">
        <v>79</v>
      </c>
      <c r="AH182" s="538" t="s">
        <v>268</v>
      </c>
      <c r="AI182" s="538" t="s">
        <v>79</v>
      </c>
      <c r="AJ182" s="538" t="s">
        <v>268</v>
      </c>
      <c r="AK182" s="538" t="s">
        <v>79</v>
      </c>
      <c r="AL182" s="538" t="s">
        <v>268</v>
      </c>
      <c r="AM182" s="538" t="s">
        <v>73</v>
      </c>
      <c r="AO182" s="538">
        <v>2.99943069E9</v>
      </c>
      <c r="AP182" s="538">
        <v>2.0</v>
      </c>
      <c r="AQ182" s="538">
        <v>1.032632179E9</v>
      </c>
      <c r="AR182" s="538">
        <v>54.0</v>
      </c>
      <c r="AS182" s="538" t="s">
        <v>47</v>
      </c>
    </row>
    <row r="183" ht="22.5" customHeight="1">
      <c r="A183" s="538">
        <v>182.0</v>
      </c>
      <c r="B183" s="538" t="s">
        <v>2811</v>
      </c>
      <c r="C183" s="538" t="s">
        <v>597</v>
      </c>
      <c r="D183" s="538" t="s">
        <v>331</v>
      </c>
      <c r="E183" s="538" t="s">
        <v>354</v>
      </c>
      <c r="F183" s="538" t="s">
        <v>151</v>
      </c>
      <c r="G183" s="538" t="s">
        <v>250</v>
      </c>
      <c r="H183" s="538" t="s">
        <v>122</v>
      </c>
      <c r="I183" s="538" t="s">
        <v>2814</v>
      </c>
      <c r="J183" s="538" t="s">
        <v>2815</v>
      </c>
      <c r="K183" s="538" t="b">
        <v>0</v>
      </c>
      <c r="L183" s="538" t="b">
        <v>1</v>
      </c>
      <c r="M183" s="538" t="s">
        <v>79</v>
      </c>
      <c r="N183" s="538" t="s">
        <v>331</v>
      </c>
      <c r="O183" s="538" t="s">
        <v>79</v>
      </c>
      <c r="P183" s="538" t="s">
        <v>331</v>
      </c>
      <c r="Q183" s="538" t="s">
        <v>79</v>
      </c>
      <c r="R183" s="538" t="s">
        <v>331</v>
      </c>
      <c r="S183" s="538" t="s">
        <v>79</v>
      </c>
      <c r="T183" s="538" t="s">
        <v>331</v>
      </c>
      <c r="U183" s="538" t="s">
        <v>79</v>
      </c>
      <c r="V183" s="538" t="s">
        <v>331</v>
      </c>
      <c r="W183" s="538" t="s">
        <v>79</v>
      </c>
      <c r="X183" s="538" t="s">
        <v>331</v>
      </c>
      <c r="Y183" s="538" t="s">
        <v>79</v>
      </c>
      <c r="Z183" s="538" t="s">
        <v>331</v>
      </c>
      <c r="AA183" s="538" t="s">
        <v>79</v>
      </c>
      <c r="AB183" s="538" t="s">
        <v>331</v>
      </c>
      <c r="AC183" s="538" t="s">
        <v>79</v>
      </c>
      <c r="AD183" s="538" t="s">
        <v>331</v>
      </c>
      <c r="AE183" s="538" t="s">
        <v>79</v>
      </c>
      <c r="AF183" s="538" t="s">
        <v>331</v>
      </c>
      <c r="AG183" s="538" t="s">
        <v>79</v>
      </c>
      <c r="AH183" s="538" t="s">
        <v>331</v>
      </c>
      <c r="AI183" s="538" t="s">
        <v>79</v>
      </c>
      <c r="AJ183" s="538" t="s">
        <v>331</v>
      </c>
      <c r="AK183" s="538" t="s">
        <v>79</v>
      </c>
      <c r="AL183" s="538" t="s">
        <v>331</v>
      </c>
      <c r="AM183" s="538" t="s">
        <v>73</v>
      </c>
      <c r="AO183" s="538">
        <v>2.182047516E9</v>
      </c>
      <c r="AP183" s="538">
        <v>3.0</v>
      </c>
      <c r="AQ183" s="538">
        <v>1.032632179E9</v>
      </c>
      <c r="AR183" s="538">
        <v>54.0</v>
      </c>
      <c r="AS183" s="538" t="s">
        <v>47</v>
      </c>
    </row>
    <row r="184" ht="22.5" customHeight="1">
      <c r="A184" s="538">
        <v>183.0</v>
      </c>
      <c r="B184" s="538" t="s">
        <v>2811</v>
      </c>
      <c r="C184" s="538" t="s">
        <v>597</v>
      </c>
      <c r="D184" s="538" t="s">
        <v>334</v>
      </c>
      <c r="E184" s="538" t="s">
        <v>354</v>
      </c>
      <c r="F184" s="538" t="s">
        <v>151</v>
      </c>
      <c r="G184" s="538" t="s">
        <v>250</v>
      </c>
      <c r="H184" s="538" t="s">
        <v>122</v>
      </c>
      <c r="I184" s="538" t="s">
        <v>2816</v>
      </c>
      <c r="J184" s="538" t="s">
        <v>2817</v>
      </c>
      <c r="K184" s="538" t="b">
        <v>0</v>
      </c>
      <c r="L184" s="538" t="b">
        <v>1</v>
      </c>
      <c r="M184" s="538" t="s">
        <v>79</v>
      </c>
      <c r="N184" s="538" t="s">
        <v>334</v>
      </c>
      <c r="O184" s="538" t="s">
        <v>79</v>
      </c>
      <c r="P184" s="538" t="s">
        <v>334</v>
      </c>
      <c r="Q184" s="538" t="s">
        <v>79</v>
      </c>
      <c r="R184" s="538" t="s">
        <v>334</v>
      </c>
      <c r="S184" s="538" t="s">
        <v>79</v>
      </c>
      <c r="T184" s="538" t="s">
        <v>334</v>
      </c>
      <c r="U184" s="538" t="s">
        <v>79</v>
      </c>
      <c r="V184" s="538" t="s">
        <v>334</v>
      </c>
      <c r="W184" s="538" t="s">
        <v>79</v>
      </c>
      <c r="X184" s="538" t="s">
        <v>334</v>
      </c>
      <c r="Y184" s="538" t="s">
        <v>79</v>
      </c>
      <c r="Z184" s="538" t="s">
        <v>334</v>
      </c>
      <c r="AA184" s="538" t="s">
        <v>79</v>
      </c>
      <c r="AB184" s="538" t="s">
        <v>334</v>
      </c>
      <c r="AC184" s="538" t="s">
        <v>79</v>
      </c>
      <c r="AD184" s="538" t="s">
        <v>334</v>
      </c>
      <c r="AE184" s="538" t="s">
        <v>79</v>
      </c>
      <c r="AF184" s="538" t="s">
        <v>334</v>
      </c>
      <c r="AG184" s="538" t="s">
        <v>79</v>
      </c>
      <c r="AH184" s="538" t="s">
        <v>334</v>
      </c>
      <c r="AI184" s="538" t="s">
        <v>79</v>
      </c>
      <c r="AJ184" s="538" t="s">
        <v>334</v>
      </c>
      <c r="AK184" s="538" t="s">
        <v>79</v>
      </c>
      <c r="AL184" s="538" t="s">
        <v>334</v>
      </c>
      <c r="AM184" s="538" t="s">
        <v>73</v>
      </c>
      <c r="AO184" s="538">
        <v>2.908292505E9</v>
      </c>
      <c r="AP184" s="538">
        <v>4.0</v>
      </c>
      <c r="AQ184" s="538">
        <v>1.032632179E9</v>
      </c>
      <c r="AR184" s="538">
        <v>54.0</v>
      </c>
      <c r="AS184" s="538" t="s">
        <v>47</v>
      </c>
    </row>
    <row r="185" ht="22.5" customHeight="1">
      <c r="A185" s="538">
        <v>184.0</v>
      </c>
      <c r="B185" s="538" t="s">
        <v>2818</v>
      </c>
      <c r="C185" s="538" t="s">
        <v>597</v>
      </c>
      <c r="D185" s="538" t="s">
        <v>398</v>
      </c>
      <c r="F185" s="538" t="s">
        <v>151</v>
      </c>
      <c r="G185" s="538" t="s">
        <v>250</v>
      </c>
      <c r="H185" s="538" t="s">
        <v>155</v>
      </c>
      <c r="J185" s="538" t="s">
        <v>2819</v>
      </c>
      <c r="K185" s="538" t="b">
        <v>0</v>
      </c>
      <c r="L185" s="538" t="b">
        <v>0</v>
      </c>
      <c r="M185" s="538" t="s">
        <v>79</v>
      </c>
      <c r="N185" s="538" t="s">
        <v>398</v>
      </c>
      <c r="O185" s="538" t="s">
        <v>79</v>
      </c>
      <c r="P185" s="538" t="s">
        <v>398</v>
      </c>
      <c r="Q185" s="538" t="s">
        <v>79</v>
      </c>
      <c r="R185" s="538" t="s">
        <v>398</v>
      </c>
      <c r="S185" s="538" t="s">
        <v>79</v>
      </c>
      <c r="T185" s="538" t="s">
        <v>398</v>
      </c>
      <c r="U185" s="538" t="s">
        <v>79</v>
      </c>
      <c r="V185" s="538" t="s">
        <v>398</v>
      </c>
      <c r="W185" s="538" t="s">
        <v>79</v>
      </c>
      <c r="X185" s="538" t="s">
        <v>398</v>
      </c>
      <c r="Y185" s="538" t="s">
        <v>79</v>
      </c>
      <c r="Z185" s="538" t="s">
        <v>398</v>
      </c>
      <c r="AA185" s="538" t="s">
        <v>79</v>
      </c>
      <c r="AB185" s="538" t="s">
        <v>398</v>
      </c>
      <c r="AC185" s="538" t="s">
        <v>79</v>
      </c>
      <c r="AD185" s="538" t="s">
        <v>398</v>
      </c>
      <c r="AE185" s="538" t="s">
        <v>79</v>
      </c>
      <c r="AF185" s="538" t="s">
        <v>398</v>
      </c>
      <c r="AG185" s="538" t="s">
        <v>79</v>
      </c>
      <c r="AH185" s="538" t="s">
        <v>398</v>
      </c>
      <c r="AI185" s="538" t="s">
        <v>79</v>
      </c>
      <c r="AJ185" s="538" t="s">
        <v>398</v>
      </c>
      <c r="AK185" s="538" t="s">
        <v>79</v>
      </c>
      <c r="AL185" s="538" t="s">
        <v>398</v>
      </c>
      <c r="AM185" s="538" t="s">
        <v>73</v>
      </c>
      <c r="AO185" s="538">
        <v>3.664614143E9</v>
      </c>
      <c r="AP185" s="538">
        <v>1.0</v>
      </c>
      <c r="AQ185" s="538">
        <v>3.620586365E9</v>
      </c>
      <c r="AR185" s="538">
        <v>56.0</v>
      </c>
      <c r="AS185" s="538" t="s">
        <v>46</v>
      </c>
    </row>
    <row r="186" ht="22.5" customHeight="1">
      <c r="A186" s="538">
        <v>185.0</v>
      </c>
      <c r="B186" s="538" t="s">
        <v>2818</v>
      </c>
      <c r="C186" s="538" t="s">
        <v>597</v>
      </c>
      <c r="D186" s="538" t="s">
        <v>286</v>
      </c>
      <c r="F186" s="538" t="s">
        <v>151</v>
      </c>
      <c r="G186" s="538" t="s">
        <v>250</v>
      </c>
      <c r="H186" s="538" t="s">
        <v>122</v>
      </c>
      <c r="J186" s="538" t="s">
        <v>2820</v>
      </c>
      <c r="K186" s="538" t="b">
        <v>0</v>
      </c>
      <c r="L186" s="538" t="b">
        <v>1</v>
      </c>
      <c r="M186" s="538" t="s">
        <v>79</v>
      </c>
      <c r="N186" s="538" t="s">
        <v>286</v>
      </c>
      <c r="O186" s="538" t="s">
        <v>79</v>
      </c>
      <c r="P186" s="538" t="s">
        <v>286</v>
      </c>
      <c r="Q186" s="538" t="s">
        <v>79</v>
      </c>
      <c r="R186" s="538" t="s">
        <v>286</v>
      </c>
      <c r="S186" s="538" t="s">
        <v>79</v>
      </c>
      <c r="T186" s="538" t="s">
        <v>286</v>
      </c>
      <c r="U186" s="538" t="s">
        <v>79</v>
      </c>
      <c r="V186" s="538" t="s">
        <v>286</v>
      </c>
      <c r="W186" s="538" t="s">
        <v>79</v>
      </c>
      <c r="X186" s="538" t="s">
        <v>286</v>
      </c>
      <c r="Y186" s="538" t="s">
        <v>79</v>
      </c>
      <c r="Z186" s="538" t="s">
        <v>286</v>
      </c>
      <c r="AA186" s="538" t="s">
        <v>79</v>
      </c>
      <c r="AB186" s="538" t="s">
        <v>286</v>
      </c>
      <c r="AC186" s="538" t="s">
        <v>79</v>
      </c>
      <c r="AD186" s="538" t="s">
        <v>286</v>
      </c>
      <c r="AE186" s="538" t="s">
        <v>79</v>
      </c>
      <c r="AF186" s="538" t="s">
        <v>286</v>
      </c>
      <c r="AG186" s="538" t="s">
        <v>79</v>
      </c>
      <c r="AH186" s="538" t="s">
        <v>286</v>
      </c>
      <c r="AI186" s="538" t="s">
        <v>79</v>
      </c>
      <c r="AJ186" s="538" t="s">
        <v>286</v>
      </c>
      <c r="AK186" s="538" t="s">
        <v>79</v>
      </c>
      <c r="AL186" s="538" t="s">
        <v>286</v>
      </c>
      <c r="AM186" s="538" t="s">
        <v>73</v>
      </c>
      <c r="AO186" s="538">
        <v>2.180522501E9</v>
      </c>
      <c r="AP186" s="538">
        <v>2.0</v>
      </c>
      <c r="AQ186" s="538">
        <v>3.620586365E9</v>
      </c>
      <c r="AR186" s="538">
        <v>56.0</v>
      </c>
      <c r="AS186" s="538" t="s">
        <v>46</v>
      </c>
    </row>
    <row r="187" ht="22.5" customHeight="1">
      <c r="A187" s="538">
        <v>186.0</v>
      </c>
      <c r="B187" s="538" t="s">
        <v>2818</v>
      </c>
      <c r="C187" s="538" t="s">
        <v>597</v>
      </c>
      <c r="D187" s="538" t="s">
        <v>298</v>
      </c>
      <c r="F187" s="538" t="s">
        <v>151</v>
      </c>
      <c r="G187" s="538" t="s">
        <v>250</v>
      </c>
      <c r="H187" s="538" t="s">
        <v>122</v>
      </c>
      <c r="J187" s="538" t="s">
        <v>2821</v>
      </c>
      <c r="K187" s="538" t="b">
        <v>0</v>
      </c>
      <c r="L187" s="538" t="b">
        <v>1</v>
      </c>
      <c r="M187" s="538" t="s">
        <v>79</v>
      </c>
      <c r="N187" s="538" t="s">
        <v>298</v>
      </c>
      <c r="O187" s="538" t="s">
        <v>79</v>
      </c>
      <c r="P187" s="538" t="s">
        <v>298</v>
      </c>
      <c r="Q187" s="538" t="s">
        <v>75</v>
      </c>
      <c r="R187" s="538" t="s">
        <v>1878</v>
      </c>
      <c r="S187" s="538" t="s">
        <v>79</v>
      </c>
      <c r="T187" s="538" t="s">
        <v>298</v>
      </c>
      <c r="U187" s="538" t="s">
        <v>79</v>
      </c>
      <c r="V187" s="538" t="s">
        <v>298</v>
      </c>
      <c r="W187" s="538" t="s">
        <v>79</v>
      </c>
      <c r="X187" s="538" t="s">
        <v>298</v>
      </c>
      <c r="Y187" s="538" t="s">
        <v>75</v>
      </c>
      <c r="Z187" s="538" t="s">
        <v>1878</v>
      </c>
      <c r="AA187" s="538" t="s">
        <v>75</v>
      </c>
      <c r="AB187" s="538" t="s">
        <v>1878</v>
      </c>
      <c r="AC187" s="538" t="s">
        <v>79</v>
      </c>
      <c r="AD187" s="538" t="s">
        <v>298</v>
      </c>
      <c r="AE187" s="538" t="s">
        <v>79</v>
      </c>
      <c r="AF187" s="538" t="s">
        <v>298</v>
      </c>
      <c r="AG187" s="538" t="s">
        <v>79</v>
      </c>
      <c r="AH187" s="538" t="s">
        <v>298</v>
      </c>
      <c r="AI187" s="538" t="s">
        <v>79</v>
      </c>
      <c r="AJ187" s="538" t="s">
        <v>298</v>
      </c>
      <c r="AK187" s="538" t="s">
        <v>73</v>
      </c>
      <c r="AM187" s="538" t="s">
        <v>79</v>
      </c>
      <c r="AN187" s="538" t="s">
        <v>298</v>
      </c>
      <c r="AO187" s="538">
        <v>3.338145101E9</v>
      </c>
      <c r="AP187" s="538">
        <v>3.0</v>
      </c>
      <c r="AQ187" s="538">
        <v>3.620586365E9</v>
      </c>
      <c r="AR187" s="538">
        <v>56.0</v>
      </c>
      <c r="AS187" s="538" t="s">
        <v>46</v>
      </c>
      <c r="AV187" s="538" t="s">
        <v>298</v>
      </c>
    </row>
    <row r="188" ht="22.5" customHeight="1">
      <c r="A188" s="538">
        <v>187.0</v>
      </c>
      <c r="B188" s="538" t="s">
        <v>2818</v>
      </c>
      <c r="C188" s="538" t="s">
        <v>597</v>
      </c>
      <c r="D188" s="538" t="s">
        <v>307</v>
      </c>
      <c r="F188" s="538" t="s">
        <v>151</v>
      </c>
      <c r="G188" s="538" t="s">
        <v>250</v>
      </c>
      <c r="H188" s="538" t="s">
        <v>122</v>
      </c>
      <c r="J188" s="538" t="s">
        <v>2822</v>
      </c>
      <c r="K188" s="538" t="b">
        <v>0</v>
      </c>
      <c r="L188" s="538" t="b">
        <v>1</v>
      </c>
      <c r="M188" s="538" t="s">
        <v>79</v>
      </c>
      <c r="N188" s="538" t="s">
        <v>307</v>
      </c>
      <c r="O188" s="538" t="s">
        <v>79</v>
      </c>
      <c r="P188" s="538" t="s">
        <v>307</v>
      </c>
      <c r="Q188" s="538" t="s">
        <v>73</v>
      </c>
      <c r="S188" s="538" t="s">
        <v>79</v>
      </c>
      <c r="T188" s="538" t="s">
        <v>307</v>
      </c>
      <c r="U188" s="538" t="s">
        <v>79</v>
      </c>
      <c r="V188" s="538" t="s">
        <v>307</v>
      </c>
      <c r="W188" s="538" t="s">
        <v>79</v>
      </c>
      <c r="X188" s="538" t="s">
        <v>307</v>
      </c>
      <c r="Y188" s="538" t="s">
        <v>79</v>
      </c>
      <c r="Z188" s="538" t="s">
        <v>307</v>
      </c>
      <c r="AA188" s="538" t="s">
        <v>79</v>
      </c>
      <c r="AB188" s="538" t="s">
        <v>307</v>
      </c>
      <c r="AC188" s="538" t="s">
        <v>79</v>
      </c>
      <c r="AD188" s="538" t="s">
        <v>307</v>
      </c>
      <c r="AE188" s="538" t="s">
        <v>79</v>
      </c>
      <c r="AF188" s="538" t="s">
        <v>307</v>
      </c>
      <c r="AG188" s="538" t="s">
        <v>79</v>
      </c>
      <c r="AH188" s="538" t="s">
        <v>307</v>
      </c>
      <c r="AI188" s="538" t="s">
        <v>79</v>
      </c>
      <c r="AJ188" s="538" t="s">
        <v>307</v>
      </c>
      <c r="AK188" s="538" t="s">
        <v>73</v>
      </c>
      <c r="AM188" s="538" t="s">
        <v>79</v>
      </c>
      <c r="AN188" s="538" t="s">
        <v>307</v>
      </c>
      <c r="AO188" s="538">
        <v>4.027782273E9</v>
      </c>
      <c r="AP188" s="538">
        <v>4.0</v>
      </c>
      <c r="AQ188" s="538">
        <v>3.620586365E9</v>
      </c>
      <c r="AR188" s="538">
        <v>56.0</v>
      </c>
      <c r="AS188" s="538" t="s">
        <v>46</v>
      </c>
    </row>
    <row r="189" ht="22.5" customHeight="1">
      <c r="A189" s="538">
        <v>188.0</v>
      </c>
      <c r="B189" s="538" t="s">
        <v>2823</v>
      </c>
      <c r="C189" s="538" t="s">
        <v>596</v>
      </c>
      <c r="D189" s="538" t="s">
        <v>218</v>
      </c>
      <c r="E189" s="538" t="s">
        <v>248</v>
      </c>
      <c r="F189" s="538" t="s">
        <v>163</v>
      </c>
      <c r="G189" s="538" t="s">
        <v>222</v>
      </c>
      <c r="H189" s="538" t="s">
        <v>189</v>
      </c>
      <c r="I189" s="538" t="s">
        <v>2824</v>
      </c>
      <c r="J189" s="538" t="s">
        <v>2825</v>
      </c>
      <c r="K189" s="538" t="b">
        <v>0</v>
      </c>
      <c r="L189" s="538" t="b">
        <v>1</v>
      </c>
      <c r="M189" s="538" t="s">
        <v>73</v>
      </c>
      <c r="O189" s="538" t="s">
        <v>73</v>
      </c>
      <c r="Q189" s="538" t="s">
        <v>79</v>
      </c>
      <c r="R189" s="538" t="s">
        <v>248</v>
      </c>
      <c r="S189" s="538" t="s">
        <v>79</v>
      </c>
      <c r="T189" s="538" t="s">
        <v>248</v>
      </c>
      <c r="U189" s="538" t="s">
        <v>79</v>
      </c>
      <c r="V189" s="538" t="s">
        <v>248</v>
      </c>
      <c r="W189" s="538" t="s">
        <v>79</v>
      </c>
      <c r="X189" s="538" t="s">
        <v>248</v>
      </c>
      <c r="Y189" s="538" t="s">
        <v>79</v>
      </c>
      <c r="Z189" s="538" t="s">
        <v>248</v>
      </c>
      <c r="AA189" s="538" t="s">
        <v>79</v>
      </c>
      <c r="AB189" s="538" t="s">
        <v>248</v>
      </c>
      <c r="AC189" s="538" t="s">
        <v>79</v>
      </c>
      <c r="AD189" s="538" t="s">
        <v>248</v>
      </c>
      <c r="AE189" s="538" t="s">
        <v>79</v>
      </c>
      <c r="AF189" s="538" t="s">
        <v>248</v>
      </c>
      <c r="AG189" s="538" t="s">
        <v>79</v>
      </c>
      <c r="AH189" s="538" t="s">
        <v>248</v>
      </c>
      <c r="AI189" s="538" t="s">
        <v>79</v>
      </c>
      <c r="AJ189" s="538" t="s">
        <v>248</v>
      </c>
      <c r="AK189" s="538" t="s">
        <v>79</v>
      </c>
      <c r="AL189" s="538" t="s">
        <v>218</v>
      </c>
      <c r="AM189" s="538" t="s">
        <v>79</v>
      </c>
      <c r="AN189" s="538" t="s">
        <v>218</v>
      </c>
      <c r="AO189" s="538">
        <v>9.3985231E8</v>
      </c>
      <c r="AP189" s="538">
        <v>1.0</v>
      </c>
      <c r="AQ189" s="538">
        <v>3.616515003E9</v>
      </c>
      <c r="AR189" s="538">
        <v>59.0</v>
      </c>
      <c r="AS189" s="538" t="s">
        <v>47</v>
      </c>
    </row>
    <row r="190" ht="22.5" customHeight="1">
      <c r="A190" s="538">
        <v>189.0</v>
      </c>
      <c r="B190" s="538" t="s">
        <v>2823</v>
      </c>
      <c r="C190" s="538" t="s">
        <v>596</v>
      </c>
      <c r="D190" s="538" t="s">
        <v>325</v>
      </c>
      <c r="E190" s="538" t="s">
        <v>248</v>
      </c>
      <c r="F190" s="538" t="s">
        <v>163</v>
      </c>
      <c r="G190" s="538" t="s">
        <v>250</v>
      </c>
      <c r="H190" s="538" t="s">
        <v>155</v>
      </c>
      <c r="J190" s="538" t="s">
        <v>2826</v>
      </c>
      <c r="K190" s="538" t="b">
        <v>0</v>
      </c>
      <c r="L190" s="538" t="b">
        <v>1</v>
      </c>
      <c r="M190" s="538" t="s">
        <v>73</v>
      </c>
      <c r="O190" s="538" t="s">
        <v>73</v>
      </c>
      <c r="Q190" s="538" t="s">
        <v>79</v>
      </c>
      <c r="R190" s="538" t="s">
        <v>248</v>
      </c>
      <c r="S190" s="538" t="s">
        <v>79</v>
      </c>
      <c r="T190" s="538" t="s">
        <v>248</v>
      </c>
      <c r="U190" s="538" t="s">
        <v>79</v>
      </c>
      <c r="V190" s="538" t="s">
        <v>248</v>
      </c>
      <c r="W190" s="538" t="s">
        <v>79</v>
      </c>
      <c r="X190" s="538" t="s">
        <v>248</v>
      </c>
      <c r="Y190" s="538" t="s">
        <v>79</v>
      </c>
      <c r="Z190" s="538" t="s">
        <v>248</v>
      </c>
      <c r="AA190" s="538" t="s">
        <v>79</v>
      </c>
      <c r="AB190" s="538" t="s">
        <v>248</v>
      </c>
      <c r="AC190" s="538" t="s">
        <v>79</v>
      </c>
      <c r="AD190" s="538" t="s">
        <v>248</v>
      </c>
      <c r="AE190" s="538" t="s">
        <v>79</v>
      </c>
      <c r="AF190" s="538" t="s">
        <v>248</v>
      </c>
      <c r="AG190" s="538" t="s">
        <v>79</v>
      </c>
      <c r="AH190" s="538" t="s">
        <v>248</v>
      </c>
      <c r="AI190" s="538" t="s">
        <v>79</v>
      </c>
      <c r="AJ190" s="538" t="s">
        <v>248</v>
      </c>
      <c r="AK190" s="538" t="s">
        <v>79</v>
      </c>
      <c r="AL190" s="538" t="s">
        <v>325</v>
      </c>
      <c r="AM190" s="538" t="s">
        <v>79</v>
      </c>
      <c r="AN190" s="538" t="s">
        <v>325</v>
      </c>
      <c r="AO190" s="538">
        <v>2.137477216E9</v>
      </c>
      <c r="AP190" s="538">
        <v>2.0</v>
      </c>
      <c r="AQ190" s="538">
        <v>3.616515003E9</v>
      </c>
      <c r="AR190" s="538">
        <v>59.0</v>
      </c>
      <c r="AS190" s="538" t="s">
        <v>47</v>
      </c>
    </row>
    <row r="191" ht="22.5" customHeight="1">
      <c r="A191" s="538">
        <v>190.0</v>
      </c>
      <c r="B191" s="538" t="s">
        <v>2823</v>
      </c>
      <c r="C191" s="538" t="s">
        <v>596</v>
      </c>
      <c r="D191" s="538" t="s">
        <v>241</v>
      </c>
      <c r="E191" s="538" t="s">
        <v>2154</v>
      </c>
      <c r="F191" s="538" t="s">
        <v>163</v>
      </c>
      <c r="G191" s="538" t="s">
        <v>250</v>
      </c>
      <c r="H191" s="538" t="s">
        <v>155</v>
      </c>
      <c r="J191" s="538" t="s">
        <v>2827</v>
      </c>
      <c r="K191" s="538" t="b">
        <v>0</v>
      </c>
      <c r="L191" s="538" t="b">
        <v>0</v>
      </c>
      <c r="M191" s="538" t="s">
        <v>75</v>
      </c>
      <c r="N191" s="538" t="s">
        <v>348</v>
      </c>
      <c r="O191" s="538" t="s">
        <v>75</v>
      </c>
      <c r="P191" s="538" t="s">
        <v>348</v>
      </c>
      <c r="Q191" s="538" t="s">
        <v>79</v>
      </c>
      <c r="R191" s="538" t="s">
        <v>2154</v>
      </c>
      <c r="S191" s="538" t="s">
        <v>79</v>
      </c>
      <c r="T191" s="538" t="s">
        <v>2154</v>
      </c>
      <c r="U191" s="538" t="s">
        <v>79</v>
      </c>
      <c r="V191" s="538" t="s">
        <v>2154</v>
      </c>
      <c r="W191" s="538" t="s">
        <v>79</v>
      </c>
      <c r="X191" s="538" t="s">
        <v>2154</v>
      </c>
      <c r="Y191" s="538" t="s">
        <v>79</v>
      </c>
      <c r="Z191" s="538" t="s">
        <v>2154</v>
      </c>
      <c r="AA191" s="538" t="s">
        <v>79</v>
      </c>
      <c r="AB191" s="538" t="s">
        <v>2154</v>
      </c>
      <c r="AC191" s="538" t="s">
        <v>79</v>
      </c>
      <c r="AD191" s="538" t="s">
        <v>2154</v>
      </c>
      <c r="AE191" s="538" t="s">
        <v>79</v>
      </c>
      <c r="AF191" s="538" t="s">
        <v>2154</v>
      </c>
      <c r="AG191" s="538" t="s">
        <v>79</v>
      </c>
      <c r="AH191" s="538" t="s">
        <v>2154</v>
      </c>
      <c r="AI191" s="538" t="s">
        <v>79</v>
      </c>
      <c r="AJ191" s="538" t="s">
        <v>2154</v>
      </c>
      <c r="AK191" s="538" t="s">
        <v>79</v>
      </c>
      <c r="AL191" s="538" t="s">
        <v>241</v>
      </c>
      <c r="AM191" s="538" t="s">
        <v>79</v>
      </c>
      <c r="AN191" s="538" t="s">
        <v>241</v>
      </c>
      <c r="AO191" s="538">
        <v>5.47887891E8</v>
      </c>
      <c r="AP191" s="538">
        <v>3.0</v>
      </c>
      <c r="AQ191" s="538">
        <v>3.616515003E9</v>
      </c>
      <c r="AR191" s="538">
        <v>59.0</v>
      </c>
      <c r="AS191" s="538" t="s">
        <v>47</v>
      </c>
      <c r="AV191" s="538" t="s">
        <v>348</v>
      </c>
    </row>
    <row r="192" ht="22.5" customHeight="1">
      <c r="A192" s="538">
        <v>191.0</v>
      </c>
      <c r="B192" s="538" t="s">
        <v>2828</v>
      </c>
      <c r="C192" s="538" t="s">
        <v>596</v>
      </c>
      <c r="D192" s="538" t="s">
        <v>334</v>
      </c>
      <c r="E192" s="538" t="s">
        <v>2829</v>
      </c>
      <c r="F192" s="538" t="s">
        <v>151</v>
      </c>
      <c r="G192" s="538" t="s">
        <v>250</v>
      </c>
      <c r="H192" s="538" t="s">
        <v>122</v>
      </c>
      <c r="I192" s="538" t="s">
        <v>407</v>
      </c>
      <c r="J192" s="538" t="s">
        <v>2830</v>
      </c>
      <c r="K192" s="538" t="b">
        <v>0</v>
      </c>
      <c r="L192" s="538" t="b">
        <v>1</v>
      </c>
      <c r="M192" s="538" t="s">
        <v>79</v>
      </c>
      <c r="N192" s="538" t="s">
        <v>334</v>
      </c>
      <c r="O192" s="538" t="s">
        <v>79</v>
      </c>
      <c r="P192" s="538" t="s">
        <v>334</v>
      </c>
      <c r="Q192" s="538" t="s">
        <v>79</v>
      </c>
      <c r="R192" s="538" t="s">
        <v>334</v>
      </c>
      <c r="S192" s="538" t="s">
        <v>79</v>
      </c>
      <c r="T192" s="538" t="s">
        <v>334</v>
      </c>
      <c r="U192" s="538" t="s">
        <v>79</v>
      </c>
      <c r="V192" s="538" t="s">
        <v>334</v>
      </c>
      <c r="W192" s="538" t="s">
        <v>79</v>
      </c>
      <c r="X192" s="538" t="s">
        <v>334</v>
      </c>
      <c r="Y192" s="538" t="s">
        <v>79</v>
      </c>
      <c r="Z192" s="538" t="s">
        <v>334</v>
      </c>
      <c r="AA192" s="538" t="s">
        <v>79</v>
      </c>
      <c r="AB192" s="538" t="s">
        <v>334</v>
      </c>
      <c r="AC192" s="538" t="s">
        <v>79</v>
      </c>
      <c r="AD192" s="538" t="s">
        <v>334</v>
      </c>
      <c r="AE192" s="538" t="s">
        <v>79</v>
      </c>
      <c r="AF192" s="538" t="s">
        <v>334</v>
      </c>
      <c r="AG192" s="538" t="s">
        <v>79</v>
      </c>
      <c r="AH192" s="538" t="s">
        <v>334</v>
      </c>
      <c r="AI192" s="538" t="s">
        <v>79</v>
      </c>
      <c r="AJ192" s="538" t="s">
        <v>334</v>
      </c>
      <c r="AK192" s="538" t="s">
        <v>79</v>
      </c>
      <c r="AL192" s="538" t="s">
        <v>334</v>
      </c>
      <c r="AM192" s="538" t="s">
        <v>73</v>
      </c>
      <c r="AO192" s="538">
        <v>3.412987594E9</v>
      </c>
      <c r="AP192" s="538">
        <v>1.0</v>
      </c>
      <c r="AQ192" s="538">
        <v>2.50961355E9</v>
      </c>
      <c r="AR192" s="538">
        <v>58.0</v>
      </c>
      <c r="AS192" s="538" t="s">
        <v>46</v>
      </c>
    </row>
    <row r="193" ht="22.5" customHeight="1">
      <c r="A193" s="538">
        <v>192.0</v>
      </c>
      <c r="B193" s="538" t="s">
        <v>2828</v>
      </c>
      <c r="C193" s="538" t="s">
        <v>596</v>
      </c>
      <c r="D193" s="538" t="s">
        <v>277</v>
      </c>
      <c r="E193" s="538" t="s">
        <v>2829</v>
      </c>
      <c r="F193" s="538" t="s">
        <v>151</v>
      </c>
      <c r="G193" s="538" t="s">
        <v>250</v>
      </c>
      <c r="H193" s="538" t="s">
        <v>122</v>
      </c>
      <c r="J193" s="538" t="s">
        <v>2831</v>
      </c>
      <c r="K193" s="538" t="b">
        <v>0</v>
      </c>
      <c r="L193" s="538" t="b">
        <v>1</v>
      </c>
      <c r="M193" s="538" t="s">
        <v>79</v>
      </c>
      <c r="N193" s="538" t="s">
        <v>277</v>
      </c>
      <c r="O193" s="538" t="s">
        <v>79</v>
      </c>
      <c r="P193" s="538" t="s">
        <v>277</v>
      </c>
      <c r="Q193" s="538" t="s">
        <v>75</v>
      </c>
      <c r="R193" s="538" t="s">
        <v>2832</v>
      </c>
      <c r="S193" s="538" t="s">
        <v>79</v>
      </c>
      <c r="T193" s="538" t="s">
        <v>277</v>
      </c>
      <c r="U193" s="538" t="s">
        <v>79</v>
      </c>
      <c r="V193" s="538" t="s">
        <v>277</v>
      </c>
      <c r="W193" s="538" t="s">
        <v>79</v>
      </c>
      <c r="X193" s="538" t="s">
        <v>277</v>
      </c>
      <c r="Y193" s="538" t="s">
        <v>75</v>
      </c>
      <c r="Z193" s="538" t="s">
        <v>2832</v>
      </c>
      <c r="AA193" s="538" t="s">
        <v>75</v>
      </c>
      <c r="AB193" s="538" t="s">
        <v>2832</v>
      </c>
      <c r="AC193" s="538" t="s">
        <v>79</v>
      </c>
      <c r="AD193" s="538" t="s">
        <v>277</v>
      </c>
      <c r="AE193" s="538" t="s">
        <v>75</v>
      </c>
      <c r="AF193" s="538" t="s">
        <v>2832</v>
      </c>
      <c r="AG193" s="538" t="s">
        <v>75</v>
      </c>
      <c r="AH193" s="538" t="s">
        <v>2832</v>
      </c>
      <c r="AI193" s="538" t="s">
        <v>75</v>
      </c>
      <c r="AJ193" s="538" t="s">
        <v>2832</v>
      </c>
      <c r="AK193" s="538" t="s">
        <v>73</v>
      </c>
      <c r="AM193" s="538" t="s">
        <v>79</v>
      </c>
      <c r="AN193" s="538" t="s">
        <v>277</v>
      </c>
      <c r="AO193" s="538">
        <v>1.916570286E9</v>
      </c>
      <c r="AP193" s="538">
        <v>2.0</v>
      </c>
      <c r="AQ193" s="538">
        <v>2.50961355E9</v>
      </c>
      <c r="AR193" s="538">
        <v>58.0</v>
      </c>
      <c r="AS193" s="538" t="s">
        <v>46</v>
      </c>
      <c r="AV193" s="538" t="s">
        <v>2833</v>
      </c>
    </row>
    <row r="194" ht="22.5" customHeight="1">
      <c r="A194" s="538">
        <v>193.0</v>
      </c>
      <c r="B194" s="538" t="s">
        <v>2828</v>
      </c>
      <c r="C194" s="538" t="s">
        <v>596</v>
      </c>
      <c r="D194" s="538" t="s">
        <v>331</v>
      </c>
      <c r="E194" s="538" t="s">
        <v>354</v>
      </c>
      <c r="F194" s="538" t="s">
        <v>151</v>
      </c>
      <c r="G194" s="538" t="s">
        <v>250</v>
      </c>
      <c r="H194" s="538" t="s">
        <v>122</v>
      </c>
      <c r="I194" s="538" t="s">
        <v>2564</v>
      </c>
      <c r="J194" s="538" t="s">
        <v>2834</v>
      </c>
      <c r="K194" s="538" t="b">
        <v>0</v>
      </c>
      <c r="L194" s="538" t="b">
        <v>1</v>
      </c>
      <c r="M194" s="538" t="s">
        <v>79</v>
      </c>
      <c r="N194" s="538" t="s">
        <v>331</v>
      </c>
      <c r="O194" s="538" t="s">
        <v>79</v>
      </c>
      <c r="P194" s="538" t="s">
        <v>331</v>
      </c>
      <c r="Q194" s="538" t="s">
        <v>79</v>
      </c>
      <c r="R194" s="538" t="s">
        <v>331</v>
      </c>
      <c r="S194" s="538" t="s">
        <v>79</v>
      </c>
      <c r="T194" s="538" t="s">
        <v>331</v>
      </c>
      <c r="U194" s="538" t="s">
        <v>79</v>
      </c>
      <c r="V194" s="538" t="s">
        <v>331</v>
      </c>
      <c r="W194" s="538" t="s">
        <v>79</v>
      </c>
      <c r="X194" s="538" t="s">
        <v>331</v>
      </c>
      <c r="Y194" s="538" t="s">
        <v>79</v>
      </c>
      <c r="Z194" s="538" t="s">
        <v>331</v>
      </c>
      <c r="AA194" s="538" t="s">
        <v>79</v>
      </c>
      <c r="AB194" s="538" t="s">
        <v>331</v>
      </c>
      <c r="AC194" s="538" t="s">
        <v>79</v>
      </c>
      <c r="AD194" s="538" t="s">
        <v>331</v>
      </c>
      <c r="AE194" s="538" t="s">
        <v>79</v>
      </c>
      <c r="AF194" s="538" t="s">
        <v>331</v>
      </c>
      <c r="AG194" s="538" t="s">
        <v>79</v>
      </c>
      <c r="AH194" s="538" t="s">
        <v>331</v>
      </c>
      <c r="AI194" s="538" t="s">
        <v>79</v>
      </c>
      <c r="AJ194" s="538" t="s">
        <v>331</v>
      </c>
      <c r="AK194" s="538" t="s">
        <v>79</v>
      </c>
      <c r="AL194" s="538" t="s">
        <v>331</v>
      </c>
      <c r="AM194" s="538" t="s">
        <v>73</v>
      </c>
      <c r="AO194" s="538">
        <v>1.42519579E8</v>
      </c>
      <c r="AP194" s="538">
        <v>3.0</v>
      </c>
      <c r="AQ194" s="538">
        <v>2.50961355E9</v>
      </c>
      <c r="AR194" s="538">
        <v>58.0</v>
      </c>
      <c r="AS194" s="538" t="s">
        <v>46</v>
      </c>
    </row>
    <row r="195" ht="22.5" customHeight="1">
      <c r="A195" s="538">
        <v>194.0</v>
      </c>
      <c r="B195" s="538" t="s">
        <v>56</v>
      </c>
      <c r="C195" s="538" t="s">
        <v>596</v>
      </c>
      <c r="D195" s="538" t="s">
        <v>214</v>
      </c>
      <c r="E195" s="538" t="s">
        <v>2835</v>
      </c>
      <c r="F195" s="538" t="s">
        <v>239</v>
      </c>
      <c r="G195" s="538" t="s">
        <v>222</v>
      </c>
      <c r="H195" s="538" t="s">
        <v>197</v>
      </c>
      <c r="I195" s="538" t="s">
        <v>2836</v>
      </c>
      <c r="J195" s="538" t="s">
        <v>2837</v>
      </c>
      <c r="K195" s="538" t="b">
        <v>1</v>
      </c>
      <c r="L195" s="538" t="b">
        <v>1</v>
      </c>
      <c r="M195" s="538" t="s">
        <v>79</v>
      </c>
      <c r="N195" s="538" t="s">
        <v>2835</v>
      </c>
      <c r="O195" s="538" t="s">
        <v>79</v>
      </c>
      <c r="P195" s="538" t="s">
        <v>2835</v>
      </c>
      <c r="Q195" s="538" t="s">
        <v>79</v>
      </c>
      <c r="R195" s="538" t="s">
        <v>2838</v>
      </c>
      <c r="S195" s="538" t="s">
        <v>79</v>
      </c>
      <c r="T195" s="538" t="s">
        <v>2838</v>
      </c>
      <c r="U195" s="538" t="s">
        <v>79</v>
      </c>
      <c r="V195" s="538" t="s">
        <v>2838</v>
      </c>
      <c r="W195" s="538" t="s">
        <v>79</v>
      </c>
      <c r="X195" s="538" t="s">
        <v>2838</v>
      </c>
      <c r="Y195" s="538" t="s">
        <v>79</v>
      </c>
      <c r="Z195" s="538" t="s">
        <v>2838</v>
      </c>
      <c r="AA195" s="538" t="s">
        <v>79</v>
      </c>
      <c r="AB195" s="538" t="s">
        <v>2838</v>
      </c>
      <c r="AC195" s="538" t="s">
        <v>79</v>
      </c>
      <c r="AD195" s="538" t="s">
        <v>2838</v>
      </c>
      <c r="AE195" s="538" t="s">
        <v>79</v>
      </c>
      <c r="AF195" s="538" t="s">
        <v>2835</v>
      </c>
      <c r="AG195" s="538" t="s">
        <v>79</v>
      </c>
      <c r="AH195" s="538" t="s">
        <v>2835</v>
      </c>
      <c r="AI195" s="538" t="s">
        <v>79</v>
      </c>
      <c r="AJ195" s="538" t="s">
        <v>2835</v>
      </c>
      <c r="AK195" s="538" t="s">
        <v>79</v>
      </c>
      <c r="AL195" s="538" t="s">
        <v>214</v>
      </c>
      <c r="AM195" s="538" t="s">
        <v>79</v>
      </c>
      <c r="AN195" s="538" t="s">
        <v>214</v>
      </c>
      <c r="AO195" s="538">
        <v>3.080725161E9</v>
      </c>
      <c r="AP195" s="538">
        <v>1.0</v>
      </c>
      <c r="AQ195" s="538">
        <v>4.017333545E9</v>
      </c>
      <c r="AR195" s="538">
        <v>60.0</v>
      </c>
      <c r="AS195" s="538" t="s">
        <v>46</v>
      </c>
    </row>
    <row r="196" ht="22.5" customHeight="1">
      <c r="A196" s="538">
        <v>195.0</v>
      </c>
      <c r="B196" s="538" t="s">
        <v>56</v>
      </c>
      <c r="C196" s="538" t="s">
        <v>596</v>
      </c>
      <c r="D196" s="538" t="s">
        <v>2839</v>
      </c>
      <c r="E196" s="538" t="s">
        <v>2838</v>
      </c>
      <c r="F196" s="538" t="s">
        <v>151</v>
      </c>
      <c r="G196" s="538" t="s">
        <v>250</v>
      </c>
      <c r="H196" s="538" t="s">
        <v>122</v>
      </c>
      <c r="J196" s="538" t="s">
        <v>2840</v>
      </c>
      <c r="K196" s="538" t="b">
        <v>0</v>
      </c>
      <c r="L196" s="538" t="b">
        <v>1</v>
      </c>
      <c r="M196" s="538" t="s">
        <v>79</v>
      </c>
      <c r="N196" s="538" t="s">
        <v>2838</v>
      </c>
      <c r="O196" s="538" t="s">
        <v>79</v>
      </c>
      <c r="P196" s="538" t="s">
        <v>2838</v>
      </c>
      <c r="Q196" s="538" t="s">
        <v>79</v>
      </c>
      <c r="R196" s="538" t="s">
        <v>2838</v>
      </c>
      <c r="S196" s="538" t="s">
        <v>79</v>
      </c>
      <c r="T196" s="538" t="s">
        <v>2838</v>
      </c>
      <c r="U196" s="538" t="s">
        <v>79</v>
      </c>
      <c r="V196" s="538" t="s">
        <v>2838</v>
      </c>
      <c r="W196" s="538" t="s">
        <v>79</v>
      </c>
      <c r="X196" s="538" t="s">
        <v>2838</v>
      </c>
      <c r="Y196" s="538" t="s">
        <v>79</v>
      </c>
      <c r="Z196" s="538" t="s">
        <v>2838</v>
      </c>
      <c r="AA196" s="538" t="s">
        <v>79</v>
      </c>
      <c r="AB196" s="538" t="s">
        <v>2838</v>
      </c>
      <c r="AC196" s="538" t="s">
        <v>79</v>
      </c>
      <c r="AD196" s="538" t="s">
        <v>2838</v>
      </c>
      <c r="AE196" s="538" t="s">
        <v>79</v>
      </c>
      <c r="AF196" s="538" t="s">
        <v>2838</v>
      </c>
      <c r="AG196" s="538" t="s">
        <v>79</v>
      </c>
      <c r="AH196" s="538" t="s">
        <v>2838</v>
      </c>
      <c r="AI196" s="538" t="s">
        <v>79</v>
      </c>
      <c r="AJ196" s="538" t="s">
        <v>2838</v>
      </c>
      <c r="AK196" s="538" t="s">
        <v>79</v>
      </c>
      <c r="AL196" s="538" t="s">
        <v>2839</v>
      </c>
      <c r="AM196" s="538" t="s">
        <v>79</v>
      </c>
      <c r="AN196" s="538" t="s">
        <v>2839</v>
      </c>
      <c r="AO196" s="538">
        <v>3.965236441E9</v>
      </c>
      <c r="AP196" s="538">
        <v>2.0</v>
      </c>
      <c r="AQ196" s="538">
        <v>4.017333545E9</v>
      </c>
      <c r="AR196" s="538">
        <v>60.0</v>
      </c>
      <c r="AS196" s="538" t="s">
        <v>46</v>
      </c>
    </row>
    <row r="197" ht="22.5" customHeight="1">
      <c r="A197" s="538">
        <v>196.0</v>
      </c>
      <c r="B197" s="538" t="s">
        <v>56</v>
      </c>
      <c r="C197" s="538" t="s">
        <v>596</v>
      </c>
      <c r="D197" s="538" t="s">
        <v>310</v>
      </c>
      <c r="F197" s="538" t="s">
        <v>151</v>
      </c>
      <c r="G197" s="538" t="s">
        <v>250</v>
      </c>
      <c r="H197" s="538" t="s">
        <v>122</v>
      </c>
      <c r="J197" s="538" t="s">
        <v>2841</v>
      </c>
      <c r="K197" s="538" t="b">
        <v>0</v>
      </c>
      <c r="L197" s="538" t="b">
        <v>1</v>
      </c>
      <c r="M197" s="538" t="s">
        <v>73</v>
      </c>
      <c r="O197" s="538" t="s">
        <v>73</v>
      </c>
      <c r="Q197" s="538" t="s">
        <v>73</v>
      </c>
      <c r="S197" s="538" t="s">
        <v>73</v>
      </c>
      <c r="U197" s="538" t="s">
        <v>73</v>
      </c>
      <c r="W197" s="538" t="s">
        <v>73</v>
      </c>
      <c r="Y197" s="538" t="s">
        <v>73</v>
      </c>
      <c r="AA197" s="538" t="s">
        <v>73</v>
      </c>
      <c r="AC197" s="538" t="s">
        <v>73</v>
      </c>
      <c r="AE197" s="538" t="s">
        <v>73</v>
      </c>
      <c r="AG197" s="538" t="s">
        <v>73</v>
      </c>
      <c r="AI197" s="538" t="s">
        <v>73</v>
      </c>
      <c r="AK197" s="538" t="s">
        <v>79</v>
      </c>
      <c r="AL197" s="538" t="s">
        <v>310</v>
      </c>
      <c r="AM197" s="538" t="s">
        <v>79</v>
      </c>
      <c r="AN197" s="538" t="s">
        <v>310</v>
      </c>
      <c r="AO197" s="538">
        <v>8.35348251E8</v>
      </c>
      <c r="AP197" s="538">
        <v>3.0</v>
      </c>
      <c r="AQ197" s="538">
        <v>4.017333545E9</v>
      </c>
      <c r="AR197" s="538">
        <v>60.0</v>
      </c>
      <c r="AS197" s="538" t="s">
        <v>46</v>
      </c>
    </row>
    <row r="198" ht="22.5" customHeight="1">
      <c r="A198" s="538">
        <v>197.0</v>
      </c>
      <c r="B198" s="538" t="s">
        <v>2842</v>
      </c>
      <c r="C198" s="538" t="s">
        <v>596</v>
      </c>
      <c r="D198" s="538" t="s">
        <v>246</v>
      </c>
      <c r="E198" s="538" t="s">
        <v>2843</v>
      </c>
      <c r="F198" s="538" t="s">
        <v>239</v>
      </c>
      <c r="G198" s="538" t="s">
        <v>222</v>
      </c>
      <c r="H198" s="538" t="s">
        <v>155</v>
      </c>
      <c r="I198" s="538" t="s">
        <v>350</v>
      </c>
      <c r="J198" s="538" t="s">
        <v>2844</v>
      </c>
      <c r="K198" s="538" t="b">
        <v>0</v>
      </c>
      <c r="L198" s="538" t="b">
        <v>1</v>
      </c>
      <c r="M198" s="538" t="s">
        <v>79</v>
      </c>
      <c r="N198" s="538" t="s">
        <v>2845</v>
      </c>
      <c r="O198" s="538" t="s">
        <v>79</v>
      </c>
      <c r="P198" s="538" t="s">
        <v>2845</v>
      </c>
      <c r="Q198" s="538" t="s">
        <v>79</v>
      </c>
      <c r="R198" s="538" t="s">
        <v>2843</v>
      </c>
      <c r="S198" s="538" t="s">
        <v>79</v>
      </c>
      <c r="T198" s="538" t="s">
        <v>2843</v>
      </c>
      <c r="U198" s="538" t="s">
        <v>79</v>
      </c>
      <c r="V198" s="538" t="s">
        <v>2843</v>
      </c>
      <c r="W198" s="538" t="s">
        <v>79</v>
      </c>
      <c r="X198" s="538" t="s">
        <v>2843</v>
      </c>
      <c r="Y198" s="538" t="s">
        <v>79</v>
      </c>
      <c r="Z198" s="538" t="s">
        <v>2843</v>
      </c>
      <c r="AA198" s="538" t="s">
        <v>79</v>
      </c>
      <c r="AB198" s="538" t="s">
        <v>2843</v>
      </c>
      <c r="AC198" s="538" t="s">
        <v>79</v>
      </c>
      <c r="AD198" s="538" t="s">
        <v>2843</v>
      </c>
      <c r="AE198" s="538" t="s">
        <v>79</v>
      </c>
      <c r="AF198" s="538" t="s">
        <v>2843</v>
      </c>
      <c r="AG198" s="538" t="s">
        <v>79</v>
      </c>
      <c r="AH198" s="538" t="s">
        <v>2843</v>
      </c>
      <c r="AI198" s="538" t="s">
        <v>79</v>
      </c>
      <c r="AJ198" s="538" t="s">
        <v>2843</v>
      </c>
      <c r="AK198" s="538" t="s">
        <v>79</v>
      </c>
      <c r="AL198" s="538" t="s">
        <v>246</v>
      </c>
      <c r="AM198" s="538" t="s">
        <v>79</v>
      </c>
      <c r="AN198" s="538" t="s">
        <v>246</v>
      </c>
      <c r="AO198" s="538">
        <v>3.929827E8</v>
      </c>
      <c r="AP198" s="538">
        <v>1.0</v>
      </c>
      <c r="AQ198" s="538">
        <v>3.498200313E9</v>
      </c>
      <c r="AR198" s="538">
        <v>61.0</v>
      </c>
      <c r="AS198" s="538" t="s">
        <v>47</v>
      </c>
      <c r="AU198" s="538" t="s">
        <v>437</v>
      </c>
    </row>
    <row r="199" ht="22.5" customHeight="1">
      <c r="A199" s="538">
        <v>198.0</v>
      </c>
      <c r="B199" s="538" t="s">
        <v>2842</v>
      </c>
      <c r="C199" s="538" t="s">
        <v>596</v>
      </c>
      <c r="D199" s="538" t="s">
        <v>241</v>
      </c>
      <c r="E199" s="538" t="s">
        <v>2846</v>
      </c>
      <c r="F199" s="538" t="s">
        <v>163</v>
      </c>
      <c r="G199" s="538" t="s">
        <v>250</v>
      </c>
      <c r="H199" s="538" t="s">
        <v>155</v>
      </c>
      <c r="J199" s="538" t="s">
        <v>2847</v>
      </c>
      <c r="K199" s="538" t="b">
        <v>0</v>
      </c>
      <c r="L199" s="538" t="b">
        <v>0</v>
      </c>
      <c r="M199" s="538" t="s">
        <v>79</v>
      </c>
      <c r="N199" s="538" t="s">
        <v>2848</v>
      </c>
      <c r="O199" s="538" t="s">
        <v>79</v>
      </c>
      <c r="P199" s="538" t="s">
        <v>2848</v>
      </c>
      <c r="Q199" s="538" t="s">
        <v>79</v>
      </c>
      <c r="R199" s="538" t="s">
        <v>2846</v>
      </c>
      <c r="S199" s="538" t="s">
        <v>79</v>
      </c>
      <c r="T199" s="538" t="s">
        <v>2846</v>
      </c>
      <c r="U199" s="538" t="s">
        <v>79</v>
      </c>
      <c r="V199" s="538" t="s">
        <v>2846</v>
      </c>
      <c r="W199" s="538" t="s">
        <v>79</v>
      </c>
      <c r="X199" s="538" t="s">
        <v>2846</v>
      </c>
      <c r="Y199" s="538" t="s">
        <v>79</v>
      </c>
      <c r="Z199" s="538" t="s">
        <v>2846</v>
      </c>
      <c r="AA199" s="538" t="s">
        <v>79</v>
      </c>
      <c r="AB199" s="538" t="s">
        <v>2846</v>
      </c>
      <c r="AC199" s="538" t="s">
        <v>79</v>
      </c>
      <c r="AD199" s="538" t="s">
        <v>2846</v>
      </c>
      <c r="AE199" s="538" t="s">
        <v>79</v>
      </c>
      <c r="AF199" s="538" t="s">
        <v>2846</v>
      </c>
      <c r="AG199" s="538" t="s">
        <v>79</v>
      </c>
      <c r="AH199" s="538" t="s">
        <v>2846</v>
      </c>
      <c r="AI199" s="538" t="s">
        <v>79</v>
      </c>
      <c r="AJ199" s="538" t="s">
        <v>2846</v>
      </c>
      <c r="AK199" s="538" t="s">
        <v>79</v>
      </c>
      <c r="AL199" s="538" t="s">
        <v>241</v>
      </c>
      <c r="AM199" s="538" t="s">
        <v>79</v>
      </c>
      <c r="AN199" s="538" t="s">
        <v>241</v>
      </c>
      <c r="AO199" s="538">
        <v>1.843894986E9</v>
      </c>
      <c r="AP199" s="538">
        <v>2.0</v>
      </c>
      <c r="AQ199" s="538">
        <v>3.498200313E9</v>
      </c>
      <c r="AR199" s="538">
        <v>61.0</v>
      </c>
      <c r="AS199" s="538" t="s">
        <v>47</v>
      </c>
    </row>
    <row r="200" ht="22.5" customHeight="1">
      <c r="A200" s="538">
        <v>199.0</v>
      </c>
      <c r="B200" s="538" t="s">
        <v>2842</v>
      </c>
      <c r="C200" s="538" t="s">
        <v>596</v>
      </c>
      <c r="D200" s="538" t="s">
        <v>292</v>
      </c>
      <c r="E200" s="538" t="s">
        <v>2849</v>
      </c>
      <c r="F200" s="538" t="s">
        <v>163</v>
      </c>
      <c r="G200" s="538" t="s">
        <v>250</v>
      </c>
      <c r="H200" s="538" t="s">
        <v>155</v>
      </c>
      <c r="J200" s="538" t="s">
        <v>2850</v>
      </c>
      <c r="K200" s="538" t="b">
        <v>0</v>
      </c>
      <c r="L200" s="538" t="b">
        <v>1</v>
      </c>
      <c r="M200" s="538" t="s">
        <v>79</v>
      </c>
      <c r="N200" s="538" t="s">
        <v>2851</v>
      </c>
      <c r="O200" s="538" t="s">
        <v>79</v>
      </c>
      <c r="P200" s="538" t="s">
        <v>2851</v>
      </c>
      <c r="Q200" s="538" t="s">
        <v>79</v>
      </c>
      <c r="R200" s="538" t="s">
        <v>2849</v>
      </c>
      <c r="S200" s="538" t="s">
        <v>79</v>
      </c>
      <c r="T200" s="538" t="s">
        <v>2849</v>
      </c>
      <c r="U200" s="538" t="s">
        <v>79</v>
      </c>
      <c r="V200" s="538" t="s">
        <v>2849</v>
      </c>
      <c r="W200" s="538" t="s">
        <v>79</v>
      </c>
      <c r="X200" s="538" t="s">
        <v>2849</v>
      </c>
      <c r="Y200" s="538" t="s">
        <v>79</v>
      </c>
      <c r="Z200" s="538" t="s">
        <v>2849</v>
      </c>
      <c r="AA200" s="538" t="s">
        <v>79</v>
      </c>
      <c r="AB200" s="538" t="s">
        <v>2849</v>
      </c>
      <c r="AC200" s="538" t="s">
        <v>79</v>
      </c>
      <c r="AD200" s="538" t="s">
        <v>2849</v>
      </c>
      <c r="AE200" s="538" t="s">
        <v>79</v>
      </c>
      <c r="AF200" s="538" t="s">
        <v>2849</v>
      </c>
      <c r="AG200" s="538" t="s">
        <v>79</v>
      </c>
      <c r="AH200" s="538" t="s">
        <v>2849</v>
      </c>
      <c r="AI200" s="538" t="s">
        <v>79</v>
      </c>
      <c r="AJ200" s="538" t="s">
        <v>2849</v>
      </c>
      <c r="AK200" s="538" t="s">
        <v>79</v>
      </c>
      <c r="AL200" s="538" t="s">
        <v>292</v>
      </c>
      <c r="AM200" s="538" t="s">
        <v>79</v>
      </c>
      <c r="AN200" s="538" t="s">
        <v>292</v>
      </c>
      <c r="AO200" s="538">
        <v>4.283993844E9</v>
      </c>
      <c r="AP200" s="538">
        <v>3.0</v>
      </c>
      <c r="AQ200" s="538">
        <v>3.498200313E9</v>
      </c>
      <c r="AR200" s="538">
        <v>61.0</v>
      </c>
      <c r="AS200" s="538" t="s">
        <v>47</v>
      </c>
    </row>
    <row r="201" ht="22.5" customHeight="1">
      <c r="A201" s="538">
        <v>200.0</v>
      </c>
      <c r="B201" s="538" t="s">
        <v>55</v>
      </c>
      <c r="C201" s="538" t="s">
        <v>597</v>
      </c>
      <c r="D201" s="538" t="s">
        <v>292</v>
      </c>
      <c r="E201" s="538" t="s">
        <v>149</v>
      </c>
      <c r="F201" s="538" t="s">
        <v>163</v>
      </c>
      <c r="G201" s="538" t="s">
        <v>250</v>
      </c>
      <c r="H201" s="538" t="s">
        <v>155</v>
      </c>
      <c r="I201" s="538" t="s">
        <v>2852</v>
      </c>
      <c r="J201" s="538" t="s">
        <v>2853</v>
      </c>
      <c r="K201" s="538" t="b">
        <v>0</v>
      </c>
      <c r="L201" s="538" t="b">
        <v>1</v>
      </c>
      <c r="M201" s="538" t="s">
        <v>79</v>
      </c>
      <c r="N201" s="538" t="s">
        <v>149</v>
      </c>
      <c r="O201" s="538" t="s">
        <v>79</v>
      </c>
      <c r="P201" s="538" t="s">
        <v>149</v>
      </c>
      <c r="Q201" s="538" t="s">
        <v>79</v>
      </c>
      <c r="R201" s="538" t="s">
        <v>149</v>
      </c>
      <c r="S201" s="538" t="s">
        <v>79</v>
      </c>
      <c r="T201" s="538" t="s">
        <v>149</v>
      </c>
      <c r="U201" s="538" t="s">
        <v>79</v>
      </c>
      <c r="V201" s="538" t="s">
        <v>149</v>
      </c>
      <c r="W201" s="538" t="s">
        <v>79</v>
      </c>
      <c r="X201" s="538" t="s">
        <v>149</v>
      </c>
      <c r="Y201" s="538" t="s">
        <v>79</v>
      </c>
      <c r="Z201" s="538" t="s">
        <v>149</v>
      </c>
      <c r="AA201" s="538" t="s">
        <v>79</v>
      </c>
      <c r="AB201" s="538" t="s">
        <v>149</v>
      </c>
      <c r="AC201" s="538" t="s">
        <v>79</v>
      </c>
      <c r="AD201" s="538" t="s">
        <v>149</v>
      </c>
      <c r="AE201" s="538" t="s">
        <v>79</v>
      </c>
      <c r="AF201" s="538" t="s">
        <v>149</v>
      </c>
      <c r="AG201" s="538" t="s">
        <v>73</v>
      </c>
      <c r="AI201" s="538" t="s">
        <v>79</v>
      </c>
      <c r="AJ201" s="538" t="s">
        <v>149</v>
      </c>
      <c r="AK201" s="538" t="s">
        <v>79</v>
      </c>
      <c r="AL201" s="538" t="s">
        <v>292</v>
      </c>
      <c r="AM201" s="538" t="s">
        <v>79</v>
      </c>
      <c r="AN201" s="538" t="s">
        <v>292</v>
      </c>
      <c r="AO201" s="538">
        <v>1.096549617E9</v>
      </c>
      <c r="AP201" s="538">
        <v>1.0</v>
      </c>
      <c r="AQ201" s="538">
        <v>3.980484968E9</v>
      </c>
      <c r="AR201" s="538">
        <v>62.0</v>
      </c>
      <c r="AS201" s="538" t="s">
        <v>47</v>
      </c>
      <c r="AW201" s="537"/>
    </row>
    <row r="202" ht="22.5" customHeight="1">
      <c r="A202" s="538">
        <v>201.0</v>
      </c>
      <c r="B202" s="538" t="s">
        <v>55</v>
      </c>
      <c r="C202" s="538" t="s">
        <v>597</v>
      </c>
      <c r="D202" s="538" t="s">
        <v>223</v>
      </c>
      <c r="E202" s="538" t="s">
        <v>149</v>
      </c>
      <c r="F202" s="538" t="s">
        <v>163</v>
      </c>
      <c r="G202" s="538" t="s">
        <v>250</v>
      </c>
      <c r="H202" s="538" t="s">
        <v>122</v>
      </c>
      <c r="I202" s="538" t="s">
        <v>2854</v>
      </c>
      <c r="J202" s="538" t="s">
        <v>2855</v>
      </c>
      <c r="K202" s="538" t="b">
        <v>0</v>
      </c>
      <c r="L202" s="538" t="b">
        <v>1</v>
      </c>
      <c r="M202" s="538" t="s">
        <v>79</v>
      </c>
      <c r="N202" s="538" t="s">
        <v>149</v>
      </c>
      <c r="O202" s="538" t="s">
        <v>79</v>
      </c>
      <c r="P202" s="538" t="s">
        <v>149</v>
      </c>
      <c r="Q202" s="538" t="s">
        <v>79</v>
      </c>
      <c r="R202" s="538" t="s">
        <v>149</v>
      </c>
      <c r="S202" s="538" t="s">
        <v>79</v>
      </c>
      <c r="T202" s="538" t="s">
        <v>149</v>
      </c>
      <c r="U202" s="538" t="s">
        <v>79</v>
      </c>
      <c r="V202" s="538" t="s">
        <v>149</v>
      </c>
      <c r="W202" s="538" t="s">
        <v>79</v>
      </c>
      <c r="X202" s="538" t="s">
        <v>149</v>
      </c>
      <c r="Y202" s="538" t="s">
        <v>79</v>
      </c>
      <c r="Z202" s="538" t="s">
        <v>149</v>
      </c>
      <c r="AA202" s="538" t="s">
        <v>79</v>
      </c>
      <c r="AB202" s="538" t="s">
        <v>149</v>
      </c>
      <c r="AC202" s="538" t="s">
        <v>79</v>
      </c>
      <c r="AD202" s="538" t="s">
        <v>149</v>
      </c>
      <c r="AE202" s="538" t="s">
        <v>79</v>
      </c>
      <c r="AF202" s="538" t="s">
        <v>149</v>
      </c>
      <c r="AG202" s="538" t="s">
        <v>73</v>
      </c>
      <c r="AI202" s="538" t="s">
        <v>73</v>
      </c>
      <c r="AK202" s="538" t="s">
        <v>79</v>
      </c>
      <c r="AL202" s="538" t="s">
        <v>223</v>
      </c>
      <c r="AM202" s="538" t="s">
        <v>79</v>
      </c>
      <c r="AN202" s="538" t="s">
        <v>223</v>
      </c>
      <c r="AO202" s="538">
        <v>3.413123086E9</v>
      </c>
      <c r="AP202" s="538">
        <v>2.0</v>
      </c>
      <c r="AQ202" s="538">
        <v>3.980484968E9</v>
      </c>
      <c r="AR202" s="538">
        <v>62.0</v>
      </c>
      <c r="AS202" s="538" t="s">
        <v>47</v>
      </c>
      <c r="AW202" s="537"/>
    </row>
    <row r="203" ht="22.5" customHeight="1">
      <c r="A203" s="538">
        <v>202.0</v>
      </c>
      <c r="B203" s="538" t="s">
        <v>55</v>
      </c>
      <c r="C203" s="538" t="s">
        <v>597</v>
      </c>
      <c r="D203" s="538" t="s">
        <v>218</v>
      </c>
      <c r="E203" s="538" t="s">
        <v>2856</v>
      </c>
      <c r="F203" s="538" t="s">
        <v>163</v>
      </c>
      <c r="G203" s="538" t="s">
        <v>250</v>
      </c>
      <c r="H203" s="538" t="s">
        <v>122</v>
      </c>
      <c r="I203" s="538" t="s">
        <v>2857</v>
      </c>
      <c r="J203" s="538" t="s">
        <v>2858</v>
      </c>
      <c r="K203" s="538" t="b">
        <v>0</v>
      </c>
      <c r="L203" s="538" t="b">
        <v>1</v>
      </c>
      <c r="M203" s="538" t="s">
        <v>79</v>
      </c>
      <c r="N203" s="538" t="s">
        <v>2856</v>
      </c>
      <c r="O203" s="538" t="s">
        <v>79</v>
      </c>
      <c r="P203" s="538" t="s">
        <v>2856</v>
      </c>
      <c r="Q203" s="538" t="s">
        <v>79</v>
      </c>
      <c r="R203" s="538" t="s">
        <v>149</v>
      </c>
      <c r="S203" s="538" t="s">
        <v>79</v>
      </c>
      <c r="T203" s="538" t="s">
        <v>149</v>
      </c>
      <c r="U203" s="538" t="s">
        <v>79</v>
      </c>
      <c r="V203" s="538" t="s">
        <v>149</v>
      </c>
      <c r="W203" s="538" t="s">
        <v>79</v>
      </c>
      <c r="X203" s="538" t="s">
        <v>149</v>
      </c>
      <c r="Y203" s="538" t="s">
        <v>79</v>
      </c>
      <c r="Z203" s="538" t="s">
        <v>149</v>
      </c>
      <c r="AA203" s="538" t="s">
        <v>79</v>
      </c>
      <c r="AB203" s="538" t="s">
        <v>149</v>
      </c>
      <c r="AC203" s="538" t="s">
        <v>79</v>
      </c>
      <c r="AD203" s="538" t="s">
        <v>149</v>
      </c>
      <c r="AE203" s="538" t="s">
        <v>79</v>
      </c>
      <c r="AF203" s="538" t="s">
        <v>2856</v>
      </c>
      <c r="AG203" s="538" t="s">
        <v>79</v>
      </c>
      <c r="AH203" s="538" t="s">
        <v>149</v>
      </c>
      <c r="AI203" s="538" t="s">
        <v>75</v>
      </c>
      <c r="AJ203" s="538" t="s">
        <v>2859</v>
      </c>
      <c r="AK203" s="538" t="s">
        <v>79</v>
      </c>
      <c r="AL203" s="538" t="s">
        <v>218</v>
      </c>
      <c r="AM203" s="538" t="s">
        <v>79</v>
      </c>
      <c r="AN203" s="538" t="s">
        <v>218</v>
      </c>
      <c r="AO203" s="538">
        <v>2.363946336E9</v>
      </c>
      <c r="AP203" s="538">
        <v>3.0</v>
      </c>
      <c r="AQ203" s="538">
        <v>3.980484968E9</v>
      </c>
      <c r="AR203" s="538">
        <v>62.0</v>
      </c>
      <c r="AS203" s="538" t="s">
        <v>47</v>
      </c>
      <c r="AV203" s="538" t="s">
        <v>2859</v>
      </c>
      <c r="AW203" s="537"/>
    </row>
    <row r="204" ht="22.5" customHeight="1">
      <c r="A204" s="538">
        <v>203.0</v>
      </c>
      <c r="B204" s="538" t="s">
        <v>55</v>
      </c>
      <c r="C204" s="538" t="s">
        <v>597</v>
      </c>
      <c r="D204" s="538" t="s">
        <v>241</v>
      </c>
      <c r="E204" s="538" t="s">
        <v>2860</v>
      </c>
      <c r="F204" s="538" t="s">
        <v>163</v>
      </c>
      <c r="G204" s="538" t="s">
        <v>250</v>
      </c>
      <c r="H204" s="538" t="s">
        <v>155</v>
      </c>
      <c r="I204" s="538" t="s">
        <v>2861</v>
      </c>
      <c r="J204" s="538" t="s">
        <v>2862</v>
      </c>
      <c r="K204" s="538" t="b">
        <v>0</v>
      </c>
      <c r="L204" s="538" t="b">
        <v>0</v>
      </c>
      <c r="M204" s="538" t="s">
        <v>79</v>
      </c>
      <c r="N204" s="538" t="s">
        <v>2860</v>
      </c>
      <c r="O204" s="538" t="s">
        <v>79</v>
      </c>
      <c r="P204" s="538" t="s">
        <v>2860</v>
      </c>
      <c r="Q204" s="538" t="s">
        <v>79</v>
      </c>
      <c r="R204" s="538" t="s">
        <v>2518</v>
      </c>
      <c r="S204" s="538" t="s">
        <v>79</v>
      </c>
      <c r="T204" s="538" t="s">
        <v>2518</v>
      </c>
      <c r="U204" s="538" t="s">
        <v>79</v>
      </c>
      <c r="V204" s="538" t="s">
        <v>2518</v>
      </c>
      <c r="W204" s="538" t="s">
        <v>79</v>
      </c>
      <c r="X204" s="538" t="s">
        <v>2518</v>
      </c>
      <c r="Y204" s="538" t="s">
        <v>79</v>
      </c>
      <c r="Z204" s="538" t="s">
        <v>2518</v>
      </c>
      <c r="AA204" s="538" t="s">
        <v>79</v>
      </c>
      <c r="AB204" s="538" t="s">
        <v>2518</v>
      </c>
      <c r="AC204" s="538" t="s">
        <v>79</v>
      </c>
      <c r="AD204" s="538" t="s">
        <v>2518</v>
      </c>
      <c r="AE204" s="538" t="s">
        <v>79</v>
      </c>
      <c r="AF204" s="538" t="s">
        <v>2860</v>
      </c>
      <c r="AG204" s="538" t="s">
        <v>75</v>
      </c>
      <c r="AH204" s="538" t="s">
        <v>2696</v>
      </c>
      <c r="AI204" s="538" t="s">
        <v>75</v>
      </c>
      <c r="AJ204" s="538" t="s">
        <v>2696</v>
      </c>
      <c r="AK204" s="538" t="s">
        <v>79</v>
      </c>
      <c r="AL204" s="538" t="s">
        <v>241</v>
      </c>
      <c r="AM204" s="538" t="s">
        <v>79</v>
      </c>
      <c r="AN204" s="538" t="s">
        <v>241</v>
      </c>
      <c r="AO204" s="538">
        <v>1.920482465E9</v>
      </c>
      <c r="AP204" s="538">
        <v>4.0</v>
      </c>
      <c r="AQ204" s="538">
        <v>3.980484968E9</v>
      </c>
      <c r="AR204" s="538">
        <v>62.0</v>
      </c>
      <c r="AS204" s="538" t="s">
        <v>47</v>
      </c>
      <c r="AV204" s="538" t="s">
        <v>2696</v>
      </c>
      <c r="AW204" s="537"/>
    </row>
    <row r="205" ht="22.5" customHeight="1">
      <c r="A205" s="538">
        <v>204.0</v>
      </c>
      <c r="B205" s="538" t="s">
        <v>2863</v>
      </c>
      <c r="C205" s="538" t="s">
        <v>597</v>
      </c>
      <c r="D205" s="538" t="s">
        <v>292</v>
      </c>
      <c r="E205" s="538" t="s">
        <v>149</v>
      </c>
      <c r="F205" s="538" t="s">
        <v>163</v>
      </c>
      <c r="G205" s="538" t="s">
        <v>250</v>
      </c>
      <c r="H205" s="538" t="s">
        <v>155</v>
      </c>
      <c r="I205" s="538" t="s">
        <v>2852</v>
      </c>
      <c r="J205" s="538" t="s">
        <v>2853</v>
      </c>
      <c r="K205" s="538" t="b">
        <v>0</v>
      </c>
      <c r="L205" s="538" t="b">
        <v>1</v>
      </c>
      <c r="M205" s="538" t="s">
        <v>79</v>
      </c>
      <c r="N205" s="538" t="s">
        <v>149</v>
      </c>
      <c r="O205" s="538" t="s">
        <v>79</v>
      </c>
      <c r="P205" s="538" t="s">
        <v>149</v>
      </c>
      <c r="Q205" s="538" t="s">
        <v>79</v>
      </c>
      <c r="R205" s="538" t="s">
        <v>149</v>
      </c>
      <c r="S205" s="538" t="s">
        <v>79</v>
      </c>
      <c r="T205" s="538" t="s">
        <v>149</v>
      </c>
      <c r="U205" s="538" t="s">
        <v>79</v>
      </c>
      <c r="V205" s="538" t="s">
        <v>149</v>
      </c>
      <c r="W205" s="538" t="s">
        <v>79</v>
      </c>
      <c r="X205" s="538" t="s">
        <v>149</v>
      </c>
      <c r="Y205" s="538" t="s">
        <v>79</v>
      </c>
      <c r="Z205" s="538" t="s">
        <v>149</v>
      </c>
      <c r="AA205" s="538" t="s">
        <v>79</v>
      </c>
      <c r="AB205" s="538" t="s">
        <v>149</v>
      </c>
      <c r="AC205" s="538" t="s">
        <v>79</v>
      </c>
      <c r="AD205" s="538" t="s">
        <v>149</v>
      </c>
      <c r="AE205" s="538" t="s">
        <v>79</v>
      </c>
      <c r="AF205" s="538" t="s">
        <v>149</v>
      </c>
      <c r="AG205" s="538" t="s">
        <v>73</v>
      </c>
      <c r="AI205" s="538" t="s">
        <v>79</v>
      </c>
      <c r="AJ205" s="538" t="s">
        <v>149</v>
      </c>
      <c r="AK205" s="538" t="s">
        <v>79</v>
      </c>
      <c r="AL205" s="538" t="s">
        <v>292</v>
      </c>
      <c r="AM205" s="538" t="s">
        <v>79</v>
      </c>
      <c r="AN205" s="538" t="s">
        <v>292</v>
      </c>
      <c r="AO205" s="538">
        <v>1.834391826E9</v>
      </c>
      <c r="AP205" s="538">
        <v>1.0</v>
      </c>
      <c r="AQ205" s="538">
        <v>3.246756421E9</v>
      </c>
      <c r="AR205" s="538">
        <v>63.0</v>
      </c>
      <c r="AS205" s="538" t="s">
        <v>47</v>
      </c>
      <c r="AW205" s="537"/>
    </row>
    <row r="206" ht="22.5" customHeight="1">
      <c r="A206" s="538">
        <v>205.0</v>
      </c>
      <c r="B206" s="538" t="s">
        <v>2863</v>
      </c>
      <c r="C206" s="538" t="s">
        <v>597</v>
      </c>
      <c r="D206" s="538" t="s">
        <v>223</v>
      </c>
      <c r="E206" s="538" t="s">
        <v>149</v>
      </c>
      <c r="F206" s="538" t="s">
        <v>163</v>
      </c>
      <c r="G206" s="538" t="s">
        <v>250</v>
      </c>
      <c r="H206" s="538" t="s">
        <v>122</v>
      </c>
      <c r="I206" s="538" t="s">
        <v>2854</v>
      </c>
      <c r="J206" s="538" t="s">
        <v>2864</v>
      </c>
      <c r="K206" s="538" t="b">
        <v>0</v>
      </c>
      <c r="L206" s="538" t="b">
        <v>1</v>
      </c>
      <c r="M206" s="538" t="s">
        <v>79</v>
      </c>
      <c r="N206" s="538" t="s">
        <v>149</v>
      </c>
      <c r="O206" s="538" t="s">
        <v>79</v>
      </c>
      <c r="P206" s="538" t="s">
        <v>149</v>
      </c>
      <c r="Q206" s="538" t="s">
        <v>79</v>
      </c>
      <c r="R206" s="538" t="s">
        <v>149</v>
      </c>
      <c r="S206" s="538" t="s">
        <v>79</v>
      </c>
      <c r="T206" s="538" t="s">
        <v>149</v>
      </c>
      <c r="U206" s="538" t="s">
        <v>79</v>
      </c>
      <c r="V206" s="538" t="s">
        <v>149</v>
      </c>
      <c r="W206" s="538" t="s">
        <v>79</v>
      </c>
      <c r="X206" s="538" t="s">
        <v>149</v>
      </c>
      <c r="Y206" s="538" t="s">
        <v>79</v>
      </c>
      <c r="Z206" s="538" t="s">
        <v>149</v>
      </c>
      <c r="AA206" s="538" t="s">
        <v>79</v>
      </c>
      <c r="AB206" s="538" t="s">
        <v>149</v>
      </c>
      <c r="AC206" s="538" t="s">
        <v>79</v>
      </c>
      <c r="AD206" s="538" t="s">
        <v>149</v>
      </c>
      <c r="AE206" s="538" t="s">
        <v>79</v>
      </c>
      <c r="AF206" s="538" t="s">
        <v>149</v>
      </c>
      <c r="AG206" s="538" t="s">
        <v>73</v>
      </c>
      <c r="AI206" s="538" t="s">
        <v>73</v>
      </c>
      <c r="AK206" s="538" t="s">
        <v>79</v>
      </c>
      <c r="AL206" s="538" t="s">
        <v>223</v>
      </c>
      <c r="AM206" s="538" t="s">
        <v>79</v>
      </c>
      <c r="AN206" s="538" t="s">
        <v>223</v>
      </c>
      <c r="AO206" s="538">
        <v>1.822239498E9</v>
      </c>
      <c r="AP206" s="538">
        <v>2.0</v>
      </c>
      <c r="AQ206" s="538">
        <v>3.246756421E9</v>
      </c>
      <c r="AR206" s="538">
        <v>63.0</v>
      </c>
      <c r="AS206" s="538" t="s">
        <v>47</v>
      </c>
      <c r="AW206" s="537"/>
    </row>
    <row r="207" ht="22.5" customHeight="1">
      <c r="A207" s="538">
        <v>206.0</v>
      </c>
      <c r="B207" s="538" t="s">
        <v>2863</v>
      </c>
      <c r="C207" s="538" t="s">
        <v>597</v>
      </c>
      <c r="D207" s="538" t="s">
        <v>218</v>
      </c>
      <c r="E207" s="538" t="s">
        <v>2856</v>
      </c>
      <c r="F207" s="538" t="s">
        <v>163</v>
      </c>
      <c r="G207" s="538" t="s">
        <v>250</v>
      </c>
      <c r="H207" s="538" t="s">
        <v>122</v>
      </c>
      <c r="I207" s="538" t="s">
        <v>2865</v>
      </c>
      <c r="J207" s="538" t="s">
        <v>2866</v>
      </c>
      <c r="K207" s="538" t="b">
        <v>0</v>
      </c>
      <c r="L207" s="538" t="b">
        <v>1</v>
      </c>
      <c r="M207" s="538" t="s">
        <v>79</v>
      </c>
      <c r="N207" s="538" t="s">
        <v>2856</v>
      </c>
      <c r="O207" s="538" t="s">
        <v>79</v>
      </c>
      <c r="P207" s="538" t="s">
        <v>2856</v>
      </c>
      <c r="Q207" s="538" t="s">
        <v>79</v>
      </c>
      <c r="R207" s="538" t="s">
        <v>149</v>
      </c>
      <c r="S207" s="538" t="s">
        <v>79</v>
      </c>
      <c r="T207" s="538" t="s">
        <v>149</v>
      </c>
      <c r="U207" s="538" t="s">
        <v>79</v>
      </c>
      <c r="V207" s="538" t="s">
        <v>149</v>
      </c>
      <c r="W207" s="538" t="s">
        <v>79</v>
      </c>
      <c r="X207" s="538" t="s">
        <v>149</v>
      </c>
      <c r="Y207" s="538" t="s">
        <v>79</v>
      </c>
      <c r="Z207" s="538" t="s">
        <v>149</v>
      </c>
      <c r="AA207" s="538" t="s">
        <v>79</v>
      </c>
      <c r="AB207" s="538" t="s">
        <v>149</v>
      </c>
      <c r="AC207" s="538" t="s">
        <v>79</v>
      </c>
      <c r="AD207" s="538" t="s">
        <v>149</v>
      </c>
      <c r="AE207" s="538" t="s">
        <v>79</v>
      </c>
      <c r="AF207" s="538" t="s">
        <v>2856</v>
      </c>
      <c r="AG207" s="538" t="s">
        <v>79</v>
      </c>
      <c r="AH207" s="538" t="s">
        <v>149</v>
      </c>
      <c r="AI207" s="538" t="s">
        <v>75</v>
      </c>
      <c r="AJ207" s="538" t="s">
        <v>2867</v>
      </c>
      <c r="AK207" s="538" t="s">
        <v>79</v>
      </c>
      <c r="AL207" s="538" t="s">
        <v>218</v>
      </c>
      <c r="AM207" s="538" t="s">
        <v>79</v>
      </c>
      <c r="AN207" s="538" t="s">
        <v>218</v>
      </c>
      <c r="AO207" s="538">
        <v>2.95946414E8</v>
      </c>
      <c r="AP207" s="538">
        <v>3.0</v>
      </c>
      <c r="AQ207" s="538">
        <v>3.246756421E9</v>
      </c>
      <c r="AR207" s="538">
        <v>63.0</v>
      </c>
      <c r="AS207" s="538" t="s">
        <v>47</v>
      </c>
      <c r="AV207" s="538" t="s">
        <v>2867</v>
      </c>
      <c r="AW207" s="537"/>
    </row>
    <row r="208" ht="22.5" customHeight="1">
      <c r="A208" s="538">
        <v>207.0</v>
      </c>
      <c r="B208" s="538" t="s">
        <v>2863</v>
      </c>
      <c r="C208" s="538" t="s">
        <v>597</v>
      </c>
      <c r="D208" s="538" t="s">
        <v>241</v>
      </c>
      <c r="E208" s="538" t="s">
        <v>2860</v>
      </c>
      <c r="F208" s="538" t="s">
        <v>163</v>
      </c>
      <c r="G208" s="538" t="s">
        <v>250</v>
      </c>
      <c r="H208" s="538" t="s">
        <v>155</v>
      </c>
      <c r="I208" s="538" t="s">
        <v>2868</v>
      </c>
      <c r="J208" s="538" t="s">
        <v>2869</v>
      </c>
      <c r="K208" s="538" t="b">
        <v>0</v>
      </c>
      <c r="L208" s="538" t="b">
        <v>0</v>
      </c>
      <c r="M208" s="538" t="s">
        <v>79</v>
      </c>
      <c r="N208" s="538" t="s">
        <v>2860</v>
      </c>
      <c r="O208" s="538" t="s">
        <v>79</v>
      </c>
      <c r="P208" s="538" t="s">
        <v>2860</v>
      </c>
      <c r="Q208" s="538" t="s">
        <v>79</v>
      </c>
      <c r="R208" s="538" t="s">
        <v>2518</v>
      </c>
      <c r="S208" s="538" t="s">
        <v>79</v>
      </c>
      <c r="T208" s="538" t="s">
        <v>2518</v>
      </c>
      <c r="U208" s="538" t="s">
        <v>79</v>
      </c>
      <c r="V208" s="538" t="s">
        <v>2518</v>
      </c>
      <c r="W208" s="538" t="s">
        <v>79</v>
      </c>
      <c r="X208" s="538" t="s">
        <v>2518</v>
      </c>
      <c r="Y208" s="538" t="s">
        <v>79</v>
      </c>
      <c r="Z208" s="538" t="s">
        <v>2518</v>
      </c>
      <c r="AA208" s="538" t="s">
        <v>79</v>
      </c>
      <c r="AB208" s="538" t="s">
        <v>2518</v>
      </c>
      <c r="AC208" s="538" t="s">
        <v>79</v>
      </c>
      <c r="AD208" s="538" t="s">
        <v>2518</v>
      </c>
      <c r="AE208" s="538" t="s">
        <v>79</v>
      </c>
      <c r="AF208" s="538" t="s">
        <v>2860</v>
      </c>
      <c r="AG208" s="538" t="s">
        <v>75</v>
      </c>
      <c r="AH208" s="538" t="s">
        <v>2696</v>
      </c>
      <c r="AI208" s="538" t="s">
        <v>75</v>
      </c>
      <c r="AJ208" s="538" t="s">
        <v>2696</v>
      </c>
      <c r="AK208" s="538" t="s">
        <v>79</v>
      </c>
      <c r="AL208" s="538" t="s">
        <v>241</v>
      </c>
      <c r="AM208" s="538" t="s">
        <v>79</v>
      </c>
      <c r="AN208" s="538" t="s">
        <v>241</v>
      </c>
      <c r="AO208" s="538">
        <v>1.092310629E9</v>
      </c>
      <c r="AP208" s="538">
        <v>4.0</v>
      </c>
      <c r="AQ208" s="538">
        <v>3.246756421E9</v>
      </c>
      <c r="AR208" s="538">
        <v>63.0</v>
      </c>
      <c r="AS208" s="538" t="s">
        <v>47</v>
      </c>
      <c r="AV208" s="538" t="s">
        <v>2696</v>
      </c>
      <c r="AW208" s="537"/>
    </row>
    <row r="209" ht="22.5" customHeight="1">
      <c r="A209" s="538">
        <v>208.0</v>
      </c>
      <c r="B209" s="538" t="s">
        <v>2870</v>
      </c>
      <c r="C209" s="538" t="s">
        <v>597</v>
      </c>
      <c r="D209" s="538" t="s">
        <v>218</v>
      </c>
      <c r="E209" s="538" t="s">
        <v>2871</v>
      </c>
      <c r="F209" s="538" t="s">
        <v>163</v>
      </c>
      <c r="G209" s="538" t="s">
        <v>250</v>
      </c>
      <c r="H209" s="538" t="s">
        <v>122</v>
      </c>
      <c r="J209" s="538" t="s">
        <v>2872</v>
      </c>
      <c r="K209" s="538" t="b">
        <v>0</v>
      </c>
      <c r="L209" s="538" t="b">
        <v>1</v>
      </c>
      <c r="M209" s="538" t="s">
        <v>79</v>
      </c>
      <c r="N209" s="538" t="s">
        <v>2871</v>
      </c>
      <c r="O209" s="538" t="s">
        <v>79</v>
      </c>
      <c r="P209" s="538" t="s">
        <v>2871</v>
      </c>
      <c r="Q209" s="538" t="s">
        <v>75</v>
      </c>
      <c r="R209" s="538" t="s">
        <v>2873</v>
      </c>
      <c r="S209" s="538" t="s">
        <v>75</v>
      </c>
      <c r="T209" s="538" t="s">
        <v>2873</v>
      </c>
      <c r="U209" s="538" t="s">
        <v>79</v>
      </c>
      <c r="V209" s="538" t="s">
        <v>2871</v>
      </c>
      <c r="W209" s="538" t="s">
        <v>75</v>
      </c>
      <c r="X209" s="538" t="s">
        <v>2873</v>
      </c>
      <c r="Y209" s="538" t="s">
        <v>75</v>
      </c>
      <c r="Z209" s="538" t="s">
        <v>2873</v>
      </c>
      <c r="AA209" s="538" t="s">
        <v>75</v>
      </c>
      <c r="AB209" s="538" t="s">
        <v>2873</v>
      </c>
      <c r="AC209" s="538" t="s">
        <v>79</v>
      </c>
      <c r="AD209" s="538" t="s">
        <v>2871</v>
      </c>
      <c r="AE209" s="538" t="s">
        <v>75</v>
      </c>
      <c r="AF209" s="538" t="s">
        <v>2873</v>
      </c>
      <c r="AG209" s="538" t="s">
        <v>79</v>
      </c>
      <c r="AH209" s="538" t="s">
        <v>2871</v>
      </c>
      <c r="AI209" s="538" t="s">
        <v>79</v>
      </c>
      <c r="AJ209" s="538" t="s">
        <v>2871</v>
      </c>
      <c r="AK209" s="538" t="s">
        <v>79</v>
      </c>
      <c r="AL209" s="538" t="s">
        <v>218</v>
      </c>
      <c r="AM209" s="538" t="s">
        <v>79</v>
      </c>
      <c r="AN209" s="538" t="s">
        <v>218</v>
      </c>
      <c r="AO209" s="538">
        <v>1.739854698E9</v>
      </c>
      <c r="AP209" s="538">
        <v>1.0</v>
      </c>
      <c r="AQ209" s="538">
        <v>2.933290933E9</v>
      </c>
      <c r="AR209" s="538">
        <v>64.0</v>
      </c>
      <c r="AS209" s="538" t="s">
        <v>47</v>
      </c>
      <c r="AV209" s="538" t="s">
        <v>2873</v>
      </c>
      <c r="AW209" s="537"/>
    </row>
    <row r="210" ht="22.5" customHeight="1">
      <c r="A210" s="538">
        <v>209.0</v>
      </c>
      <c r="B210" s="538" t="s">
        <v>2870</v>
      </c>
      <c r="C210" s="538" t="s">
        <v>597</v>
      </c>
      <c r="D210" s="538" t="s">
        <v>363</v>
      </c>
      <c r="E210" s="538" t="s">
        <v>2873</v>
      </c>
      <c r="F210" s="538" t="s">
        <v>151</v>
      </c>
      <c r="G210" s="538" t="s">
        <v>250</v>
      </c>
      <c r="H210" s="538" t="s">
        <v>122</v>
      </c>
      <c r="J210" s="538" t="s">
        <v>2874</v>
      </c>
      <c r="K210" s="538" t="b">
        <v>0</v>
      </c>
      <c r="L210" s="538" t="b">
        <v>1</v>
      </c>
      <c r="M210" s="538" t="s">
        <v>75</v>
      </c>
      <c r="N210" s="538" t="s">
        <v>2873</v>
      </c>
      <c r="O210" s="538" t="s">
        <v>75</v>
      </c>
      <c r="P210" s="538" t="s">
        <v>2873</v>
      </c>
      <c r="Q210" s="538" t="s">
        <v>75</v>
      </c>
      <c r="R210" s="538" t="s">
        <v>2873</v>
      </c>
      <c r="S210" s="538" t="s">
        <v>75</v>
      </c>
      <c r="T210" s="538" t="s">
        <v>2873</v>
      </c>
      <c r="U210" s="538" t="s">
        <v>75</v>
      </c>
      <c r="V210" s="538" t="s">
        <v>2873</v>
      </c>
      <c r="W210" s="538" t="s">
        <v>75</v>
      </c>
      <c r="X210" s="538" t="s">
        <v>2873</v>
      </c>
      <c r="Y210" s="538" t="s">
        <v>75</v>
      </c>
      <c r="Z210" s="538" t="s">
        <v>2873</v>
      </c>
      <c r="AA210" s="538" t="s">
        <v>75</v>
      </c>
      <c r="AB210" s="538" t="s">
        <v>2873</v>
      </c>
      <c r="AC210" s="538" t="s">
        <v>75</v>
      </c>
      <c r="AD210" s="538" t="s">
        <v>2873</v>
      </c>
      <c r="AE210" s="538" t="s">
        <v>75</v>
      </c>
      <c r="AF210" s="538" t="s">
        <v>2873</v>
      </c>
      <c r="AG210" s="538" t="s">
        <v>75</v>
      </c>
      <c r="AH210" s="538" t="s">
        <v>2873</v>
      </c>
      <c r="AI210" s="538" t="s">
        <v>75</v>
      </c>
      <c r="AJ210" s="538" t="s">
        <v>2873</v>
      </c>
      <c r="AK210" s="538" t="s">
        <v>79</v>
      </c>
      <c r="AL210" s="538" t="s">
        <v>363</v>
      </c>
      <c r="AM210" s="538" t="s">
        <v>79</v>
      </c>
      <c r="AN210" s="538" t="s">
        <v>363</v>
      </c>
      <c r="AO210" s="538">
        <v>1.690288489E9</v>
      </c>
      <c r="AP210" s="538">
        <v>2.0</v>
      </c>
      <c r="AQ210" s="538">
        <v>2.933290933E9</v>
      </c>
      <c r="AR210" s="538">
        <v>64.0</v>
      </c>
      <c r="AS210" s="538" t="s">
        <v>47</v>
      </c>
      <c r="AV210" s="538" t="s">
        <v>2873</v>
      </c>
      <c r="AW210" s="537"/>
    </row>
    <row r="211" ht="22.5" customHeight="1">
      <c r="A211" s="538">
        <v>210.0</v>
      </c>
      <c r="B211" s="538" t="s">
        <v>2870</v>
      </c>
      <c r="C211" s="538" t="s">
        <v>597</v>
      </c>
      <c r="D211" s="538" t="s">
        <v>241</v>
      </c>
      <c r="E211" s="538" t="s">
        <v>2875</v>
      </c>
      <c r="F211" s="538" t="s">
        <v>163</v>
      </c>
      <c r="G211" s="538" t="s">
        <v>250</v>
      </c>
      <c r="H211" s="538" t="s">
        <v>155</v>
      </c>
      <c r="J211" s="538" t="s">
        <v>2876</v>
      </c>
      <c r="K211" s="538" t="b">
        <v>0</v>
      </c>
      <c r="L211" s="538" t="b">
        <v>0</v>
      </c>
      <c r="M211" s="538" t="s">
        <v>79</v>
      </c>
      <c r="N211" s="538" t="s">
        <v>2877</v>
      </c>
      <c r="O211" s="538" t="s">
        <v>79</v>
      </c>
      <c r="P211" s="538" t="s">
        <v>2877</v>
      </c>
      <c r="Q211" s="538" t="s">
        <v>75</v>
      </c>
      <c r="R211" s="538" t="s">
        <v>2878</v>
      </c>
      <c r="S211" s="538" t="s">
        <v>75</v>
      </c>
      <c r="T211" s="538" t="s">
        <v>2878</v>
      </c>
      <c r="U211" s="538" t="s">
        <v>79</v>
      </c>
      <c r="V211" s="538" t="s">
        <v>2877</v>
      </c>
      <c r="W211" s="538" t="s">
        <v>75</v>
      </c>
      <c r="X211" s="538" t="s">
        <v>2878</v>
      </c>
      <c r="Y211" s="538" t="s">
        <v>79</v>
      </c>
      <c r="Z211" s="538" t="s">
        <v>377</v>
      </c>
      <c r="AA211" s="538" t="s">
        <v>79</v>
      </c>
      <c r="AB211" s="538" t="s">
        <v>377</v>
      </c>
      <c r="AC211" s="538" t="s">
        <v>79</v>
      </c>
      <c r="AD211" s="538" t="s">
        <v>2877</v>
      </c>
      <c r="AE211" s="538" t="s">
        <v>79</v>
      </c>
      <c r="AF211" s="538" t="s">
        <v>377</v>
      </c>
      <c r="AG211" s="538" t="s">
        <v>79</v>
      </c>
      <c r="AH211" s="538" t="s">
        <v>2877</v>
      </c>
      <c r="AI211" s="538" t="s">
        <v>79</v>
      </c>
      <c r="AJ211" s="538" t="s">
        <v>2877</v>
      </c>
      <c r="AK211" s="538" t="s">
        <v>79</v>
      </c>
      <c r="AL211" s="538" t="s">
        <v>241</v>
      </c>
      <c r="AM211" s="538" t="s">
        <v>79</v>
      </c>
      <c r="AN211" s="538" t="s">
        <v>241</v>
      </c>
      <c r="AO211" s="538">
        <v>4.248148778E9</v>
      </c>
      <c r="AP211" s="538">
        <v>3.0</v>
      </c>
      <c r="AQ211" s="538">
        <v>2.933290933E9</v>
      </c>
      <c r="AR211" s="538">
        <v>64.0</v>
      </c>
      <c r="AS211" s="538" t="s">
        <v>47</v>
      </c>
      <c r="AV211" s="538" t="s">
        <v>2878</v>
      </c>
      <c r="AW211" s="537"/>
    </row>
    <row r="212" ht="22.5" customHeight="1">
      <c r="A212" s="538">
        <v>211.0</v>
      </c>
      <c r="B212" s="538" t="s">
        <v>2870</v>
      </c>
      <c r="C212" s="538" t="s">
        <v>597</v>
      </c>
      <c r="D212" s="538" t="s">
        <v>322</v>
      </c>
      <c r="E212" s="538" t="s">
        <v>2871</v>
      </c>
      <c r="F212" s="538" t="s">
        <v>163</v>
      </c>
      <c r="G212" s="538" t="s">
        <v>250</v>
      </c>
      <c r="H212" s="538" t="s">
        <v>155</v>
      </c>
      <c r="J212" s="538" t="s">
        <v>2879</v>
      </c>
      <c r="K212" s="538" t="b">
        <v>0</v>
      </c>
      <c r="L212" s="538" t="b">
        <v>1</v>
      </c>
      <c r="M212" s="538" t="s">
        <v>79</v>
      </c>
      <c r="N212" s="538" t="s">
        <v>2871</v>
      </c>
      <c r="O212" s="538" t="s">
        <v>79</v>
      </c>
      <c r="P212" s="538" t="s">
        <v>2871</v>
      </c>
      <c r="Q212" s="538" t="s">
        <v>75</v>
      </c>
      <c r="R212" s="538" t="s">
        <v>2873</v>
      </c>
      <c r="S212" s="538" t="s">
        <v>75</v>
      </c>
      <c r="T212" s="538" t="s">
        <v>2873</v>
      </c>
      <c r="U212" s="538" t="s">
        <v>79</v>
      </c>
      <c r="V212" s="538" t="s">
        <v>2871</v>
      </c>
      <c r="W212" s="538" t="s">
        <v>75</v>
      </c>
      <c r="X212" s="538" t="s">
        <v>2873</v>
      </c>
      <c r="Y212" s="538" t="s">
        <v>75</v>
      </c>
      <c r="Z212" s="538" t="s">
        <v>2873</v>
      </c>
      <c r="AA212" s="538" t="s">
        <v>75</v>
      </c>
      <c r="AB212" s="538" t="s">
        <v>2873</v>
      </c>
      <c r="AC212" s="538" t="s">
        <v>79</v>
      </c>
      <c r="AD212" s="538" t="s">
        <v>2871</v>
      </c>
      <c r="AE212" s="538" t="s">
        <v>75</v>
      </c>
      <c r="AF212" s="538" t="s">
        <v>2873</v>
      </c>
      <c r="AG212" s="538" t="s">
        <v>79</v>
      </c>
      <c r="AH212" s="538" t="s">
        <v>2871</v>
      </c>
      <c r="AI212" s="538" t="s">
        <v>79</v>
      </c>
      <c r="AJ212" s="538" t="s">
        <v>2871</v>
      </c>
      <c r="AK212" s="538" t="s">
        <v>79</v>
      </c>
      <c r="AL212" s="538" t="s">
        <v>322</v>
      </c>
      <c r="AM212" s="538" t="s">
        <v>79</v>
      </c>
      <c r="AN212" s="538" t="s">
        <v>322</v>
      </c>
      <c r="AO212" s="538">
        <v>1.985445147E9</v>
      </c>
      <c r="AP212" s="538">
        <v>4.0</v>
      </c>
      <c r="AQ212" s="538">
        <v>2.933290933E9</v>
      </c>
      <c r="AR212" s="538">
        <v>64.0</v>
      </c>
      <c r="AS212" s="538" t="s">
        <v>47</v>
      </c>
      <c r="AV212" s="538" t="s">
        <v>2873</v>
      </c>
      <c r="AW212" s="537"/>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13.38"/>
    <col customWidth="1" min="5" max="5" width="23.13"/>
    <col customWidth="1" min="6" max="6" width="25.75"/>
    <col customWidth="1" min="8" max="8" width="12.63"/>
    <col customWidth="1" min="22" max="22" width="2.75"/>
  </cols>
  <sheetData>
    <row r="1" ht="54.75" customHeight="1">
      <c r="A1" s="28"/>
      <c r="B1" s="2"/>
      <c r="C1" s="2"/>
      <c r="D1" s="2"/>
      <c r="E1" s="2"/>
      <c r="F1" s="2"/>
      <c r="G1" s="28"/>
      <c r="H1" s="28"/>
      <c r="I1" s="28"/>
      <c r="J1" s="28"/>
      <c r="K1" s="28"/>
      <c r="L1" s="28"/>
      <c r="M1" s="28"/>
      <c r="N1" s="28"/>
      <c r="O1" s="28"/>
      <c r="P1" s="28"/>
      <c r="Q1" s="28"/>
      <c r="R1" s="28"/>
      <c r="S1" s="28"/>
      <c r="T1" s="28"/>
      <c r="U1" s="28"/>
      <c r="V1" s="28"/>
    </row>
    <row r="2" ht="15.75" customHeight="1">
      <c r="A2" s="28"/>
      <c r="B2" s="3"/>
      <c r="C2" s="3"/>
      <c r="D2" s="3"/>
      <c r="E2" s="3"/>
      <c r="F2" s="3"/>
      <c r="G2" s="316"/>
      <c r="H2" s="102"/>
      <c r="I2" s="102"/>
      <c r="J2" s="102"/>
      <c r="K2" s="102"/>
      <c r="L2" s="102"/>
      <c r="M2" s="102"/>
      <c r="N2" s="102"/>
      <c r="O2" s="102"/>
      <c r="P2" s="102"/>
      <c r="Q2" s="102"/>
      <c r="R2" s="102"/>
      <c r="S2" s="102"/>
      <c r="T2" s="102"/>
      <c r="U2" s="102"/>
      <c r="V2" s="28"/>
    </row>
    <row r="3" ht="15.75" customHeight="1">
      <c r="A3" s="28"/>
      <c r="B3" s="223"/>
      <c r="C3" s="224"/>
      <c r="D3" s="224"/>
      <c r="E3" s="224"/>
      <c r="F3" s="224"/>
      <c r="G3" s="12"/>
      <c r="H3" s="28"/>
      <c r="I3" s="28"/>
      <c r="J3" s="28"/>
      <c r="K3" s="28"/>
      <c r="L3" s="28"/>
      <c r="M3" s="28"/>
      <c r="N3" s="28"/>
      <c r="O3" s="28"/>
      <c r="P3" s="28"/>
      <c r="Q3" s="28"/>
      <c r="R3" s="28"/>
      <c r="S3" s="28"/>
      <c r="T3" s="28"/>
      <c r="U3" s="28"/>
      <c r="V3" s="28"/>
    </row>
    <row r="4">
      <c r="A4" s="28"/>
      <c r="B4" s="549"/>
      <c r="C4" s="224"/>
      <c r="D4" s="550" t="s">
        <v>2880</v>
      </c>
      <c r="E4" s="224"/>
      <c r="F4" s="224"/>
      <c r="G4" s="551"/>
      <c r="H4" s="28"/>
      <c r="I4" s="28"/>
      <c r="J4" s="28"/>
      <c r="K4" s="28"/>
      <c r="L4" s="28"/>
      <c r="M4" s="28"/>
      <c r="N4" s="28"/>
      <c r="O4" s="28"/>
      <c r="P4" s="28"/>
      <c r="Q4" s="28"/>
      <c r="R4" s="28"/>
      <c r="S4" s="28"/>
      <c r="T4" s="28"/>
      <c r="U4" s="28"/>
      <c r="V4" s="28"/>
    </row>
    <row r="5">
      <c r="A5" s="28"/>
      <c r="B5" s="263"/>
      <c r="C5" s="224"/>
      <c r="D5" s="552" t="s">
        <v>2881</v>
      </c>
      <c r="E5" s="224"/>
      <c r="F5" s="224"/>
      <c r="G5" s="551"/>
      <c r="H5" s="28"/>
      <c r="I5" s="28"/>
      <c r="J5" s="28"/>
      <c r="K5" s="28"/>
      <c r="L5" s="28"/>
      <c r="M5" s="28"/>
      <c r="N5" s="28"/>
      <c r="O5" s="28"/>
      <c r="P5" s="28"/>
      <c r="Q5" s="28"/>
      <c r="R5" s="28"/>
      <c r="S5" s="28"/>
      <c r="T5" s="28"/>
      <c r="U5" s="28"/>
      <c r="V5" s="28"/>
    </row>
    <row r="6">
      <c r="A6" s="28"/>
      <c r="B6" s="263"/>
      <c r="C6" s="224"/>
      <c r="D6" s="553" t="s">
        <v>2882</v>
      </c>
      <c r="E6" s="224"/>
      <c r="F6" s="224"/>
      <c r="G6" s="551"/>
      <c r="H6" s="28"/>
      <c r="I6" s="28"/>
      <c r="J6" s="28"/>
      <c r="K6" s="28"/>
      <c r="L6" s="28"/>
      <c r="M6" s="28"/>
      <c r="N6" s="28"/>
      <c r="O6" s="28"/>
      <c r="P6" s="28"/>
      <c r="Q6" s="28"/>
      <c r="R6" s="28"/>
      <c r="S6" s="28"/>
      <c r="T6" s="28"/>
      <c r="U6" s="28"/>
      <c r="V6" s="28"/>
    </row>
    <row r="7">
      <c r="A7" s="28"/>
      <c r="B7" s="263"/>
      <c r="C7" s="224"/>
      <c r="D7" s="224"/>
      <c r="E7" s="224"/>
      <c r="F7" s="224"/>
      <c r="G7" s="551"/>
      <c r="H7" s="28"/>
      <c r="I7" s="28"/>
      <c r="J7" s="28"/>
      <c r="K7" s="28"/>
      <c r="L7" s="28"/>
      <c r="M7" s="28"/>
      <c r="N7" s="28"/>
      <c r="O7" s="28"/>
      <c r="P7" s="28"/>
      <c r="Q7" s="28"/>
      <c r="R7" s="28"/>
      <c r="S7" s="28"/>
      <c r="T7" s="28"/>
      <c r="U7" s="28"/>
      <c r="V7" s="28"/>
    </row>
    <row r="8">
      <c r="A8" s="28"/>
      <c r="B8" s="263"/>
      <c r="C8" s="50"/>
      <c r="D8" s="554" t="s">
        <v>2883</v>
      </c>
      <c r="E8" s="555" t="s">
        <v>2884</v>
      </c>
      <c r="F8" s="556" t="s">
        <v>2885</v>
      </c>
      <c r="G8" s="557"/>
      <c r="H8" s="558" t="s">
        <v>2886</v>
      </c>
      <c r="I8" s="28"/>
      <c r="J8" s="28"/>
      <c r="K8" s="28"/>
      <c r="L8" s="28"/>
      <c r="M8" s="28"/>
      <c r="N8" s="28"/>
      <c r="O8" s="28"/>
      <c r="P8" s="28"/>
      <c r="Q8" s="28"/>
      <c r="R8" s="28"/>
      <c r="S8" s="28"/>
      <c r="T8" s="28"/>
      <c r="U8" s="28"/>
      <c r="V8" s="28"/>
    </row>
    <row r="9">
      <c r="A9" s="28"/>
      <c r="B9" s="263"/>
      <c r="C9" s="28"/>
      <c r="D9" s="554" t="s">
        <v>2887</v>
      </c>
      <c r="E9" s="555" t="s">
        <v>2888</v>
      </c>
      <c r="F9" s="42"/>
      <c r="G9" s="559"/>
      <c r="H9" s="559"/>
      <c r="I9" s="28"/>
      <c r="J9" s="28"/>
      <c r="K9" s="28"/>
      <c r="L9" s="28"/>
      <c r="M9" s="28"/>
      <c r="N9" s="28"/>
      <c r="O9" s="28"/>
      <c r="P9" s="28"/>
      <c r="Q9" s="28"/>
      <c r="R9" s="28"/>
      <c r="S9" s="28"/>
      <c r="T9" s="28"/>
      <c r="U9" s="28"/>
      <c r="V9" s="28"/>
    </row>
    <row r="10">
      <c r="A10" s="28"/>
      <c r="B10" s="263"/>
      <c r="C10" s="28"/>
      <c r="D10" s="554" t="s">
        <v>2889</v>
      </c>
      <c r="E10" s="555" t="s">
        <v>2890</v>
      </c>
      <c r="F10" s="560" t="s">
        <v>2891</v>
      </c>
      <c r="G10" s="559"/>
      <c r="H10" s="559"/>
      <c r="I10" s="28"/>
      <c r="J10" s="28"/>
      <c r="K10" s="28"/>
      <c r="L10" s="28"/>
      <c r="M10" s="28"/>
      <c r="N10" s="28"/>
      <c r="O10" s="28"/>
      <c r="P10" s="28"/>
      <c r="Q10" s="28"/>
      <c r="R10" s="28"/>
      <c r="S10" s="28"/>
      <c r="T10" s="28"/>
      <c r="U10" s="28"/>
      <c r="V10" s="28"/>
    </row>
    <row r="11">
      <c r="A11" s="28"/>
      <c r="B11" s="263"/>
      <c r="C11" s="28"/>
      <c r="D11" s="561"/>
      <c r="E11" s="555"/>
      <c r="F11" s="42"/>
      <c r="G11" s="559"/>
      <c r="H11" s="559"/>
      <c r="I11" s="28"/>
      <c r="J11" s="28"/>
      <c r="K11" s="28"/>
      <c r="L11" s="28"/>
      <c r="M11" s="28"/>
      <c r="N11" s="28"/>
      <c r="O11" s="28"/>
      <c r="P11" s="28"/>
      <c r="Q11" s="28"/>
      <c r="R11" s="28"/>
      <c r="S11" s="28"/>
      <c r="T11" s="28"/>
      <c r="U11" s="28"/>
      <c r="V11" s="28"/>
    </row>
    <row r="12">
      <c r="A12" s="28"/>
      <c r="B12" s="380"/>
      <c r="C12" s="28"/>
      <c r="D12" s="554" t="s">
        <v>2892</v>
      </c>
      <c r="E12" s="555" t="s">
        <v>2888</v>
      </c>
      <c r="F12" s="562" t="s">
        <v>2893</v>
      </c>
      <c r="G12" s="559"/>
      <c r="H12" s="559"/>
      <c r="I12" s="28"/>
      <c r="J12" s="28"/>
      <c r="K12" s="28"/>
      <c r="L12" s="28"/>
      <c r="M12" s="28"/>
      <c r="N12" s="28"/>
      <c r="O12" s="28"/>
      <c r="P12" s="28"/>
      <c r="Q12" s="28"/>
      <c r="R12" s="28"/>
      <c r="S12" s="28"/>
      <c r="T12" s="28"/>
      <c r="U12" s="28"/>
      <c r="V12" s="28"/>
    </row>
    <row r="13">
      <c r="A13" s="28"/>
      <c r="B13" s="265"/>
      <c r="C13" s="28"/>
      <c r="D13" s="554" t="s">
        <v>2894</v>
      </c>
      <c r="E13" s="555" t="s">
        <v>2895</v>
      </c>
      <c r="F13" s="42"/>
      <c r="G13" s="559"/>
      <c r="H13" s="559"/>
      <c r="I13" s="28"/>
      <c r="J13" s="28"/>
      <c r="K13" s="28"/>
      <c r="L13" s="28"/>
      <c r="M13" s="28"/>
      <c r="N13" s="28"/>
      <c r="O13" s="28"/>
      <c r="P13" s="28"/>
      <c r="Q13" s="28"/>
      <c r="R13" s="28"/>
      <c r="S13" s="28"/>
      <c r="T13" s="28"/>
      <c r="U13" s="28"/>
      <c r="V13" s="28"/>
    </row>
    <row r="14">
      <c r="A14" s="28"/>
      <c r="B14" s="265"/>
      <c r="C14" s="28"/>
      <c r="D14" s="561"/>
      <c r="E14" s="555"/>
      <c r="F14" s="563" t="s">
        <v>2896</v>
      </c>
      <c r="G14" s="559"/>
      <c r="H14" s="559"/>
      <c r="I14" s="28"/>
      <c r="J14" s="28"/>
      <c r="K14" s="28"/>
      <c r="L14" s="28"/>
      <c r="M14" s="28"/>
      <c r="N14" s="28"/>
      <c r="O14" s="28"/>
      <c r="P14" s="28"/>
      <c r="Q14" s="28"/>
      <c r="R14" s="28"/>
      <c r="S14" s="28"/>
      <c r="T14" s="28"/>
      <c r="U14" s="28"/>
      <c r="V14" s="28"/>
    </row>
    <row r="15">
      <c r="A15" s="28"/>
      <c r="B15" s="265"/>
      <c r="C15" s="28"/>
      <c r="D15" s="554" t="s">
        <v>2897</v>
      </c>
      <c r="E15" s="555" t="s">
        <v>2898</v>
      </c>
      <c r="F15" s="42"/>
      <c r="G15" s="559"/>
      <c r="H15" s="559"/>
      <c r="I15" s="28"/>
      <c r="J15" s="28"/>
      <c r="K15" s="28"/>
      <c r="L15" s="28"/>
      <c r="M15" s="28"/>
      <c r="N15" s="28"/>
      <c r="O15" s="28"/>
      <c r="P15" s="28"/>
      <c r="Q15" s="28"/>
      <c r="R15" s="28"/>
      <c r="S15" s="28"/>
      <c r="T15" s="28"/>
      <c r="U15" s="28"/>
      <c r="V15" s="28"/>
    </row>
    <row r="16">
      <c r="A16" s="28"/>
      <c r="B16" s="265"/>
      <c r="C16" s="28"/>
      <c r="D16" s="554" t="s">
        <v>2899</v>
      </c>
      <c r="E16" s="555" t="s">
        <v>2900</v>
      </c>
      <c r="F16" s="564" t="s">
        <v>2901</v>
      </c>
      <c r="G16" s="559"/>
      <c r="H16" s="559"/>
      <c r="I16" s="28"/>
      <c r="J16" s="28"/>
      <c r="K16" s="28"/>
      <c r="L16" s="28"/>
      <c r="M16" s="28"/>
      <c r="N16" s="28"/>
      <c r="O16" s="28"/>
      <c r="P16" s="28"/>
      <c r="Q16" s="28"/>
      <c r="R16" s="28"/>
      <c r="S16" s="28"/>
      <c r="T16" s="28"/>
      <c r="U16" s="28"/>
      <c r="V16" s="28"/>
    </row>
    <row r="17">
      <c r="A17" s="28"/>
      <c r="B17" s="265"/>
      <c r="C17" s="28"/>
      <c r="D17" s="565"/>
      <c r="E17" s="566"/>
      <c r="F17" s="42"/>
      <c r="G17" s="559"/>
      <c r="H17" s="559"/>
      <c r="I17" s="28"/>
      <c r="J17" s="28"/>
      <c r="K17" s="28"/>
      <c r="L17" s="28"/>
      <c r="M17" s="28"/>
      <c r="N17" s="28"/>
      <c r="O17" s="28"/>
      <c r="P17" s="28"/>
      <c r="Q17" s="28"/>
      <c r="R17" s="28"/>
      <c r="S17" s="28"/>
      <c r="T17" s="28"/>
      <c r="U17" s="28"/>
      <c r="V17" s="28"/>
    </row>
    <row r="18" ht="49.5" customHeight="1">
      <c r="A18" s="68"/>
      <c r="B18" s="265"/>
      <c r="C18" s="68"/>
      <c r="D18" s="550" t="s">
        <v>2902</v>
      </c>
      <c r="E18" s="68"/>
      <c r="F18" s="567" t="s">
        <v>2903</v>
      </c>
      <c r="G18" s="68"/>
      <c r="H18" s="68"/>
      <c r="I18" s="68"/>
      <c r="J18" s="68"/>
      <c r="K18" s="68"/>
      <c r="L18" s="68"/>
      <c r="M18" s="68"/>
      <c r="N18" s="68"/>
      <c r="O18" s="68"/>
      <c r="P18" s="68"/>
      <c r="Q18" s="68"/>
      <c r="R18" s="68"/>
      <c r="S18" s="68"/>
      <c r="T18" s="68"/>
      <c r="U18" s="68"/>
      <c r="V18" s="68"/>
    </row>
    <row r="19" ht="49.5" customHeight="1">
      <c r="A19" s="68"/>
      <c r="B19" s="568"/>
      <c r="C19" s="68"/>
      <c r="D19" s="68"/>
      <c r="E19" s="68"/>
      <c r="F19" s="68"/>
      <c r="G19" s="68"/>
      <c r="H19" s="68"/>
      <c r="I19" s="68"/>
      <c r="J19" s="68"/>
      <c r="K19" s="68"/>
      <c r="L19" s="68"/>
      <c r="M19" s="68"/>
      <c r="N19" s="68"/>
      <c r="O19" s="68"/>
      <c r="P19" s="68"/>
      <c r="Q19" s="68"/>
      <c r="R19" s="68"/>
      <c r="S19" s="68"/>
      <c r="T19" s="68"/>
      <c r="U19" s="68"/>
      <c r="V19" s="68"/>
    </row>
    <row r="20" ht="49.5" customHeight="1">
      <c r="A20" s="68"/>
      <c r="B20" s="569"/>
      <c r="C20" s="68"/>
      <c r="D20" s="68"/>
      <c r="E20" s="68"/>
      <c r="F20" s="68"/>
      <c r="G20" s="68"/>
      <c r="H20" s="68"/>
      <c r="I20" s="68"/>
      <c r="J20" s="68"/>
      <c r="K20" s="68"/>
      <c r="L20" s="68"/>
      <c r="M20" s="68"/>
      <c r="N20" s="68"/>
      <c r="O20" s="68"/>
      <c r="P20" s="68"/>
      <c r="Q20" s="68"/>
      <c r="R20" s="68"/>
      <c r="S20" s="68"/>
      <c r="T20" s="68"/>
      <c r="U20" s="68"/>
      <c r="V20" s="68"/>
    </row>
    <row r="21" ht="49.5" customHeight="1">
      <c r="A21" s="68"/>
      <c r="B21" s="569"/>
      <c r="C21" s="68"/>
      <c r="D21" s="68"/>
      <c r="E21" s="68"/>
      <c r="F21" s="68"/>
      <c r="G21" s="68"/>
      <c r="H21" s="68"/>
      <c r="I21" s="68"/>
      <c r="J21" s="68"/>
      <c r="K21" s="68"/>
      <c r="L21" s="68"/>
      <c r="M21" s="68"/>
      <c r="N21" s="68"/>
      <c r="O21" s="68"/>
      <c r="P21" s="68"/>
      <c r="Q21" s="68"/>
      <c r="R21" s="68"/>
      <c r="S21" s="68"/>
      <c r="T21" s="68"/>
      <c r="U21" s="68"/>
      <c r="V21" s="68"/>
    </row>
    <row r="22" ht="49.5" customHeight="1">
      <c r="A22" s="68"/>
      <c r="B22" s="569"/>
      <c r="C22" s="68"/>
      <c r="D22" s="68"/>
      <c r="E22" s="68"/>
      <c r="F22" s="68"/>
      <c r="G22" s="68"/>
      <c r="H22" s="68"/>
      <c r="I22" s="68"/>
      <c r="J22" s="68"/>
      <c r="K22" s="68"/>
      <c r="L22" s="68"/>
      <c r="M22" s="68"/>
      <c r="N22" s="68"/>
      <c r="O22" s="68"/>
      <c r="P22" s="68"/>
      <c r="Q22" s="68"/>
      <c r="R22" s="68"/>
      <c r="S22" s="68"/>
      <c r="T22" s="68"/>
      <c r="U22" s="68"/>
      <c r="V22" s="68"/>
    </row>
    <row r="23" ht="49.5" customHeight="1">
      <c r="A23" s="68"/>
      <c r="B23" s="68"/>
      <c r="C23" s="68"/>
      <c r="D23" s="68"/>
      <c r="E23" s="68"/>
      <c r="F23" s="68"/>
      <c r="G23" s="68"/>
      <c r="H23" s="68"/>
      <c r="I23" s="68"/>
      <c r="J23" s="68"/>
      <c r="K23" s="68"/>
      <c r="L23" s="68"/>
      <c r="M23" s="68"/>
      <c r="N23" s="68"/>
      <c r="O23" s="68"/>
      <c r="P23" s="68"/>
      <c r="Q23" s="68"/>
      <c r="R23" s="68"/>
      <c r="S23" s="68"/>
      <c r="T23" s="68"/>
      <c r="U23" s="68"/>
      <c r="V23" s="68"/>
    </row>
    <row r="24" ht="49.5" customHeight="1">
      <c r="A24" s="68"/>
      <c r="B24" s="68"/>
      <c r="C24" s="68"/>
      <c r="D24" s="68"/>
      <c r="E24" s="68"/>
      <c r="F24" s="68"/>
      <c r="G24" s="68"/>
      <c r="H24" s="68"/>
      <c r="I24" s="68"/>
      <c r="J24" s="68"/>
      <c r="K24" s="68"/>
      <c r="L24" s="68"/>
      <c r="M24" s="68"/>
      <c r="N24" s="68"/>
      <c r="O24" s="68"/>
      <c r="P24" s="68"/>
      <c r="Q24" s="68"/>
      <c r="R24" s="68"/>
      <c r="S24" s="68"/>
      <c r="T24" s="68"/>
      <c r="U24" s="68"/>
      <c r="V24" s="68"/>
    </row>
    <row r="25" ht="49.5" customHeight="1">
      <c r="A25" s="68"/>
      <c r="B25" s="68"/>
      <c r="C25" s="68"/>
      <c r="D25" s="68"/>
      <c r="E25" s="68"/>
      <c r="F25" s="68"/>
      <c r="G25" s="68"/>
      <c r="H25" s="68"/>
      <c r="I25" s="68"/>
      <c r="J25" s="68"/>
      <c r="K25" s="68"/>
      <c r="L25" s="68"/>
      <c r="M25" s="68"/>
      <c r="N25" s="68"/>
      <c r="O25" s="68"/>
      <c r="P25" s="68"/>
      <c r="Q25" s="68"/>
      <c r="R25" s="68"/>
      <c r="S25" s="68"/>
      <c r="T25" s="68"/>
      <c r="U25" s="68"/>
      <c r="V25" s="68"/>
    </row>
    <row r="26" ht="49.5" customHeight="1">
      <c r="A26" s="68"/>
      <c r="B26" s="68"/>
      <c r="C26" s="68"/>
      <c r="D26" s="68"/>
      <c r="E26" s="68"/>
      <c r="F26" s="68"/>
      <c r="G26" s="68"/>
      <c r="H26" s="68"/>
      <c r="I26" s="68"/>
      <c r="J26" s="68"/>
      <c r="K26" s="68"/>
      <c r="L26" s="68"/>
      <c r="M26" s="68"/>
      <c r="N26" s="68"/>
      <c r="O26" s="68"/>
      <c r="P26" s="68"/>
      <c r="Q26" s="68"/>
      <c r="R26" s="68"/>
      <c r="S26" s="68"/>
      <c r="T26" s="68"/>
      <c r="U26" s="68"/>
      <c r="V26" s="68"/>
    </row>
    <row r="27" ht="49.5" customHeight="1">
      <c r="A27" s="68"/>
      <c r="B27" s="68"/>
      <c r="C27" s="68"/>
      <c r="D27" s="68"/>
      <c r="E27" s="68"/>
      <c r="F27" s="68"/>
      <c r="G27" s="68"/>
      <c r="H27" s="68"/>
      <c r="I27" s="68"/>
      <c r="J27" s="68"/>
      <c r="K27" s="68"/>
      <c r="L27" s="68"/>
      <c r="M27" s="68"/>
      <c r="N27" s="68"/>
      <c r="O27" s="68"/>
      <c r="P27" s="68"/>
      <c r="Q27" s="68"/>
      <c r="R27" s="68"/>
      <c r="S27" s="68"/>
      <c r="T27" s="68"/>
      <c r="U27" s="68"/>
      <c r="V27" s="68"/>
    </row>
    <row r="28" ht="49.5" customHeight="1">
      <c r="A28" s="68"/>
      <c r="B28" s="68"/>
      <c r="C28" s="68"/>
      <c r="D28" s="68"/>
      <c r="E28" s="68"/>
      <c r="F28" s="68"/>
      <c r="G28" s="68"/>
      <c r="H28" s="68"/>
      <c r="I28" s="68"/>
      <c r="J28" s="68"/>
      <c r="K28" s="68"/>
      <c r="L28" s="68"/>
      <c r="M28" s="68"/>
      <c r="N28" s="68"/>
      <c r="O28" s="68"/>
      <c r="P28" s="68"/>
      <c r="Q28" s="68"/>
      <c r="R28" s="68"/>
      <c r="S28" s="68"/>
      <c r="T28" s="68"/>
      <c r="U28" s="68"/>
      <c r="V28" s="68"/>
    </row>
    <row r="29" ht="49.5" customHeight="1">
      <c r="A29" s="68"/>
      <c r="B29" s="68"/>
      <c r="C29" s="68"/>
      <c r="D29" s="68"/>
      <c r="E29" s="68"/>
      <c r="F29" s="68"/>
      <c r="G29" s="68"/>
      <c r="H29" s="68"/>
      <c r="I29" s="68"/>
      <c r="J29" s="68"/>
      <c r="K29" s="68"/>
      <c r="L29" s="68"/>
      <c r="M29" s="68"/>
      <c r="N29" s="68"/>
      <c r="O29" s="68"/>
      <c r="P29" s="68"/>
      <c r="Q29" s="68"/>
      <c r="R29" s="68"/>
      <c r="S29" s="68"/>
      <c r="T29" s="68"/>
      <c r="U29" s="68"/>
      <c r="V29" s="68"/>
    </row>
    <row r="30" ht="49.5" customHeight="1">
      <c r="A30" s="68"/>
      <c r="B30" s="68"/>
      <c r="C30" s="68"/>
      <c r="D30" s="68"/>
      <c r="E30" s="68"/>
      <c r="F30" s="68"/>
      <c r="G30" s="68"/>
      <c r="H30" s="68"/>
      <c r="I30" s="68"/>
      <c r="J30" s="68"/>
      <c r="K30" s="68"/>
      <c r="L30" s="68"/>
      <c r="M30" s="68"/>
      <c r="N30" s="68"/>
      <c r="O30" s="68"/>
      <c r="P30" s="68"/>
      <c r="Q30" s="68"/>
      <c r="R30" s="68"/>
      <c r="S30" s="68"/>
      <c r="T30" s="68"/>
      <c r="U30" s="68"/>
      <c r="V30" s="68"/>
    </row>
    <row r="31" ht="49.5" customHeight="1">
      <c r="A31" s="68"/>
      <c r="B31" s="68"/>
      <c r="C31" s="68"/>
      <c r="D31" s="68"/>
      <c r="E31" s="68"/>
      <c r="F31" s="68"/>
      <c r="G31" s="68"/>
      <c r="H31" s="68"/>
      <c r="I31" s="68"/>
      <c r="J31" s="68"/>
      <c r="K31" s="68"/>
      <c r="L31" s="68"/>
      <c r="M31" s="68"/>
      <c r="N31" s="68"/>
      <c r="O31" s="68"/>
      <c r="P31" s="68"/>
      <c r="Q31" s="68"/>
      <c r="R31" s="68"/>
      <c r="S31" s="68"/>
      <c r="T31" s="68"/>
      <c r="U31" s="68"/>
      <c r="V31" s="68"/>
    </row>
    <row r="32" ht="49.5" customHeight="1">
      <c r="A32" s="68"/>
      <c r="B32" s="68"/>
      <c r="C32" s="68"/>
      <c r="D32" s="68"/>
      <c r="E32" s="68"/>
      <c r="F32" s="68"/>
      <c r="G32" s="68"/>
      <c r="H32" s="68"/>
      <c r="I32" s="68"/>
      <c r="J32" s="68"/>
      <c r="K32" s="68"/>
      <c r="L32" s="68"/>
      <c r="M32" s="68"/>
      <c r="N32" s="68"/>
      <c r="O32" s="68"/>
      <c r="P32" s="68"/>
      <c r="Q32" s="68"/>
      <c r="R32" s="68"/>
      <c r="S32" s="68"/>
      <c r="T32" s="68"/>
      <c r="U32" s="68"/>
      <c r="V32" s="68"/>
    </row>
    <row r="33" ht="49.5" customHeight="1">
      <c r="A33" s="68"/>
      <c r="B33" s="68"/>
      <c r="C33" s="68"/>
      <c r="D33" s="68"/>
      <c r="E33" s="68"/>
      <c r="F33" s="68"/>
      <c r="G33" s="68"/>
      <c r="H33" s="68"/>
      <c r="I33" s="68"/>
      <c r="J33" s="68"/>
      <c r="K33" s="68"/>
      <c r="L33" s="68"/>
      <c r="M33" s="68"/>
      <c r="N33" s="68"/>
      <c r="O33" s="68"/>
      <c r="P33" s="68"/>
      <c r="Q33" s="68"/>
      <c r="R33" s="68"/>
      <c r="S33" s="68"/>
      <c r="T33" s="68"/>
      <c r="U33" s="68"/>
      <c r="V33" s="68"/>
    </row>
    <row r="34" ht="49.5" customHeight="1">
      <c r="A34" s="68"/>
      <c r="B34" s="68"/>
      <c r="C34" s="68"/>
      <c r="D34" s="68"/>
      <c r="E34" s="68"/>
      <c r="F34" s="68"/>
      <c r="G34" s="68"/>
      <c r="H34" s="68"/>
      <c r="I34" s="68"/>
      <c r="J34" s="68"/>
      <c r="K34" s="68"/>
      <c r="L34" s="68"/>
      <c r="M34" s="68"/>
      <c r="N34" s="68"/>
      <c r="O34" s="68"/>
      <c r="P34" s="68"/>
      <c r="Q34" s="68"/>
      <c r="R34" s="68"/>
      <c r="S34" s="68"/>
      <c r="T34" s="68"/>
      <c r="U34" s="68"/>
      <c r="V34" s="68"/>
    </row>
    <row r="35" ht="49.5" customHeight="1">
      <c r="A35" s="68"/>
      <c r="B35" s="68"/>
      <c r="C35" s="68"/>
      <c r="D35" s="68"/>
      <c r="E35" s="68"/>
      <c r="F35" s="68"/>
      <c r="G35" s="68"/>
      <c r="H35" s="68"/>
      <c r="I35" s="68"/>
      <c r="J35" s="68"/>
      <c r="K35" s="68"/>
      <c r="L35" s="68"/>
      <c r="M35" s="68"/>
      <c r="N35" s="68"/>
      <c r="O35" s="68"/>
      <c r="P35" s="68"/>
      <c r="Q35" s="68"/>
      <c r="R35" s="68"/>
      <c r="S35" s="68"/>
      <c r="T35" s="68"/>
      <c r="U35" s="68"/>
      <c r="V35" s="68"/>
    </row>
    <row r="36" ht="49.5" customHeight="1">
      <c r="A36" s="68"/>
      <c r="B36" s="68"/>
      <c r="C36" s="68"/>
      <c r="D36" s="68"/>
      <c r="E36" s="68"/>
      <c r="F36" s="68"/>
      <c r="G36" s="68"/>
      <c r="H36" s="68"/>
      <c r="I36" s="68"/>
      <c r="J36" s="68"/>
      <c r="K36" s="68"/>
      <c r="L36" s="68"/>
      <c r="M36" s="68"/>
      <c r="N36" s="68"/>
      <c r="O36" s="68"/>
      <c r="P36" s="68"/>
      <c r="Q36" s="68"/>
      <c r="R36" s="68"/>
      <c r="S36" s="68"/>
      <c r="T36" s="68"/>
      <c r="U36" s="68"/>
      <c r="V36" s="68"/>
    </row>
    <row r="37" ht="49.5" customHeight="1">
      <c r="A37" s="68"/>
      <c r="B37" s="68"/>
      <c r="C37" s="68"/>
      <c r="D37" s="68"/>
      <c r="E37" s="68"/>
      <c r="F37" s="68"/>
      <c r="G37" s="68"/>
      <c r="H37" s="68"/>
      <c r="I37" s="68"/>
      <c r="J37" s="68"/>
      <c r="K37" s="68"/>
      <c r="L37" s="68"/>
      <c r="M37" s="68"/>
      <c r="N37" s="68"/>
      <c r="O37" s="68"/>
      <c r="P37" s="68"/>
      <c r="Q37" s="68"/>
      <c r="R37" s="68"/>
      <c r="S37" s="68"/>
      <c r="T37" s="68"/>
      <c r="U37" s="68"/>
      <c r="V37" s="68"/>
    </row>
    <row r="38" ht="49.5" customHeight="1">
      <c r="A38" s="68"/>
      <c r="B38" s="68"/>
      <c r="C38" s="68"/>
      <c r="D38" s="68"/>
      <c r="E38" s="68"/>
      <c r="F38" s="68"/>
      <c r="G38" s="68"/>
      <c r="H38" s="68"/>
      <c r="I38" s="68"/>
      <c r="J38" s="68"/>
      <c r="K38" s="68"/>
      <c r="L38" s="68"/>
      <c r="M38" s="68"/>
      <c r="N38" s="68"/>
      <c r="O38" s="68"/>
      <c r="P38" s="68"/>
      <c r="Q38" s="68"/>
      <c r="R38" s="68"/>
      <c r="S38" s="68"/>
      <c r="T38" s="68"/>
      <c r="U38" s="68"/>
      <c r="V38" s="68"/>
    </row>
    <row r="39" ht="49.5" customHeight="1">
      <c r="A39" s="68"/>
      <c r="B39" s="68"/>
      <c r="C39" s="68"/>
      <c r="D39" s="68"/>
      <c r="E39" s="68"/>
      <c r="F39" s="68"/>
      <c r="G39" s="68"/>
      <c r="H39" s="68"/>
      <c r="I39" s="68"/>
      <c r="J39" s="68"/>
      <c r="K39" s="68"/>
      <c r="L39" s="68"/>
      <c r="M39" s="68"/>
      <c r="N39" s="68"/>
      <c r="O39" s="68"/>
      <c r="P39" s="68"/>
      <c r="Q39" s="68"/>
      <c r="R39" s="68"/>
      <c r="S39" s="68"/>
      <c r="T39" s="68"/>
      <c r="U39" s="68"/>
      <c r="V39" s="68"/>
    </row>
    <row r="40" ht="49.5" customHeight="1">
      <c r="A40" s="68"/>
      <c r="B40" s="68"/>
      <c r="C40" s="68"/>
      <c r="D40" s="68"/>
      <c r="E40" s="68"/>
      <c r="F40" s="68"/>
      <c r="G40" s="68"/>
      <c r="H40" s="68"/>
      <c r="I40" s="68"/>
      <c r="J40" s="68"/>
      <c r="K40" s="68"/>
      <c r="L40" s="68"/>
      <c r="M40" s="68"/>
      <c r="N40" s="68"/>
      <c r="O40" s="68"/>
      <c r="P40" s="68"/>
      <c r="Q40" s="68"/>
      <c r="R40" s="68"/>
      <c r="S40" s="68"/>
      <c r="T40" s="68"/>
      <c r="U40" s="68"/>
      <c r="V40" s="68"/>
    </row>
    <row r="41" ht="49.5" customHeight="1">
      <c r="A41" s="68"/>
      <c r="B41" s="68"/>
      <c r="C41" s="68"/>
      <c r="D41" s="68"/>
      <c r="E41" s="68"/>
      <c r="F41" s="68"/>
      <c r="G41" s="68"/>
      <c r="H41" s="68"/>
      <c r="I41" s="68"/>
      <c r="J41" s="68"/>
      <c r="K41" s="68"/>
      <c r="L41" s="68"/>
      <c r="M41" s="68"/>
      <c r="N41" s="68"/>
      <c r="O41" s="68"/>
      <c r="P41" s="68"/>
      <c r="Q41" s="68"/>
      <c r="R41" s="68"/>
      <c r="S41" s="68"/>
      <c r="T41" s="68"/>
      <c r="U41" s="68"/>
      <c r="V41" s="68"/>
    </row>
    <row r="42" ht="49.5" customHeight="1">
      <c r="A42" s="68"/>
      <c r="B42" s="68"/>
      <c r="C42" s="68"/>
      <c r="D42" s="68"/>
      <c r="E42" s="68"/>
      <c r="F42" s="68"/>
      <c r="G42" s="68"/>
      <c r="H42" s="68"/>
      <c r="I42" s="68"/>
      <c r="J42" s="68"/>
      <c r="K42" s="68"/>
      <c r="L42" s="68"/>
      <c r="M42" s="68"/>
      <c r="N42" s="68"/>
      <c r="O42" s="68"/>
      <c r="P42" s="68"/>
      <c r="Q42" s="68"/>
      <c r="R42" s="68"/>
      <c r="S42" s="68"/>
      <c r="T42" s="68"/>
      <c r="U42" s="68"/>
      <c r="V42" s="68"/>
    </row>
    <row r="43" ht="49.5" customHeight="1">
      <c r="A43" s="68"/>
      <c r="B43" s="68"/>
      <c r="C43" s="68"/>
      <c r="D43" s="68"/>
      <c r="E43" s="68"/>
      <c r="F43" s="68"/>
      <c r="G43" s="68"/>
      <c r="H43" s="68"/>
      <c r="I43" s="68"/>
      <c r="J43" s="68"/>
      <c r="K43" s="68"/>
      <c r="L43" s="68"/>
      <c r="M43" s="68"/>
      <c r="N43" s="68"/>
      <c r="O43" s="68"/>
      <c r="P43" s="68"/>
      <c r="Q43" s="68"/>
      <c r="R43" s="68"/>
      <c r="S43" s="68"/>
      <c r="T43" s="68"/>
      <c r="U43" s="68"/>
      <c r="V43" s="68"/>
    </row>
    <row r="44" ht="49.5" customHeight="1">
      <c r="A44" s="68"/>
      <c r="B44" s="68"/>
      <c r="C44" s="68"/>
      <c r="D44" s="68"/>
      <c r="E44" s="68"/>
      <c r="F44" s="68"/>
      <c r="G44" s="68"/>
      <c r="H44" s="68"/>
      <c r="I44" s="68"/>
      <c r="J44" s="68"/>
      <c r="K44" s="68"/>
      <c r="L44" s="68"/>
      <c r="M44" s="68"/>
      <c r="N44" s="68"/>
      <c r="O44" s="68"/>
      <c r="P44" s="68"/>
      <c r="Q44" s="68"/>
      <c r="R44" s="68"/>
      <c r="S44" s="68"/>
      <c r="T44" s="68"/>
      <c r="U44" s="68"/>
      <c r="V44" s="68"/>
    </row>
    <row r="45" ht="49.5" customHeight="1">
      <c r="A45" s="68"/>
      <c r="B45" s="68"/>
      <c r="C45" s="68"/>
      <c r="D45" s="68"/>
      <c r="E45" s="68"/>
      <c r="F45" s="68"/>
      <c r="G45" s="68"/>
      <c r="H45" s="68"/>
      <c r="I45" s="68"/>
      <c r="J45" s="68"/>
      <c r="K45" s="68"/>
      <c r="L45" s="68"/>
      <c r="M45" s="68"/>
      <c r="N45" s="68"/>
      <c r="O45" s="68"/>
      <c r="P45" s="68"/>
      <c r="Q45" s="68"/>
      <c r="R45" s="68"/>
      <c r="S45" s="68"/>
      <c r="T45" s="68"/>
      <c r="U45" s="68"/>
      <c r="V45" s="68"/>
    </row>
    <row r="46" ht="49.5" customHeight="1">
      <c r="A46" s="68"/>
      <c r="B46" s="68"/>
      <c r="C46" s="68"/>
      <c r="D46" s="68"/>
      <c r="E46" s="68"/>
      <c r="F46" s="68"/>
      <c r="G46" s="68"/>
      <c r="H46" s="68"/>
      <c r="I46" s="68"/>
      <c r="J46" s="68"/>
      <c r="K46" s="68"/>
      <c r="L46" s="68"/>
      <c r="M46" s="68"/>
      <c r="N46" s="68"/>
      <c r="O46" s="68"/>
      <c r="P46" s="68"/>
      <c r="Q46" s="68"/>
      <c r="R46" s="68"/>
      <c r="S46" s="68"/>
      <c r="T46" s="68"/>
      <c r="U46" s="68"/>
      <c r="V46" s="68"/>
    </row>
    <row r="47" ht="49.5" customHeight="1">
      <c r="A47" s="68"/>
      <c r="B47" s="68"/>
      <c r="C47" s="68"/>
      <c r="D47" s="68"/>
      <c r="E47" s="68"/>
      <c r="F47" s="68"/>
      <c r="G47" s="68"/>
      <c r="H47" s="68"/>
      <c r="I47" s="68"/>
      <c r="J47" s="68"/>
      <c r="K47" s="68"/>
      <c r="L47" s="68"/>
      <c r="M47" s="68"/>
      <c r="N47" s="68"/>
      <c r="O47" s="68"/>
      <c r="P47" s="68"/>
      <c r="Q47" s="68"/>
      <c r="R47" s="68"/>
      <c r="S47" s="68"/>
      <c r="T47" s="68"/>
      <c r="U47" s="68"/>
      <c r="V47" s="68"/>
    </row>
    <row r="48" ht="49.5" customHeight="1">
      <c r="A48" s="68"/>
      <c r="B48" s="68"/>
      <c r="C48" s="68"/>
      <c r="D48" s="68"/>
      <c r="E48" s="68"/>
      <c r="F48" s="68"/>
      <c r="G48" s="68"/>
      <c r="H48" s="68"/>
      <c r="I48" s="68"/>
      <c r="J48" s="68"/>
      <c r="K48" s="68"/>
      <c r="L48" s="68"/>
      <c r="M48" s="68"/>
      <c r="N48" s="68"/>
      <c r="O48" s="68"/>
      <c r="P48" s="68"/>
      <c r="Q48" s="68"/>
      <c r="R48" s="68"/>
      <c r="S48" s="68"/>
      <c r="T48" s="68"/>
      <c r="U48" s="68"/>
      <c r="V48" s="68"/>
    </row>
    <row r="49" ht="49.5" customHeight="1">
      <c r="A49" s="68"/>
      <c r="B49" s="68"/>
      <c r="C49" s="68"/>
      <c r="D49" s="68"/>
      <c r="E49" s="68"/>
      <c r="F49" s="68"/>
      <c r="G49" s="68"/>
      <c r="H49" s="68"/>
      <c r="I49" s="68"/>
      <c r="J49" s="68"/>
      <c r="K49" s="68"/>
      <c r="L49" s="68"/>
      <c r="M49" s="68"/>
      <c r="N49" s="68"/>
      <c r="O49" s="68"/>
      <c r="P49" s="68"/>
      <c r="Q49" s="68"/>
      <c r="R49" s="68"/>
      <c r="S49" s="68"/>
      <c r="T49" s="68"/>
      <c r="U49" s="68"/>
      <c r="V49" s="68"/>
    </row>
    <row r="50" ht="49.5" customHeight="1">
      <c r="A50" s="68"/>
      <c r="B50" s="68"/>
      <c r="C50" s="68"/>
      <c r="D50" s="68"/>
      <c r="E50" s="68"/>
      <c r="F50" s="68"/>
      <c r="G50" s="68"/>
      <c r="H50" s="68"/>
      <c r="I50" s="68"/>
      <c r="J50" s="68"/>
      <c r="K50" s="68"/>
      <c r="L50" s="68"/>
      <c r="M50" s="68"/>
      <c r="N50" s="68"/>
      <c r="O50" s="68"/>
      <c r="P50" s="68"/>
      <c r="Q50" s="68"/>
      <c r="R50" s="68"/>
      <c r="S50" s="68"/>
      <c r="T50" s="68"/>
      <c r="U50" s="68"/>
      <c r="V50" s="68"/>
    </row>
    <row r="51" ht="49.5" customHeight="1">
      <c r="A51" s="68"/>
      <c r="B51" s="68"/>
      <c r="C51" s="68"/>
      <c r="D51" s="68"/>
      <c r="E51" s="68"/>
      <c r="F51" s="68"/>
      <c r="G51" s="68"/>
      <c r="H51" s="68"/>
      <c r="I51" s="68"/>
      <c r="J51" s="68"/>
      <c r="K51" s="68"/>
      <c r="L51" s="68"/>
      <c r="M51" s="68"/>
      <c r="N51" s="68"/>
      <c r="O51" s="68"/>
      <c r="P51" s="68"/>
      <c r="Q51" s="68"/>
      <c r="R51" s="68"/>
      <c r="S51" s="68"/>
      <c r="T51" s="68"/>
      <c r="U51" s="68"/>
      <c r="V51" s="68"/>
    </row>
    <row r="52" ht="49.5" customHeight="1">
      <c r="A52" s="68"/>
      <c r="B52" s="68"/>
      <c r="C52" s="68"/>
      <c r="D52" s="68"/>
      <c r="E52" s="68"/>
      <c r="F52" s="68"/>
      <c r="G52" s="68"/>
      <c r="H52" s="68"/>
      <c r="I52" s="68"/>
      <c r="J52" s="68"/>
      <c r="K52" s="68"/>
      <c r="L52" s="68"/>
      <c r="M52" s="68"/>
      <c r="N52" s="68"/>
      <c r="O52" s="68"/>
      <c r="P52" s="68"/>
      <c r="Q52" s="68"/>
      <c r="R52" s="68"/>
      <c r="S52" s="68"/>
      <c r="T52" s="68"/>
      <c r="U52" s="68"/>
      <c r="V52" s="68"/>
    </row>
    <row r="53" ht="49.5" customHeight="1">
      <c r="A53" s="68"/>
      <c r="B53" s="68"/>
      <c r="C53" s="68"/>
      <c r="D53" s="68"/>
      <c r="E53" s="68"/>
      <c r="F53" s="68"/>
      <c r="G53" s="68"/>
      <c r="H53" s="68"/>
      <c r="I53" s="68"/>
      <c r="J53" s="68"/>
      <c r="K53" s="68"/>
      <c r="L53" s="68"/>
      <c r="M53" s="68"/>
      <c r="N53" s="68"/>
      <c r="O53" s="68"/>
      <c r="P53" s="68"/>
      <c r="Q53" s="68"/>
      <c r="R53" s="68"/>
      <c r="S53" s="68"/>
      <c r="T53" s="68"/>
      <c r="U53" s="68"/>
      <c r="V53" s="68"/>
    </row>
    <row r="54" ht="49.5" customHeight="1">
      <c r="A54" s="68"/>
      <c r="B54" s="68"/>
      <c r="C54" s="68"/>
      <c r="D54" s="68"/>
      <c r="E54" s="68"/>
      <c r="F54" s="68"/>
      <c r="G54" s="68"/>
      <c r="H54" s="68"/>
      <c r="I54" s="68"/>
      <c r="J54" s="68"/>
      <c r="K54" s="68"/>
      <c r="L54" s="68"/>
      <c r="M54" s="68"/>
      <c r="N54" s="68"/>
      <c r="O54" s="68"/>
      <c r="P54" s="68"/>
      <c r="Q54" s="68"/>
      <c r="R54" s="68"/>
      <c r="S54" s="68"/>
      <c r="T54" s="68"/>
      <c r="U54" s="68"/>
      <c r="V54" s="68"/>
    </row>
    <row r="55" ht="49.5" customHeight="1">
      <c r="A55" s="68"/>
      <c r="B55" s="68"/>
      <c r="C55" s="68"/>
      <c r="D55" s="68"/>
      <c r="E55" s="68"/>
      <c r="F55" s="68"/>
      <c r="G55" s="68"/>
      <c r="H55" s="68"/>
      <c r="I55" s="68"/>
      <c r="J55" s="68"/>
      <c r="K55" s="68"/>
      <c r="L55" s="68"/>
      <c r="M55" s="68"/>
      <c r="N55" s="68"/>
      <c r="O55" s="68"/>
      <c r="P55" s="68"/>
      <c r="Q55" s="68"/>
      <c r="R55" s="68"/>
      <c r="S55" s="68"/>
      <c r="T55" s="68"/>
      <c r="U55" s="68"/>
      <c r="V55" s="68"/>
    </row>
    <row r="56" ht="49.5" customHeight="1">
      <c r="A56" s="68"/>
      <c r="B56" s="68"/>
      <c r="C56" s="68"/>
      <c r="D56" s="68"/>
      <c r="E56" s="68"/>
      <c r="F56" s="68"/>
      <c r="G56" s="68"/>
      <c r="H56" s="68"/>
      <c r="I56" s="68"/>
      <c r="J56" s="68"/>
      <c r="K56" s="68"/>
      <c r="L56" s="68"/>
      <c r="M56" s="68"/>
      <c r="N56" s="68"/>
      <c r="O56" s="68"/>
      <c r="P56" s="68"/>
      <c r="Q56" s="68"/>
      <c r="R56" s="68"/>
      <c r="S56" s="68"/>
      <c r="T56" s="68"/>
      <c r="U56" s="68"/>
      <c r="V56" s="68"/>
    </row>
    <row r="57" ht="49.5" customHeight="1">
      <c r="A57" s="68"/>
      <c r="B57" s="68"/>
      <c r="C57" s="68"/>
      <c r="D57" s="68"/>
      <c r="E57" s="68"/>
      <c r="F57" s="68"/>
      <c r="G57" s="68"/>
      <c r="H57" s="68"/>
      <c r="I57" s="68"/>
      <c r="J57" s="68"/>
      <c r="K57" s="68"/>
      <c r="L57" s="68"/>
      <c r="M57" s="68"/>
      <c r="N57" s="68"/>
      <c r="O57" s="68"/>
      <c r="P57" s="68"/>
      <c r="Q57" s="68"/>
      <c r="R57" s="68"/>
      <c r="S57" s="68"/>
      <c r="T57" s="68"/>
      <c r="U57" s="68"/>
      <c r="V57" s="68"/>
    </row>
    <row r="58" ht="49.5" customHeight="1">
      <c r="A58" s="68"/>
      <c r="B58" s="68"/>
      <c r="C58" s="68"/>
      <c r="D58" s="68"/>
      <c r="E58" s="68"/>
      <c r="F58" s="68"/>
      <c r="G58" s="68"/>
      <c r="H58" s="68"/>
      <c r="I58" s="68"/>
      <c r="J58" s="68"/>
      <c r="K58" s="68"/>
      <c r="L58" s="68"/>
      <c r="M58" s="68"/>
      <c r="N58" s="68"/>
      <c r="O58" s="68"/>
      <c r="P58" s="68"/>
      <c r="Q58" s="68"/>
      <c r="R58" s="68"/>
      <c r="S58" s="68"/>
      <c r="T58" s="68"/>
      <c r="U58" s="68"/>
      <c r="V58" s="68"/>
    </row>
    <row r="59" ht="49.5" customHeight="1">
      <c r="A59" s="68"/>
      <c r="B59" s="68"/>
      <c r="C59" s="68"/>
      <c r="D59" s="68"/>
      <c r="E59" s="68"/>
      <c r="F59" s="68"/>
      <c r="G59" s="68"/>
      <c r="H59" s="68"/>
      <c r="I59" s="68"/>
      <c r="J59" s="68"/>
      <c r="K59" s="68"/>
      <c r="L59" s="68"/>
      <c r="M59" s="68"/>
      <c r="N59" s="68"/>
      <c r="O59" s="68"/>
      <c r="P59" s="68"/>
      <c r="Q59" s="68"/>
      <c r="R59" s="68"/>
      <c r="S59" s="68"/>
      <c r="T59" s="68"/>
      <c r="U59" s="68"/>
      <c r="V59" s="68"/>
    </row>
    <row r="60" ht="49.5" customHeight="1">
      <c r="A60" s="68"/>
      <c r="B60" s="68"/>
      <c r="C60" s="68"/>
      <c r="D60" s="68"/>
      <c r="E60" s="68"/>
      <c r="F60" s="68"/>
      <c r="G60" s="68"/>
      <c r="H60" s="68"/>
      <c r="I60" s="68"/>
      <c r="J60" s="68"/>
      <c r="K60" s="68"/>
      <c r="L60" s="68"/>
      <c r="M60" s="68"/>
      <c r="N60" s="68"/>
      <c r="O60" s="68"/>
      <c r="P60" s="68"/>
      <c r="Q60" s="68"/>
      <c r="R60" s="68"/>
      <c r="S60" s="68"/>
      <c r="T60" s="68"/>
      <c r="U60" s="68"/>
      <c r="V60" s="68"/>
    </row>
    <row r="61" ht="49.5" customHeight="1">
      <c r="A61" s="68"/>
      <c r="B61" s="68"/>
      <c r="C61" s="68"/>
      <c r="D61" s="68"/>
      <c r="E61" s="68"/>
      <c r="F61" s="68"/>
      <c r="G61" s="68"/>
      <c r="H61" s="68"/>
      <c r="I61" s="68"/>
      <c r="J61" s="68"/>
      <c r="K61" s="68"/>
      <c r="L61" s="68"/>
      <c r="M61" s="68"/>
      <c r="N61" s="68"/>
      <c r="O61" s="68"/>
      <c r="P61" s="68"/>
      <c r="Q61" s="68"/>
      <c r="R61" s="68"/>
      <c r="S61" s="68"/>
      <c r="T61" s="68"/>
      <c r="U61" s="68"/>
      <c r="V61" s="68"/>
    </row>
    <row r="62" ht="49.5" customHeight="1">
      <c r="A62" s="68"/>
      <c r="B62" s="68"/>
      <c r="C62" s="68"/>
      <c r="D62" s="68"/>
      <c r="E62" s="68"/>
      <c r="F62" s="68"/>
      <c r="G62" s="68"/>
      <c r="H62" s="68"/>
      <c r="I62" s="68"/>
      <c r="J62" s="68"/>
      <c r="K62" s="68"/>
      <c r="L62" s="68"/>
      <c r="M62" s="68"/>
      <c r="N62" s="68"/>
      <c r="O62" s="68"/>
      <c r="P62" s="68"/>
      <c r="Q62" s="68"/>
      <c r="R62" s="68"/>
      <c r="S62" s="68"/>
      <c r="T62" s="68"/>
      <c r="U62" s="68"/>
      <c r="V62" s="68"/>
    </row>
    <row r="63" ht="49.5" customHeight="1">
      <c r="A63" s="68"/>
      <c r="B63" s="68"/>
      <c r="C63" s="68"/>
      <c r="D63" s="68"/>
      <c r="E63" s="68"/>
      <c r="F63" s="68"/>
      <c r="G63" s="68"/>
      <c r="H63" s="68"/>
      <c r="I63" s="68"/>
      <c r="J63" s="68"/>
      <c r="K63" s="68"/>
      <c r="L63" s="68"/>
      <c r="M63" s="68"/>
      <c r="N63" s="68"/>
      <c r="O63" s="68"/>
      <c r="P63" s="68"/>
      <c r="Q63" s="68"/>
      <c r="R63" s="68"/>
      <c r="S63" s="68"/>
      <c r="T63" s="68"/>
      <c r="U63" s="68"/>
      <c r="V63" s="68"/>
    </row>
    <row r="64" ht="49.5" customHeight="1">
      <c r="A64" s="68"/>
      <c r="B64" s="68"/>
      <c r="C64" s="68"/>
      <c r="D64" s="68"/>
      <c r="E64" s="68"/>
      <c r="F64" s="68"/>
      <c r="G64" s="68"/>
      <c r="H64" s="68"/>
      <c r="I64" s="68"/>
      <c r="J64" s="68"/>
      <c r="K64" s="68"/>
      <c r="L64" s="68"/>
      <c r="M64" s="68"/>
      <c r="N64" s="68"/>
      <c r="O64" s="68"/>
      <c r="P64" s="68"/>
      <c r="Q64" s="68"/>
      <c r="R64" s="68"/>
      <c r="S64" s="68"/>
      <c r="T64" s="68"/>
      <c r="U64" s="68"/>
      <c r="V64" s="68"/>
    </row>
    <row r="65" ht="49.5" customHeight="1">
      <c r="A65" s="68"/>
      <c r="B65" s="68"/>
      <c r="C65" s="68"/>
      <c r="D65" s="68"/>
      <c r="E65" s="68"/>
      <c r="F65" s="68"/>
      <c r="G65" s="68"/>
      <c r="H65" s="68"/>
      <c r="I65" s="68"/>
      <c r="J65" s="68"/>
      <c r="K65" s="68"/>
      <c r="L65" s="68"/>
      <c r="M65" s="68"/>
      <c r="N65" s="68"/>
      <c r="O65" s="68"/>
      <c r="P65" s="68"/>
      <c r="Q65" s="68"/>
      <c r="R65" s="68"/>
      <c r="S65" s="68"/>
      <c r="T65" s="68"/>
      <c r="U65" s="68"/>
      <c r="V65" s="68"/>
    </row>
    <row r="66" ht="49.5" customHeight="1">
      <c r="A66" s="68"/>
      <c r="B66" s="68"/>
      <c r="C66" s="68"/>
      <c r="D66" s="68"/>
      <c r="E66" s="68"/>
      <c r="F66" s="68"/>
      <c r="G66" s="68"/>
      <c r="H66" s="68"/>
      <c r="I66" s="68"/>
      <c r="J66" s="68"/>
      <c r="K66" s="68"/>
      <c r="L66" s="68"/>
      <c r="M66" s="68"/>
      <c r="N66" s="68"/>
      <c r="O66" s="68"/>
      <c r="P66" s="68"/>
      <c r="Q66" s="68"/>
      <c r="R66" s="68"/>
      <c r="S66" s="68"/>
      <c r="T66" s="68"/>
      <c r="U66" s="68"/>
      <c r="V66" s="68"/>
    </row>
    <row r="67" ht="49.5" customHeight="1">
      <c r="A67" s="68"/>
      <c r="B67" s="68"/>
      <c r="C67" s="68"/>
      <c r="D67" s="68"/>
      <c r="E67" s="68"/>
      <c r="F67" s="68"/>
      <c r="G67" s="68"/>
      <c r="H67" s="68"/>
      <c r="I67" s="68"/>
      <c r="J67" s="68"/>
      <c r="K67" s="68"/>
      <c r="L67" s="68"/>
      <c r="M67" s="68"/>
      <c r="N67" s="68"/>
      <c r="O67" s="68"/>
      <c r="P67" s="68"/>
      <c r="Q67" s="68"/>
      <c r="R67" s="68"/>
      <c r="S67" s="68"/>
      <c r="T67" s="68"/>
      <c r="U67" s="68"/>
      <c r="V67" s="68"/>
    </row>
    <row r="68" ht="49.5" customHeight="1">
      <c r="A68" s="68"/>
      <c r="B68" s="68"/>
      <c r="C68" s="68"/>
      <c r="D68" s="68"/>
      <c r="E68" s="68"/>
      <c r="F68" s="68"/>
      <c r="G68" s="68"/>
      <c r="H68" s="68"/>
      <c r="I68" s="68"/>
      <c r="J68" s="68"/>
      <c r="K68" s="68"/>
      <c r="L68" s="68"/>
      <c r="M68" s="68"/>
      <c r="N68" s="68"/>
      <c r="O68" s="68"/>
      <c r="P68" s="68"/>
      <c r="Q68" s="68"/>
      <c r="R68" s="68"/>
      <c r="S68" s="68"/>
      <c r="T68" s="68"/>
      <c r="U68" s="68"/>
      <c r="V68" s="68"/>
    </row>
    <row r="69" ht="49.5" customHeight="1">
      <c r="A69" s="68"/>
      <c r="B69" s="68"/>
      <c r="C69" s="68"/>
      <c r="D69" s="68"/>
      <c r="E69" s="68"/>
      <c r="F69" s="68"/>
      <c r="G69" s="68"/>
      <c r="H69" s="68"/>
      <c r="I69" s="68"/>
      <c r="J69" s="68"/>
      <c r="K69" s="68"/>
      <c r="L69" s="68"/>
      <c r="M69" s="68"/>
      <c r="N69" s="68"/>
      <c r="O69" s="68"/>
      <c r="P69" s="68"/>
      <c r="Q69" s="68"/>
      <c r="R69" s="68"/>
      <c r="S69" s="68"/>
      <c r="T69" s="68"/>
      <c r="U69" s="68"/>
      <c r="V69" s="68"/>
    </row>
    <row r="70" ht="49.5" customHeight="1">
      <c r="A70" s="68"/>
      <c r="B70" s="68"/>
      <c r="C70" s="68"/>
      <c r="D70" s="68"/>
      <c r="E70" s="68"/>
      <c r="F70" s="68"/>
      <c r="G70" s="68"/>
      <c r="H70" s="68"/>
      <c r="I70" s="68"/>
      <c r="J70" s="68"/>
      <c r="K70" s="68"/>
      <c r="L70" s="68"/>
      <c r="M70" s="68"/>
      <c r="N70" s="68"/>
      <c r="O70" s="68"/>
      <c r="P70" s="68"/>
      <c r="Q70" s="68"/>
      <c r="R70" s="68"/>
      <c r="S70" s="68"/>
      <c r="T70" s="68"/>
      <c r="U70" s="68"/>
      <c r="V70" s="68"/>
    </row>
    <row r="71" ht="49.5" customHeight="1">
      <c r="A71" s="68"/>
      <c r="B71" s="68"/>
      <c r="C71" s="68"/>
      <c r="D71" s="68"/>
      <c r="E71" s="68"/>
      <c r="F71" s="68"/>
      <c r="G71" s="68"/>
      <c r="H71" s="68"/>
      <c r="I71" s="68"/>
      <c r="J71" s="68"/>
      <c r="K71" s="68"/>
      <c r="L71" s="68"/>
      <c r="M71" s="68"/>
      <c r="N71" s="68"/>
      <c r="O71" s="68"/>
      <c r="P71" s="68"/>
      <c r="Q71" s="68"/>
      <c r="R71" s="68"/>
      <c r="S71" s="68"/>
      <c r="T71" s="68"/>
      <c r="U71" s="68"/>
      <c r="V71" s="68"/>
    </row>
    <row r="72" ht="49.5" customHeight="1">
      <c r="A72" s="68"/>
      <c r="B72" s="68"/>
      <c r="C72" s="68"/>
      <c r="D72" s="68"/>
      <c r="E72" s="68"/>
      <c r="F72" s="68"/>
      <c r="G72" s="68"/>
      <c r="H72" s="68"/>
      <c r="I72" s="68"/>
      <c r="J72" s="68"/>
      <c r="K72" s="68"/>
      <c r="L72" s="68"/>
      <c r="M72" s="68"/>
      <c r="N72" s="68"/>
      <c r="O72" s="68"/>
      <c r="P72" s="68"/>
      <c r="Q72" s="68"/>
      <c r="R72" s="68"/>
      <c r="S72" s="68"/>
      <c r="T72" s="68"/>
      <c r="U72" s="68"/>
      <c r="V72" s="68"/>
    </row>
    <row r="73" ht="49.5" customHeight="1">
      <c r="A73" s="68"/>
      <c r="B73" s="68"/>
      <c r="C73" s="68"/>
      <c r="D73" s="68"/>
      <c r="E73" s="68"/>
      <c r="F73" s="68"/>
      <c r="G73" s="68"/>
      <c r="H73" s="68"/>
      <c r="I73" s="68"/>
      <c r="J73" s="68"/>
      <c r="K73" s="68"/>
      <c r="L73" s="68"/>
      <c r="M73" s="68"/>
      <c r="N73" s="68"/>
      <c r="O73" s="68"/>
      <c r="P73" s="68"/>
      <c r="Q73" s="68"/>
      <c r="R73" s="68"/>
      <c r="S73" s="68"/>
      <c r="T73" s="68"/>
      <c r="U73" s="68"/>
      <c r="V73" s="68"/>
    </row>
    <row r="74" ht="49.5" customHeight="1">
      <c r="A74" s="68"/>
      <c r="B74" s="68"/>
      <c r="C74" s="68"/>
      <c r="D74" s="68"/>
      <c r="E74" s="68"/>
      <c r="F74" s="68"/>
      <c r="G74" s="68"/>
      <c r="H74" s="68"/>
      <c r="I74" s="68"/>
      <c r="J74" s="68"/>
      <c r="K74" s="68"/>
      <c r="L74" s="68"/>
      <c r="M74" s="68"/>
      <c r="N74" s="68"/>
      <c r="O74" s="68"/>
      <c r="P74" s="68"/>
      <c r="Q74" s="68"/>
      <c r="R74" s="68"/>
      <c r="S74" s="68"/>
      <c r="T74" s="68"/>
      <c r="U74" s="68"/>
      <c r="V74" s="68"/>
    </row>
    <row r="75" ht="49.5" customHeight="1">
      <c r="A75" s="68"/>
      <c r="B75" s="68"/>
      <c r="C75" s="68"/>
      <c r="D75" s="68"/>
      <c r="E75" s="68"/>
      <c r="F75" s="68"/>
      <c r="G75" s="68"/>
      <c r="H75" s="68"/>
      <c r="I75" s="68"/>
      <c r="J75" s="68"/>
      <c r="K75" s="68"/>
      <c r="L75" s="68"/>
      <c r="M75" s="68"/>
      <c r="N75" s="68"/>
      <c r="O75" s="68"/>
      <c r="P75" s="68"/>
      <c r="Q75" s="68"/>
      <c r="R75" s="68"/>
      <c r="S75" s="68"/>
      <c r="T75" s="68"/>
      <c r="U75" s="68"/>
      <c r="V75" s="68"/>
    </row>
    <row r="76" ht="49.5" customHeight="1">
      <c r="A76" s="68"/>
      <c r="B76" s="68"/>
      <c r="C76" s="68"/>
      <c r="D76" s="68"/>
      <c r="E76" s="68"/>
      <c r="F76" s="68"/>
      <c r="G76" s="68"/>
      <c r="H76" s="68"/>
      <c r="I76" s="68"/>
      <c r="J76" s="68"/>
      <c r="K76" s="68"/>
      <c r="L76" s="68"/>
      <c r="M76" s="68"/>
      <c r="N76" s="68"/>
      <c r="O76" s="68"/>
      <c r="P76" s="68"/>
      <c r="Q76" s="68"/>
      <c r="R76" s="68"/>
      <c r="S76" s="68"/>
      <c r="T76" s="68"/>
      <c r="U76" s="68"/>
      <c r="V76" s="68"/>
    </row>
    <row r="77" ht="49.5" customHeight="1">
      <c r="A77" s="68"/>
      <c r="B77" s="68"/>
      <c r="C77" s="68"/>
      <c r="D77" s="68"/>
      <c r="E77" s="68"/>
      <c r="F77" s="68"/>
      <c r="G77" s="68"/>
      <c r="H77" s="68"/>
      <c r="I77" s="68"/>
      <c r="J77" s="68"/>
      <c r="K77" s="68"/>
      <c r="L77" s="68"/>
      <c r="M77" s="68"/>
      <c r="N77" s="68"/>
      <c r="O77" s="68"/>
      <c r="P77" s="68"/>
      <c r="Q77" s="68"/>
      <c r="R77" s="68"/>
      <c r="S77" s="68"/>
      <c r="T77" s="68"/>
      <c r="U77" s="68"/>
      <c r="V77" s="68"/>
    </row>
    <row r="78" ht="49.5" customHeight="1">
      <c r="A78" s="68"/>
      <c r="B78" s="68"/>
      <c r="C78" s="68"/>
      <c r="D78" s="68"/>
      <c r="E78" s="68"/>
      <c r="F78" s="68"/>
      <c r="G78" s="68"/>
      <c r="H78" s="68"/>
      <c r="I78" s="68"/>
      <c r="J78" s="68"/>
      <c r="K78" s="68"/>
      <c r="L78" s="68"/>
      <c r="M78" s="68"/>
      <c r="N78" s="68"/>
      <c r="O78" s="68"/>
      <c r="P78" s="68"/>
      <c r="Q78" s="68"/>
      <c r="R78" s="68"/>
      <c r="S78" s="68"/>
      <c r="T78" s="68"/>
      <c r="U78" s="68"/>
      <c r="V78" s="68"/>
    </row>
    <row r="79" ht="49.5" customHeight="1">
      <c r="A79" s="68"/>
      <c r="B79" s="68"/>
      <c r="C79" s="68"/>
      <c r="D79" s="68"/>
      <c r="E79" s="68"/>
      <c r="F79" s="68"/>
      <c r="G79" s="68"/>
      <c r="H79" s="68"/>
      <c r="I79" s="68"/>
      <c r="J79" s="68"/>
      <c r="K79" s="68"/>
      <c r="L79" s="68"/>
      <c r="M79" s="68"/>
      <c r="N79" s="68"/>
      <c r="O79" s="68"/>
      <c r="P79" s="68"/>
      <c r="Q79" s="68"/>
      <c r="R79" s="68"/>
      <c r="S79" s="68"/>
      <c r="T79" s="68"/>
      <c r="U79" s="68"/>
      <c r="V79" s="68"/>
    </row>
    <row r="80" ht="49.5" customHeight="1">
      <c r="A80" s="68"/>
      <c r="B80" s="68"/>
      <c r="C80" s="68"/>
      <c r="D80" s="68"/>
      <c r="E80" s="68"/>
      <c r="F80" s="68"/>
      <c r="G80" s="68"/>
      <c r="H80" s="68"/>
      <c r="I80" s="68"/>
      <c r="J80" s="68"/>
      <c r="K80" s="68"/>
      <c r="L80" s="68"/>
      <c r="M80" s="68"/>
      <c r="N80" s="68"/>
      <c r="O80" s="68"/>
      <c r="P80" s="68"/>
      <c r="Q80" s="68"/>
      <c r="R80" s="68"/>
      <c r="S80" s="68"/>
      <c r="T80" s="68"/>
      <c r="U80" s="68"/>
      <c r="V80" s="68"/>
    </row>
    <row r="81" ht="49.5" customHeight="1">
      <c r="A81" s="68"/>
      <c r="B81" s="68"/>
      <c r="C81" s="68"/>
      <c r="D81" s="68"/>
      <c r="E81" s="68"/>
      <c r="F81" s="68"/>
      <c r="G81" s="68"/>
      <c r="H81" s="68"/>
      <c r="I81" s="68"/>
      <c r="J81" s="68"/>
      <c r="K81" s="68"/>
      <c r="L81" s="68"/>
      <c r="M81" s="68"/>
      <c r="N81" s="68"/>
      <c r="O81" s="68"/>
      <c r="P81" s="68"/>
      <c r="Q81" s="68"/>
      <c r="R81" s="68"/>
      <c r="S81" s="68"/>
      <c r="T81" s="68"/>
      <c r="U81" s="68"/>
      <c r="V81" s="68"/>
    </row>
    <row r="82" ht="49.5" customHeight="1">
      <c r="A82" s="68"/>
      <c r="B82" s="68"/>
      <c r="C82" s="68"/>
      <c r="D82" s="68"/>
      <c r="E82" s="68"/>
      <c r="F82" s="68"/>
      <c r="G82" s="68"/>
      <c r="H82" s="68"/>
      <c r="I82" s="68"/>
      <c r="J82" s="68"/>
      <c r="K82" s="68"/>
      <c r="L82" s="68"/>
      <c r="M82" s="68"/>
      <c r="N82" s="68"/>
      <c r="O82" s="68"/>
      <c r="P82" s="68"/>
      <c r="Q82" s="68"/>
      <c r="R82" s="68"/>
      <c r="S82" s="68"/>
      <c r="T82" s="68"/>
      <c r="U82" s="68"/>
      <c r="V82" s="68"/>
    </row>
    <row r="83" ht="49.5" customHeight="1">
      <c r="A83" s="68"/>
      <c r="B83" s="68"/>
      <c r="C83" s="68"/>
      <c r="D83" s="68"/>
      <c r="E83" s="68"/>
      <c r="F83" s="68"/>
      <c r="G83" s="68"/>
      <c r="H83" s="68"/>
      <c r="I83" s="68"/>
      <c r="J83" s="68"/>
      <c r="K83" s="68"/>
      <c r="L83" s="68"/>
      <c r="M83" s="68"/>
      <c r="N83" s="68"/>
      <c r="O83" s="68"/>
      <c r="P83" s="68"/>
      <c r="Q83" s="68"/>
      <c r="R83" s="68"/>
      <c r="S83" s="68"/>
      <c r="T83" s="68"/>
      <c r="U83" s="68"/>
      <c r="V83" s="68"/>
    </row>
    <row r="84" ht="49.5" customHeight="1">
      <c r="A84" s="68"/>
      <c r="B84" s="68"/>
      <c r="C84" s="68"/>
      <c r="D84" s="68"/>
      <c r="E84" s="68"/>
      <c r="F84" s="68"/>
      <c r="G84" s="68"/>
      <c r="H84" s="68"/>
      <c r="I84" s="68"/>
      <c r="J84" s="68"/>
      <c r="K84" s="68"/>
      <c r="L84" s="68"/>
      <c r="M84" s="68"/>
      <c r="N84" s="68"/>
      <c r="O84" s="68"/>
      <c r="P84" s="68"/>
      <c r="Q84" s="68"/>
      <c r="R84" s="68"/>
      <c r="S84" s="68"/>
      <c r="T84" s="68"/>
      <c r="U84" s="68"/>
      <c r="V84" s="68"/>
    </row>
    <row r="85" ht="49.5" customHeight="1">
      <c r="A85" s="68"/>
      <c r="B85" s="68"/>
      <c r="C85" s="68"/>
      <c r="D85" s="68"/>
      <c r="E85" s="68"/>
      <c r="F85" s="68"/>
      <c r="G85" s="68"/>
      <c r="H85" s="68"/>
      <c r="I85" s="68"/>
      <c r="J85" s="68"/>
      <c r="K85" s="68"/>
      <c r="L85" s="68"/>
      <c r="M85" s="68"/>
      <c r="N85" s="68"/>
      <c r="O85" s="68"/>
      <c r="P85" s="68"/>
      <c r="Q85" s="68"/>
      <c r="R85" s="68"/>
      <c r="S85" s="68"/>
      <c r="T85" s="68"/>
      <c r="U85" s="68"/>
      <c r="V85" s="68"/>
    </row>
    <row r="86" ht="49.5" customHeight="1">
      <c r="A86" s="68"/>
      <c r="B86" s="68"/>
      <c r="C86" s="68"/>
      <c r="D86" s="68"/>
      <c r="E86" s="68"/>
      <c r="F86" s="68"/>
      <c r="G86" s="68"/>
      <c r="H86" s="68"/>
      <c r="I86" s="68"/>
      <c r="J86" s="68"/>
      <c r="K86" s="68"/>
      <c r="L86" s="68"/>
      <c r="M86" s="68"/>
      <c r="N86" s="68"/>
      <c r="O86" s="68"/>
      <c r="P86" s="68"/>
      <c r="Q86" s="68"/>
      <c r="R86" s="68"/>
      <c r="S86" s="68"/>
      <c r="T86" s="68"/>
      <c r="U86" s="68"/>
      <c r="V86" s="68"/>
    </row>
    <row r="87" ht="49.5" customHeight="1">
      <c r="A87" s="68"/>
      <c r="B87" s="68"/>
      <c r="C87" s="68"/>
      <c r="D87" s="68"/>
      <c r="E87" s="68"/>
      <c r="F87" s="68"/>
      <c r="G87" s="68"/>
      <c r="H87" s="68"/>
      <c r="I87" s="68"/>
      <c r="J87" s="68"/>
      <c r="K87" s="68"/>
      <c r="L87" s="68"/>
      <c r="M87" s="68"/>
      <c r="N87" s="68"/>
      <c r="O87" s="68"/>
      <c r="P87" s="68"/>
      <c r="Q87" s="68"/>
      <c r="R87" s="68"/>
      <c r="S87" s="68"/>
      <c r="T87" s="68"/>
      <c r="U87" s="68"/>
      <c r="V87" s="68"/>
    </row>
    <row r="88" ht="49.5" customHeight="1">
      <c r="A88" s="68"/>
      <c r="B88" s="68"/>
      <c r="C88" s="68"/>
      <c r="D88" s="68"/>
      <c r="E88" s="68"/>
      <c r="F88" s="68"/>
      <c r="G88" s="68"/>
      <c r="H88" s="68"/>
      <c r="I88" s="68"/>
      <c r="J88" s="68"/>
      <c r="K88" s="68"/>
      <c r="L88" s="68"/>
      <c r="M88" s="68"/>
      <c r="N88" s="68"/>
      <c r="O88" s="68"/>
      <c r="P88" s="68"/>
      <c r="Q88" s="68"/>
      <c r="R88" s="68"/>
      <c r="S88" s="68"/>
      <c r="T88" s="68"/>
      <c r="U88" s="68"/>
      <c r="V88" s="68"/>
    </row>
    <row r="89" ht="49.5" customHeight="1">
      <c r="A89" s="68"/>
      <c r="B89" s="68"/>
      <c r="C89" s="68"/>
      <c r="D89" s="68"/>
      <c r="E89" s="68"/>
      <c r="F89" s="68"/>
      <c r="G89" s="68"/>
      <c r="H89" s="68"/>
      <c r="I89" s="68"/>
      <c r="J89" s="68"/>
      <c r="K89" s="68"/>
      <c r="L89" s="68"/>
      <c r="M89" s="68"/>
      <c r="N89" s="68"/>
      <c r="O89" s="68"/>
      <c r="P89" s="68"/>
      <c r="Q89" s="68"/>
      <c r="R89" s="68"/>
      <c r="S89" s="68"/>
      <c r="T89" s="68"/>
      <c r="U89" s="68"/>
      <c r="V89" s="68"/>
    </row>
    <row r="90" ht="49.5" customHeight="1">
      <c r="A90" s="68"/>
      <c r="B90" s="68"/>
      <c r="C90" s="68"/>
      <c r="D90" s="68"/>
      <c r="E90" s="68"/>
      <c r="F90" s="68"/>
      <c r="G90" s="68"/>
      <c r="H90" s="68"/>
      <c r="I90" s="68"/>
      <c r="J90" s="68"/>
      <c r="K90" s="68"/>
      <c r="L90" s="68"/>
      <c r="M90" s="68"/>
      <c r="N90" s="68"/>
      <c r="O90" s="68"/>
      <c r="P90" s="68"/>
      <c r="Q90" s="68"/>
      <c r="R90" s="68"/>
      <c r="S90" s="68"/>
      <c r="T90" s="68"/>
      <c r="U90" s="68"/>
      <c r="V90" s="68"/>
    </row>
    <row r="91" ht="49.5" customHeight="1">
      <c r="A91" s="68"/>
      <c r="B91" s="68"/>
      <c r="C91" s="68"/>
      <c r="D91" s="68"/>
      <c r="E91" s="68"/>
      <c r="F91" s="68"/>
      <c r="G91" s="68"/>
      <c r="H91" s="68"/>
      <c r="I91" s="68"/>
      <c r="J91" s="68"/>
      <c r="K91" s="68"/>
      <c r="L91" s="68"/>
      <c r="M91" s="68"/>
      <c r="N91" s="68"/>
      <c r="O91" s="68"/>
      <c r="P91" s="68"/>
      <c r="Q91" s="68"/>
      <c r="R91" s="68"/>
      <c r="S91" s="68"/>
      <c r="T91" s="68"/>
      <c r="U91" s="68"/>
      <c r="V91" s="68"/>
    </row>
    <row r="92" ht="49.5" customHeight="1">
      <c r="A92" s="68"/>
      <c r="B92" s="68"/>
      <c r="C92" s="68"/>
      <c r="D92" s="68"/>
      <c r="E92" s="68"/>
      <c r="F92" s="68"/>
      <c r="G92" s="68"/>
      <c r="H92" s="68"/>
      <c r="I92" s="68"/>
      <c r="J92" s="68"/>
      <c r="K92" s="68"/>
      <c r="L92" s="68"/>
      <c r="M92" s="68"/>
      <c r="N92" s="68"/>
      <c r="O92" s="68"/>
      <c r="P92" s="68"/>
      <c r="Q92" s="68"/>
      <c r="R92" s="68"/>
      <c r="S92" s="68"/>
      <c r="T92" s="68"/>
      <c r="U92" s="68"/>
      <c r="V92" s="68"/>
    </row>
    <row r="93" ht="49.5" customHeight="1">
      <c r="A93" s="68"/>
      <c r="B93" s="68"/>
      <c r="C93" s="68"/>
      <c r="D93" s="68"/>
      <c r="E93" s="68"/>
      <c r="F93" s="68"/>
      <c r="G93" s="68"/>
      <c r="H93" s="68"/>
      <c r="I93" s="68"/>
      <c r="J93" s="68"/>
      <c r="K93" s="68"/>
      <c r="L93" s="68"/>
      <c r="M93" s="68"/>
      <c r="N93" s="68"/>
      <c r="O93" s="68"/>
      <c r="P93" s="68"/>
      <c r="Q93" s="68"/>
      <c r="R93" s="68"/>
      <c r="S93" s="68"/>
      <c r="T93" s="68"/>
      <c r="U93" s="68"/>
      <c r="V93" s="68"/>
    </row>
    <row r="94" ht="49.5" customHeight="1">
      <c r="A94" s="68"/>
      <c r="B94" s="68"/>
      <c r="C94" s="68"/>
      <c r="D94" s="68"/>
      <c r="E94" s="68"/>
      <c r="F94" s="68"/>
      <c r="G94" s="68"/>
      <c r="H94" s="68"/>
      <c r="I94" s="68"/>
      <c r="J94" s="68"/>
      <c r="K94" s="68"/>
      <c r="L94" s="68"/>
      <c r="M94" s="68"/>
      <c r="N94" s="68"/>
      <c r="O94" s="68"/>
      <c r="P94" s="68"/>
      <c r="Q94" s="68"/>
      <c r="R94" s="68"/>
      <c r="S94" s="68"/>
      <c r="T94" s="68"/>
      <c r="U94" s="68"/>
      <c r="V94" s="68"/>
    </row>
    <row r="95" ht="49.5" customHeight="1">
      <c r="A95" s="68"/>
      <c r="B95" s="68"/>
      <c r="C95" s="68"/>
      <c r="D95" s="68"/>
      <c r="E95" s="68"/>
      <c r="F95" s="68"/>
      <c r="G95" s="68"/>
      <c r="H95" s="68"/>
      <c r="I95" s="68"/>
      <c r="J95" s="68"/>
      <c r="K95" s="68"/>
      <c r="L95" s="68"/>
      <c r="M95" s="68"/>
      <c r="N95" s="68"/>
      <c r="O95" s="68"/>
      <c r="P95" s="68"/>
      <c r="Q95" s="68"/>
      <c r="R95" s="68"/>
      <c r="S95" s="68"/>
      <c r="T95" s="68"/>
      <c r="U95" s="68"/>
      <c r="V95" s="68"/>
    </row>
    <row r="96" ht="49.5" customHeight="1">
      <c r="A96" s="68"/>
      <c r="B96" s="68"/>
      <c r="C96" s="68"/>
      <c r="D96" s="68"/>
      <c r="E96" s="68"/>
      <c r="F96" s="68"/>
      <c r="G96" s="68"/>
      <c r="H96" s="68"/>
      <c r="I96" s="68"/>
      <c r="J96" s="68"/>
      <c r="K96" s="68"/>
      <c r="L96" s="68"/>
      <c r="M96" s="68"/>
      <c r="N96" s="68"/>
      <c r="O96" s="68"/>
      <c r="P96" s="68"/>
      <c r="Q96" s="68"/>
      <c r="R96" s="68"/>
      <c r="S96" s="68"/>
      <c r="T96" s="68"/>
      <c r="U96" s="68"/>
      <c r="V96" s="68"/>
    </row>
    <row r="97" ht="49.5" customHeight="1">
      <c r="A97" s="68"/>
      <c r="B97" s="68"/>
      <c r="C97" s="68"/>
      <c r="D97" s="68"/>
      <c r="E97" s="68"/>
      <c r="F97" s="68"/>
      <c r="G97" s="68"/>
      <c r="H97" s="68"/>
      <c r="I97" s="68"/>
      <c r="J97" s="68"/>
      <c r="K97" s="68"/>
      <c r="L97" s="68"/>
      <c r="M97" s="68"/>
      <c r="N97" s="68"/>
      <c r="O97" s="68"/>
      <c r="P97" s="68"/>
      <c r="Q97" s="68"/>
      <c r="R97" s="68"/>
      <c r="S97" s="68"/>
      <c r="T97" s="68"/>
      <c r="U97" s="68"/>
      <c r="V97" s="68"/>
    </row>
    <row r="98" ht="49.5" customHeight="1">
      <c r="A98" s="68"/>
      <c r="B98" s="68"/>
      <c r="C98" s="68"/>
      <c r="D98" s="68"/>
      <c r="E98" s="68"/>
      <c r="F98" s="68"/>
      <c r="G98" s="68"/>
      <c r="H98" s="68"/>
      <c r="I98" s="68"/>
      <c r="J98" s="68"/>
      <c r="K98" s="68"/>
      <c r="L98" s="68"/>
      <c r="M98" s="68"/>
      <c r="N98" s="68"/>
      <c r="O98" s="68"/>
      <c r="P98" s="68"/>
      <c r="Q98" s="68"/>
      <c r="R98" s="68"/>
      <c r="S98" s="68"/>
      <c r="T98" s="68"/>
      <c r="U98" s="68"/>
      <c r="V98" s="68"/>
    </row>
    <row r="99" ht="49.5" customHeight="1">
      <c r="A99" s="68"/>
      <c r="B99" s="68"/>
      <c r="C99" s="68"/>
      <c r="D99" s="68"/>
      <c r="E99" s="68"/>
      <c r="F99" s="68"/>
      <c r="G99" s="68"/>
      <c r="H99" s="68"/>
      <c r="I99" s="68"/>
      <c r="J99" s="68"/>
      <c r="K99" s="68"/>
      <c r="L99" s="68"/>
      <c r="M99" s="68"/>
      <c r="N99" s="68"/>
      <c r="O99" s="68"/>
      <c r="P99" s="68"/>
      <c r="Q99" s="68"/>
      <c r="R99" s="68"/>
      <c r="S99" s="68"/>
      <c r="T99" s="68"/>
      <c r="U99" s="68"/>
      <c r="V99" s="68"/>
    </row>
    <row r="100" ht="49.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row>
    <row r="101" ht="49.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row>
    <row r="102" ht="49.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row>
    <row r="103" ht="49.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row>
    <row r="104" ht="49.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row>
    <row r="105" ht="49.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row>
    <row r="106" ht="49.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row>
    <row r="107" ht="49.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row>
    <row r="108" ht="49.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row>
    <row r="109" ht="49.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row>
    <row r="110" ht="49.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row>
    <row r="111" ht="49.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row>
    <row r="112" ht="49.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row>
    <row r="113" ht="49.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row>
    <row r="114" ht="49.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row>
    <row r="115" ht="49.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row>
    <row r="116" ht="49.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row>
    <row r="117" ht="49.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row>
    <row r="118" ht="49.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row>
    <row r="119" ht="49.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row>
    <row r="120" ht="49.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row>
    <row r="121" ht="49.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row>
    <row r="122" ht="49.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row>
    <row r="123" ht="49.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row>
    <row r="124" ht="49.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row>
    <row r="125" ht="49.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row>
    <row r="126" ht="49.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row>
    <row r="127" ht="49.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row>
    <row r="128" ht="49.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row>
    <row r="129" ht="49.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row>
    <row r="130" ht="49.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row>
    <row r="131" ht="49.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row>
    <row r="132" ht="49.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row>
    <row r="133" ht="49.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row>
    <row r="134" ht="49.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row>
    <row r="135" ht="49.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row>
    <row r="136" ht="49.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row>
    <row r="137" ht="49.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row>
    <row r="138" ht="49.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row>
    <row r="139" ht="49.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row>
    <row r="140" ht="49.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row>
    <row r="141" ht="49.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row>
    <row r="142" ht="49.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row>
    <row r="143" ht="49.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row>
    <row r="144" ht="49.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row>
    <row r="145" ht="49.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row>
    <row r="146" ht="49.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row>
    <row r="147" ht="49.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row>
    <row r="148" ht="49.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row>
    <row r="149" ht="49.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row>
    <row r="150" ht="49.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row>
    <row r="151" ht="49.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row>
    <row r="152" ht="49.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row>
    <row r="153" ht="49.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row>
    <row r="154" ht="49.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row>
    <row r="155" ht="49.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row>
    <row r="156" ht="49.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row>
    <row r="157" ht="49.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row>
    <row r="158" ht="49.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row>
    <row r="159" ht="49.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row>
    <row r="160" ht="49.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row>
    <row r="161" ht="49.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row>
    <row r="162" ht="49.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row>
    <row r="163" ht="49.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row>
    <row r="164" ht="49.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row>
    <row r="165" ht="49.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row>
    <row r="166" ht="49.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row>
    <row r="167" ht="49.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row>
    <row r="168" ht="49.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row>
    <row r="169" ht="49.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row>
    <row r="170" ht="49.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row>
    <row r="171" ht="49.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row>
    <row r="172" ht="49.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row>
    <row r="173" ht="49.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row>
    <row r="174" ht="49.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row>
    <row r="175" ht="49.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row>
    <row r="176" ht="49.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row>
    <row r="177" ht="49.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row>
    <row r="178" ht="49.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row>
    <row r="179" ht="49.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row>
    <row r="180" ht="49.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row>
    <row r="181" ht="49.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row>
    <row r="182" ht="49.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row>
    <row r="183" ht="49.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row>
    <row r="184" ht="49.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row>
    <row r="185" ht="49.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row>
    <row r="186" ht="49.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row>
    <row r="187" ht="49.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row>
    <row r="188" ht="49.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row>
    <row r="189" ht="49.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row>
    <row r="190" ht="49.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row>
    <row r="191" ht="49.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row>
    <row r="192" ht="49.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row>
    <row r="193" ht="49.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row>
    <row r="194" ht="49.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row>
    <row r="195" ht="49.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row>
    <row r="196" ht="49.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row>
    <row r="197" ht="49.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row>
    <row r="198" ht="49.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row>
    <row r="199" ht="49.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row>
    <row r="200" ht="49.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row>
    <row r="201" ht="49.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row>
    <row r="202" ht="49.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row>
    <row r="203" ht="49.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row>
    <row r="204" ht="49.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row>
    <row r="205" ht="49.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row>
    <row r="206" ht="49.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row>
    <row r="207" ht="49.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row>
    <row r="208" ht="49.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row>
    <row r="209" ht="49.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row>
    <row r="210" ht="49.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row>
    <row r="211" ht="49.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row>
    <row r="212" ht="49.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row>
    <row r="213" ht="49.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row>
    <row r="214" ht="49.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row>
    <row r="215" ht="49.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row>
  </sheetData>
  <mergeCells count="5">
    <mergeCell ref="F8:F9"/>
    <mergeCell ref="F10:F11"/>
    <mergeCell ref="F12:F13"/>
    <mergeCell ref="F14:F15"/>
    <mergeCell ref="F16:F17"/>
  </mergeCells>
  <drawing r:id="rId1"/>
</worksheet>
</file>